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charts/chart15.xml" ContentType="application/vnd.openxmlformats-officedocument.drawingml.chart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charts/chart17.xml" ContentType="application/vnd.openxmlformats-officedocument.drawingml.chart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tables/table6.xml" ContentType="application/vnd.openxmlformats-officedocument.spreadsheetml.table+xml"/>
  <Override PartName="/xl/charts/chart19.xml" ContentType="application/vnd.openxmlformats-officedocument.drawingml.chart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tables/table7.xml" ContentType="application/vnd.openxmlformats-officedocument.spreadsheetml.table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tables/table8.xml" ContentType="application/vnd.openxmlformats-officedocument.spreadsheetml.table+xml"/>
  <Override PartName="/xl/charts/chart22.xml" ContentType="application/vnd.openxmlformats-officedocument.drawingml.chart+xml"/>
  <Override PartName="/xl/pivotTables/pivotTable7.xml" ContentType="application/vnd.openxmlformats-officedocument.spreadsheetml.pivotTab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7.xml" ContentType="application/vnd.openxmlformats-officedocument.drawing+xml"/>
  <Override PartName="/xl/tables/table11.xml" ContentType="application/vnd.openxmlformats-officedocument.spreadsheetml.tabl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hidePivotFieldList="1" defaultThemeVersion="124226"/>
  <bookViews>
    <workbookView xWindow="14595" yWindow="765" windowWidth="9180" windowHeight="4500" tabRatio="812" activeTab="5"/>
  </bookViews>
  <sheets>
    <sheet name="Suivi Conso" sheetId="2" r:id="rId1"/>
    <sheet name="T° et conso par heure" sheetId="4" r:id="rId2"/>
    <sheet name="Moyenne par mois" sheetId="5" r:id="rId3"/>
    <sheet name="Moyenne par année mois" sheetId="6" r:id="rId4"/>
    <sheet name="Courbes" sheetId="3" r:id="rId5"/>
    <sheet name="Suivi Conso New" sheetId="7" r:id="rId6"/>
    <sheet name="MinMax HpHc instantannées" sheetId="8" r:id="rId7"/>
    <sheet name="MinMax HpHc par heure instanta" sheetId="13" r:id="rId8"/>
    <sheet name="Cumul par année" sheetId="18" r:id="rId9"/>
    <sheet name="Moy par jour de la semaine - Ne" sheetId="26" r:id="rId10"/>
    <sheet name="Moy par jour de la semaine" sheetId="20" state="hidden" r:id="rId11"/>
    <sheet name="Moy par jour année mois - New" sheetId="23" r:id="rId12"/>
    <sheet name="Moy par jour année mois" sheetId="22" state="hidden" r:id="rId13"/>
    <sheet name="Moy par année mois - New" sheetId="24" r:id="rId14"/>
    <sheet name="Moy par année mois" sheetId="11" state="hidden" r:id="rId15"/>
    <sheet name="Moy par mois" sheetId="27" r:id="rId16"/>
    <sheet name="Moy par année - New" sheetId="25" r:id="rId17"/>
    <sheet name="Moy par année" sheetId="14" state="hidden" r:id="rId18"/>
    <sheet name="Ecart annuel" sheetId="15" r:id="rId19"/>
    <sheet name="Ecart annuel 2" sheetId="16" r:id="rId20"/>
    <sheet name="Suivi Factures" sheetId="12" r:id="rId21"/>
  </sheets>
  <externalReferences>
    <externalReference r:id="rId22"/>
  </externalReferences>
  <calcPr calcId="145621"/>
  <pivotCaches>
    <pivotCache cacheId="20" r:id="rId23"/>
    <pivotCache cacheId="21" r:id="rId24"/>
  </pivotCaches>
</workbook>
</file>

<file path=xl/calcChain.xml><?xml version="1.0" encoding="utf-8"?>
<calcChain xmlns="http://schemas.openxmlformats.org/spreadsheetml/2006/main">
  <c r="O8" i="7" l="1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L21" i="7"/>
  <c r="K21" i="7"/>
  <c r="J21" i="7"/>
  <c r="R21" i="7" s="1"/>
  <c r="I21" i="7"/>
  <c r="H21" i="7"/>
  <c r="G21" i="7"/>
  <c r="F21" i="7"/>
  <c r="E21" i="7"/>
  <c r="D21" i="7"/>
  <c r="C21" i="7"/>
  <c r="B21" i="7"/>
  <c r="C20" i="7" s="1"/>
  <c r="L20" i="7"/>
  <c r="K20" i="7"/>
  <c r="J20" i="7"/>
  <c r="R20" i="7" s="1"/>
  <c r="I20" i="7"/>
  <c r="H20" i="7"/>
  <c r="G20" i="7"/>
  <c r="F20" i="7"/>
  <c r="E20" i="7"/>
  <c r="D20" i="7"/>
  <c r="B20" i="7"/>
  <c r="C19" i="7" s="1"/>
  <c r="L19" i="7"/>
  <c r="K19" i="7"/>
  <c r="J19" i="7"/>
  <c r="V19" i="7" s="1"/>
  <c r="I19" i="7"/>
  <c r="H19" i="7"/>
  <c r="G19" i="7"/>
  <c r="F19" i="7"/>
  <c r="E19" i="7"/>
  <c r="D19" i="7"/>
  <c r="B19" i="7"/>
  <c r="L18" i="7"/>
  <c r="K18" i="7"/>
  <c r="J18" i="7"/>
  <c r="V18" i="7" s="1"/>
  <c r="I18" i="7"/>
  <c r="H18" i="7"/>
  <c r="G18" i="7"/>
  <c r="F18" i="7"/>
  <c r="E18" i="7"/>
  <c r="D18" i="7"/>
  <c r="C18" i="7"/>
  <c r="B18" i="7"/>
  <c r="L17" i="7"/>
  <c r="K17" i="7"/>
  <c r="J17" i="7"/>
  <c r="R17" i="7" s="1"/>
  <c r="I17" i="7"/>
  <c r="H17" i="7"/>
  <c r="G17" i="7"/>
  <c r="F17" i="7"/>
  <c r="E17" i="7"/>
  <c r="D17" i="7"/>
  <c r="C17" i="7"/>
  <c r="B17" i="7"/>
  <c r="C16" i="7" s="1"/>
  <c r="L16" i="7"/>
  <c r="K16" i="7"/>
  <c r="J16" i="7"/>
  <c r="R16" i="7" s="1"/>
  <c r="I16" i="7"/>
  <c r="H16" i="7"/>
  <c r="G16" i="7"/>
  <c r="F16" i="7"/>
  <c r="E16" i="7"/>
  <c r="D16" i="7"/>
  <c r="B16" i="7"/>
  <c r="C15" i="7" s="1"/>
  <c r="L15" i="7"/>
  <c r="K15" i="7"/>
  <c r="J15" i="7"/>
  <c r="V15" i="7" s="1"/>
  <c r="I15" i="7"/>
  <c r="H15" i="7"/>
  <c r="G15" i="7"/>
  <c r="F15" i="7"/>
  <c r="E15" i="7"/>
  <c r="D15" i="7"/>
  <c r="B15" i="7"/>
  <c r="L14" i="7"/>
  <c r="K14" i="7"/>
  <c r="J14" i="7"/>
  <c r="V14" i="7" s="1"/>
  <c r="I14" i="7"/>
  <c r="H14" i="7"/>
  <c r="G14" i="7"/>
  <c r="F14" i="7"/>
  <c r="E14" i="7"/>
  <c r="D14" i="7"/>
  <c r="C14" i="7"/>
  <c r="B14" i="7"/>
  <c r="L13" i="7"/>
  <c r="K13" i="7"/>
  <c r="J13" i="7"/>
  <c r="R13" i="7" s="1"/>
  <c r="I13" i="7"/>
  <c r="H13" i="7"/>
  <c r="G13" i="7"/>
  <c r="F13" i="7"/>
  <c r="E13" i="7"/>
  <c r="D13" i="7"/>
  <c r="C13" i="7"/>
  <c r="B13" i="7"/>
  <c r="C12" i="7" s="1"/>
  <c r="L12" i="7"/>
  <c r="K12" i="7"/>
  <c r="J12" i="7"/>
  <c r="R12" i="7" s="1"/>
  <c r="I12" i="7"/>
  <c r="H12" i="7"/>
  <c r="G12" i="7"/>
  <c r="F12" i="7"/>
  <c r="E12" i="7"/>
  <c r="D12" i="7"/>
  <c r="B12" i="7"/>
  <c r="C11" i="7" s="1"/>
  <c r="L11" i="7"/>
  <c r="K11" i="7"/>
  <c r="J11" i="7"/>
  <c r="V11" i="7" s="1"/>
  <c r="I11" i="7"/>
  <c r="H11" i="7"/>
  <c r="G11" i="7"/>
  <c r="F11" i="7"/>
  <c r="E11" i="7"/>
  <c r="D11" i="7"/>
  <c r="B11" i="7"/>
  <c r="L10" i="7"/>
  <c r="K10" i="7"/>
  <c r="J10" i="7"/>
  <c r="V10" i="7" s="1"/>
  <c r="I10" i="7"/>
  <c r="H10" i="7"/>
  <c r="G10" i="7"/>
  <c r="F10" i="7"/>
  <c r="E10" i="7"/>
  <c r="D10" i="7"/>
  <c r="C10" i="7"/>
  <c r="B10" i="7"/>
  <c r="L9" i="7"/>
  <c r="K9" i="7"/>
  <c r="J9" i="7"/>
  <c r="R9" i="7" s="1"/>
  <c r="I9" i="7"/>
  <c r="H9" i="7"/>
  <c r="G9" i="7"/>
  <c r="F9" i="7"/>
  <c r="E9" i="7"/>
  <c r="D9" i="7"/>
  <c r="C9" i="7"/>
  <c r="B9" i="7"/>
  <c r="C8" i="7" s="1"/>
  <c r="L8" i="7"/>
  <c r="K8" i="7"/>
  <c r="J8" i="7"/>
  <c r="R8" i="7" s="1"/>
  <c r="I8" i="7"/>
  <c r="H8" i="7"/>
  <c r="G8" i="7"/>
  <c r="F8" i="7"/>
  <c r="E8" i="7"/>
  <c r="D8" i="7"/>
  <c r="B8" i="7"/>
  <c r="C7" i="7" s="1"/>
  <c r="L7" i="7"/>
  <c r="K7" i="7"/>
  <c r="J7" i="7"/>
  <c r="I7" i="7"/>
  <c r="H7" i="7"/>
  <c r="G7" i="7"/>
  <c r="F7" i="7"/>
  <c r="E7" i="7"/>
  <c r="D7" i="7"/>
  <c r="B7" i="7"/>
  <c r="L6" i="7"/>
  <c r="K6" i="7"/>
  <c r="J6" i="7"/>
  <c r="I6" i="7"/>
  <c r="H6" i="7"/>
  <c r="G6" i="7"/>
  <c r="F6" i="7"/>
  <c r="E6" i="7"/>
  <c r="D6" i="7"/>
  <c r="C6" i="7"/>
  <c r="B6" i="7"/>
  <c r="L5" i="7"/>
  <c r="K5" i="7"/>
  <c r="J5" i="7"/>
  <c r="I5" i="7"/>
  <c r="H5" i="7"/>
  <c r="G5" i="7"/>
  <c r="F5" i="7"/>
  <c r="E5" i="7"/>
  <c r="D5" i="7"/>
  <c r="C5" i="7"/>
  <c r="B5" i="7"/>
  <c r="C4" i="7" s="1"/>
  <c r="L4" i="7"/>
  <c r="K4" i="7"/>
  <c r="J4" i="7"/>
  <c r="I4" i="7"/>
  <c r="H4" i="7"/>
  <c r="G4" i="7"/>
  <c r="F4" i="7"/>
  <c r="E4" i="7"/>
  <c r="D4" i="7"/>
  <c r="B4" i="7"/>
  <c r="AA19" i="7" l="1"/>
  <c r="AB19" i="7" s="1"/>
  <c r="AA15" i="7"/>
  <c r="AB15" i="7" s="1"/>
  <c r="AA11" i="7"/>
  <c r="AB11" i="7" s="1"/>
  <c r="Z21" i="7"/>
  <c r="Z17" i="7"/>
  <c r="Z13" i="7"/>
  <c r="Z9" i="7"/>
  <c r="V21" i="7"/>
  <c r="V17" i="7"/>
  <c r="V13" i="7"/>
  <c r="V9" i="7"/>
  <c r="R19" i="7"/>
  <c r="R15" i="7"/>
  <c r="R11" i="7"/>
  <c r="AA18" i="7"/>
  <c r="AB18" i="7" s="1"/>
  <c r="AA14" i="7"/>
  <c r="AB14" i="7" s="1"/>
  <c r="AA10" i="7"/>
  <c r="AB10" i="7" s="1"/>
  <c r="Z20" i="7"/>
  <c r="Z16" i="7"/>
  <c r="Z12" i="7"/>
  <c r="Z8" i="7"/>
  <c r="V20" i="7"/>
  <c r="V16" i="7"/>
  <c r="V12" i="7"/>
  <c r="V8" i="7"/>
  <c r="R18" i="7"/>
  <c r="R14" i="7"/>
  <c r="R10" i="7"/>
  <c r="AA21" i="7"/>
  <c r="AB21" i="7" s="1"/>
  <c r="AA17" i="7"/>
  <c r="AB17" i="7" s="1"/>
  <c r="AA13" i="7"/>
  <c r="AB13" i="7" s="1"/>
  <c r="AA9" i="7"/>
  <c r="AB9" i="7" s="1"/>
  <c r="Z19" i="7"/>
  <c r="Z15" i="7"/>
  <c r="Z11" i="7"/>
  <c r="AA20" i="7"/>
  <c r="AB20" i="7" s="1"/>
  <c r="AA16" i="7"/>
  <c r="AB16" i="7" s="1"/>
  <c r="AA12" i="7"/>
  <c r="AB12" i="7" s="1"/>
  <c r="AA8" i="7"/>
  <c r="AB8" i="7" s="1"/>
  <c r="Z18" i="7"/>
  <c r="Z14" i="7"/>
  <c r="Z10" i="7"/>
  <c r="B2" i="27"/>
  <c r="E3" i="27"/>
  <c r="E2" i="27"/>
  <c r="B3" i="27"/>
  <c r="K13" i="12" l="1"/>
  <c r="K19" i="12" s="1"/>
  <c r="Q19" i="12"/>
  <c r="M20" i="12"/>
  <c r="N19" i="12"/>
  <c r="L20" i="12" s="1"/>
  <c r="M19" i="12"/>
  <c r="L19" i="12"/>
  <c r="AC13" i="12"/>
  <c r="AB13" i="12"/>
  <c r="Y13" i="12"/>
  <c r="Z13" i="12" s="1"/>
  <c r="V13" i="12"/>
  <c r="S13" i="12"/>
  <c r="O13" i="12"/>
  <c r="H13" i="12"/>
  <c r="I13" i="12"/>
  <c r="J13" i="12" s="1"/>
  <c r="L13" i="12"/>
  <c r="M13" i="12"/>
  <c r="U13" i="12"/>
  <c r="W13" i="12" l="1"/>
  <c r="X13" i="12" s="1"/>
  <c r="N13" i="12"/>
  <c r="R13" i="12" s="1"/>
  <c r="AA13" i="12"/>
  <c r="P13" i="12" l="1"/>
  <c r="Q13" i="12" s="1"/>
  <c r="H12" i="12" l="1"/>
  <c r="I12" i="12"/>
  <c r="J12" i="12" s="1"/>
  <c r="K12" i="12" s="1"/>
  <c r="L12" i="12"/>
  <c r="M12" i="12"/>
  <c r="U12" i="12"/>
  <c r="N12" i="12" l="1"/>
  <c r="P12" i="12" l="1"/>
  <c r="Q12" i="12" s="1"/>
  <c r="R12" i="12"/>
  <c r="H11" i="12" l="1"/>
  <c r="I11" i="12"/>
  <c r="J11" i="12" s="1"/>
  <c r="K11" i="12" s="1"/>
  <c r="L11" i="12"/>
  <c r="M11" i="12"/>
  <c r="U11" i="12"/>
  <c r="N11" i="12" l="1"/>
  <c r="R11" i="12" s="1"/>
  <c r="P11" i="12"/>
  <c r="Q11" i="12" s="1"/>
  <c r="C449" i="2" l="1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J449" i="2"/>
  <c r="AJ450" i="2"/>
  <c r="AJ451" i="2"/>
  <c r="AJ452" i="2"/>
  <c r="AR452" i="2" s="1"/>
  <c r="AJ453" i="2"/>
  <c r="AJ454" i="2"/>
  <c r="AJ455" i="2"/>
  <c r="AJ456" i="2"/>
  <c r="AR456" i="2" s="1"/>
  <c r="AJ457" i="2"/>
  <c r="AJ458" i="2"/>
  <c r="AJ459" i="2"/>
  <c r="AJ460" i="2"/>
  <c r="AR460" i="2" s="1"/>
  <c r="AJ461" i="2"/>
  <c r="AJ462" i="2"/>
  <c r="AJ463" i="2"/>
  <c r="AJ464" i="2"/>
  <c r="AR464" i="2" s="1"/>
  <c r="AJ465" i="2"/>
  <c r="AJ466" i="2"/>
  <c r="AJ467" i="2"/>
  <c r="AJ468" i="2"/>
  <c r="AR468" i="2" s="1"/>
  <c r="AJ469" i="2"/>
  <c r="AJ470" i="2"/>
  <c r="AJ471" i="2"/>
  <c r="AJ472" i="2"/>
  <c r="AR472" i="2" s="1"/>
  <c r="AJ473" i="2"/>
  <c r="AJ474" i="2"/>
  <c r="AJ475" i="2"/>
  <c r="AJ476" i="2"/>
  <c r="AR476" i="2" s="1"/>
  <c r="AJ477" i="2"/>
  <c r="AJ478" i="2"/>
  <c r="AJ479" i="2"/>
  <c r="AJ480" i="2"/>
  <c r="AR480" i="2" s="1"/>
  <c r="AJ481" i="2"/>
  <c r="AJ482" i="2"/>
  <c r="AJ483" i="2"/>
  <c r="AJ484" i="2"/>
  <c r="AR484" i="2" s="1"/>
  <c r="AJ485" i="2"/>
  <c r="AJ486" i="2"/>
  <c r="AJ487" i="2"/>
  <c r="AJ488" i="2"/>
  <c r="AR488" i="2" s="1"/>
  <c r="AJ489" i="2"/>
  <c r="AJ490" i="2"/>
  <c r="AJ491" i="2"/>
  <c r="AJ492" i="2"/>
  <c r="AR492" i="2" s="1"/>
  <c r="AJ493" i="2"/>
  <c r="AJ494" i="2"/>
  <c r="AJ495" i="2"/>
  <c r="AJ496" i="2"/>
  <c r="AR496" i="2" s="1"/>
  <c r="AJ497" i="2"/>
  <c r="AJ498" i="2"/>
  <c r="AJ499" i="2"/>
  <c r="AJ500" i="2"/>
  <c r="AR500" i="2" s="1"/>
  <c r="AJ501" i="2"/>
  <c r="AJ502" i="2"/>
  <c r="AJ503" i="2"/>
  <c r="AJ504" i="2"/>
  <c r="AR504" i="2" s="1"/>
  <c r="AJ505" i="2"/>
  <c r="AJ506" i="2"/>
  <c r="AJ507" i="2"/>
  <c r="AJ508" i="2"/>
  <c r="AR508" i="2" s="1"/>
  <c r="AJ509" i="2"/>
  <c r="AJ510" i="2"/>
  <c r="AJ511" i="2"/>
  <c r="AJ512" i="2"/>
  <c r="AR512" i="2" s="1"/>
  <c r="AJ513" i="2"/>
  <c r="AJ514" i="2"/>
  <c r="AJ515" i="2"/>
  <c r="AJ516" i="2"/>
  <c r="AR516" i="2" s="1"/>
  <c r="AJ517" i="2"/>
  <c r="AJ518" i="2"/>
  <c r="AJ519" i="2"/>
  <c r="AJ520" i="2"/>
  <c r="AR520" i="2" s="1"/>
  <c r="AJ521" i="2"/>
  <c r="AJ522" i="2"/>
  <c r="AJ523" i="2"/>
  <c r="AJ524" i="2"/>
  <c r="AR524" i="2" s="1"/>
  <c r="AJ525" i="2"/>
  <c r="AJ526" i="2"/>
  <c r="AJ527" i="2"/>
  <c r="AJ528" i="2"/>
  <c r="AR528" i="2" s="1"/>
  <c r="AJ529" i="2"/>
  <c r="AJ530" i="2"/>
  <c r="AJ531" i="2"/>
  <c r="AJ532" i="2"/>
  <c r="AR532" i="2" s="1"/>
  <c r="AJ533" i="2"/>
  <c r="AJ534" i="2"/>
  <c r="AJ535" i="2"/>
  <c r="AJ536" i="2"/>
  <c r="AR536" i="2" s="1"/>
  <c r="AJ537" i="2"/>
  <c r="AJ538" i="2"/>
  <c r="AJ539" i="2"/>
  <c r="AJ540" i="2"/>
  <c r="AR540" i="2" s="1"/>
  <c r="AJ541" i="2"/>
  <c r="AJ542" i="2"/>
  <c r="AJ543" i="2"/>
  <c r="AJ544" i="2"/>
  <c r="AR544" i="2" s="1"/>
  <c r="AJ545" i="2"/>
  <c r="AJ546" i="2"/>
  <c r="AJ547" i="2"/>
  <c r="AJ548" i="2"/>
  <c r="AR548" i="2" s="1"/>
  <c r="AJ549" i="2"/>
  <c r="AJ550" i="2"/>
  <c r="AJ551" i="2"/>
  <c r="AJ552" i="2"/>
  <c r="AR552" i="2" s="1"/>
  <c r="AJ553" i="2"/>
  <c r="AJ554" i="2"/>
  <c r="AJ555" i="2"/>
  <c r="AJ556" i="2"/>
  <c r="AR556" i="2" s="1"/>
  <c r="AJ557" i="2"/>
  <c r="AJ558" i="2"/>
  <c r="AJ559" i="2"/>
  <c r="AJ560" i="2"/>
  <c r="AR560" i="2" s="1"/>
  <c r="AJ561" i="2"/>
  <c r="AJ562" i="2"/>
  <c r="AJ563" i="2"/>
  <c r="AJ564" i="2"/>
  <c r="AR564" i="2" s="1"/>
  <c r="AJ565" i="2"/>
  <c r="AJ566" i="2"/>
  <c r="AJ567" i="2"/>
  <c r="AJ568" i="2"/>
  <c r="AR568" i="2" s="1"/>
  <c r="AJ569" i="2"/>
  <c r="AJ570" i="2"/>
  <c r="AJ571" i="2"/>
  <c r="AJ572" i="2"/>
  <c r="AR572" i="2" s="1"/>
  <c r="AJ573" i="2"/>
  <c r="AJ574" i="2"/>
  <c r="AJ575" i="2"/>
  <c r="AJ576" i="2"/>
  <c r="AR576" i="2" s="1"/>
  <c r="AJ577" i="2"/>
  <c r="AJ578" i="2"/>
  <c r="AJ579" i="2"/>
  <c r="AJ580" i="2"/>
  <c r="AR580" i="2" s="1"/>
  <c r="AJ581" i="2"/>
  <c r="AJ582" i="2"/>
  <c r="AJ583" i="2"/>
  <c r="AJ584" i="2"/>
  <c r="AR584" i="2" s="1"/>
  <c r="AJ585" i="2"/>
  <c r="AJ586" i="2"/>
  <c r="AJ587" i="2"/>
  <c r="AJ588" i="2"/>
  <c r="AR588" i="2" s="1"/>
  <c r="AJ589" i="2"/>
  <c r="AJ590" i="2"/>
  <c r="AJ591" i="2"/>
  <c r="AJ592" i="2"/>
  <c r="AR592" i="2" s="1"/>
  <c r="AJ593" i="2"/>
  <c r="AJ594" i="2"/>
  <c r="AJ595" i="2"/>
  <c r="AJ596" i="2"/>
  <c r="AR596" i="2" s="1"/>
  <c r="AJ597" i="2"/>
  <c r="AJ598" i="2"/>
  <c r="AJ599" i="2"/>
  <c r="AJ600" i="2"/>
  <c r="AR600" i="2" s="1"/>
  <c r="AJ601" i="2"/>
  <c r="AJ602" i="2"/>
  <c r="AJ603" i="2"/>
  <c r="AJ604" i="2"/>
  <c r="AR604" i="2" s="1"/>
  <c r="AJ605" i="2"/>
  <c r="AJ606" i="2"/>
  <c r="AJ607" i="2"/>
  <c r="AJ608" i="2"/>
  <c r="AR608" i="2" s="1"/>
  <c r="AJ609" i="2"/>
  <c r="AJ610" i="2"/>
  <c r="AJ611" i="2"/>
  <c r="AJ612" i="2"/>
  <c r="AR612" i="2" s="1"/>
  <c r="AJ613" i="2"/>
  <c r="AJ614" i="2"/>
  <c r="AJ615" i="2"/>
  <c r="AJ616" i="2"/>
  <c r="AR616" i="2" s="1"/>
  <c r="AJ617" i="2"/>
  <c r="AJ618" i="2"/>
  <c r="AJ619" i="2"/>
  <c r="AJ620" i="2"/>
  <c r="AR620" i="2" s="1"/>
  <c r="AJ621" i="2"/>
  <c r="AJ622" i="2"/>
  <c r="AJ623" i="2"/>
  <c r="AJ624" i="2"/>
  <c r="AR624" i="2" s="1"/>
  <c r="AJ625" i="2"/>
  <c r="AJ626" i="2"/>
  <c r="AJ627" i="2"/>
  <c r="AJ628" i="2"/>
  <c r="AR628" i="2" s="1"/>
  <c r="AJ629" i="2"/>
  <c r="AJ630" i="2"/>
  <c r="AJ631" i="2"/>
  <c r="AJ632" i="2"/>
  <c r="AR632" i="2" s="1"/>
  <c r="AJ633" i="2"/>
  <c r="AJ634" i="2"/>
  <c r="AJ635" i="2"/>
  <c r="AJ636" i="2"/>
  <c r="AR636" i="2" s="1"/>
  <c r="AJ637" i="2"/>
  <c r="AJ638" i="2"/>
  <c r="AJ639" i="2"/>
  <c r="AJ640" i="2"/>
  <c r="AR640" i="2" s="1"/>
  <c r="AJ641" i="2"/>
  <c r="AJ642" i="2"/>
  <c r="AJ643" i="2"/>
  <c r="AJ644" i="2"/>
  <c r="AR644" i="2" s="1"/>
  <c r="AJ645" i="2"/>
  <c r="AJ646" i="2"/>
  <c r="AJ647" i="2"/>
  <c r="AJ648" i="2"/>
  <c r="AR648" i="2" s="1"/>
  <c r="AJ649" i="2"/>
  <c r="AJ650" i="2"/>
  <c r="AJ651" i="2"/>
  <c r="AJ652" i="2"/>
  <c r="AR652" i="2" s="1"/>
  <c r="AJ653" i="2"/>
  <c r="AJ654" i="2"/>
  <c r="AJ655" i="2"/>
  <c r="AJ656" i="2"/>
  <c r="AR656" i="2" s="1"/>
  <c r="AJ657" i="2"/>
  <c r="AJ658" i="2"/>
  <c r="AJ659" i="2"/>
  <c r="AJ660" i="2"/>
  <c r="AR660" i="2" s="1"/>
  <c r="AJ661" i="2"/>
  <c r="AJ662" i="2"/>
  <c r="AJ663" i="2"/>
  <c r="AJ664" i="2"/>
  <c r="AR664" i="2" s="1"/>
  <c r="AJ665" i="2"/>
  <c r="AJ666" i="2"/>
  <c r="AJ667" i="2"/>
  <c r="AJ668" i="2"/>
  <c r="AR668" i="2" s="1"/>
  <c r="AJ669" i="2"/>
  <c r="AJ670" i="2"/>
  <c r="AJ671" i="2"/>
  <c r="AJ672" i="2"/>
  <c r="AR672" i="2" s="1"/>
  <c r="AJ673" i="2"/>
  <c r="AJ674" i="2"/>
  <c r="AJ675" i="2"/>
  <c r="AJ676" i="2"/>
  <c r="AR676" i="2" s="1"/>
  <c r="AJ677" i="2"/>
  <c r="AJ678" i="2"/>
  <c r="AJ679" i="2"/>
  <c r="AJ680" i="2"/>
  <c r="AR680" i="2" s="1"/>
  <c r="AJ681" i="2"/>
  <c r="AJ682" i="2"/>
  <c r="AJ683" i="2"/>
  <c r="AJ684" i="2"/>
  <c r="AR684" i="2" s="1"/>
  <c r="AJ685" i="2"/>
  <c r="AJ686" i="2"/>
  <c r="AJ687" i="2"/>
  <c r="AJ688" i="2"/>
  <c r="AR688" i="2" s="1"/>
  <c r="AJ689" i="2"/>
  <c r="AJ690" i="2"/>
  <c r="AJ691" i="2"/>
  <c r="AJ692" i="2"/>
  <c r="AR692" i="2" s="1"/>
  <c r="AJ693" i="2"/>
  <c r="AJ694" i="2"/>
  <c r="AJ695" i="2"/>
  <c r="AJ696" i="2"/>
  <c r="AR696" i="2" s="1"/>
  <c r="AJ697" i="2"/>
  <c r="AJ698" i="2"/>
  <c r="AJ699" i="2"/>
  <c r="AJ700" i="2"/>
  <c r="AR700" i="2" s="1"/>
  <c r="AJ701" i="2"/>
  <c r="AJ702" i="2"/>
  <c r="AJ703" i="2"/>
  <c r="AJ704" i="2"/>
  <c r="AR704" i="2" s="1"/>
  <c r="AJ705" i="2"/>
  <c r="AJ706" i="2"/>
  <c r="AJ707" i="2"/>
  <c r="AJ708" i="2"/>
  <c r="AR708" i="2" s="1"/>
  <c r="AJ709" i="2"/>
  <c r="AJ710" i="2"/>
  <c r="AJ711" i="2"/>
  <c r="AJ712" i="2"/>
  <c r="AR712" i="2" s="1"/>
  <c r="AJ713" i="2"/>
  <c r="AJ714" i="2"/>
  <c r="AJ715" i="2"/>
  <c r="AJ716" i="2"/>
  <c r="AR716" i="2" s="1"/>
  <c r="AJ717" i="2"/>
  <c r="AJ718" i="2"/>
  <c r="AJ719" i="2"/>
  <c r="AJ720" i="2"/>
  <c r="AR720" i="2" s="1"/>
  <c r="AJ721" i="2"/>
  <c r="AJ722" i="2"/>
  <c r="AJ723" i="2"/>
  <c r="AJ724" i="2"/>
  <c r="AR724" i="2" s="1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P704" i="2" s="1"/>
  <c r="AO705" i="2"/>
  <c r="AP705" i="2" s="1"/>
  <c r="AO706" i="2"/>
  <c r="AO707" i="2"/>
  <c r="AP707" i="2" s="1"/>
  <c r="AO708" i="2"/>
  <c r="AP708" i="2" s="1"/>
  <c r="AO709" i="2"/>
  <c r="AP709" i="2" s="1"/>
  <c r="AO710" i="2"/>
  <c r="AO711" i="2"/>
  <c r="AO712" i="2"/>
  <c r="AP712" i="2" s="1"/>
  <c r="AO713" i="2"/>
  <c r="AP713" i="2" s="1"/>
  <c r="AO714" i="2"/>
  <c r="AO715" i="2"/>
  <c r="AO716" i="2"/>
  <c r="AO717" i="2"/>
  <c r="AP717" i="2" s="1"/>
  <c r="AO718" i="2"/>
  <c r="AO719" i="2"/>
  <c r="AP719" i="2" s="1"/>
  <c r="AO720" i="2"/>
  <c r="AP720" i="2" s="1"/>
  <c r="AO721" i="2"/>
  <c r="AP721" i="2" s="1"/>
  <c r="AO722" i="2"/>
  <c r="AO723" i="2"/>
  <c r="AP723" i="2" s="1"/>
  <c r="AO724" i="2"/>
  <c r="AP724" i="2" s="1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6" i="2"/>
  <c r="AP710" i="2"/>
  <c r="AP711" i="2"/>
  <c r="AP714" i="2"/>
  <c r="AP715" i="2"/>
  <c r="AP716" i="2"/>
  <c r="AP718" i="2"/>
  <c r="AP722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R449" i="2"/>
  <c r="AR450" i="2"/>
  <c r="AR451" i="2"/>
  <c r="AR453" i="2"/>
  <c r="AR454" i="2"/>
  <c r="AR455" i="2"/>
  <c r="AR457" i="2"/>
  <c r="AR458" i="2"/>
  <c r="AR459" i="2"/>
  <c r="AR461" i="2"/>
  <c r="AR462" i="2"/>
  <c r="AR463" i="2"/>
  <c r="AR465" i="2"/>
  <c r="AR466" i="2"/>
  <c r="AR467" i="2"/>
  <c r="AR469" i="2"/>
  <c r="AR470" i="2"/>
  <c r="AR471" i="2"/>
  <c r="AR473" i="2"/>
  <c r="AR474" i="2"/>
  <c r="AR475" i="2"/>
  <c r="AR477" i="2"/>
  <c r="AR478" i="2"/>
  <c r="AR479" i="2"/>
  <c r="AR481" i="2"/>
  <c r="AR482" i="2"/>
  <c r="AR483" i="2"/>
  <c r="AR485" i="2"/>
  <c r="AR486" i="2"/>
  <c r="AR487" i="2"/>
  <c r="AR489" i="2"/>
  <c r="AR490" i="2"/>
  <c r="AR491" i="2"/>
  <c r="AR493" i="2"/>
  <c r="AR494" i="2"/>
  <c r="AR495" i="2"/>
  <c r="AR497" i="2"/>
  <c r="AR498" i="2"/>
  <c r="AR499" i="2"/>
  <c r="AR501" i="2"/>
  <c r="AR502" i="2"/>
  <c r="AR503" i="2"/>
  <c r="AR505" i="2"/>
  <c r="AR506" i="2"/>
  <c r="AR507" i="2"/>
  <c r="AR509" i="2"/>
  <c r="AR510" i="2"/>
  <c r="AR511" i="2"/>
  <c r="AR513" i="2"/>
  <c r="AR514" i="2"/>
  <c r="AR515" i="2"/>
  <c r="AR517" i="2"/>
  <c r="AR518" i="2"/>
  <c r="AR519" i="2"/>
  <c r="AR521" i="2"/>
  <c r="AR522" i="2"/>
  <c r="AR523" i="2"/>
  <c r="AR525" i="2"/>
  <c r="AR526" i="2"/>
  <c r="AR527" i="2"/>
  <c r="AR529" i="2"/>
  <c r="AR530" i="2"/>
  <c r="AR531" i="2"/>
  <c r="AR533" i="2"/>
  <c r="AR534" i="2"/>
  <c r="AR535" i="2"/>
  <c r="AR537" i="2"/>
  <c r="AR538" i="2"/>
  <c r="AR539" i="2"/>
  <c r="AR541" i="2"/>
  <c r="AR542" i="2"/>
  <c r="AR543" i="2"/>
  <c r="AR545" i="2"/>
  <c r="AR546" i="2"/>
  <c r="AR547" i="2"/>
  <c r="AR549" i="2"/>
  <c r="AR550" i="2"/>
  <c r="AR551" i="2"/>
  <c r="AR553" i="2"/>
  <c r="AR554" i="2"/>
  <c r="AR555" i="2"/>
  <c r="AR557" i="2"/>
  <c r="AR558" i="2"/>
  <c r="AR559" i="2"/>
  <c r="AR561" i="2"/>
  <c r="AR562" i="2"/>
  <c r="AR563" i="2"/>
  <c r="AR565" i="2"/>
  <c r="AR566" i="2"/>
  <c r="AR567" i="2"/>
  <c r="AR569" i="2"/>
  <c r="AR570" i="2"/>
  <c r="AR571" i="2"/>
  <c r="AR573" i="2"/>
  <c r="AR574" i="2"/>
  <c r="AR575" i="2"/>
  <c r="AR577" i="2"/>
  <c r="AR578" i="2"/>
  <c r="AR579" i="2"/>
  <c r="AR581" i="2"/>
  <c r="AR582" i="2"/>
  <c r="AR583" i="2"/>
  <c r="AR585" i="2"/>
  <c r="AR586" i="2"/>
  <c r="AR587" i="2"/>
  <c r="AR589" i="2"/>
  <c r="AR590" i="2"/>
  <c r="AR591" i="2"/>
  <c r="AR593" i="2"/>
  <c r="AR594" i="2"/>
  <c r="AR595" i="2"/>
  <c r="AR597" i="2"/>
  <c r="AR598" i="2"/>
  <c r="AR599" i="2"/>
  <c r="AR601" i="2"/>
  <c r="AR602" i="2"/>
  <c r="AR603" i="2"/>
  <c r="AR605" i="2"/>
  <c r="AR606" i="2"/>
  <c r="AR607" i="2"/>
  <c r="AR609" i="2"/>
  <c r="AR610" i="2"/>
  <c r="AR611" i="2"/>
  <c r="AR613" i="2"/>
  <c r="AR614" i="2"/>
  <c r="AR615" i="2"/>
  <c r="AR617" i="2"/>
  <c r="AR618" i="2"/>
  <c r="AR619" i="2"/>
  <c r="AR621" i="2"/>
  <c r="AR622" i="2"/>
  <c r="AR623" i="2"/>
  <c r="AR625" i="2"/>
  <c r="AR626" i="2"/>
  <c r="AR627" i="2"/>
  <c r="AR629" i="2"/>
  <c r="AR630" i="2"/>
  <c r="AR631" i="2"/>
  <c r="AR633" i="2"/>
  <c r="AR634" i="2"/>
  <c r="AR635" i="2"/>
  <c r="AR637" i="2"/>
  <c r="AR638" i="2"/>
  <c r="AR639" i="2"/>
  <c r="AR641" i="2"/>
  <c r="AR642" i="2"/>
  <c r="AR643" i="2"/>
  <c r="AR645" i="2"/>
  <c r="AR646" i="2"/>
  <c r="AR647" i="2"/>
  <c r="AR649" i="2"/>
  <c r="AR650" i="2"/>
  <c r="AR651" i="2"/>
  <c r="AR653" i="2"/>
  <c r="AR654" i="2"/>
  <c r="AR655" i="2"/>
  <c r="AR657" i="2"/>
  <c r="AR658" i="2"/>
  <c r="AR659" i="2"/>
  <c r="AR661" i="2"/>
  <c r="AR662" i="2"/>
  <c r="AR663" i="2"/>
  <c r="AR665" i="2"/>
  <c r="AR666" i="2"/>
  <c r="AR667" i="2"/>
  <c r="AR669" i="2"/>
  <c r="AR670" i="2"/>
  <c r="AR671" i="2"/>
  <c r="AR673" i="2"/>
  <c r="AR674" i="2"/>
  <c r="AR675" i="2"/>
  <c r="AR677" i="2"/>
  <c r="AR678" i="2"/>
  <c r="AR679" i="2"/>
  <c r="AR681" i="2"/>
  <c r="AR682" i="2"/>
  <c r="AR683" i="2"/>
  <c r="AR685" i="2"/>
  <c r="AR686" i="2"/>
  <c r="AR687" i="2"/>
  <c r="AR689" i="2"/>
  <c r="AR690" i="2"/>
  <c r="AR691" i="2"/>
  <c r="AR693" i="2"/>
  <c r="AR694" i="2"/>
  <c r="AR695" i="2"/>
  <c r="AR697" i="2"/>
  <c r="AR698" i="2"/>
  <c r="AR699" i="2"/>
  <c r="AR701" i="2"/>
  <c r="AR702" i="2"/>
  <c r="AR703" i="2"/>
  <c r="AR705" i="2"/>
  <c r="AR706" i="2"/>
  <c r="AR707" i="2"/>
  <c r="AR709" i="2"/>
  <c r="AR710" i="2"/>
  <c r="AR711" i="2"/>
  <c r="AR713" i="2"/>
  <c r="AR714" i="2"/>
  <c r="AR715" i="2"/>
  <c r="AR717" i="2"/>
  <c r="AR718" i="2"/>
  <c r="AR719" i="2"/>
  <c r="AR721" i="2"/>
  <c r="AR722" i="2"/>
  <c r="AR723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H10" i="12" l="1"/>
  <c r="I10" i="12"/>
  <c r="J10" i="12" s="1"/>
  <c r="K10" i="12" s="1"/>
  <c r="L10" i="12"/>
  <c r="M10" i="12"/>
  <c r="U10" i="12"/>
  <c r="N10" i="12" l="1"/>
  <c r="P10" i="12" s="1"/>
  <c r="Q10" i="12" s="1"/>
  <c r="R10" i="12"/>
  <c r="C2" i="18" l="1"/>
  <c r="C368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07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9" i="18"/>
  <c r="C8" i="18"/>
  <c r="C7" i="18"/>
  <c r="C6" i="18"/>
  <c r="C5" i="18"/>
  <c r="C4" i="18"/>
  <c r="C3" i="18"/>
  <c r="H8" i="12" l="1"/>
  <c r="H9" i="12"/>
  <c r="H7" i="12"/>
  <c r="F9" i="12" l="1"/>
  <c r="D9" i="12"/>
  <c r="I9" i="12"/>
  <c r="J9" i="12" s="1"/>
  <c r="K9" i="12" s="1"/>
  <c r="L9" i="12"/>
  <c r="M9" i="12"/>
  <c r="U9" i="12"/>
  <c r="N9" i="12" l="1"/>
  <c r="O12" i="12" s="1"/>
  <c r="P9" i="12" l="1"/>
  <c r="Q9" i="12" s="1"/>
  <c r="R9" i="12"/>
  <c r="S12" i="12" s="1"/>
  <c r="C440" i="2" l="1"/>
  <c r="C441" i="2"/>
  <c r="C442" i="2"/>
  <c r="C443" i="2"/>
  <c r="C444" i="2"/>
  <c r="C445" i="2"/>
  <c r="C446" i="2"/>
  <c r="C447" i="2"/>
  <c r="C448" i="2"/>
  <c r="D440" i="2"/>
  <c r="D441" i="2"/>
  <c r="D442" i="2"/>
  <c r="D443" i="2"/>
  <c r="D444" i="2"/>
  <c r="D445" i="2"/>
  <c r="D446" i="2"/>
  <c r="D447" i="2"/>
  <c r="D448" i="2"/>
  <c r="E440" i="2"/>
  <c r="E441" i="2"/>
  <c r="E442" i="2"/>
  <c r="E443" i="2"/>
  <c r="E444" i="2"/>
  <c r="E445" i="2"/>
  <c r="E446" i="2"/>
  <c r="E447" i="2"/>
  <c r="E448" i="2"/>
  <c r="F440" i="2"/>
  <c r="F441" i="2"/>
  <c r="F442" i="2"/>
  <c r="F443" i="2"/>
  <c r="F444" i="2"/>
  <c r="F445" i="2"/>
  <c r="F446" i="2"/>
  <c r="F447" i="2"/>
  <c r="F448" i="2"/>
  <c r="J440" i="2"/>
  <c r="K440" i="2" s="1"/>
  <c r="J441" i="2"/>
  <c r="J442" i="2"/>
  <c r="K442" i="2" s="1"/>
  <c r="J443" i="2"/>
  <c r="J444" i="2"/>
  <c r="K444" i="2" s="1"/>
  <c r="J445" i="2"/>
  <c r="J446" i="2"/>
  <c r="K446" i="2" s="1"/>
  <c r="J447" i="2"/>
  <c r="J448" i="2"/>
  <c r="K448" i="2" s="1"/>
  <c r="K441" i="2"/>
  <c r="K443" i="2"/>
  <c r="K445" i="2"/>
  <c r="K447" i="2"/>
  <c r="L440" i="2"/>
  <c r="M440" i="2" s="1"/>
  <c r="L441" i="2"/>
  <c r="L442" i="2"/>
  <c r="M442" i="2" s="1"/>
  <c r="L443" i="2"/>
  <c r="M443" i="2" s="1"/>
  <c r="L444" i="2"/>
  <c r="M444" i="2" s="1"/>
  <c r="L445" i="2"/>
  <c r="L446" i="2"/>
  <c r="M446" i="2" s="1"/>
  <c r="L447" i="2"/>
  <c r="M447" i="2" s="1"/>
  <c r="L448" i="2"/>
  <c r="M448" i="2" s="1"/>
  <c r="M441" i="2"/>
  <c r="M445" i="2"/>
  <c r="N440" i="2"/>
  <c r="O440" i="2" s="1"/>
  <c r="N441" i="2"/>
  <c r="N442" i="2"/>
  <c r="O442" i="2" s="1"/>
  <c r="N443" i="2"/>
  <c r="N444" i="2"/>
  <c r="O444" i="2" s="1"/>
  <c r="N445" i="2"/>
  <c r="N446" i="2"/>
  <c r="O446" i="2" s="1"/>
  <c r="N447" i="2"/>
  <c r="N448" i="2"/>
  <c r="O448" i="2" s="1"/>
  <c r="O441" i="2"/>
  <c r="O443" i="2"/>
  <c r="O445" i="2"/>
  <c r="O447" i="2"/>
  <c r="P440" i="2"/>
  <c r="Q440" i="2" s="1"/>
  <c r="P441" i="2"/>
  <c r="P443" i="2"/>
  <c r="Q443" i="2" s="1"/>
  <c r="AQ443" i="2" s="1"/>
  <c r="P444" i="2"/>
  <c r="Q444" i="2" s="1"/>
  <c r="P445" i="2"/>
  <c r="Q445" i="2" s="1"/>
  <c r="AQ445" i="2" s="1"/>
  <c r="P447" i="2"/>
  <c r="Q447" i="2" s="1"/>
  <c r="AQ447" i="2" s="1"/>
  <c r="P448" i="2"/>
  <c r="Q448" i="2" s="1"/>
  <c r="Q441" i="2"/>
  <c r="S440" i="2"/>
  <c r="T440" i="2" s="1"/>
  <c r="S441" i="2"/>
  <c r="S442" i="2"/>
  <c r="T442" i="2" s="1"/>
  <c r="S443" i="2"/>
  <c r="S444" i="2"/>
  <c r="T444" i="2" s="1"/>
  <c r="S445" i="2"/>
  <c r="S446" i="2"/>
  <c r="T446" i="2" s="1"/>
  <c r="S447" i="2"/>
  <c r="S448" i="2"/>
  <c r="T448" i="2" s="1"/>
  <c r="T441" i="2"/>
  <c r="T443" i="2"/>
  <c r="T445" i="2"/>
  <c r="T447" i="2"/>
  <c r="U441" i="2"/>
  <c r="U443" i="2"/>
  <c r="V443" i="2" s="1"/>
  <c r="U445" i="2"/>
  <c r="U447" i="2"/>
  <c r="V447" i="2" s="1"/>
  <c r="V441" i="2"/>
  <c r="V445" i="2"/>
  <c r="W440" i="2"/>
  <c r="X440" i="2" s="1"/>
  <c r="W441" i="2"/>
  <c r="W442" i="2"/>
  <c r="X442" i="2" s="1"/>
  <c r="W443" i="2"/>
  <c r="W444" i="2"/>
  <c r="X444" i="2" s="1"/>
  <c r="W445" i="2"/>
  <c r="X445" i="2" s="1"/>
  <c r="W446" i="2"/>
  <c r="X446" i="2" s="1"/>
  <c r="W447" i="2"/>
  <c r="W448" i="2"/>
  <c r="X448" i="2" s="1"/>
  <c r="X441" i="2"/>
  <c r="X443" i="2"/>
  <c r="X447" i="2"/>
  <c r="Y441" i="2"/>
  <c r="Y443" i="2"/>
  <c r="Y445" i="2"/>
  <c r="Y447" i="2"/>
  <c r="Z441" i="2"/>
  <c r="Z443" i="2"/>
  <c r="Z445" i="2"/>
  <c r="Z447" i="2"/>
  <c r="AA440" i="2"/>
  <c r="AB440" i="2" s="1"/>
  <c r="AA441" i="2"/>
  <c r="AA442" i="2"/>
  <c r="AB442" i="2" s="1"/>
  <c r="AA443" i="2"/>
  <c r="AB443" i="2" s="1"/>
  <c r="AA444" i="2"/>
  <c r="AB444" i="2" s="1"/>
  <c r="AA445" i="2"/>
  <c r="AA446" i="2"/>
  <c r="AB446" i="2" s="1"/>
  <c r="AA447" i="2"/>
  <c r="AB447" i="2" s="1"/>
  <c r="AA448" i="2"/>
  <c r="AB448" i="2" s="1"/>
  <c r="AB441" i="2"/>
  <c r="AB445" i="2"/>
  <c r="AC441" i="2"/>
  <c r="AC445" i="2"/>
  <c r="AD445" i="2" s="1"/>
  <c r="AD441" i="2"/>
  <c r="AE440" i="2"/>
  <c r="AH440" i="2" s="1"/>
  <c r="AE441" i="2"/>
  <c r="AI441" i="2" s="1"/>
  <c r="AJ441" i="2" s="1"/>
  <c r="AR441" i="2" s="1"/>
  <c r="AE442" i="2"/>
  <c r="AH442" i="2" s="1"/>
  <c r="AE443" i="2"/>
  <c r="AI443" i="2" s="1"/>
  <c r="AJ443" i="2" s="1"/>
  <c r="AR443" i="2" s="1"/>
  <c r="AE444" i="2"/>
  <c r="AH444" i="2" s="1"/>
  <c r="AE445" i="2"/>
  <c r="AI445" i="2" s="1"/>
  <c r="AJ445" i="2" s="1"/>
  <c r="AR445" i="2" s="1"/>
  <c r="AE446" i="2"/>
  <c r="AH446" i="2" s="1"/>
  <c r="AE447" i="2"/>
  <c r="AH447" i="2" s="1"/>
  <c r="AE448" i="2"/>
  <c r="AH448" i="2" s="1"/>
  <c r="AH441" i="2"/>
  <c r="AI440" i="2"/>
  <c r="AJ440" i="2" s="1"/>
  <c r="AR440" i="2" s="1"/>
  <c r="AI442" i="2"/>
  <c r="AI444" i="2"/>
  <c r="AJ444" i="2" s="1"/>
  <c r="AR444" i="2" s="1"/>
  <c r="AI446" i="2"/>
  <c r="AJ446" i="2" s="1"/>
  <c r="AR446" i="2" s="1"/>
  <c r="AI448" i="2"/>
  <c r="AJ448" i="2" s="1"/>
  <c r="AR448" i="2" s="1"/>
  <c r="AJ442" i="2"/>
  <c r="AR442" i="2" s="1"/>
  <c r="AK440" i="2"/>
  <c r="AL440" i="2" s="1"/>
  <c r="AK441" i="2"/>
  <c r="AK442" i="2"/>
  <c r="AL442" i="2" s="1"/>
  <c r="AK443" i="2"/>
  <c r="AK444" i="2"/>
  <c r="AL444" i="2" s="1"/>
  <c r="AK445" i="2"/>
  <c r="AK446" i="2"/>
  <c r="AL446" i="2" s="1"/>
  <c r="AK447" i="2"/>
  <c r="AK448" i="2"/>
  <c r="AL448" i="2" s="1"/>
  <c r="AL441" i="2"/>
  <c r="AL443" i="2"/>
  <c r="AL445" i="2"/>
  <c r="AL447" i="2"/>
  <c r="AO440" i="2"/>
  <c r="AP440" i="2" s="1"/>
  <c r="AO441" i="2"/>
  <c r="AO442" i="2"/>
  <c r="AP442" i="2" s="1"/>
  <c r="AO443" i="2"/>
  <c r="AP443" i="2" s="1"/>
  <c r="AO444" i="2"/>
  <c r="AP444" i="2" s="1"/>
  <c r="AO445" i="2"/>
  <c r="AP445" i="2" s="1"/>
  <c r="AO446" i="2"/>
  <c r="AP446" i="2" s="1"/>
  <c r="AO447" i="2"/>
  <c r="AP447" i="2" s="1"/>
  <c r="AO448" i="2"/>
  <c r="AP448" i="2" s="1"/>
  <c r="AP441" i="2"/>
  <c r="AQ441" i="2"/>
  <c r="AS440" i="2"/>
  <c r="AS441" i="2"/>
  <c r="AS442" i="2"/>
  <c r="AS443" i="2"/>
  <c r="AS444" i="2"/>
  <c r="AS445" i="2"/>
  <c r="AS446" i="2"/>
  <c r="AS447" i="2"/>
  <c r="AS448" i="2"/>
  <c r="AT440" i="2"/>
  <c r="AT441" i="2"/>
  <c r="AT442" i="2"/>
  <c r="AT443" i="2"/>
  <c r="AT444" i="2"/>
  <c r="AT445" i="2"/>
  <c r="AT446" i="2"/>
  <c r="AT447" i="2"/>
  <c r="AT448" i="2"/>
  <c r="AH445" i="2" l="1"/>
  <c r="AC443" i="2"/>
  <c r="AD443" i="2" s="1"/>
  <c r="Y446" i="2"/>
  <c r="Z446" i="2" s="1"/>
  <c r="Y442" i="2"/>
  <c r="Z442" i="2" s="1"/>
  <c r="U448" i="2"/>
  <c r="V448" i="2" s="1"/>
  <c r="U444" i="2"/>
  <c r="V444" i="2" s="1"/>
  <c r="U440" i="2"/>
  <c r="V440" i="2" s="1"/>
  <c r="P446" i="2"/>
  <c r="Q446" i="2" s="1"/>
  <c r="P442" i="2"/>
  <c r="Q442" i="2" s="1"/>
  <c r="AC447" i="2"/>
  <c r="AD447" i="2" s="1"/>
  <c r="Y448" i="2"/>
  <c r="Z448" i="2" s="1"/>
  <c r="Y444" i="2"/>
  <c r="Z444" i="2" s="1"/>
  <c r="Y440" i="2"/>
  <c r="Z440" i="2" s="1"/>
  <c r="U446" i="2"/>
  <c r="V446" i="2" s="1"/>
  <c r="U442" i="2"/>
  <c r="V442" i="2" s="1"/>
  <c r="AH443" i="2"/>
  <c r="AC448" i="2"/>
  <c r="AD448" i="2" s="1"/>
  <c r="AC444" i="2"/>
  <c r="AD444" i="2" s="1"/>
  <c r="AC440" i="2"/>
  <c r="AD440" i="2" s="1"/>
  <c r="AQ444" i="2"/>
  <c r="AI447" i="2"/>
  <c r="AJ447" i="2" s="1"/>
  <c r="AR447" i="2" s="1"/>
  <c r="AC446" i="2"/>
  <c r="AD446" i="2" s="1"/>
  <c r="AC442" i="2"/>
  <c r="AD442" i="2" s="1"/>
  <c r="AQ446" i="2"/>
  <c r="AQ442" i="2"/>
  <c r="AQ448" i="2"/>
  <c r="AQ440" i="2"/>
  <c r="C429" i="2" l="1"/>
  <c r="C430" i="2"/>
  <c r="C431" i="2"/>
  <c r="C432" i="2"/>
  <c r="C433" i="2"/>
  <c r="C434" i="2"/>
  <c r="C435" i="2"/>
  <c r="C436" i="2"/>
  <c r="C437" i="2"/>
  <c r="C438" i="2"/>
  <c r="C439" i="2"/>
  <c r="D429" i="2"/>
  <c r="D430" i="2"/>
  <c r="D431" i="2"/>
  <c r="D432" i="2"/>
  <c r="D433" i="2"/>
  <c r="D434" i="2"/>
  <c r="D435" i="2"/>
  <c r="D436" i="2"/>
  <c r="D437" i="2"/>
  <c r="D438" i="2"/>
  <c r="D439" i="2"/>
  <c r="E429" i="2"/>
  <c r="E430" i="2"/>
  <c r="E431" i="2"/>
  <c r="E432" i="2"/>
  <c r="E433" i="2"/>
  <c r="E434" i="2"/>
  <c r="E435" i="2"/>
  <c r="E436" i="2"/>
  <c r="E437" i="2"/>
  <c r="E438" i="2"/>
  <c r="E439" i="2"/>
  <c r="F429" i="2"/>
  <c r="F430" i="2"/>
  <c r="F431" i="2"/>
  <c r="F432" i="2"/>
  <c r="F433" i="2"/>
  <c r="F434" i="2"/>
  <c r="F435" i="2"/>
  <c r="F436" i="2"/>
  <c r="F437" i="2"/>
  <c r="F438" i="2"/>
  <c r="F439" i="2"/>
  <c r="J429" i="2"/>
  <c r="L429" i="2" s="1"/>
  <c r="M429" i="2" s="1"/>
  <c r="J430" i="2"/>
  <c r="J431" i="2"/>
  <c r="J432" i="2"/>
  <c r="K432" i="2" s="1"/>
  <c r="J433" i="2"/>
  <c r="L433" i="2" s="1"/>
  <c r="M433" i="2" s="1"/>
  <c r="J434" i="2"/>
  <c r="J435" i="2"/>
  <c r="J436" i="2"/>
  <c r="K436" i="2" s="1"/>
  <c r="J437" i="2"/>
  <c r="L437" i="2" s="1"/>
  <c r="M437" i="2" s="1"/>
  <c r="J438" i="2"/>
  <c r="J439" i="2"/>
  <c r="K430" i="2"/>
  <c r="K431" i="2"/>
  <c r="K434" i="2"/>
  <c r="K435" i="2"/>
  <c r="K438" i="2"/>
  <c r="K439" i="2"/>
  <c r="L430" i="2"/>
  <c r="M430" i="2" s="1"/>
  <c r="L431" i="2"/>
  <c r="M431" i="2" s="1"/>
  <c r="L432" i="2"/>
  <c r="M432" i="2" s="1"/>
  <c r="L434" i="2"/>
  <c r="M434" i="2" s="1"/>
  <c r="L435" i="2"/>
  <c r="M435" i="2" s="1"/>
  <c r="L436" i="2"/>
  <c r="L438" i="2"/>
  <c r="M438" i="2" s="1"/>
  <c r="L439" i="2"/>
  <c r="M439" i="2" s="1"/>
  <c r="M436" i="2"/>
  <c r="N429" i="2"/>
  <c r="P429" i="2" s="1"/>
  <c r="Q429" i="2" s="1"/>
  <c r="N430" i="2"/>
  <c r="O430" i="2" s="1"/>
  <c r="N431" i="2"/>
  <c r="N432" i="2"/>
  <c r="O432" i="2" s="1"/>
  <c r="N433" i="2"/>
  <c r="P433" i="2" s="1"/>
  <c r="Q433" i="2" s="1"/>
  <c r="N434" i="2"/>
  <c r="N435" i="2"/>
  <c r="N436" i="2"/>
  <c r="O436" i="2" s="1"/>
  <c r="N437" i="2"/>
  <c r="P437" i="2" s="1"/>
  <c r="Q437" i="2" s="1"/>
  <c r="N438" i="2"/>
  <c r="O438" i="2" s="1"/>
  <c r="N439" i="2"/>
  <c r="O431" i="2"/>
  <c r="O434" i="2"/>
  <c r="O435" i="2"/>
  <c r="O439" i="2"/>
  <c r="P430" i="2"/>
  <c r="Q430" i="2" s="1"/>
  <c r="P431" i="2"/>
  <c r="Q431" i="2" s="1"/>
  <c r="P432" i="2"/>
  <c r="P434" i="2"/>
  <c r="Q434" i="2" s="1"/>
  <c r="P435" i="2"/>
  <c r="Q435" i="2" s="1"/>
  <c r="P436" i="2"/>
  <c r="P439" i="2"/>
  <c r="Q439" i="2" s="1"/>
  <c r="Q432" i="2"/>
  <c r="Q436" i="2"/>
  <c r="S429" i="2"/>
  <c r="T429" i="2" s="1"/>
  <c r="S430" i="2"/>
  <c r="T430" i="2" s="1"/>
  <c r="S431" i="2"/>
  <c r="S432" i="2"/>
  <c r="U432" i="2" s="1"/>
  <c r="V432" i="2" s="1"/>
  <c r="S433" i="2"/>
  <c r="U433" i="2" s="1"/>
  <c r="V433" i="2" s="1"/>
  <c r="S434" i="2"/>
  <c r="U434" i="2" s="1"/>
  <c r="V434" i="2" s="1"/>
  <c r="S435" i="2"/>
  <c r="S436" i="2"/>
  <c r="U436" i="2" s="1"/>
  <c r="V436" i="2" s="1"/>
  <c r="S437" i="2"/>
  <c r="U437" i="2" s="1"/>
  <c r="V437" i="2" s="1"/>
  <c r="S438" i="2"/>
  <c r="T438" i="2" s="1"/>
  <c r="S439" i="2"/>
  <c r="T431" i="2"/>
  <c r="T434" i="2"/>
  <c r="T435" i="2"/>
  <c r="T439" i="2"/>
  <c r="U429" i="2"/>
  <c r="V429" i="2" s="1"/>
  <c r="U430" i="2"/>
  <c r="V430" i="2" s="1"/>
  <c r="U431" i="2"/>
  <c r="U435" i="2"/>
  <c r="V435" i="2" s="1"/>
  <c r="U438" i="2"/>
  <c r="V438" i="2" s="1"/>
  <c r="U439" i="2"/>
  <c r="V431" i="2"/>
  <c r="V439" i="2"/>
  <c r="W429" i="2"/>
  <c r="Y429" i="2" s="1"/>
  <c r="Z429" i="2" s="1"/>
  <c r="W430" i="2"/>
  <c r="AK430" i="2" s="1"/>
  <c r="AL430" i="2" s="1"/>
  <c r="W431" i="2"/>
  <c r="W432" i="2"/>
  <c r="Y432" i="2" s="1"/>
  <c r="Z432" i="2" s="1"/>
  <c r="W433" i="2"/>
  <c r="Y433" i="2" s="1"/>
  <c r="Z433" i="2" s="1"/>
  <c r="W434" i="2"/>
  <c r="Y434" i="2" s="1"/>
  <c r="Z434" i="2" s="1"/>
  <c r="W435" i="2"/>
  <c r="Y435" i="2" s="1"/>
  <c r="Z435" i="2" s="1"/>
  <c r="AQ435" i="2" s="1"/>
  <c r="W436" i="2"/>
  <c r="Y436" i="2" s="1"/>
  <c r="Z436" i="2" s="1"/>
  <c r="W437" i="2"/>
  <c r="Y437" i="2" s="1"/>
  <c r="Z437" i="2" s="1"/>
  <c r="W438" i="2"/>
  <c r="X438" i="2" s="1"/>
  <c r="W439" i="2"/>
  <c r="X439" i="2" s="1"/>
  <c r="X431" i="2"/>
  <c r="X435" i="2"/>
  <c r="Y431" i="2"/>
  <c r="Z431" i="2" s="1"/>
  <c r="AQ431" i="2" s="1"/>
  <c r="AA429" i="2"/>
  <c r="AC429" i="2" s="1"/>
  <c r="AD429" i="2" s="1"/>
  <c r="AA430" i="2"/>
  <c r="AA431" i="2"/>
  <c r="AA432" i="2"/>
  <c r="AC432" i="2" s="1"/>
  <c r="AD432" i="2" s="1"/>
  <c r="AA433" i="2"/>
  <c r="AC433" i="2" s="1"/>
  <c r="AD433" i="2" s="1"/>
  <c r="AA434" i="2"/>
  <c r="AC434" i="2" s="1"/>
  <c r="AD434" i="2" s="1"/>
  <c r="AA435" i="2"/>
  <c r="AA436" i="2"/>
  <c r="AC436" i="2" s="1"/>
  <c r="AD436" i="2" s="1"/>
  <c r="AA437" i="2"/>
  <c r="AC437" i="2" s="1"/>
  <c r="AD437" i="2" s="1"/>
  <c r="AA438" i="2"/>
  <c r="AB438" i="2" s="1"/>
  <c r="AA439" i="2"/>
  <c r="AB430" i="2"/>
  <c r="AB431" i="2"/>
  <c r="AB434" i="2"/>
  <c r="AB435" i="2"/>
  <c r="AB439" i="2"/>
  <c r="AC430" i="2"/>
  <c r="AD430" i="2" s="1"/>
  <c r="AC431" i="2"/>
  <c r="AD431" i="2" s="1"/>
  <c r="AC435" i="2"/>
  <c r="AD435" i="2" s="1"/>
  <c r="AC438" i="2"/>
  <c r="AD438" i="2" s="1"/>
  <c r="AC439" i="2"/>
  <c r="AD439" i="2" s="1"/>
  <c r="AE430" i="2"/>
  <c r="AI430" i="2" s="1"/>
  <c r="AJ430" i="2" s="1"/>
  <c r="AR430" i="2" s="1"/>
  <c r="AE431" i="2"/>
  <c r="AI431" i="2" s="1"/>
  <c r="AJ431" i="2" s="1"/>
  <c r="AR431" i="2" s="1"/>
  <c r="AE435" i="2"/>
  <c r="AI435" i="2" s="1"/>
  <c r="AJ435" i="2" s="1"/>
  <c r="AR435" i="2" s="1"/>
  <c r="AE438" i="2"/>
  <c r="AI438" i="2" s="1"/>
  <c r="AJ438" i="2" s="1"/>
  <c r="AR438" i="2" s="1"/>
  <c r="AE439" i="2"/>
  <c r="AI439" i="2" s="1"/>
  <c r="AJ439" i="2" s="1"/>
  <c r="AR439" i="2" s="1"/>
  <c r="AH439" i="2"/>
  <c r="AK429" i="2"/>
  <c r="AL429" i="2" s="1"/>
  <c r="AK431" i="2"/>
  <c r="AL431" i="2" s="1"/>
  <c r="AK433" i="2"/>
  <c r="AL433" i="2" s="1"/>
  <c r="AK434" i="2"/>
  <c r="AL434" i="2" s="1"/>
  <c r="AK435" i="2"/>
  <c r="AK437" i="2"/>
  <c r="AL437" i="2" s="1"/>
  <c r="AK438" i="2"/>
  <c r="AL438" i="2" s="1"/>
  <c r="AK439" i="2"/>
  <c r="AL439" i="2" s="1"/>
  <c r="AL435" i="2"/>
  <c r="AO431" i="2"/>
  <c r="AP431" i="2" s="1"/>
  <c r="AO435" i="2"/>
  <c r="AP435" i="2" s="1"/>
  <c r="AO439" i="2"/>
  <c r="AP439" i="2" s="1"/>
  <c r="AS429" i="2"/>
  <c r="AS430" i="2"/>
  <c r="AS431" i="2"/>
  <c r="AS432" i="2"/>
  <c r="AS433" i="2"/>
  <c r="AS434" i="2"/>
  <c r="AS435" i="2"/>
  <c r="AS436" i="2"/>
  <c r="AS437" i="2"/>
  <c r="AS438" i="2"/>
  <c r="AS439" i="2"/>
  <c r="AT429" i="2"/>
  <c r="AT430" i="2"/>
  <c r="AT431" i="2"/>
  <c r="AT432" i="2"/>
  <c r="AT433" i="2"/>
  <c r="AT434" i="2"/>
  <c r="AT435" i="2"/>
  <c r="AT436" i="2"/>
  <c r="AT437" i="2"/>
  <c r="AT438" i="2"/>
  <c r="AT439" i="2"/>
  <c r="X437" i="2" l="1"/>
  <c r="AH435" i="2"/>
  <c r="Y439" i="2"/>
  <c r="Z439" i="2" s="1"/>
  <c r="AQ439" i="2" s="1"/>
  <c r="P438" i="2"/>
  <c r="Q438" i="2" s="1"/>
  <c r="AQ434" i="2"/>
  <c r="AB429" i="2"/>
  <c r="Y438" i="2"/>
  <c r="Z438" i="2" s="1"/>
  <c r="AQ438" i="2" s="1"/>
  <c r="Y430" i="2"/>
  <c r="Z430" i="2" s="1"/>
  <c r="AQ430" i="2" s="1"/>
  <c r="X430" i="2"/>
  <c r="AQ437" i="2"/>
  <c r="AQ433" i="2"/>
  <c r="AQ429" i="2"/>
  <c r="O437" i="2"/>
  <c r="O433" i="2"/>
  <c r="O429" i="2"/>
  <c r="K437" i="2"/>
  <c r="K433" i="2"/>
  <c r="K429" i="2"/>
  <c r="AH431" i="2"/>
  <c r="AE434" i="2"/>
  <c r="AI434" i="2" s="1"/>
  <c r="AJ434" i="2" s="1"/>
  <c r="AR434" i="2" s="1"/>
  <c r="AB433" i="2"/>
  <c r="X434" i="2"/>
  <c r="X429" i="2"/>
  <c r="AQ436" i="2"/>
  <c r="AQ432" i="2"/>
  <c r="T433" i="2"/>
  <c r="AB437" i="2"/>
  <c r="X433" i="2"/>
  <c r="T437" i="2"/>
  <c r="AO438" i="2"/>
  <c r="AP438" i="2" s="1"/>
  <c r="AO434" i="2"/>
  <c r="AP434" i="2" s="1"/>
  <c r="AO430" i="2"/>
  <c r="AP430" i="2" s="1"/>
  <c r="AK436" i="2"/>
  <c r="AL436" i="2" s="1"/>
  <c r="AK432" i="2"/>
  <c r="AL432" i="2" s="1"/>
  <c r="AH438" i="2"/>
  <c r="AH430" i="2"/>
  <c r="AE437" i="2"/>
  <c r="AE433" i="2"/>
  <c r="AE429" i="2"/>
  <c r="AB436" i="2"/>
  <c r="AB432" i="2"/>
  <c r="X436" i="2"/>
  <c r="X432" i="2"/>
  <c r="T436" i="2"/>
  <c r="T432" i="2"/>
  <c r="AE436" i="2"/>
  <c r="AE432" i="2"/>
  <c r="AH434" i="2" l="1"/>
  <c r="AH432" i="2"/>
  <c r="AO432" i="2"/>
  <c r="AP432" i="2" s="1"/>
  <c r="AI432" i="2"/>
  <c r="AJ432" i="2" s="1"/>
  <c r="AR432" i="2" s="1"/>
  <c r="AI429" i="2"/>
  <c r="AJ429" i="2" s="1"/>
  <c r="AR429" i="2" s="1"/>
  <c r="AH429" i="2"/>
  <c r="AO429" i="2"/>
  <c r="AP429" i="2" s="1"/>
  <c r="AH436" i="2"/>
  <c r="AO436" i="2"/>
  <c r="AP436" i="2" s="1"/>
  <c r="AI436" i="2"/>
  <c r="AJ436" i="2" s="1"/>
  <c r="AR436" i="2" s="1"/>
  <c r="AI433" i="2"/>
  <c r="AJ433" i="2" s="1"/>
  <c r="AR433" i="2" s="1"/>
  <c r="AH433" i="2"/>
  <c r="AO433" i="2"/>
  <c r="AP433" i="2" s="1"/>
  <c r="AI437" i="2"/>
  <c r="AJ437" i="2" s="1"/>
  <c r="AR437" i="2" s="1"/>
  <c r="AH437" i="2"/>
  <c r="AO437" i="2"/>
  <c r="AP437" i="2" s="1"/>
  <c r="I8" i="12" l="1"/>
  <c r="J8" i="12" s="1"/>
  <c r="K8" i="12" s="1"/>
  <c r="L8" i="12"/>
  <c r="M8" i="12"/>
  <c r="U8" i="12"/>
  <c r="N8" i="12" l="1"/>
  <c r="O11" i="12" s="1"/>
  <c r="C421" i="2"/>
  <c r="C422" i="2"/>
  <c r="C423" i="2"/>
  <c r="C424" i="2"/>
  <c r="C425" i="2"/>
  <c r="C426" i="2"/>
  <c r="C427" i="2"/>
  <c r="C428" i="2"/>
  <c r="D421" i="2"/>
  <c r="D422" i="2"/>
  <c r="D423" i="2"/>
  <c r="D424" i="2"/>
  <c r="D425" i="2"/>
  <c r="D426" i="2"/>
  <c r="D427" i="2"/>
  <c r="D428" i="2"/>
  <c r="E421" i="2"/>
  <c r="E422" i="2"/>
  <c r="E423" i="2"/>
  <c r="E424" i="2"/>
  <c r="E425" i="2"/>
  <c r="E426" i="2"/>
  <c r="E427" i="2"/>
  <c r="E428" i="2"/>
  <c r="F421" i="2"/>
  <c r="F422" i="2"/>
  <c r="F423" i="2"/>
  <c r="F424" i="2"/>
  <c r="F425" i="2"/>
  <c r="F426" i="2"/>
  <c r="F427" i="2"/>
  <c r="F428" i="2"/>
  <c r="J421" i="2"/>
  <c r="J422" i="2"/>
  <c r="J423" i="2"/>
  <c r="J424" i="2"/>
  <c r="J425" i="2"/>
  <c r="J426" i="2"/>
  <c r="J427" i="2"/>
  <c r="J428" i="2"/>
  <c r="K421" i="2"/>
  <c r="K422" i="2"/>
  <c r="K423" i="2"/>
  <c r="K424" i="2"/>
  <c r="K425" i="2"/>
  <c r="K426" i="2"/>
  <c r="K427" i="2"/>
  <c r="K428" i="2"/>
  <c r="L421" i="2"/>
  <c r="L422" i="2"/>
  <c r="L423" i="2"/>
  <c r="L424" i="2"/>
  <c r="L425" i="2"/>
  <c r="L426" i="2"/>
  <c r="L427" i="2"/>
  <c r="L428" i="2"/>
  <c r="M421" i="2"/>
  <c r="M422" i="2"/>
  <c r="M423" i="2"/>
  <c r="M424" i="2"/>
  <c r="M425" i="2"/>
  <c r="M426" i="2"/>
  <c r="M427" i="2"/>
  <c r="M428" i="2"/>
  <c r="N421" i="2"/>
  <c r="N422" i="2"/>
  <c r="N423" i="2"/>
  <c r="N424" i="2"/>
  <c r="N425" i="2"/>
  <c r="N426" i="2"/>
  <c r="N427" i="2"/>
  <c r="N428" i="2"/>
  <c r="O421" i="2"/>
  <c r="O422" i="2"/>
  <c r="O423" i="2"/>
  <c r="O424" i="2"/>
  <c r="O425" i="2"/>
  <c r="O426" i="2"/>
  <c r="O427" i="2"/>
  <c r="O428" i="2"/>
  <c r="P421" i="2"/>
  <c r="P422" i="2"/>
  <c r="P423" i="2"/>
  <c r="P424" i="2"/>
  <c r="P425" i="2"/>
  <c r="P426" i="2"/>
  <c r="P427" i="2"/>
  <c r="P428" i="2"/>
  <c r="Q421" i="2"/>
  <c r="Q422" i="2"/>
  <c r="Q423" i="2"/>
  <c r="Q424" i="2"/>
  <c r="Q425" i="2"/>
  <c r="Q426" i="2"/>
  <c r="Q427" i="2"/>
  <c r="Q428" i="2"/>
  <c r="S421" i="2"/>
  <c r="S422" i="2"/>
  <c r="S423" i="2"/>
  <c r="S424" i="2"/>
  <c r="S425" i="2"/>
  <c r="S426" i="2"/>
  <c r="S427" i="2"/>
  <c r="S428" i="2"/>
  <c r="T421" i="2"/>
  <c r="T422" i="2"/>
  <c r="T423" i="2"/>
  <c r="T424" i="2"/>
  <c r="T425" i="2"/>
  <c r="T426" i="2"/>
  <c r="T427" i="2"/>
  <c r="T428" i="2"/>
  <c r="U421" i="2"/>
  <c r="U422" i="2"/>
  <c r="U423" i="2"/>
  <c r="U424" i="2"/>
  <c r="U425" i="2"/>
  <c r="U426" i="2"/>
  <c r="U427" i="2"/>
  <c r="U428" i="2"/>
  <c r="V421" i="2"/>
  <c r="V422" i="2"/>
  <c r="V423" i="2"/>
  <c r="V424" i="2"/>
  <c r="V425" i="2"/>
  <c r="V426" i="2"/>
  <c r="V427" i="2"/>
  <c r="V428" i="2"/>
  <c r="W421" i="2"/>
  <c r="W422" i="2"/>
  <c r="W423" i="2"/>
  <c r="W424" i="2"/>
  <c r="W425" i="2"/>
  <c r="W426" i="2"/>
  <c r="W427" i="2"/>
  <c r="W428" i="2"/>
  <c r="X421" i="2"/>
  <c r="X422" i="2"/>
  <c r="X423" i="2"/>
  <c r="X424" i="2"/>
  <c r="X425" i="2"/>
  <c r="X426" i="2"/>
  <c r="X427" i="2"/>
  <c r="X428" i="2"/>
  <c r="Y421" i="2"/>
  <c r="Y422" i="2"/>
  <c r="Y423" i="2"/>
  <c r="Y424" i="2"/>
  <c r="Y425" i="2"/>
  <c r="Y426" i="2"/>
  <c r="Y427" i="2"/>
  <c r="Y428" i="2"/>
  <c r="Z421" i="2"/>
  <c r="Z422" i="2"/>
  <c r="Z423" i="2"/>
  <c r="Z424" i="2"/>
  <c r="Z425" i="2"/>
  <c r="Z426" i="2"/>
  <c r="Z427" i="2"/>
  <c r="Z428" i="2"/>
  <c r="AA421" i="2"/>
  <c r="AA422" i="2"/>
  <c r="AA423" i="2"/>
  <c r="AA424" i="2"/>
  <c r="AA425" i="2"/>
  <c r="AA426" i="2"/>
  <c r="AA427" i="2"/>
  <c r="AA428" i="2"/>
  <c r="AB421" i="2"/>
  <c r="AB422" i="2"/>
  <c r="AB423" i="2"/>
  <c r="AB424" i="2"/>
  <c r="AB425" i="2"/>
  <c r="AB426" i="2"/>
  <c r="AB427" i="2"/>
  <c r="AB428" i="2"/>
  <c r="AC421" i="2"/>
  <c r="AC422" i="2"/>
  <c r="AC423" i="2"/>
  <c r="AC424" i="2"/>
  <c r="AC425" i="2"/>
  <c r="AC426" i="2"/>
  <c r="AC427" i="2"/>
  <c r="AC428" i="2"/>
  <c r="AD421" i="2"/>
  <c r="AD422" i="2"/>
  <c r="AD423" i="2"/>
  <c r="AD424" i="2"/>
  <c r="AD425" i="2"/>
  <c r="AD426" i="2"/>
  <c r="AD427" i="2"/>
  <c r="AD428" i="2"/>
  <c r="AE421" i="2"/>
  <c r="AE422" i="2"/>
  <c r="AE423" i="2"/>
  <c r="AE424" i="2"/>
  <c r="AE425" i="2"/>
  <c r="AE426" i="2"/>
  <c r="AE427" i="2"/>
  <c r="AE428" i="2"/>
  <c r="AH421" i="2"/>
  <c r="AH422" i="2"/>
  <c r="AH423" i="2"/>
  <c r="AH424" i="2"/>
  <c r="AH425" i="2"/>
  <c r="AH426" i="2"/>
  <c r="AH427" i="2"/>
  <c r="AH428" i="2"/>
  <c r="AI421" i="2"/>
  <c r="AI422" i="2"/>
  <c r="AI423" i="2"/>
  <c r="AI424" i="2"/>
  <c r="AI425" i="2"/>
  <c r="AI426" i="2"/>
  <c r="AI427" i="2"/>
  <c r="AI428" i="2"/>
  <c r="AJ421" i="2"/>
  <c r="AJ422" i="2"/>
  <c r="AJ423" i="2"/>
  <c r="AJ424" i="2"/>
  <c r="AJ425" i="2"/>
  <c r="AJ426" i="2"/>
  <c r="AJ427" i="2"/>
  <c r="AJ428" i="2"/>
  <c r="AK421" i="2"/>
  <c r="AK422" i="2"/>
  <c r="AK423" i="2"/>
  <c r="AK424" i="2"/>
  <c r="AK425" i="2"/>
  <c r="AK426" i="2"/>
  <c r="AK427" i="2"/>
  <c r="AK428" i="2"/>
  <c r="AL421" i="2"/>
  <c r="AL422" i="2"/>
  <c r="AL423" i="2"/>
  <c r="AL424" i="2"/>
  <c r="AL425" i="2"/>
  <c r="AL426" i="2"/>
  <c r="AL427" i="2"/>
  <c r="AL428" i="2"/>
  <c r="AO421" i="2"/>
  <c r="AO422" i="2"/>
  <c r="AO423" i="2"/>
  <c r="AO424" i="2"/>
  <c r="AO425" i="2"/>
  <c r="AO426" i="2"/>
  <c r="AO427" i="2"/>
  <c r="AO428" i="2"/>
  <c r="AP421" i="2"/>
  <c r="AP422" i="2"/>
  <c r="AP423" i="2"/>
  <c r="AP424" i="2"/>
  <c r="AP425" i="2"/>
  <c r="AP426" i="2"/>
  <c r="AP427" i="2"/>
  <c r="AP428" i="2"/>
  <c r="AQ421" i="2"/>
  <c r="AQ422" i="2"/>
  <c r="AQ423" i="2"/>
  <c r="AQ424" i="2"/>
  <c r="AQ425" i="2"/>
  <c r="AQ426" i="2"/>
  <c r="AQ427" i="2"/>
  <c r="AQ428" i="2"/>
  <c r="AR421" i="2"/>
  <c r="AR422" i="2"/>
  <c r="AR423" i="2"/>
  <c r="AR424" i="2"/>
  <c r="AR425" i="2"/>
  <c r="AR426" i="2"/>
  <c r="AR427" i="2"/>
  <c r="AR428" i="2"/>
  <c r="AS421" i="2"/>
  <c r="AS422" i="2"/>
  <c r="AS423" i="2"/>
  <c r="AS424" i="2"/>
  <c r="AS425" i="2"/>
  <c r="AS426" i="2"/>
  <c r="AS427" i="2"/>
  <c r="AS428" i="2"/>
  <c r="AT421" i="2"/>
  <c r="AT422" i="2"/>
  <c r="AT423" i="2"/>
  <c r="AT424" i="2"/>
  <c r="AT425" i="2"/>
  <c r="AT426" i="2"/>
  <c r="AT427" i="2"/>
  <c r="AT428" i="2"/>
  <c r="R8" i="12" l="1"/>
  <c r="S11" i="12" s="1"/>
  <c r="P8" i="12"/>
  <c r="Q8" i="12" s="1"/>
  <c r="C413" i="2" l="1"/>
  <c r="C414" i="2"/>
  <c r="C415" i="2"/>
  <c r="C416" i="2"/>
  <c r="C417" i="2"/>
  <c r="C418" i="2"/>
  <c r="C419" i="2"/>
  <c r="C420" i="2"/>
  <c r="D413" i="2"/>
  <c r="D414" i="2"/>
  <c r="D415" i="2"/>
  <c r="D416" i="2"/>
  <c r="D417" i="2"/>
  <c r="D418" i="2"/>
  <c r="D419" i="2"/>
  <c r="D420" i="2"/>
  <c r="E413" i="2"/>
  <c r="E414" i="2"/>
  <c r="E415" i="2"/>
  <c r="E416" i="2"/>
  <c r="E417" i="2"/>
  <c r="E418" i="2"/>
  <c r="E419" i="2"/>
  <c r="E420" i="2"/>
  <c r="F413" i="2"/>
  <c r="F414" i="2"/>
  <c r="F415" i="2"/>
  <c r="F416" i="2"/>
  <c r="F417" i="2"/>
  <c r="F418" i="2"/>
  <c r="F419" i="2"/>
  <c r="F420" i="2"/>
  <c r="J413" i="2"/>
  <c r="J414" i="2"/>
  <c r="J415" i="2"/>
  <c r="J416" i="2"/>
  <c r="J417" i="2"/>
  <c r="J418" i="2"/>
  <c r="J419" i="2"/>
  <c r="J420" i="2"/>
  <c r="K413" i="2"/>
  <c r="K414" i="2"/>
  <c r="K415" i="2"/>
  <c r="K416" i="2"/>
  <c r="K417" i="2"/>
  <c r="K418" i="2"/>
  <c r="K419" i="2"/>
  <c r="K420" i="2"/>
  <c r="L413" i="2"/>
  <c r="L414" i="2"/>
  <c r="L415" i="2"/>
  <c r="L416" i="2"/>
  <c r="L417" i="2"/>
  <c r="L418" i="2"/>
  <c r="L419" i="2"/>
  <c r="L420" i="2"/>
  <c r="M413" i="2"/>
  <c r="M414" i="2"/>
  <c r="M415" i="2"/>
  <c r="M416" i="2"/>
  <c r="M417" i="2"/>
  <c r="M418" i="2"/>
  <c r="M419" i="2"/>
  <c r="M420" i="2"/>
  <c r="N413" i="2"/>
  <c r="N414" i="2"/>
  <c r="N415" i="2"/>
  <c r="N416" i="2"/>
  <c r="N417" i="2"/>
  <c r="N418" i="2"/>
  <c r="N419" i="2"/>
  <c r="N420" i="2"/>
  <c r="O413" i="2"/>
  <c r="O414" i="2"/>
  <c r="O415" i="2"/>
  <c r="O416" i="2"/>
  <c r="O417" i="2"/>
  <c r="O418" i="2"/>
  <c r="O419" i="2"/>
  <c r="O420" i="2"/>
  <c r="P413" i="2"/>
  <c r="P414" i="2"/>
  <c r="P415" i="2"/>
  <c r="P416" i="2"/>
  <c r="P417" i="2"/>
  <c r="P418" i="2"/>
  <c r="P419" i="2"/>
  <c r="P420" i="2"/>
  <c r="Q413" i="2"/>
  <c r="Q414" i="2"/>
  <c r="Q415" i="2"/>
  <c r="Q416" i="2"/>
  <c r="Q417" i="2"/>
  <c r="Q418" i="2"/>
  <c r="Q419" i="2"/>
  <c r="Q420" i="2"/>
  <c r="S413" i="2"/>
  <c r="S414" i="2"/>
  <c r="S415" i="2"/>
  <c r="S416" i="2"/>
  <c r="S417" i="2"/>
  <c r="S418" i="2"/>
  <c r="S419" i="2"/>
  <c r="S420" i="2"/>
  <c r="T413" i="2"/>
  <c r="T414" i="2"/>
  <c r="T415" i="2"/>
  <c r="T416" i="2"/>
  <c r="T417" i="2"/>
  <c r="T418" i="2"/>
  <c r="T419" i="2"/>
  <c r="T420" i="2"/>
  <c r="U413" i="2"/>
  <c r="U414" i="2"/>
  <c r="U415" i="2"/>
  <c r="U416" i="2"/>
  <c r="U417" i="2"/>
  <c r="U418" i="2"/>
  <c r="U419" i="2"/>
  <c r="U420" i="2"/>
  <c r="V413" i="2"/>
  <c r="V414" i="2"/>
  <c r="V415" i="2"/>
  <c r="V416" i="2"/>
  <c r="V417" i="2"/>
  <c r="V418" i="2"/>
  <c r="V419" i="2"/>
  <c r="V420" i="2"/>
  <c r="W413" i="2"/>
  <c r="W414" i="2"/>
  <c r="W415" i="2"/>
  <c r="W416" i="2"/>
  <c r="W417" i="2"/>
  <c r="W418" i="2"/>
  <c r="W419" i="2"/>
  <c r="W420" i="2"/>
  <c r="X413" i="2"/>
  <c r="X414" i="2"/>
  <c r="X415" i="2"/>
  <c r="X416" i="2"/>
  <c r="X417" i="2"/>
  <c r="X418" i="2"/>
  <c r="X419" i="2"/>
  <c r="X420" i="2"/>
  <c r="Y413" i="2"/>
  <c r="Y414" i="2"/>
  <c r="Y415" i="2"/>
  <c r="Y416" i="2"/>
  <c r="Y417" i="2"/>
  <c r="Y418" i="2"/>
  <c r="Y419" i="2"/>
  <c r="Y420" i="2"/>
  <c r="Z413" i="2"/>
  <c r="Z414" i="2"/>
  <c r="Z415" i="2"/>
  <c r="Z416" i="2"/>
  <c r="Z417" i="2"/>
  <c r="Z418" i="2"/>
  <c r="Z419" i="2"/>
  <c r="Z420" i="2"/>
  <c r="AA413" i="2"/>
  <c r="AA414" i="2"/>
  <c r="AA415" i="2"/>
  <c r="AA416" i="2"/>
  <c r="AA417" i="2"/>
  <c r="AA418" i="2"/>
  <c r="AA419" i="2"/>
  <c r="AA420" i="2"/>
  <c r="AB413" i="2"/>
  <c r="AB414" i="2"/>
  <c r="AB415" i="2"/>
  <c r="AB416" i="2"/>
  <c r="AB417" i="2"/>
  <c r="AB418" i="2"/>
  <c r="AB419" i="2"/>
  <c r="AB420" i="2"/>
  <c r="AC413" i="2"/>
  <c r="AC414" i="2"/>
  <c r="AC415" i="2"/>
  <c r="AC416" i="2"/>
  <c r="AC417" i="2"/>
  <c r="AC418" i="2"/>
  <c r="AC419" i="2"/>
  <c r="AC420" i="2"/>
  <c r="AD413" i="2"/>
  <c r="AD414" i="2"/>
  <c r="AD415" i="2"/>
  <c r="AD416" i="2"/>
  <c r="AD417" i="2"/>
  <c r="AD418" i="2"/>
  <c r="AD419" i="2"/>
  <c r="AD420" i="2"/>
  <c r="AE413" i="2"/>
  <c r="AE414" i="2"/>
  <c r="AE415" i="2"/>
  <c r="AE416" i="2"/>
  <c r="AE417" i="2"/>
  <c r="AE418" i="2"/>
  <c r="AE419" i="2"/>
  <c r="AE420" i="2"/>
  <c r="AH413" i="2"/>
  <c r="AH414" i="2"/>
  <c r="AH415" i="2"/>
  <c r="AH416" i="2"/>
  <c r="AH417" i="2"/>
  <c r="AH418" i="2"/>
  <c r="AH419" i="2"/>
  <c r="AH420" i="2"/>
  <c r="AI413" i="2"/>
  <c r="AI414" i="2"/>
  <c r="AI415" i="2"/>
  <c r="AI416" i="2"/>
  <c r="AI417" i="2"/>
  <c r="AI418" i="2"/>
  <c r="AI419" i="2"/>
  <c r="AI420" i="2"/>
  <c r="AJ413" i="2"/>
  <c r="AJ414" i="2"/>
  <c r="AJ415" i="2"/>
  <c r="AJ416" i="2"/>
  <c r="AJ417" i="2"/>
  <c r="AJ418" i="2"/>
  <c r="AJ419" i="2"/>
  <c r="AJ420" i="2"/>
  <c r="AK413" i="2"/>
  <c r="AK414" i="2"/>
  <c r="AK415" i="2"/>
  <c r="AK416" i="2"/>
  <c r="AK417" i="2"/>
  <c r="AK418" i="2"/>
  <c r="AK419" i="2"/>
  <c r="AK420" i="2"/>
  <c r="AL413" i="2"/>
  <c r="AL414" i="2"/>
  <c r="AL415" i="2"/>
  <c r="AL416" i="2"/>
  <c r="AL417" i="2"/>
  <c r="AL418" i="2"/>
  <c r="AL419" i="2"/>
  <c r="AL420" i="2"/>
  <c r="AO413" i="2"/>
  <c r="AO414" i="2"/>
  <c r="AO415" i="2"/>
  <c r="AO416" i="2"/>
  <c r="AO417" i="2"/>
  <c r="AO418" i="2"/>
  <c r="AO419" i="2"/>
  <c r="AO420" i="2"/>
  <c r="AP413" i="2"/>
  <c r="AP414" i="2"/>
  <c r="AP415" i="2"/>
  <c r="AP416" i="2"/>
  <c r="AP417" i="2"/>
  <c r="AP418" i="2"/>
  <c r="AP419" i="2"/>
  <c r="AP420" i="2"/>
  <c r="AQ413" i="2"/>
  <c r="AQ414" i="2"/>
  <c r="AQ415" i="2"/>
  <c r="AQ416" i="2"/>
  <c r="AQ417" i="2"/>
  <c r="AQ418" i="2"/>
  <c r="AQ419" i="2"/>
  <c r="AQ420" i="2"/>
  <c r="AR413" i="2"/>
  <c r="AR414" i="2"/>
  <c r="AR415" i="2"/>
  <c r="AR416" i="2"/>
  <c r="AR417" i="2"/>
  <c r="AR418" i="2"/>
  <c r="AR419" i="2"/>
  <c r="AR420" i="2"/>
  <c r="AS413" i="2"/>
  <c r="AS414" i="2"/>
  <c r="AS415" i="2"/>
  <c r="AS416" i="2"/>
  <c r="AS417" i="2"/>
  <c r="AS418" i="2"/>
  <c r="AS419" i="2"/>
  <c r="AS420" i="2"/>
  <c r="AT413" i="2"/>
  <c r="AT414" i="2"/>
  <c r="AT415" i="2"/>
  <c r="AT416" i="2"/>
  <c r="AT417" i="2"/>
  <c r="AT418" i="2"/>
  <c r="AT419" i="2"/>
  <c r="AT420" i="2"/>
  <c r="C409" i="2" l="1"/>
  <c r="C410" i="2"/>
  <c r="C411" i="2"/>
  <c r="C412" i="2"/>
  <c r="D409" i="2"/>
  <c r="D410" i="2"/>
  <c r="D411" i="2"/>
  <c r="D412" i="2"/>
  <c r="E409" i="2"/>
  <c r="E410" i="2"/>
  <c r="E411" i="2"/>
  <c r="E412" i="2"/>
  <c r="F409" i="2"/>
  <c r="F410" i="2"/>
  <c r="F411" i="2"/>
  <c r="F412" i="2"/>
  <c r="J409" i="2"/>
  <c r="J410" i="2"/>
  <c r="J411" i="2"/>
  <c r="J412" i="2"/>
  <c r="K409" i="2"/>
  <c r="K410" i="2"/>
  <c r="K411" i="2"/>
  <c r="K412" i="2"/>
  <c r="L409" i="2"/>
  <c r="L410" i="2"/>
  <c r="L411" i="2"/>
  <c r="L412" i="2"/>
  <c r="M409" i="2"/>
  <c r="M410" i="2"/>
  <c r="M411" i="2"/>
  <c r="M412" i="2"/>
  <c r="N409" i="2"/>
  <c r="N410" i="2"/>
  <c r="N411" i="2"/>
  <c r="N412" i="2"/>
  <c r="O409" i="2"/>
  <c r="O410" i="2"/>
  <c r="O411" i="2"/>
  <c r="O412" i="2"/>
  <c r="P409" i="2"/>
  <c r="P410" i="2"/>
  <c r="P411" i="2"/>
  <c r="P412" i="2"/>
  <c r="Q409" i="2"/>
  <c r="Q410" i="2"/>
  <c r="Q411" i="2"/>
  <c r="Q412" i="2"/>
  <c r="S409" i="2"/>
  <c r="S410" i="2"/>
  <c r="S411" i="2"/>
  <c r="S412" i="2"/>
  <c r="T409" i="2"/>
  <c r="T410" i="2"/>
  <c r="T411" i="2"/>
  <c r="T412" i="2"/>
  <c r="U409" i="2"/>
  <c r="U410" i="2"/>
  <c r="U411" i="2"/>
  <c r="U412" i="2"/>
  <c r="V409" i="2"/>
  <c r="V410" i="2"/>
  <c r="V411" i="2"/>
  <c r="V412" i="2"/>
  <c r="W409" i="2"/>
  <c r="W410" i="2"/>
  <c r="W411" i="2"/>
  <c r="W412" i="2"/>
  <c r="AE412" i="2" s="1"/>
  <c r="X409" i="2"/>
  <c r="X410" i="2"/>
  <c r="X411" i="2"/>
  <c r="X412" i="2"/>
  <c r="Y409" i="2"/>
  <c r="Y410" i="2"/>
  <c r="Y411" i="2"/>
  <c r="Y412" i="2"/>
  <c r="Z409" i="2"/>
  <c r="Z410" i="2"/>
  <c r="Z411" i="2"/>
  <c r="Z412" i="2"/>
  <c r="AA409" i="2"/>
  <c r="AA410" i="2"/>
  <c r="AA411" i="2"/>
  <c r="AA412" i="2"/>
  <c r="AB409" i="2"/>
  <c r="AB410" i="2"/>
  <c r="AB411" i="2"/>
  <c r="AB412" i="2"/>
  <c r="AC409" i="2"/>
  <c r="AC410" i="2"/>
  <c r="AC411" i="2"/>
  <c r="AC412" i="2"/>
  <c r="AD412" i="2" s="1"/>
  <c r="AD409" i="2"/>
  <c r="AD410" i="2"/>
  <c r="AD411" i="2"/>
  <c r="AE409" i="2"/>
  <c r="AE410" i="2"/>
  <c r="AE411" i="2"/>
  <c r="AH409" i="2"/>
  <c r="AH410" i="2"/>
  <c r="AH411" i="2"/>
  <c r="AI409" i="2"/>
  <c r="AI410" i="2"/>
  <c r="AI411" i="2"/>
  <c r="AJ409" i="2"/>
  <c r="AR409" i="2" s="1"/>
  <c r="AJ410" i="2"/>
  <c r="AJ411" i="2"/>
  <c r="AR411" i="2" s="1"/>
  <c r="AK409" i="2"/>
  <c r="AK410" i="2"/>
  <c r="AK411" i="2"/>
  <c r="AK412" i="2"/>
  <c r="AL412" i="2" s="1"/>
  <c r="AL409" i="2"/>
  <c r="AL410" i="2"/>
  <c r="AL411" i="2"/>
  <c r="AO409" i="2"/>
  <c r="AO410" i="2"/>
  <c r="AO411" i="2"/>
  <c r="AP409" i="2"/>
  <c r="AP410" i="2"/>
  <c r="AP411" i="2"/>
  <c r="AQ409" i="2"/>
  <c r="AQ410" i="2"/>
  <c r="AQ411" i="2"/>
  <c r="AQ412" i="2"/>
  <c r="AR410" i="2"/>
  <c r="AS409" i="2"/>
  <c r="AS410" i="2"/>
  <c r="AS411" i="2"/>
  <c r="AS412" i="2"/>
  <c r="AT409" i="2"/>
  <c r="AT410" i="2"/>
  <c r="AT411" i="2"/>
  <c r="AT412" i="2"/>
  <c r="AO412" i="2" l="1"/>
  <c r="AP412" i="2" s="1"/>
  <c r="AH412" i="2"/>
  <c r="AI412" i="2"/>
  <c r="AJ412" i="2" s="1"/>
  <c r="AR412" i="2" s="1"/>
  <c r="C404" i="2" l="1"/>
  <c r="C405" i="2"/>
  <c r="C406" i="2"/>
  <c r="C407" i="2"/>
  <c r="C408" i="2"/>
  <c r="D404" i="2"/>
  <c r="D405" i="2"/>
  <c r="D406" i="2"/>
  <c r="D407" i="2"/>
  <c r="D408" i="2"/>
  <c r="E404" i="2"/>
  <c r="E405" i="2"/>
  <c r="E406" i="2"/>
  <c r="E407" i="2"/>
  <c r="E408" i="2"/>
  <c r="F404" i="2"/>
  <c r="F405" i="2"/>
  <c r="F406" i="2"/>
  <c r="F407" i="2"/>
  <c r="F408" i="2"/>
  <c r="J404" i="2"/>
  <c r="J405" i="2"/>
  <c r="J406" i="2"/>
  <c r="J407" i="2"/>
  <c r="L407" i="2" s="1"/>
  <c r="M407" i="2" s="1"/>
  <c r="J408" i="2"/>
  <c r="K407" i="2"/>
  <c r="N404" i="2"/>
  <c r="N405" i="2"/>
  <c r="O405" i="2" s="1"/>
  <c r="N406" i="2"/>
  <c r="N407" i="2"/>
  <c r="P407" i="2" s="1"/>
  <c r="Q407" i="2" s="1"/>
  <c r="N408" i="2"/>
  <c r="S404" i="2"/>
  <c r="S405" i="2"/>
  <c r="S406" i="2"/>
  <c r="S407" i="2"/>
  <c r="S408" i="2"/>
  <c r="W404" i="2"/>
  <c r="W405" i="2"/>
  <c r="X405" i="2" s="1"/>
  <c r="W406" i="2"/>
  <c r="X406" i="2" s="1"/>
  <c r="W407" i="2"/>
  <c r="W408" i="2"/>
  <c r="AA406" i="2"/>
  <c r="AC406" i="2" s="1"/>
  <c r="AD406" i="2" s="1"/>
  <c r="AK406" i="2"/>
  <c r="AL406" i="2" s="1"/>
  <c r="AS404" i="2"/>
  <c r="AS405" i="2"/>
  <c r="AS406" i="2"/>
  <c r="AS407" i="2"/>
  <c r="AS408" i="2"/>
  <c r="AT404" i="2"/>
  <c r="AT405" i="2"/>
  <c r="AT406" i="2"/>
  <c r="AT407" i="2"/>
  <c r="AT408" i="2"/>
  <c r="Y406" i="2" l="1"/>
  <c r="Z406" i="2" s="1"/>
  <c r="T406" i="2"/>
  <c r="O408" i="2"/>
  <c r="O404" i="2"/>
  <c r="AA405" i="2"/>
  <c r="AE406" i="2"/>
  <c r="AO406" i="2" s="1"/>
  <c r="AP406" i="2" s="1"/>
  <c r="AE407" i="2"/>
  <c r="AH407" i="2" s="1"/>
  <c r="T408" i="2"/>
  <c r="U404" i="2"/>
  <c r="V404" i="2" s="1"/>
  <c r="O406" i="2"/>
  <c r="AK405" i="2"/>
  <c r="AL405" i="2" s="1"/>
  <c r="AA407" i="2"/>
  <c r="L408" i="2"/>
  <c r="M408" i="2" s="1"/>
  <c r="L404" i="2"/>
  <c r="M404" i="2" s="1"/>
  <c r="AA408" i="2"/>
  <c r="AC408" i="2" s="1"/>
  <c r="AD408" i="2" s="1"/>
  <c r="Y408" i="2"/>
  <c r="Z408" i="2" s="1"/>
  <c r="Y404" i="2"/>
  <c r="Z404" i="2" s="1"/>
  <c r="K406" i="2"/>
  <c r="U407" i="2"/>
  <c r="V407" i="2" s="1"/>
  <c r="AI406" i="2"/>
  <c r="AJ406" i="2" s="1"/>
  <c r="AR406" i="2" s="1"/>
  <c r="AK407" i="2"/>
  <c r="AL407" i="2" s="1"/>
  <c r="AA404" i="2"/>
  <c r="AC404" i="2" s="1"/>
  <c r="AD404" i="2" s="1"/>
  <c r="T404" i="2"/>
  <c r="K404" i="2"/>
  <c r="AC407" i="2"/>
  <c r="AD407" i="2" s="1"/>
  <c r="AB407" i="2"/>
  <c r="AI407" i="2"/>
  <c r="AJ407" i="2" s="1"/>
  <c r="AR407" i="2" s="1"/>
  <c r="AO407" i="2"/>
  <c r="AP407" i="2" s="1"/>
  <c r="K408" i="2"/>
  <c r="L405" i="2"/>
  <c r="M405" i="2" s="1"/>
  <c r="AH406" i="2"/>
  <c r="T407" i="2"/>
  <c r="AK408" i="2"/>
  <c r="AL408" i="2" s="1"/>
  <c r="AK404" i="2"/>
  <c r="AL404" i="2" s="1"/>
  <c r="AB406" i="2"/>
  <c r="AB405" i="2"/>
  <c r="X408" i="2"/>
  <c r="Y407" i="2"/>
  <c r="Z407" i="2" s="1"/>
  <c r="AQ407" i="2" s="1"/>
  <c r="T405" i="2"/>
  <c r="K405" i="2"/>
  <c r="L406" i="2"/>
  <c r="M406" i="2" s="1"/>
  <c r="AE405" i="2"/>
  <c r="X407" i="2"/>
  <c r="U406" i="2"/>
  <c r="V406" i="2" s="1"/>
  <c r="O407" i="2"/>
  <c r="AE408" i="2"/>
  <c r="AE404" i="2"/>
  <c r="P408" i="2"/>
  <c r="Q408" i="2" s="1"/>
  <c r="AQ408" i="2" s="1"/>
  <c r="U408" i="2"/>
  <c r="V408" i="2" s="1"/>
  <c r="X404" i="2"/>
  <c r="P404" i="2"/>
  <c r="Q404" i="2" s="1"/>
  <c r="AQ404" i="2" s="1"/>
  <c r="AB408" i="2"/>
  <c r="P406" i="2"/>
  <c r="Q406" i="2" s="1"/>
  <c r="AQ406" i="2" s="1"/>
  <c r="P405" i="2"/>
  <c r="Q405" i="2" s="1"/>
  <c r="AC405" i="2"/>
  <c r="AD405" i="2" s="1"/>
  <c r="Y405" i="2"/>
  <c r="Z405" i="2" s="1"/>
  <c r="U405" i="2"/>
  <c r="V405" i="2" s="1"/>
  <c r="AB404" i="2" l="1"/>
  <c r="AH408" i="2"/>
  <c r="AI408" i="2"/>
  <c r="AJ408" i="2" s="1"/>
  <c r="AR408" i="2" s="1"/>
  <c r="AO408" i="2"/>
  <c r="AP408" i="2" s="1"/>
  <c r="AH405" i="2"/>
  <c r="AI405" i="2"/>
  <c r="AJ405" i="2" s="1"/>
  <c r="AR405" i="2" s="1"/>
  <c r="AO405" i="2"/>
  <c r="AP405" i="2" s="1"/>
  <c r="AH404" i="2"/>
  <c r="AI404" i="2"/>
  <c r="AJ404" i="2" s="1"/>
  <c r="AR404" i="2" s="1"/>
  <c r="AO404" i="2"/>
  <c r="AP404" i="2" s="1"/>
  <c r="AQ405" i="2"/>
  <c r="C403" i="2" l="1"/>
  <c r="D403" i="2"/>
  <c r="E403" i="2"/>
  <c r="F403" i="2"/>
  <c r="J403" i="2"/>
  <c r="N403" i="2"/>
  <c r="S403" i="2"/>
  <c r="W403" i="2"/>
  <c r="AS403" i="2"/>
  <c r="AT403" i="2"/>
  <c r="Y403" i="2" l="1"/>
  <c r="Z403" i="2" s="1"/>
  <c r="P403" i="2"/>
  <c r="Q403" i="2" s="1"/>
  <c r="AE403" i="2"/>
  <c r="AO403" i="2" s="1"/>
  <c r="AP403" i="2" s="1"/>
  <c r="L403" i="2"/>
  <c r="M403" i="2" s="1"/>
  <c r="U403" i="2"/>
  <c r="V403" i="2" s="1"/>
  <c r="X403" i="2"/>
  <c r="T403" i="2"/>
  <c r="AA403" i="2"/>
  <c r="O403" i="2"/>
  <c r="K403" i="2"/>
  <c r="AK403" i="2"/>
  <c r="AL403" i="2" s="1"/>
  <c r="C400" i="2"/>
  <c r="C401" i="2"/>
  <c r="C402" i="2"/>
  <c r="D400" i="2"/>
  <c r="D401" i="2"/>
  <c r="D402" i="2"/>
  <c r="E400" i="2"/>
  <c r="E401" i="2"/>
  <c r="E402" i="2"/>
  <c r="F400" i="2"/>
  <c r="F401" i="2"/>
  <c r="F402" i="2"/>
  <c r="J400" i="2"/>
  <c r="J401" i="2"/>
  <c r="J402" i="2"/>
  <c r="N400" i="2"/>
  <c r="N401" i="2"/>
  <c r="N402" i="2"/>
  <c r="AK402" i="2" s="1"/>
  <c r="AL402" i="2" s="1"/>
  <c r="S400" i="2"/>
  <c r="S401" i="2"/>
  <c r="S402" i="2"/>
  <c r="W400" i="2"/>
  <c r="Y400" i="2" s="1"/>
  <c r="Z400" i="2" s="1"/>
  <c r="W401" i="2"/>
  <c r="X401" i="2" s="1"/>
  <c r="W402" i="2"/>
  <c r="Y402" i="2" s="1"/>
  <c r="Z402" i="2" s="1"/>
  <c r="AS400" i="2"/>
  <c r="AS401" i="2"/>
  <c r="AS402" i="2"/>
  <c r="AT400" i="2"/>
  <c r="AT401" i="2"/>
  <c r="AT402" i="2"/>
  <c r="AE402" i="2" l="1"/>
  <c r="AI402" i="2" s="1"/>
  <c r="AJ402" i="2" s="1"/>
  <c r="AR402" i="2" s="1"/>
  <c r="AH403" i="2"/>
  <c r="U400" i="2"/>
  <c r="V400" i="2" s="1"/>
  <c r="L402" i="2"/>
  <c r="M402" i="2" s="1"/>
  <c r="X402" i="2"/>
  <c r="T402" i="2"/>
  <c r="K400" i="2"/>
  <c r="AQ403" i="2"/>
  <c r="O402" i="2"/>
  <c r="AI403" i="2"/>
  <c r="AJ403" i="2" s="1"/>
  <c r="AR403" i="2" s="1"/>
  <c r="AO402" i="2"/>
  <c r="AP402" i="2" s="1"/>
  <c r="AA402" i="2"/>
  <c r="AC402" i="2" s="1"/>
  <c r="AD402" i="2" s="1"/>
  <c r="O401" i="2"/>
  <c r="AK401" i="2"/>
  <c r="AL401" i="2" s="1"/>
  <c r="P400" i="2"/>
  <c r="Q400" i="2" s="1"/>
  <c r="AQ400" i="2" s="1"/>
  <c r="Y401" i="2"/>
  <c r="Z401" i="2" s="1"/>
  <c r="T401" i="2"/>
  <c r="AE401" i="2"/>
  <c r="U402" i="2"/>
  <c r="V402" i="2" s="1"/>
  <c r="AB402" i="2"/>
  <c r="L401" i="2"/>
  <c r="M401" i="2" s="1"/>
  <c r="AA401" i="2"/>
  <c r="AB401" i="2" s="1"/>
  <c r="P401" i="2"/>
  <c r="Q401" i="2" s="1"/>
  <c r="AC403" i="2"/>
  <c r="AD403" i="2" s="1"/>
  <c r="AB403" i="2"/>
  <c r="L400" i="2"/>
  <c r="M400" i="2" s="1"/>
  <c r="AK400" i="2"/>
  <c r="AL400" i="2" s="1"/>
  <c r="AC401" i="2"/>
  <c r="AD401" i="2" s="1"/>
  <c r="AA400" i="2"/>
  <c r="AC400" i="2" s="1"/>
  <c r="AD400" i="2" s="1"/>
  <c r="U401" i="2"/>
  <c r="V401" i="2" s="1"/>
  <c r="K402" i="2"/>
  <c r="AI401" i="2"/>
  <c r="AJ401" i="2" s="1"/>
  <c r="AR401" i="2" s="1"/>
  <c r="AE400" i="2"/>
  <c r="P402" i="2"/>
  <c r="Q402" i="2" s="1"/>
  <c r="AQ402" i="2" s="1"/>
  <c r="K401" i="2"/>
  <c r="AH402" i="2"/>
  <c r="X400" i="2"/>
  <c r="T400" i="2"/>
  <c r="O400" i="2"/>
  <c r="C397" i="2"/>
  <c r="C398" i="2"/>
  <c r="C399" i="2"/>
  <c r="D397" i="2"/>
  <c r="D398" i="2"/>
  <c r="D399" i="2"/>
  <c r="E397" i="2"/>
  <c r="E398" i="2"/>
  <c r="E399" i="2"/>
  <c r="F397" i="2"/>
  <c r="F398" i="2"/>
  <c r="F399" i="2"/>
  <c r="J397" i="2"/>
  <c r="J398" i="2"/>
  <c r="J399" i="2"/>
  <c r="N397" i="2"/>
  <c r="N398" i="2"/>
  <c r="N399" i="2"/>
  <c r="O399" i="2" s="1"/>
  <c r="S397" i="2"/>
  <c r="S398" i="2"/>
  <c r="S399" i="2"/>
  <c r="W397" i="2"/>
  <c r="W398" i="2"/>
  <c r="Y398" i="2" s="1"/>
  <c r="Z398" i="2" s="1"/>
  <c r="W399" i="2"/>
  <c r="AS397" i="2"/>
  <c r="AS398" i="2"/>
  <c r="AS399" i="2"/>
  <c r="AT397" i="2"/>
  <c r="AT398" i="2"/>
  <c r="AT399" i="2"/>
  <c r="AA398" i="2" l="1"/>
  <c r="AC398" i="2" s="1"/>
  <c r="AD398" i="2" s="1"/>
  <c r="AQ401" i="2"/>
  <c r="AK399" i="2"/>
  <c r="AH401" i="2"/>
  <c r="AO401" i="2"/>
  <c r="AP401" i="2" s="1"/>
  <c r="P398" i="2"/>
  <c r="Q398" i="2" s="1"/>
  <c r="L399" i="2"/>
  <c r="M399" i="2" s="1"/>
  <c r="P397" i="2"/>
  <c r="Q397" i="2" s="1"/>
  <c r="AQ397" i="2" s="1"/>
  <c r="AE399" i="2"/>
  <c r="AO399" i="2" s="1"/>
  <c r="AP399" i="2" s="1"/>
  <c r="K397" i="2"/>
  <c r="AE398" i="2"/>
  <c r="AO398" i="2" s="1"/>
  <c r="AP398" i="2" s="1"/>
  <c r="X397" i="2"/>
  <c r="O397" i="2"/>
  <c r="T399" i="2"/>
  <c r="AB400" i="2"/>
  <c r="AH400" i="2"/>
  <c r="AI400" i="2"/>
  <c r="AJ400" i="2" s="1"/>
  <c r="AR400" i="2" s="1"/>
  <c r="AO400" i="2"/>
  <c r="AP400" i="2" s="1"/>
  <c r="K399" i="2"/>
  <c r="AE397" i="2"/>
  <c r="AA397" i="2"/>
  <c r="AB397" i="2" s="1"/>
  <c r="U398" i="2"/>
  <c r="V398" i="2" s="1"/>
  <c r="AL399" i="2"/>
  <c r="Y397" i="2"/>
  <c r="Z397" i="2" s="1"/>
  <c r="U399" i="2"/>
  <c r="V399" i="2" s="1"/>
  <c r="T397" i="2"/>
  <c r="AK397" i="2"/>
  <c r="AL397" i="2" s="1"/>
  <c r="AH399" i="2"/>
  <c r="AA399" i="2"/>
  <c r="X399" i="2"/>
  <c r="L398" i="2"/>
  <c r="M398" i="2" s="1"/>
  <c r="AQ398" i="2"/>
  <c r="L397" i="2"/>
  <c r="M397" i="2" s="1"/>
  <c r="AB398" i="2"/>
  <c r="Y399" i="2"/>
  <c r="Z399" i="2" s="1"/>
  <c r="X398" i="2"/>
  <c r="T398" i="2"/>
  <c r="P399" i="2"/>
  <c r="Q399" i="2" s="1"/>
  <c r="O398" i="2"/>
  <c r="K398" i="2"/>
  <c r="AK398" i="2"/>
  <c r="AL398" i="2" s="1"/>
  <c r="AC397" i="2"/>
  <c r="AD397" i="2" s="1"/>
  <c r="U397" i="2"/>
  <c r="V397" i="2" s="1"/>
  <c r="C393" i="2"/>
  <c r="C394" i="2"/>
  <c r="C395" i="2"/>
  <c r="C396" i="2"/>
  <c r="D393" i="2"/>
  <c r="D394" i="2"/>
  <c r="D395" i="2"/>
  <c r="D396" i="2"/>
  <c r="E393" i="2"/>
  <c r="E394" i="2"/>
  <c r="E395" i="2"/>
  <c r="E396" i="2"/>
  <c r="F393" i="2"/>
  <c r="F394" i="2"/>
  <c r="F395" i="2"/>
  <c r="F396" i="2"/>
  <c r="J393" i="2"/>
  <c r="L393" i="2" s="1"/>
  <c r="M393" i="2" s="1"/>
  <c r="J394" i="2"/>
  <c r="K394" i="2" s="1"/>
  <c r="J395" i="2"/>
  <c r="L395" i="2" s="1"/>
  <c r="M395" i="2" s="1"/>
  <c r="J396" i="2"/>
  <c r="L396" i="2" s="1"/>
  <c r="M396" i="2" s="1"/>
  <c r="N393" i="2"/>
  <c r="N394" i="2"/>
  <c r="N395" i="2"/>
  <c r="P395" i="2" s="1"/>
  <c r="Q395" i="2" s="1"/>
  <c r="N396" i="2"/>
  <c r="S393" i="2"/>
  <c r="S394" i="2"/>
  <c r="S395" i="2"/>
  <c r="T395" i="2" s="1"/>
  <c r="S396" i="2"/>
  <c r="W393" i="2"/>
  <c r="W394" i="2"/>
  <c r="W395" i="2"/>
  <c r="W396" i="2"/>
  <c r="AS393" i="2"/>
  <c r="AS394" i="2"/>
  <c r="AS395" i="2"/>
  <c r="AS396" i="2"/>
  <c r="AT393" i="2"/>
  <c r="AT394" i="2"/>
  <c r="AT395" i="2"/>
  <c r="AT396" i="2"/>
  <c r="AK396" i="2" l="1"/>
  <c r="AL396" i="2" s="1"/>
  <c r="L394" i="2"/>
  <c r="M394" i="2" s="1"/>
  <c r="O393" i="2"/>
  <c r="O395" i="2"/>
  <c r="AI399" i="2"/>
  <c r="AJ399" i="2" s="1"/>
  <c r="AR399" i="2" s="1"/>
  <c r="P393" i="2"/>
  <c r="Q393" i="2" s="1"/>
  <c r="U395" i="2"/>
  <c r="V395" i="2" s="1"/>
  <c r="O394" i="2"/>
  <c r="U394" i="2"/>
  <c r="V394" i="2" s="1"/>
  <c r="AE396" i="2"/>
  <c r="AO396" i="2" s="1"/>
  <c r="AP396" i="2" s="1"/>
  <c r="K395" i="2"/>
  <c r="AA395" i="2"/>
  <c r="AC395" i="2" s="1"/>
  <c r="AD395" i="2" s="1"/>
  <c r="Y394" i="2"/>
  <c r="Z394" i="2" s="1"/>
  <c r="AA394" i="2"/>
  <c r="AC394" i="2" s="1"/>
  <c r="AD394" i="2" s="1"/>
  <c r="P394" i="2"/>
  <c r="Q394" i="2" s="1"/>
  <c r="Y395" i="2"/>
  <c r="Z395" i="2" s="1"/>
  <c r="X395" i="2"/>
  <c r="T396" i="2"/>
  <c r="AH398" i="2"/>
  <c r="AI398" i="2"/>
  <c r="AJ398" i="2" s="1"/>
  <c r="AR398" i="2" s="1"/>
  <c r="AK393" i="2"/>
  <c r="AL393" i="2" s="1"/>
  <c r="AE393" i="2"/>
  <c r="O396" i="2"/>
  <c r="AB399" i="2"/>
  <c r="AC399" i="2"/>
  <c r="AD399" i="2" s="1"/>
  <c r="AB395" i="2"/>
  <c r="X393" i="2"/>
  <c r="T393" i="2"/>
  <c r="AO397" i="2"/>
  <c r="AP397" i="2" s="1"/>
  <c r="AH397" i="2"/>
  <c r="AI397" i="2"/>
  <c r="AJ397" i="2" s="1"/>
  <c r="AR397" i="2" s="1"/>
  <c r="AQ395" i="2"/>
  <c r="K393" i="2"/>
  <c r="X394" i="2"/>
  <c r="U393" i="2"/>
  <c r="V393" i="2" s="1"/>
  <c r="T394" i="2"/>
  <c r="AI396" i="2"/>
  <c r="AJ396" i="2" s="1"/>
  <c r="AR396" i="2" s="1"/>
  <c r="AK395" i="2"/>
  <c r="AL395" i="2" s="1"/>
  <c r="AE395" i="2"/>
  <c r="AA393" i="2"/>
  <c r="Y393" i="2"/>
  <c r="Z393" i="2" s="1"/>
  <c r="AQ393" i="2" s="1"/>
  <c r="U396" i="2"/>
  <c r="V396" i="2" s="1"/>
  <c r="AH396" i="2"/>
  <c r="AK394" i="2"/>
  <c r="AL394" i="2" s="1"/>
  <c r="AE394" i="2"/>
  <c r="AA396" i="2"/>
  <c r="AB396" i="2" s="1"/>
  <c r="Y396" i="2"/>
  <c r="Z396" i="2" s="1"/>
  <c r="AQ399" i="2"/>
  <c r="P396" i="2"/>
  <c r="Q396" i="2" s="1"/>
  <c r="AQ396" i="2" s="1"/>
  <c r="X396" i="2"/>
  <c r="K396" i="2"/>
  <c r="C389" i="2"/>
  <c r="C390" i="2"/>
  <c r="C391" i="2"/>
  <c r="C392" i="2"/>
  <c r="D389" i="2"/>
  <c r="D390" i="2"/>
  <c r="D391" i="2"/>
  <c r="D392" i="2"/>
  <c r="E389" i="2"/>
  <c r="E390" i="2"/>
  <c r="E391" i="2"/>
  <c r="E392" i="2"/>
  <c r="F389" i="2"/>
  <c r="F390" i="2"/>
  <c r="F391" i="2"/>
  <c r="F392" i="2"/>
  <c r="J389" i="2"/>
  <c r="L389" i="2" s="1"/>
  <c r="M389" i="2" s="1"/>
  <c r="J390" i="2"/>
  <c r="L390" i="2" s="1"/>
  <c r="M390" i="2" s="1"/>
  <c r="J391" i="2"/>
  <c r="K391" i="2" s="1"/>
  <c r="J392" i="2"/>
  <c r="K392" i="2" s="1"/>
  <c r="N389" i="2"/>
  <c r="N390" i="2"/>
  <c r="N391" i="2"/>
  <c r="N392" i="2"/>
  <c r="S389" i="2"/>
  <c r="S390" i="2"/>
  <c r="S391" i="2"/>
  <c r="S392" i="2"/>
  <c r="T392" i="2" s="1"/>
  <c r="W389" i="2"/>
  <c r="Y389" i="2" s="1"/>
  <c r="Z389" i="2" s="1"/>
  <c r="W390" i="2"/>
  <c r="W391" i="2"/>
  <c r="W392" i="2"/>
  <c r="X392" i="2" s="1"/>
  <c r="AS389" i="2"/>
  <c r="AS390" i="2"/>
  <c r="AS391" i="2"/>
  <c r="AS392" i="2"/>
  <c r="AT389" i="2"/>
  <c r="AT390" i="2"/>
  <c r="AT391" i="2"/>
  <c r="AT392" i="2"/>
  <c r="AQ394" i="2" l="1"/>
  <c r="AA391" i="2"/>
  <c r="AB391" i="2" s="1"/>
  <c r="L392" i="2"/>
  <c r="M392" i="2" s="1"/>
  <c r="X391" i="2"/>
  <c r="T391" i="2"/>
  <c r="O391" i="2"/>
  <c r="AK392" i="2"/>
  <c r="AL392" i="2" s="1"/>
  <c r="U390" i="2"/>
  <c r="V390" i="2" s="1"/>
  <c r="AB394" i="2"/>
  <c r="Y392" i="2"/>
  <c r="Z392" i="2" s="1"/>
  <c r="Y390" i="2"/>
  <c r="Z390" i="2" s="1"/>
  <c r="P391" i="2"/>
  <c r="Q391" i="2" s="1"/>
  <c r="P390" i="2"/>
  <c r="Q390" i="2" s="1"/>
  <c r="K390" i="2"/>
  <c r="O389" i="2"/>
  <c r="T389" i="2"/>
  <c r="AE392" i="2"/>
  <c r="AA390" i="2"/>
  <c r="AC396" i="2"/>
  <c r="AD396" i="2" s="1"/>
  <c r="AH393" i="2"/>
  <c r="AO393" i="2"/>
  <c r="AP393" i="2" s="1"/>
  <c r="AI393" i="2"/>
  <c r="AJ393" i="2" s="1"/>
  <c r="AR393" i="2" s="1"/>
  <c r="AA392" i="2"/>
  <c r="AC392" i="2" s="1"/>
  <c r="AD392" i="2" s="1"/>
  <c r="AO394" i="2"/>
  <c r="AP394" i="2" s="1"/>
  <c r="AH394" i="2"/>
  <c r="AI394" i="2"/>
  <c r="AJ394" i="2" s="1"/>
  <c r="AR394" i="2" s="1"/>
  <c r="U392" i="2"/>
  <c r="V392" i="2" s="1"/>
  <c r="O390" i="2"/>
  <c r="O392" i="2"/>
  <c r="AC393" i="2"/>
  <c r="AD393" i="2" s="1"/>
  <c r="AB393" i="2"/>
  <c r="AO395" i="2"/>
  <c r="AP395" i="2" s="1"/>
  <c r="AH395" i="2"/>
  <c r="AI395" i="2"/>
  <c r="AJ395" i="2" s="1"/>
  <c r="AR395" i="2" s="1"/>
  <c r="AE391" i="2"/>
  <c r="Y391" i="2"/>
  <c r="Z391" i="2" s="1"/>
  <c r="U389" i="2"/>
  <c r="V389" i="2" s="1"/>
  <c r="AK391" i="2"/>
  <c r="AL391" i="2" s="1"/>
  <c r="AE390" i="2"/>
  <c r="K389" i="2"/>
  <c r="AE389" i="2"/>
  <c r="AA389" i="2"/>
  <c r="U391" i="2"/>
  <c r="V391" i="2" s="1"/>
  <c r="X389" i="2"/>
  <c r="AK389" i="2"/>
  <c r="AL389" i="2" s="1"/>
  <c r="P389" i="2"/>
  <c r="Q389" i="2" s="1"/>
  <c r="AQ389" i="2" s="1"/>
  <c r="P392" i="2"/>
  <c r="Q392" i="2" s="1"/>
  <c r="AQ392" i="2" s="1"/>
  <c r="AB390" i="2"/>
  <c r="AC390" i="2"/>
  <c r="AD390" i="2" s="1"/>
  <c r="X390" i="2"/>
  <c r="T390" i="2"/>
  <c r="AK390" i="2"/>
  <c r="AL390" i="2" s="1"/>
  <c r="AC391" i="2"/>
  <c r="AD391" i="2" s="1"/>
  <c r="L391" i="2"/>
  <c r="M391" i="2" s="1"/>
  <c r="AQ390" i="2" l="1"/>
  <c r="AQ391" i="2"/>
  <c r="AB392" i="2"/>
  <c r="AO392" i="2"/>
  <c r="AP392" i="2" s="1"/>
  <c r="AH392" i="2"/>
  <c r="AI392" i="2"/>
  <c r="AJ392" i="2" s="1"/>
  <c r="AR392" i="2" s="1"/>
  <c r="AO391" i="2"/>
  <c r="AP391" i="2" s="1"/>
  <c r="AI391" i="2"/>
  <c r="AJ391" i="2" s="1"/>
  <c r="AR391" i="2" s="1"/>
  <c r="AH391" i="2"/>
  <c r="AO389" i="2"/>
  <c r="AP389" i="2" s="1"/>
  <c r="AH389" i="2"/>
  <c r="AI389" i="2"/>
  <c r="AJ389" i="2" s="1"/>
  <c r="AR389" i="2" s="1"/>
  <c r="AO390" i="2"/>
  <c r="AP390" i="2" s="1"/>
  <c r="AI390" i="2"/>
  <c r="AJ390" i="2" s="1"/>
  <c r="AR390" i="2" s="1"/>
  <c r="AH390" i="2"/>
  <c r="AC389" i="2"/>
  <c r="AD389" i="2" s="1"/>
  <c r="AB389" i="2"/>
  <c r="C383" i="2"/>
  <c r="C384" i="2"/>
  <c r="C385" i="2"/>
  <c r="C386" i="2"/>
  <c r="C387" i="2"/>
  <c r="C388" i="2"/>
  <c r="D383" i="2"/>
  <c r="D384" i="2"/>
  <c r="D385" i="2"/>
  <c r="D386" i="2"/>
  <c r="D387" i="2"/>
  <c r="D388" i="2"/>
  <c r="E383" i="2"/>
  <c r="E384" i="2"/>
  <c r="E385" i="2"/>
  <c r="E386" i="2"/>
  <c r="E387" i="2"/>
  <c r="E388" i="2"/>
  <c r="F383" i="2"/>
  <c r="F384" i="2"/>
  <c r="F385" i="2"/>
  <c r="F386" i="2"/>
  <c r="F387" i="2"/>
  <c r="F388" i="2"/>
  <c r="J383" i="2"/>
  <c r="J384" i="2"/>
  <c r="J385" i="2"/>
  <c r="J386" i="2"/>
  <c r="L386" i="2" s="1"/>
  <c r="M386" i="2" s="1"/>
  <c r="J387" i="2"/>
  <c r="J388" i="2"/>
  <c r="N383" i="2"/>
  <c r="O383" i="2" s="1"/>
  <c r="N384" i="2"/>
  <c r="N385" i="2"/>
  <c r="N386" i="2"/>
  <c r="N387" i="2"/>
  <c r="O387" i="2" s="1"/>
  <c r="N388" i="2"/>
  <c r="S383" i="2"/>
  <c r="S384" i="2"/>
  <c r="AA384" i="2" s="1"/>
  <c r="S385" i="2"/>
  <c r="T385" i="2" s="1"/>
  <c r="S386" i="2"/>
  <c r="T386" i="2" s="1"/>
  <c r="S387" i="2"/>
  <c r="S388" i="2"/>
  <c r="W383" i="2"/>
  <c r="X383" i="2" s="1"/>
  <c r="W384" i="2"/>
  <c r="W385" i="2"/>
  <c r="W386" i="2"/>
  <c r="AE386" i="2" s="1"/>
  <c r="W387" i="2"/>
  <c r="Y387" i="2" s="1"/>
  <c r="Z387" i="2" s="1"/>
  <c r="W388" i="2"/>
  <c r="AS383" i="2"/>
  <c r="AS384" i="2"/>
  <c r="AS385" i="2"/>
  <c r="AS386" i="2"/>
  <c r="AS387" i="2"/>
  <c r="AS388" i="2"/>
  <c r="AT383" i="2"/>
  <c r="AT384" i="2"/>
  <c r="AT385" i="2"/>
  <c r="AT386" i="2"/>
  <c r="AT387" i="2"/>
  <c r="AT388" i="2"/>
  <c r="Y383" i="2" l="1"/>
  <c r="Z383" i="2" s="1"/>
  <c r="U387" i="2"/>
  <c r="V387" i="2" s="1"/>
  <c r="U383" i="2"/>
  <c r="V383" i="2" s="1"/>
  <c r="L387" i="2"/>
  <c r="M387" i="2" s="1"/>
  <c r="K383" i="2"/>
  <c r="AE383" i="2"/>
  <c r="AH383" i="2" s="1"/>
  <c r="X387" i="2"/>
  <c r="O385" i="2"/>
  <c r="L385" i="2"/>
  <c r="M385" i="2" s="1"/>
  <c r="X385" i="2"/>
  <c r="K387" i="2"/>
  <c r="L383" i="2"/>
  <c r="M383" i="2" s="1"/>
  <c r="AK388" i="2"/>
  <c r="AL388" i="2" s="1"/>
  <c r="K385" i="2"/>
  <c r="P385" i="2"/>
  <c r="Q385" i="2" s="1"/>
  <c r="AA386" i="2"/>
  <c r="AC386" i="2" s="1"/>
  <c r="AD386" i="2" s="1"/>
  <c r="Y386" i="2"/>
  <c r="Z386" i="2" s="1"/>
  <c r="X386" i="2"/>
  <c r="Y384" i="2"/>
  <c r="Z384" i="2" s="1"/>
  <c r="AA388" i="2"/>
  <c r="AB388" i="2" s="1"/>
  <c r="K384" i="2"/>
  <c r="P386" i="2"/>
  <c r="Q386" i="2" s="1"/>
  <c r="U386" i="2"/>
  <c r="V386" i="2" s="1"/>
  <c r="AE387" i="2"/>
  <c r="AH387" i="2" s="1"/>
  <c r="Y388" i="2"/>
  <c r="Z388" i="2" s="1"/>
  <c r="P387" i="2"/>
  <c r="Q387" i="2" s="1"/>
  <c r="AQ387" i="2" s="1"/>
  <c r="K388" i="2"/>
  <c r="AI386" i="2"/>
  <c r="AJ386" i="2" s="1"/>
  <c r="AR386" i="2" s="1"/>
  <c r="AH386" i="2"/>
  <c r="AK385" i="2"/>
  <c r="AL385" i="2" s="1"/>
  <c r="AK384" i="2"/>
  <c r="AL384" i="2" s="1"/>
  <c r="AB386" i="2"/>
  <c r="AA385" i="2"/>
  <c r="T387" i="2"/>
  <c r="P383" i="2"/>
  <c r="Q383" i="2" s="1"/>
  <c r="AQ383" i="2" s="1"/>
  <c r="O386" i="2"/>
  <c r="U385" i="2"/>
  <c r="V385" i="2" s="1"/>
  <c r="K386" i="2"/>
  <c r="P388" i="2"/>
  <c r="Q388" i="2" s="1"/>
  <c r="P384" i="2"/>
  <c r="Q384" i="2" s="1"/>
  <c r="L388" i="2"/>
  <c r="M388" i="2" s="1"/>
  <c r="L384" i="2"/>
  <c r="M384" i="2" s="1"/>
  <c r="O388" i="2"/>
  <c r="O384" i="2"/>
  <c r="X384" i="2"/>
  <c r="AO383" i="2"/>
  <c r="AP383" i="2" s="1"/>
  <c r="AK387" i="2"/>
  <c r="AL387" i="2" s="1"/>
  <c r="AK383" i="2"/>
  <c r="AL383" i="2" s="1"/>
  <c r="AI383" i="2"/>
  <c r="AJ383" i="2" s="1"/>
  <c r="AR383" i="2" s="1"/>
  <c r="AE385" i="2"/>
  <c r="AI385" i="2" s="1"/>
  <c r="AJ385" i="2" s="1"/>
  <c r="AR385" i="2" s="1"/>
  <c r="AB384" i="2"/>
  <c r="U388" i="2"/>
  <c r="V388" i="2" s="1"/>
  <c r="U384" i="2"/>
  <c r="V384" i="2" s="1"/>
  <c r="T383" i="2"/>
  <c r="X388" i="2"/>
  <c r="AK386" i="2"/>
  <c r="AL386" i="2" s="1"/>
  <c r="AE388" i="2"/>
  <c r="AE384" i="2"/>
  <c r="AA387" i="2"/>
  <c r="AA383" i="2"/>
  <c r="Y385" i="2"/>
  <c r="Z385" i="2" s="1"/>
  <c r="AQ385" i="2" s="1"/>
  <c r="T388" i="2"/>
  <c r="T384" i="2"/>
  <c r="AC384" i="2"/>
  <c r="AD384" i="2" s="1"/>
  <c r="AO386" i="2"/>
  <c r="AP386" i="2" s="1"/>
  <c r="AC388" i="2" l="1"/>
  <c r="AD388" i="2" s="1"/>
  <c r="AQ388" i="2"/>
  <c r="AQ384" i="2"/>
  <c r="AQ386" i="2"/>
  <c r="AO387" i="2"/>
  <c r="AP387" i="2" s="1"/>
  <c r="AI387" i="2"/>
  <c r="AJ387" i="2" s="1"/>
  <c r="AR387" i="2" s="1"/>
  <c r="AB385" i="2"/>
  <c r="AC385" i="2"/>
  <c r="AD385" i="2" s="1"/>
  <c r="AH384" i="2"/>
  <c r="AI384" i="2"/>
  <c r="AJ384" i="2" s="1"/>
  <c r="AR384" i="2" s="1"/>
  <c r="AO384" i="2"/>
  <c r="AP384" i="2" s="1"/>
  <c r="AH388" i="2"/>
  <c r="AI388" i="2"/>
  <c r="AJ388" i="2" s="1"/>
  <c r="AR388" i="2" s="1"/>
  <c r="AO388" i="2"/>
  <c r="AP388" i="2" s="1"/>
  <c r="AB383" i="2"/>
  <c r="AC383" i="2"/>
  <c r="AD383" i="2" s="1"/>
  <c r="AB387" i="2"/>
  <c r="AC387" i="2"/>
  <c r="AD387" i="2" s="1"/>
  <c r="AH385" i="2"/>
  <c r="AO385" i="2"/>
  <c r="AP385" i="2" s="1"/>
  <c r="C375" i="2"/>
  <c r="C376" i="2"/>
  <c r="C377" i="2"/>
  <c r="C378" i="2"/>
  <c r="C379" i="2"/>
  <c r="C380" i="2"/>
  <c r="C381" i="2"/>
  <c r="C382" i="2"/>
  <c r="D375" i="2"/>
  <c r="D376" i="2"/>
  <c r="D377" i="2"/>
  <c r="D378" i="2"/>
  <c r="D379" i="2"/>
  <c r="D380" i="2"/>
  <c r="D381" i="2"/>
  <c r="D382" i="2"/>
  <c r="E375" i="2"/>
  <c r="E376" i="2"/>
  <c r="E377" i="2"/>
  <c r="E378" i="2"/>
  <c r="E379" i="2"/>
  <c r="E380" i="2"/>
  <c r="E381" i="2"/>
  <c r="E382" i="2"/>
  <c r="F375" i="2"/>
  <c r="F376" i="2"/>
  <c r="F377" i="2"/>
  <c r="F378" i="2"/>
  <c r="F379" i="2"/>
  <c r="O379" i="2" s="1"/>
  <c r="F380" i="2"/>
  <c r="F381" i="2"/>
  <c r="F382" i="2"/>
  <c r="J375" i="2"/>
  <c r="L375" i="2" s="1"/>
  <c r="M375" i="2" s="1"/>
  <c r="J376" i="2"/>
  <c r="K376" i="2" s="1"/>
  <c r="J377" i="2"/>
  <c r="K377" i="2" s="1"/>
  <c r="J378" i="2"/>
  <c r="J379" i="2"/>
  <c r="K379" i="2" s="1"/>
  <c r="J380" i="2"/>
  <c r="K380" i="2" s="1"/>
  <c r="J381" i="2"/>
  <c r="K381" i="2" s="1"/>
  <c r="J382" i="2"/>
  <c r="L376" i="2"/>
  <c r="M376" i="2" s="1"/>
  <c r="N375" i="2"/>
  <c r="N376" i="2"/>
  <c r="P376" i="2" s="1"/>
  <c r="Q376" i="2" s="1"/>
  <c r="N377" i="2"/>
  <c r="N378" i="2"/>
  <c r="N379" i="2"/>
  <c r="N380" i="2"/>
  <c r="O380" i="2" s="1"/>
  <c r="N381" i="2"/>
  <c r="N382" i="2"/>
  <c r="S375" i="2"/>
  <c r="S376" i="2"/>
  <c r="U376" i="2" s="1"/>
  <c r="V376" i="2" s="1"/>
  <c r="S377" i="2"/>
  <c r="U377" i="2" s="1"/>
  <c r="V377" i="2" s="1"/>
  <c r="S378" i="2"/>
  <c r="S379" i="2"/>
  <c r="S380" i="2"/>
  <c r="T380" i="2" s="1"/>
  <c r="S381" i="2"/>
  <c r="U381" i="2" s="1"/>
  <c r="V381" i="2" s="1"/>
  <c r="S382" i="2"/>
  <c r="T376" i="2"/>
  <c r="W375" i="2"/>
  <c r="W376" i="2"/>
  <c r="X376" i="2" s="1"/>
  <c r="W377" i="2"/>
  <c r="W378" i="2"/>
  <c r="AE378" i="2" s="1"/>
  <c r="AO378" i="2" s="1"/>
  <c r="W379" i="2"/>
  <c r="AK379" i="2" s="1"/>
  <c r="W380" i="2"/>
  <c r="W381" i="2"/>
  <c r="W382" i="2"/>
  <c r="AK382" i="2" s="1"/>
  <c r="AL382" i="2" s="1"/>
  <c r="AA376" i="2"/>
  <c r="AB376" i="2" s="1"/>
  <c r="AA377" i="2"/>
  <c r="AC377" i="2" s="1"/>
  <c r="AD377" i="2" s="1"/>
  <c r="AA380" i="2"/>
  <c r="AB380" i="2" s="1"/>
  <c r="AE382" i="2"/>
  <c r="AO382" i="2" s="1"/>
  <c r="AK377" i="2"/>
  <c r="AK378" i="2"/>
  <c r="AS375" i="2"/>
  <c r="AS376" i="2"/>
  <c r="AS377" i="2"/>
  <c r="AS378" i="2"/>
  <c r="AS379" i="2"/>
  <c r="AS380" i="2"/>
  <c r="AS381" i="2"/>
  <c r="AS382" i="2"/>
  <c r="AT375" i="2"/>
  <c r="AT376" i="2"/>
  <c r="AT377" i="2"/>
  <c r="AT378" i="2"/>
  <c r="AT379" i="2"/>
  <c r="AT380" i="2"/>
  <c r="AT381" i="2"/>
  <c r="AT382" i="2"/>
  <c r="AL377" i="2" l="1"/>
  <c r="Y375" i="2"/>
  <c r="Z375" i="2" s="1"/>
  <c r="Y381" i="2"/>
  <c r="Z381" i="2" s="1"/>
  <c r="Y377" i="2"/>
  <c r="Z377" i="2" s="1"/>
  <c r="T381" i="2"/>
  <c r="AE381" i="2"/>
  <c r="AH381" i="2" s="1"/>
  <c r="AL378" i="2"/>
  <c r="AH378" i="2"/>
  <c r="U380" i="2"/>
  <c r="V380" i="2" s="1"/>
  <c r="L380" i="2"/>
  <c r="M380" i="2" s="1"/>
  <c r="AB377" i="2"/>
  <c r="Y379" i="2"/>
  <c r="Z379" i="2" s="1"/>
  <c r="X381" i="2"/>
  <c r="O375" i="2"/>
  <c r="U379" i="2"/>
  <c r="V379" i="2" s="1"/>
  <c r="T375" i="2"/>
  <c r="AA381" i="2"/>
  <c r="X377" i="2"/>
  <c r="T377" i="2"/>
  <c r="AK375" i="2"/>
  <c r="AA375" i="2"/>
  <c r="AB375" i="2" s="1"/>
  <c r="T379" i="2"/>
  <c r="O376" i="2"/>
  <c r="X379" i="2"/>
  <c r="AC376" i="2"/>
  <c r="AD376" i="2" s="1"/>
  <c r="P379" i="2"/>
  <c r="Q379" i="2" s="1"/>
  <c r="AQ379" i="2" s="1"/>
  <c r="AK380" i="2"/>
  <c r="AL380" i="2" s="1"/>
  <c r="AK376" i="2"/>
  <c r="AL376" i="2" s="1"/>
  <c r="AK381" i="2"/>
  <c r="AL381" i="2" s="1"/>
  <c r="AE377" i="2"/>
  <c r="AI377" i="2" s="1"/>
  <c r="AJ377" i="2" s="1"/>
  <c r="AR377" i="2" s="1"/>
  <c r="K375" i="2"/>
  <c r="AL375" i="2"/>
  <c r="AC380" i="2"/>
  <c r="AD380" i="2" s="1"/>
  <c r="AA379" i="2"/>
  <c r="X380" i="2"/>
  <c r="X375" i="2"/>
  <c r="U375" i="2"/>
  <c r="V375" i="2" s="1"/>
  <c r="AA382" i="2"/>
  <c r="AC382" i="2" s="1"/>
  <c r="AD382" i="2" s="1"/>
  <c r="AA378" i="2"/>
  <c r="AB378" i="2" s="1"/>
  <c r="X382" i="2"/>
  <c r="AP378" i="2"/>
  <c r="T382" i="2"/>
  <c r="T378" i="2"/>
  <c r="AL379" i="2"/>
  <c r="Y376" i="2"/>
  <c r="Z376" i="2" s="1"/>
  <c r="AQ376" i="2" s="1"/>
  <c r="P375" i="2"/>
  <c r="Q375" i="2" s="1"/>
  <c r="AQ375" i="2" s="1"/>
  <c r="AE379" i="2"/>
  <c r="AH379" i="2" s="1"/>
  <c r="AE375" i="2"/>
  <c r="AH375" i="2" s="1"/>
  <c r="O381" i="2"/>
  <c r="O377" i="2"/>
  <c r="AO381" i="2"/>
  <c r="AP381" i="2" s="1"/>
  <c r="Y380" i="2"/>
  <c r="Z380" i="2" s="1"/>
  <c r="P380" i="2"/>
  <c r="Q380" i="2" s="1"/>
  <c r="L379" i="2"/>
  <c r="M379" i="2" s="1"/>
  <c r="AC378" i="2"/>
  <c r="AD378" i="2" s="1"/>
  <c r="AP382" i="2"/>
  <c r="AI382" i="2"/>
  <c r="AJ382" i="2" s="1"/>
  <c r="AR382" i="2" s="1"/>
  <c r="AI378" i="2"/>
  <c r="AJ378" i="2" s="1"/>
  <c r="AR378" i="2" s="1"/>
  <c r="AH382" i="2"/>
  <c r="AH377" i="2"/>
  <c r="AE380" i="2"/>
  <c r="AE376" i="2"/>
  <c r="P382" i="2"/>
  <c r="Q382" i="2" s="1"/>
  <c r="P378" i="2"/>
  <c r="Q378" i="2" s="1"/>
  <c r="O382" i="2"/>
  <c r="O378" i="2"/>
  <c r="L382" i="2"/>
  <c r="M382" i="2" s="1"/>
  <c r="L378" i="2"/>
  <c r="M378" i="2" s="1"/>
  <c r="K382" i="2"/>
  <c r="K378" i="2"/>
  <c r="AI381" i="2"/>
  <c r="AJ381" i="2" s="1"/>
  <c r="AR381" i="2" s="1"/>
  <c r="Y382" i="2"/>
  <c r="Z382" i="2" s="1"/>
  <c r="Y378" i="2"/>
  <c r="Z378" i="2" s="1"/>
  <c r="X378" i="2"/>
  <c r="U382" i="2"/>
  <c r="V382" i="2" s="1"/>
  <c r="U378" i="2"/>
  <c r="V378" i="2" s="1"/>
  <c r="P381" i="2"/>
  <c r="Q381" i="2" s="1"/>
  <c r="AQ381" i="2" s="1"/>
  <c r="P377" i="2"/>
  <c r="Q377" i="2" s="1"/>
  <c r="AQ377" i="2" s="1"/>
  <c r="L381" i="2"/>
  <c r="M381" i="2" s="1"/>
  <c r="L377" i="2"/>
  <c r="M377" i="2" s="1"/>
  <c r="C372" i="2"/>
  <c r="C373" i="2"/>
  <c r="C374" i="2"/>
  <c r="D372" i="2"/>
  <c r="D373" i="2"/>
  <c r="D374" i="2"/>
  <c r="E372" i="2"/>
  <c r="E373" i="2"/>
  <c r="E374" i="2"/>
  <c r="F372" i="2"/>
  <c r="F373" i="2"/>
  <c r="F374" i="2"/>
  <c r="J372" i="2"/>
  <c r="J373" i="2"/>
  <c r="J374" i="2"/>
  <c r="N372" i="2"/>
  <c r="N373" i="2"/>
  <c r="P373" i="2" s="1"/>
  <c r="Q373" i="2" s="1"/>
  <c r="N374" i="2"/>
  <c r="S372" i="2"/>
  <c r="S373" i="2"/>
  <c r="S374" i="2"/>
  <c r="W372" i="2"/>
  <c r="Y372" i="2" s="1"/>
  <c r="Z372" i="2" s="1"/>
  <c r="W373" i="2"/>
  <c r="Y373" i="2" s="1"/>
  <c r="Z373" i="2" s="1"/>
  <c r="W374" i="2"/>
  <c r="Y374" i="2" s="1"/>
  <c r="Z374" i="2" s="1"/>
  <c r="AS372" i="2"/>
  <c r="AS373" i="2"/>
  <c r="AS374" i="2"/>
  <c r="AT372" i="2"/>
  <c r="AT373" i="2"/>
  <c r="AT374" i="2"/>
  <c r="AQ380" i="2" l="1"/>
  <c r="T374" i="2"/>
  <c r="AC375" i="2"/>
  <c r="AD375" i="2" s="1"/>
  <c r="AO377" i="2"/>
  <c r="AP377" i="2" s="1"/>
  <c r="AB382" i="2"/>
  <c r="AI375" i="2"/>
  <c r="AJ375" i="2" s="1"/>
  <c r="AR375" i="2" s="1"/>
  <c r="AB381" i="2"/>
  <c r="AC381" i="2"/>
  <c r="AD381" i="2" s="1"/>
  <c r="AO375" i="2"/>
  <c r="AP375" i="2" s="1"/>
  <c r="AI379" i="2"/>
  <c r="AJ379" i="2" s="1"/>
  <c r="AR379" i="2" s="1"/>
  <c r="AO379" i="2"/>
  <c r="AP379" i="2" s="1"/>
  <c r="AB379" i="2"/>
  <c r="AC379" i="2"/>
  <c r="AD379" i="2" s="1"/>
  <c r="U373" i="2"/>
  <c r="V373" i="2" s="1"/>
  <c r="AQ378" i="2"/>
  <c r="AH380" i="2"/>
  <c r="AI380" i="2"/>
  <c r="AJ380" i="2" s="1"/>
  <c r="AR380" i="2" s="1"/>
  <c r="AO380" i="2"/>
  <c r="AP380" i="2" s="1"/>
  <c r="AQ382" i="2"/>
  <c r="K373" i="2"/>
  <c r="AH376" i="2"/>
  <c r="AI376" i="2"/>
  <c r="AJ376" i="2" s="1"/>
  <c r="AR376" i="2" s="1"/>
  <c r="AO376" i="2"/>
  <c r="AP376" i="2" s="1"/>
  <c r="T372" i="2"/>
  <c r="O374" i="2"/>
  <c r="AK374" i="2"/>
  <c r="AL374" i="2" s="1"/>
  <c r="X374" i="2"/>
  <c r="U372" i="2"/>
  <c r="V372" i="2" s="1"/>
  <c r="P374" i="2"/>
  <c r="Q374" i="2" s="1"/>
  <c r="AQ374" i="2" s="1"/>
  <c r="K374" i="2"/>
  <c r="P372" i="2"/>
  <c r="Q372" i="2" s="1"/>
  <c r="AE374" i="2"/>
  <c r="AH374" i="2" s="1"/>
  <c r="K372" i="2"/>
  <c r="L373" i="2"/>
  <c r="M373" i="2" s="1"/>
  <c r="AK373" i="2"/>
  <c r="AL373" i="2" s="1"/>
  <c r="AE373" i="2"/>
  <c r="AA373" i="2"/>
  <c r="AC373" i="2" s="1"/>
  <c r="AD373" i="2" s="1"/>
  <c r="O373" i="2"/>
  <c r="AQ372" i="2"/>
  <c r="AA374" i="2"/>
  <c r="U374" i="2"/>
  <c r="V374" i="2" s="1"/>
  <c r="O372" i="2"/>
  <c r="L372" i="2"/>
  <c r="M372" i="2" s="1"/>
  <c r="AK372" i="2"/>
  <c r="AL372" i="2" s="1"/>
  <c r="AE372" i="2"/>
  <c r="AA372" i="2"/>
  <c r="AC372" i="2" s="1"/>
  <c r="AD372" i="2" s="1"/>
  <c r="L374" i="2"/>
  <c r="M374" i="2" s="1"/>
  <c r="X373" i="2"/>
  <c r="T373" i="2"/>
  <c r="AB373" i="2"/>
  <c r="AQ373" i="2"/>
  <c r="X372" i="2"/>
  <c r="C371" i="2"/>
  <c r="D371" i="2"/>
  <c r="E371" i="2"/>
  <c r="F371" i="2"/>
  <c r="J371" i="2"/>
  <c r="N371" i="2"/>
  <c r="S371" i="2"/>
  <c r="W371" i="2"/>
  <c r="Y371" i="2" s="1"/>
  <c r="Z371" i="2" s="1"/>
  <c r="AS371" i="2"/>
  <c r="AT371" i="2"/>
  <c r="AO374" i="2" l="1"/>
  <c r="AP374" i="2" s="1"/>
  <c r="AB372" i="2"/>
  <c r="L371" i="2"/>
  <c r="M371" i="2" s="1"/>
  <c r="AI374" i="2"/>
  <c r="AJ374" i="2" s="1"/>
  <c r="AR374" i="2" s="1"/>
  <c r="AO373" i="2"/>
  <c r="AP373" i="2" s="1"/>
  <c r="AH373" i="2"/>
  <c r="AI373" i="2"/>
  <c r="AJ373" i="2" s="1"/>
  <c r="AR373" i="2" s="1"/>
  <c r="P371" i="2"/>
  <c r="Q371" i="2" s="1"/>
  <c r="AQ371" i="2" s="1"/>
  <c r="AH372" i="2"/>
  <c r="AI372" i="2"/>
  <c r="AJ372" i="2" s="1"/>
  <c r="AR372" i="2" s="1"/>
  <c r="AO372" i="2"/>
  <c r="AP372" i="2" s="1"/>
  <c r="AB374" i="2"/>
  <c r="AC374" i="2"/>
  <c r="AD374" i="2" s="1"/>
  <c r="U371" i="2"/>
  <c r="V371" i="2" s="1"/>
  <c r="AE371" i="2"/>
  <c r="AO371" i="2" s="1"/>
  <c r="AP371" i="2" s="1"/>
  <c r="AA371" i="2"/>
  <c r="AC371" i="2" s="1"/>
  <c r="AD371" i="2" s="1"/>
  <c r="X371" i="2"/>
  <c r="T371" i="2"/>
  <c r="O371" i="2"/>
  <c r="K371" i="2"/>
  <c r="AK371" i="2"/>
  <c r="AL371" i="2" s="1"/>
  <c r="C368" i="2"/>
  <c r="C369" i="2"/>
  <c r="C370" i="2"/>
  <c r="D368" i="2"/>
  <c r="D369" i="2"/>
  <c r="D370" i="2"/>
  <c r="E368" i="2"/>
  <c r="E369" i="2"/>
  <c r="E370" i="2"/>
  <c r="F368" i="2"/>
  <c r="F369" i="2"/>
  <c r="F370" i="2"/>
  <c r="J368" i="2"/>
  <c r="J369" i="2"/>
  <c r="J370" i="2"/>
  <c r="N368" i="2"/>
  <c r="N369" i="2"/>
  <c r="N370" i="2"/>
  <c r="S368" i="2"/>
  <c r="S369" i="2"/>
  <c r="S370" i="2"/>
  <c r="W368" i="2"/>
  <c r="AE368" i="2" s="1"/>
  <c r="W369" i="2"/>
  <c r="Y369" i="2" s="1"/>
  <c r="Z369" i="2" s="1"/>
  <c r="W370" i="2"/>
  <c r="Y370" i="2" s="1"/>
  <c r="Z370" i="2" s="1"/>
  <c r="AS368" i="2"/>
  <c r="AS369" i="2"/>
  <c r="AS370" i="2"/>
  <c r="AT368" i="2"/>
  <c r="AT369" i="2"/>
  <c r="AT370" i="2"/>
  <c r="O370" i="2" l="1"/>
  <c r="AH371" i="2"/>
  <c r="X370" i="2"/>
  <c r="T370" i="2"/>
  <c r="K368" i="2"/>
  <c r="AE370" i="2"/>
  <c r="AH370" i="2" s="1"/>
  <c r="U368" i="2"/>
  <c r="V368" i="2" s="1"/>
  <c r="K370" i="2"/>
  <c r="K369" i="2"/>
  <c r="P369" i="2"/>
  <c r="Q369" i="2" s="1"/>
  <c r="AI371" i="2"/>
  <c r="AJ371" i="2" s="1"/>
  <c r="AR371" i="2" s="1"/>
  <c r="P368" i="2"/>
  <c r="Q368" i="2" s="1"/>
  <c r="L369" i="2"/>
  <c r="M369" i="2" s="1"/>
  <c r="AH368" i="2"/>
  <c r="AO368" i="2"/>
  <c r="AP368" i="2" s="1"/>
  <c r="AA369" i="2"/>
  <c r="AC369" i="2" s="1"/>
  <c r="AD369" i="2" s="1"/>
  <c r="AK368" i="2"/>
  <c r="AL368" i="2" s="1"/>
  <c r="Y368" i="2"/>
  <c r="Z368" i="2" s="1"/>
  <c r="L370" i="2"/>
  <c r="M370" i="2" s="1"/>
  <c r="AB371" i="2"/>
  <c r="AK370" i="2"/>
  <c r="AL370" i="2" s="1"/>
  <c r="AE369" i="2"/>
  <c r="AI369" i="2" s="1"/>
  <c r="AJ369" i="2" s="1"/>
  <c r="AR369" i="2" s="1"/>
  <c r="AA370" i="2"/>
  <c r="U369" i="2"/>
  <c r="V369" i="2" s="1"/>
  <c r="X369" i="2"/>
  <c r="U370" i="2"/>
  <c r="V370" i="2" s="1"/>
  <c r="AI368" i="2"/>
  <c r="AJ368" i="2" s="1"/>
  <c r="AR368" i="2" s="1"/>
  <c r="AA368" i="2"/>
  <c r="AC368" i="2" s="1"/>
  <c r="AD368" i="2" s="1"/>
  <c r="P370" i="2"/>
  <c r="Q370" i="2" s="1"/>
  <c r="AQ370" i="2" s="1"/>
  <c r="L368" i="2"/>
  <c r="M368" i="2" s="1"/>
  <c r="T369" i="2"/>
  <c r="AI370" i="2"/>
  <c r="AJ370" i="2" s="1"/>
  <c r="AR370" i="2" s="1"/>
  <c r="AK369" i="2"/>
  <c r="AL369" i="2" s="1"/>
  <c r="O369" i="2"/>
  <c r="AQ369" i="2"/>
  <c r="X368" i="2"/>
  <c r="T368" i="2"/>
  <c r="O368" i="2"/>
  <c r="AB369" i="2" l="1"/>
  <c r="AQ368" i="2"/>
  <c r="AO370" i="2"/>
  <c r="AP370" i="2" s="1"/>
  <c r="AH369" i="2"/>
  <c r="AO369" i="2"/>
  <c r="AP369" i="2" s="1"/>
  <c r="AB368" i="2"/>
  <c r="AC370" i="2"/>
  <c r="AD370" i="2" s="1"/>
  <c r="AB370" i="2"/>
  <c r="C367" i="2"/>
  <c r="D367" i="2"/>
  <c r="E367" i="2"/>
  <c r="F367" i="2"/>
  <c r="J367" i="2"/>
  <c r="N367" i="2"/>
  <c r="S367" i="2"/>
  <c r="W367" i="2"/>
  <c r="X367" i="2" s="1"/>
  <c r="AS367" i="2"/>
  <c r="AT367" i="2"/>
  <c r="Y367" i="2" l="1"/>
  <c r="Z367" i="2" s="1"/>
  <c r="K367" i="2"/>
  <c r="T367" i="2"/>
  <c r="AK367" i="2"/>
  <c r="AL367" i="2" s="1"/>
  <c r="O367" i="2"/>
  <c r="U367" i="2"/>
  <c r="V367" i="2" s="1"/>
  <c r="AE367" i="2"/>
  <c r="P367" i="2"/>
  <c r="Q367" i="2" s="1"/>
  <c r="AA367" i="2"/>
  <c r="L367" i="2"/>
  <c r="M367" i="2" s="1"/>
  <c r="C366" i="2"/>
  <c r="D366" i="2"/>
  <c r="E366" i="2"/>
  <c r="F366" i="2"/>
  <c r="J366" i="2"/>
  <c r="N366" i="2"/>
  <c r="S366" i="2"/>
  <c r="W366" i="2"/>
  <c r="AS366" i="2"/>
  <c r="AT366" i="2"/>
  <c r="AQ367" i="2" l="1"/>
  <c r="X366" i="2"/>
  <c r="O366" i="2"/>
  <c r="K366" i="2"/>
  <c r="T366" i="2"/>
  <c r="AB367" i="2"/>
  <c r="AC367" i="2"/>
  <c r="AD367" i="2" s="1"/>
  <c r="AI367" i="2"/>
  <c r="AJ367" i="2" s="1"/>
  <c r="AR367" i="2" s="1"/>
  <c r="AH367" i="2"/>
  <c r="AO367" i="2"/>
  <c r="AP367" i="2" s="1"/>
  <c r="AE366" i="2"/>
  <c r="U366" i="2"/>
  <c r="V366" i="2" s="1"/>
  <c r="AA366" i="2"/>
  <c r="AB366" i="2" s="1"/>
  <c r="AK366" i="2"/>
  <c r="AL366" i="2" s="1"/>
  <c r="Y366" i="2"/>
  <c r="Z366" i="2" s="1"/>
  <c r="P366" i="2"/>
  <c r="Q366" i="2" s="1"/>
  <c r="L366" i="2"/>
  <c r="M366" i="2" s="1"/>
  <c r="C360" i="2"/>
  <c r="C361" i="2"/>
  <c r="C362" i="2"/>
  <c r="C363" i="2"/>
  <c r="C364" i="2"/>
  <c r="C365" i="2"/>
  <c r="D360" i="2"/>
  <c r="D361" i="2"/>
  <c r="D362" i="2"/>
  <c r="D363" i="2"/>
  <c r="D364" i="2"/>
  <c r="D365" i="2"/>
  <c r="E360" i="2"/>
  <c r="E361" i="2"/>
  <c r="E362" i="2"/>
  <c r="E363" i="2"/>
  <c r="E364" i="2"/>
  <c r="E365" i="2"/>
  <c r="F360" i="2"/>
  <c r="F361" i="2"/>
  <c r="F362" i="2"/>
  <c r="F363" i="2"/>
  <c r="F364" i="2"/>
  <c r="F365" i="2"/>
  <c r="J360" i="2"/>
  <c r="J361" i="2"/>
  <c r="J362" i="2"/>
  <c r="J363" i="2"/>
  <c r="J364" i="2"/>
  <c r="J365" i="2"/>
  <c r="N360" i="2"/>
  <c r="P360" i="2" s="1"/>
  <c r="Q360" i="2" s="1"/>
  <c r="N361" i="2"/>
  <c r="O361" i="2" s="1"/>
  <c r="N362" i="2"/>
  <c r="N363" i="2"/>
  <c r="O363" i="2" s="1"/>
  <c r="N364" i="2"/>
  <c r="O364" i="2" s="1"/>
  <c r="N365" i="2"/>
  <c r="O365" i="2" s="1"/>
  <c r="S360" i="2"/>
  <c r="U360" i="2" s="1"/>
  <c r="V360" i="2" s="1"/>
  <c r="S361" i="2"/>
  <c r="S362" i="2"/>
  <c r="AA362" i="2" s="1"/>
  <c r="S363" i="2"/>
  <c r="S364" i="2"/>
  <c r="S365" i="2"/>
  <c r="W360" i="2"/>
  <c r="W361" i="2"/>
  <c r="W362" i="2"/>
  <c r="W363" i="2"/>
  <c r="W364" i="2"/>
  <c r="W365" i="2"/>
  <c r="AS360" i="2"/>
  <c r="AS361" i="2"/>
  <c r="AS362" i="2"/>
  <c r="AS363" i="2"/>
  <c r="AS364" i="2"/>
  <c r="AS365" i="2"/>
  <c r="AT360" i="2"/>
  <c r="AT361" i="2"/>
  <c r="AT362" i="2"/>
  <c r="AT363" i="2"/>
  <c r="AT364" i="2"/>
  <c r="AT365" i="2"/>
  <c r="AA361" i="2" l="1"/>
  <c r="T363" i="2"/>
  <c r="K363" i="2"/>
  <c r="AC366" i="2"/>
  <c r="AD366" i="2" s="1"/>
  <c r="AA365" i="2"/>
  <c r="AB365" i="2" s="1"/>
  <c r="X361" i="2"/>
  <c r="AE362" i="2"/>
  <c r="AO362" i="2" s="1"/>
  <c r="AP362" i="2" s="1"/>
  <c r="X363" i="2"/>
  <c r="U364" i="2"/>
  <c r="V364" i="2" s="1"/>
  <c r="T360" i="2"/>
  <c r="K364" i="2"/>
  <c r="K360" i="2"/>
  <c r="Y362" i="2"/>
  <c r="Z362" i="2" s="1"/>
  <c r="K362" i="2"/>
  <c r="AE363" i="2"/>
  <c r="AH363" i="2" s="1"/>
  <c r="Y364" i="2"/>
  <c r="Z364" i="2" s="1"/>
  <c r="Y360" i="2"/>
  <c r="Z360" i="2" s="1"/>
  <c r="AQ360" i="2" s="1"/>
  <c r="AQ366" i="2"/>
  <c r="T364" i="2"/>
  <c r="K361" i="2"/>
  <c r="AK363" i="2"/>
  <c r="AL363" i="2" s="1"/>
  <c r="X362" i="2"/>
  <c r="AC362" i="2"/>
  <c r="AD362" i="2" s="1"/>
  <c r="K365" i="2"/>
  <c r="T361" i="2"/>
  <c r="AK362" i="2"/>
  <c r="U363" i="2"/>
  <c r="V363" i="2" s="1"/>
  <c r="AE365" i="2"/>
  <c r="AH365" i="2" s="1"/>
  <c r="X364" i="2"/>
  <c r="T365" i="2"/>
  <c r="AK361" i="2"/>
  <c r="AL361" i="2" s="1"/>
  <c r="X360" i="2"/>
  <c r="L363" i="2"/>
  <c r="M363" i="2" s="1"/>
  <c r="AO365" i="2"/>
  <c r="AP365" i="2" s="1"/>
  <c r="AK365" i="2"/>
  <c r="AL365" i="2" s="1"/>
  <c r="AE361" i="2"/>
  <c r="AI361" i="2" s="1"/>
  <c r="AJ361" i="2" s="1"/>
  <c r="AR361" i="2" s="1"/>
  <c r="AB361" i="2"/>
  <c r="X365" i="2"/>
  <c r="P362" i="2"/>
  <c r="Q362" i="2" s="1"/>
  <c r="AQ362" i="2" s="1"/>
  <c r="L362" i="2"/>
  <c r="M362" i="2" s="1"/>
  <c r="AH366" i="2"/>
  <c r="AI366" i="2"/>
  <c r="AJ366" i="2" s="1"/>
  <c r="AR366" i="2" s="1"/>
  <c r="AO366" i="2"/>
  <c r="AP366" i="2" s="1"/>
  <c r="AL362" i="2"/>
  <c r="U362" i="2"/>
  <c r="V362" i="2" s="1"/>
  <c r="T362" i="2"/>
  <c r="P364" i="2"/>
  <c r="Q364" i="2" s="1"/>
  <c r="O362" i="2"/>
  <c r="AB362" i="2"/>
  <c r="AA364" i="2"/>
  <c r="AA360" i="2"/>
  <c r="P363" i="2"/>
  <c r="Q363" i="2" s="1"/>
  <c r="O360" i="2"/>
  <c r="L360" i="2"/>
  <c r="M360" i="2" s="1"/>
  <c r="AK364" i="2"/>
  <c r="AL364" i="2" s="1"/>
  <c r="AK360" i="2"/>
  <c r="AL360" i="2" s="1"/>
  <c r="AE364" i="2"/>
  <c r="AE360" i="2"/>
  <c r="AA363" i="2"/>
  <c r="AB363" i="2" s="1"/>
  <c r="Y363" i="2"/>
  <c r="Z363" i="2" s="1"/>
  <c r="L364" i="2"/>
  <c r="M364" i="2" s="1"/>
  <c r="P365" i="2"/>
  <c r="Q365" i="2" s="1"/>
  <c r="P361" i="2"/>
  <c r="Q361" i="2" s="1"/>
  <c r="L365" i="2"/>
  <c r="M365" i="2" s="1"/>
  <c r="L361" i="2"/>
  <c r="M361" i="2" s="1"/>
  <c r="AC365" i="2"/>
  <c r="AD365" i="2" s="1"/>
  <c r="AC361" i="2"/>
  <c r="AD361" i="2" s="1"/>
  <c r="Y365" i="2"/>
  <c r="Z365" i="2" s="1"/>
  <c r="Y361" i="2"/>
  <c r="Z361" i="2" s="1"/>
  <c r="U365" i="2"/>
  <c r="V365" i="2" s="1"/>
  <c r="U361" i="2"/>
  <c r="V361" i="2" s="1"/>
  <c r="C357" i="2"/>
  <c r="C358" i="2"/>
  <c r="C359" i="2"/>
  <c r="D357" i="2"/>
  <c r="D358" i="2"/>
  <c r="D359" i="2"/>
  <c r="E357" i="2"/>
  <c r="E358" i="2"/>
  <c r="E359" i="2"/>
  <c r="F357" i="2"/>
  <c r="F358" i="2"/>
  <c r="F359" i="2"/>
  <c r="J357" i="2"/>
  <c r="J358" i="2"/>
  <c r="J359" i="2"/>
  <c r="N357" i="2"/>
  <c r="N358" i="2"/>
  <c r="N359" i="2"/>
  <c r="S357" i="2"/>
  <c r="S358" i="2"/>
  <c r="S359" i="2"/>
  <c r="W357" i="2"/>
  <c r="Y357" i="2" s="1"/>
  <c r="Z357" i="2" s="1"/>
  <c r="W358" i="2"/>
  <c r="W359" i="2"/>
  <c r="Y359" i="2" s="1"/>
  <c r="Z359" i="2" s="1"/>
  <c r="AS357" i="2"/>
  <c r="AS358" i="2"/>
  <c r="AS359" i="2"/>
  <c r="AT357" i="2"/>
  <c r="AT358" i="2"/>
  <c r="AT359" i="2"/>
  <c r="AO363" i="2" l="1"/>
  <c r="AP363" i="2" s="1"/>
  <c r="AI363" i="2"/>
  <c r="AJ363" i="2" s="1"/>
  <c r="AR363" i="2" s="1"/>
  <c r="AI362" i="2"/>
  <c r="AJ362" i="2" s="1"/>
  <c r="AR362" i="2" s="1"/>
  <c r="AH362" i="2"/>
  <c r="AQ363" i="2"/>
  <c r="T359" i="2"/>
  <c r="AI365" i="2"/>
  <c r="AJ365" i="2" s="1"/>
  <c r="AR365" i="2" s="1"/>
  <c r="AQ364" i="2"/>
  <c r="K359" i="2"/>
  <c r="L358" i="2"/>
  <c r="M358" i="2" s="1"/>
  <c r="AQ365" i="2"/>
  <c r="AC363" i="2"/>
  <c r="AD363" i="2" s="1"/>
  <c r="AH361" i="2"/>
  <c r="AO361" i="2"/>
  <c r="AP361" i="2" s="1"/>
  <c r="U358" i="2"/>
  <c r="V358" i="2" s="1"/>
  <c r="P357" i="2"/>
  <c r="Q357" i="2" s="1"/>
  <c r="AQ357" i="2" s="1"/>
  <c r="AH364" i="2"/>
  <c r="AO364" i="2"/>
  <c r="AP364" i="2" s="1"/>
  <c r="AI364" i="2"/>
  <c r="AJ364" i="2" s="1"/>
  <c r="AR364" i="2" s="1"/>
  <c r="U357" i="2"/>
  <c r="V357" i="2" s="1"/>
  <c r="AK359" i="2"/>
  <c r="AL359" i="2" s="1"/>
  <c r="AC360" i="2"/>
  <c r="AD360" i="2" s="1"/>
  <c r="AB360" i="2"/>
  <c r="AA358" i="2"/>
  <c r="AC358" i="2" s="1"/>
  <c r="AD358" i="2" s="1"/>
  <c r="P358" i="2"/>
  <c r="Q358" i="2" s="1"/>
  <c r="AQ361" i="2"/>
  <c r="AO360" i="2"/>
  <c r="AP360" i="2" s="1"/>
  <c r="AI360" i="2"/>
  <c r="AJ360" i="2" s="1"/>
  <c r="AR360" i="2" s="1"/>
  <c r="AH360" i="2"/>
  <c r="AB364" i="2"/>
  <c r="AC364" i="2"/>
  <c r="AD364" i="2" s="1"/>
  <c r="Y358" i="2"/>
  <c r="Z358" i="2" s="1"/>
  <c r="L359" i="2"/>
  <c r="M359" i="2" s="1"/>
  <c r="AA359" i="2"/>
  <c r="AB359" i="2" s="1"/>
  <c r="X359" i="2"/>
  <c r="O359" i="2"/>
  <c r="L357" i="2"/>
  <c r="M357" i="2" s="1"/>
  <c r="AE359" i="2"/>
  <c r="AH359" i="2" s="1"/>
  <c r="X358" i="2"/>
  <c r="U359" i="2"/>
  <c r="V359" i="2" s="1"/>
  <c r="P359" i="2"/>
  <c r="Q359" i="2" s="1"/>
  <c r="AQ359" i="2" s="1"/>
  <c r="AK358" i="2"/>
  <c r="AL358" i="2" s="1"/>
  <c r="AE358" i="2"/>
  <c r="AI358" i="2" s="1"/>
  <c r="AJ358" i="2" s="1"/>
  <c r="AR358" i="2" s="1"/>
  <c r="AA357" i="2"/>
  <c r="AC357" i="2" s="1"/>
  <c r="AD357" i="2" s="1"/>
  <c r="AK357" i="2"/>
  <c r="AL357" i="2" s="1"/>
  <c r="AE357" i="2"/>
  <c r="K357" i="2"/>
  <c r="T358" i="2"/>
  <c r="O358" i="2"/>
  <c r="K358" i="2"/>
  <c r="X357" i="2"/>
  <c r="T357" i="2"/>
  <c r="O357" i="2"/>
  <c r="C356" i="2"/>
  <c r="D356" i="2"/>
  <c r="E356" i="2"/>
  <c r="F356" i="2"/>
  <c r="J356" i="2"/>
  <c r="N356" i="2"/>
  <c r="S356" i="2"/>
  <c r="W356" i="2"/>
  <c r="X356" i="2" s="1"/>
  <c r="AS356" i="2"/>
  <c r="AT356" i="2"/>
  <c r="AQ358" i="2" l="1"/>
  <c r="K356" i="2"/>
  <c r="AB358" i="2"/>
  <c r="AC359" i="2"/>
  <c r="AD359" i="2" s="1"/>
  <c r="AO359" i="2"/>
  <c r="AP359" i="2" s="1"/>
  <c r="AI359" i="2"/>
  <c r="AJ359" i="2" s="1"/>
  <c r="AR359" i="2" s="1"/>
  <c r="T356" i="2"/>
  <c r="AH358" i="2"/>
  <c r="AO358" i="2"/>
  <c r="AP358" i="2" s="1"/>
  <c r="O356" i="2"/>
  <c r="AB357" i="2"/>
  <c r="AH357" i="2"/>
  <c r="AO357" i="2"/>
  <c r="AP357" i="2" s="1"/>
  <c r="AI357" i="2"/>
  <c r="AJ357" i="2" s="1"/>
  <c r="AR357" i="2" s="1"/>
  <c r="AK356" i="2"/>
  <c r="AL356" i="2" s="1"/>
  <c r="AA356" i="2"/>
  <c r="AB356" i="2" s="1"/>
  <c r="P356" i="2"/>
  <c r="Q356" i="2" s="1"/>
  <c r="Y356" i="2"/>
  <c r="Z356" i="2" s="1"/>
  <c r="U356" i="2"/>
  <c r="V356" i="2" s="1"/>
  <c r="AE356" i="2"/>
  <c r="L356" i="2"/>
  <c r="M356" i="2" s="1"/>
  <c r="C355" i="2"/>
  <c r="D355" i="2"/>
  <c r="E355" i="2"/>
  <c r="F355" i="2"/>
  <c r="J355" i="2"/>
  <c r="N355" i="2"/>
  <c r="S355" i="2"/>
  <c r="W355" i="2"/>
  <c r="X355" i="2" s="1"/>
  <c r="AS355" i="2"/>
  <c r="AT355" i="2"/>
  <c r="AC356" i="2" l="1"/>
  <c r="AD356" i="2" s="1"/>
  <c r="AA355" i="2"/>
  <c r="AB355" i="2" s="1"/>
  <c r="AQ356" i="2"/>
  <c r="O355" i="2"/>
  <c r="AO356" i="2"/>
  <c r="AP356" i="2" s="1"/>
  <c r="AH356" i="2"/>
  <c r="AI356" i="2"/>
  <c r="AJ356" i="2" s="1"/>
  <c r="AR356" i="2" s="1"/>
  <c r="K355" i="2"/>
  <c r="T355" i="2"/>
  <c r="AK355" i="2"/>
  <c r="AL355" i="2" s="1"/>
  <c r="P355" i="2"/>
  <c r="Q355" i="2" s="1"/>
  <c r="Y355" i="2"/>
  <c r="Z355" i="2" s="1"/>
  <c r="AE355" i="2"/>
  <c r="AO355" i="2" s="1"/>
  <c r="AP355" i="2" s="1"/>
  <c r="U355" i="2"/>
  <c r="V355" i="2" s="1"/>
  <c r="L355" i="2"/>
  <c r="M355" i="2" s="1"/>
  <c r="C354" i="2"/>
  <c r="D354" i="2"/>
  <c r="E354" i="2"/>
  <c r="F354" i="2"/>
  <c r="J354" i="2"/>
  <c r="N354" i="2"/>
  <c r="S354" i="2"/>
  <c r="W354" i="2"/>
  <c r="X354" i="2" s="1"/>
  <c r="AS354" i="2"/>
  <c r="AT354" i="2"/>
  <c r="AC355" i="2" l="1"/>
  <c r="AD355" i="2" s="1"/>
  <c r="AA354" i="2"/>
  <c r="AB354" i="2" s="1"/>
  <c r="AC354" i="2"/>
  <c r="AD354" i="2" s="1"/>
  <c r="O354" i="2"/>
  <c r="AQ355" i="2"/>
  <c r="AH355" i="2"/>
  <c r="AI355" i="2"/>
  <c r="AJ355" i="2" s="1"/>
  <c r="AR355" i="2" s="1"/>
  <c r="K354" i="2"/>
  <c r="AK354" i="2"/>
  <c r="AL354" i="2" s="1"/>
  <c r="AE354" i="2"/>
  <c r="T354" i="2"/>
  <c r="U354" i="2"/>
  <c r="V354" i="2" s="1"/>
  <c r="Y354" i="2"/>
  <c r="Z354" i="2" s="1"/>
  <c r="P354" i="2"/>
  <c r="Q354" i="2" s="1"/>
  <c r="L354" i="2"/>
  <c r="M354" i="2" s="1"/>
  <c r="C353" i="2"/>
  <c r="D353" i="2"/>
  <c r="E353" i="2"/>
  <c r="F353" i="2"/>
  <c r="J353" i="2"/>
  <c r="N353" i="2"/>
  <c r="S353" i="2"/>
  <c r="W353" i="2"/>
  <c r="X353" i="2" s="1"/>
  <c r="AS353" i="2"/>
  <c r="AT353" i="2"/>
  <c r="K353" i="2" l="1"/>
  <c r="T353" i="2"/>
  <c r="AH354" i="2"/>
  <c r="AO354" i="2"/>
  <c r="AP354" i="2" s="1"/>
  <c r="AI354" i="2"/>
  <c r="AJ354" i="2" s="1"/>
  <c r="AR354" i="2" s="1"/>
  <c r="AQ354" i="2"/>
  <c r="O353" i="2"/>
  <c r="U353" i="2"/>
  <c r="V353" i="2" s="1"/>
  <c r="Y353" i="2"/>
  <c r="Z353" i="2" s="1"/>
  <c r="AE353" i="2"/>
  <c r="AK353" i="2"/>
  <c r="AL353" i="2" s="1"/>
  <c r="AA353" i="2"/>
  <c r="P353" i="2"/>
  <c r="Q353" i="2" s="1"/>
  <c r="AQ353" i="2" s="1"/>
  <c r="L353" i="2"/>
  <c r="M353" i="2" s="1"/>
  <c r="C351" i="2"/>
  <c r="C352" i="2"/>
  <c r="D351" i="2"/>
  <c r="D352" i="2"/>
  <c r="E351" i="2"/>
  <c r="E352" i="2"/>
  <c r="F351" i="2"/>
  <c r="F352" i="2"/>
  <c r="J351" i="2"/>
  <c r="J352" i="2"/>
  <c r="N351" i="2"/>
  <c r="O351" i="2" s="1"/>
  <c r="N352" i="2"/>
  <c r="S351" i="2"/>
  <c r="S352" i="2"/>
  <c r="W351" i="2"/>
  <c r="X351" i="2" s="1"/>
  <c r="W352" i="2"/>
  <c r="X352" i="2" s="1"/>
  <c r="AS351" i="2"/>
  <c r="AS352" i="2"/>
  <c r="AT351" i="2"/>
  <c r="AT352" i="2"/>
  <c r="O352" i="2" l="1"/>
  <c r="AK351" i="2"/>
  <c r="AL351" i="2" s="1"/>
  <c r="Y351" i="2"/>
  <c r="Z351" i="2" s="1"/>
  <c r="T351" i="2"/>
  <c r="K351" i="2"/>
  <c r="AE351" i="2"/>
  <c r="AH351" i="2" s="1"/>
  <c r="AA352" i="2"/>
  <c r="AB353" i="2"/>
  <c r="AC353" i="2"/>
  <c r="AD353" i="2" s="1"/>
  <c r="AO353" i="2"/>
  <c r="AP353" i="2" s="1"/>
  <c r="AH353" i="2"/>
  <c r="AI353" i="2"/>
  <c r="AJ353" i="2" s="1"/>
  <c r="AR353" i="2" s="1"/>
  <c r="AB352" i="2"/>
  <c r="AK352" i="2"/>
  <c r="AL352" i="2" s="1"/>
  <c r="AA351" i="2"/>
  <c r="AB351" i="2" s="1"/>
  <c r="T352" i="2"/>
  <c r="K352" i="2"/>
  <c r="AE352" i="2"/>
  <c r="AH352" i="2" s="1"/>
  <c r="Y352" i="2"/>
  <c r="Z352" i="2" s="1"/>
  <c r="U352" i="2"/>
  <c r="V352" i="2" s="1"/>
  <c r="U351" i="2"/>
  <c r="V351" i="2" s="1"/>
  <c r="AC352" i="2"/>
  <c r="AD352" i="2" s="1"/>
  <c r="P352" i="2"/>
  <c r="Q352" i="2" s="1"/>
  <c r="AQ352" i="2" s="1"/>
  <c r="L352" i="2"/>
  <c r="M352" i="2" s="1"/>
  <c r="AO351" i="2"/>
  <c r="AP351" i="2" s="1"/>
  <c r="P351" i="2"/>
  <c r="Q351" i="2" s="1"/>
  <c r="L351" i="2"/>
  <c r="M351" i="2" s="1"/>
  <c r="AQ351" i="2" l="1"/>
  <c r="AI351" i="2"/>
  <c r="AJ351" i="2" s="1"/>
  <c r="AR351" i="2" s="1"/>
  <c r="AC351" i="2"/>
  <c r="AD351" i="2" s="1"/>
  <c r="AO352" i="2"/>
  <c r="AP352" i="2" s="1"/>
  <c r="AI352" i="2"/>
  <c r="AJ352" i="2" s="1"/>
  <c r="AR352" i="2" s="1"/>
  <c r="C349" i="2"/>
  <c r="C350" i="2"/>
  <c r="D349" i="2"/>
  <c r="D350" i="2"/>
  <c r="E349" i="2"/>
  <c r="E350" i="2"/>
  <c r="F349" i="2"/>
  <c r="F350" i="2"/>
  <c r="J349" i="2"/>
  <c r="J350" i="2"/>
  <c r="N349" i="2"/>
  <c r="O349" i="2" s="1"/>
  <c r="N350" i="2"/>
  <c r="O350" i="2" s="1"/>
  <c r="S349" i="2"/>
  <c r="S350" i="2"/>
  <c r="W349" i="2"/>
  <c r="X349" i="2" s="1"/>
  <c r="W350" i="2"/>
  <c r="X350" i="2" s="1"/>
  <c r="AS349" i="2"/>
  <c r="AS350" i="2"/>
  <c r="AT349" i="2"/>
  <c r="AT350" i="2"/>
  <c r="AA350" i="2" l="1"/>
  <c r="AB350" i="2" s="1"/>
  <c r="T349" i="2"/>
  <c r="K349" i="2"/>
  <c r="AK350" i="2"/>
  <c r="AL350" i="2" s="1"/>
  <c r="AE349" i="2"/>
  <c r="AH349" i="2" s="1"/>
  <c r="T350" i="2"/>
  <c r="K350" i="2"/>
  <c r="AK349" i="2"/>
  <c r="AL349" i="2" s="1"/>
  <c r="Y349" i="2"/>
  <c r="Z349" i="2" s="1"/>
  <c r="U349" i="2"/>
  <c r="V349" i="2" s="1"/>
  <c r="AE350" i="2"/>
  <c r="AH350" i="2" s="1"/>
  <c r="AA349" i="2"/>
  <c r="P349" i="2"/>
  <c r="Q349" i="2" s="1"/>
  <c r="AQ349" i="2" s="1"/>
  <c r="L349" i="2"/>
  <c r="M349" i="2" s="1"/>
  <c r="P350" i="2"/>
  <c r="Q350" i="2" s="1"/>
  <c r="L350" i="2"/>
  <c r="M350" i="2" s="1"/>
  <c r="AC350" i="2"/>
  <c r="AD350" i="2" s="1"/>
  <c r="Y350" i="2"/>
  <c r="Z350" i="2" s="1"/>
  <c r="U350" i="2"/>
  <c r="V350" i="2" s="1"/>
  <c r="C344" i="2"/>
  <c r="C345" i="2"/>
  <c r="C346" i="2"/>
  <c r="C347" i="2"/>
  <c r="C348" i="2"/>
  <c r="D344" i="2"/>
  <c r="D345" i="2"/>
  <c r="D346" i="2"/>
  <c r="D347" i="2"/>
  <c r="D348" i="2"/>
  <c r="E344" i="2"/>
  <c r="E345" i="2"/>
  <c r="E346" i="2"/>
  <c r="E347" i="2"/>
  <c r="E348" i="2"/>
  <c r="F344" i="2"/>
  <c r="F345" i="2"/>
  <c r="F346" i="2"/>
  <c r="F347" i="2"/>
  <c r="F348" i="2"/>
  <c r="J344" i="2"/>
  <c r="J345" i="2"/>
  <c r="J346" i="2"/>
  <c r="J347" i="2"/>
  <c r="J348" i="2"/>
  <c r="N344" i="2"/>
  <c r="N345" i="2"/>
  <c r="N346" i="2"/>
  <c r="N347" i="2"/>
  <c r="N348" i="2"/>
  <c r="S344" i="2"/>
  <c r="S345" i="2"/>
  <c r="S346" i="2"/>
  <c r="S347" i="2"/>
  <c r="S348" i="2"/>
  <c r="W344" i="2"/>
  <c r="W345" i="2"/>
  <c r="W346" i="2"/>
  <c r="W347" i="2"/>
  <c r="W348" i="2"/>
  <c r="AS344" i="2"/>
  <c r="AS345" i="2"/>
  <c r="AS346" i="2"/>
  <c r="AS347" i="2"/>
  <c r="AS348" i="2"/>
  <c r="AT344" i="2"/>
  <c r="AT345" i="2"/>
  <c r="AT346" i="2"/>
  <c r="AT347" i="2"/>
  <c r="AT348" i="2"/>
  <c r="P345" i="2" l="1"/>
  <c r="Q345" i="2" s="1"/>
  <c r="AK347" i="2"/>
  <c r="T347" i="2"/>
  <c r="Y345" i="2"/>
  <c r="Z345" i="2" s="1"/>
  <c r="AK345" i="2"/>
  <c r="AL345" i="2" s="1"/>
  <c r="X348" i="2"/>
  <c r="AQ350" i="2"/>
  <c r="T346" i="2"/>
  <c r="O348" i="2"/>
  <c r="O344" i="2"/>
  <c r="K346" i="2"/>
  <c r="Y348" i="2"/>
  <c r="Z348" i="2" s="1"/>
  <c r="X344" i="2"/>
  <c r="AL347" i="2"/>
  <c r="U347" i="2"/>
  <c r="V347" i="2" s="1"/>
  <c r="L347" i="2"/>
  <c r="M347" i="2" s="1"/>
  <c r="AI349" i="2"/>
  <c r="AJ349" i="2" s="1"/>
  <c r="AR349" i="2" s="1"/>
  <c r="AA346" i="2"/>
  <c r="AB346" i="2" s="1"/>
  <c r="O346" i="2"/>
  <c r="AO349" i="2"/>
  <c r="AP349" i="2" s="1"/>
  <c r="AK346" i="2"/>
  <c r="AL346" i="2" s="1"/>
  <c r="K347" i="2"/>
  <c r="AA345" i="2"/>
  <c r="AB345" i="2" s="1"/>
  <c r="U344" i="2"/>
  <c r="V344" i="2" s="1"/>
  <c r="X345" i="2"/>
  <c r="AA347" i="2"/>
  <c r="AB347" i="2" s="1"/>
  <c r="O345" i="2"/>
  <c r="AE345" i="2"/>
  <c r="AH345" i="2" s="1"/>
  <c r="Y346" i="2"/>
  <c r="Z346" i="2" s="1"/>
  <c r="K344" i="2"/>
  <c r="AE346" i="2"/>
  <c r="AI346" i="2" s="1"/>
  <c r="AJ346" i="2" s="1"/>
  <c r="AR346" i="2" s="1"/>
  <c r="AE347" i="2"/>
  <c r="AH347" i="2" s="1"/>
  <c r="K348" i="2"/>
  <c r="AA348" i="2"/>
  <c r="AA344" i="2"/>
  <c r="T348" i="2"/>
  <c r="T344" i="2"/>
  <c r="O347" i="2"/>
  <c r="AC345" i="2"/>
  <c r="AD345" i="2" s="1"/>
  <c r="AI350" i="2"/>
  <c r="AJ350" i="2" s="1"/>
  <c r="AR350" i="2" s="1"/>
  <c r="AO350" i="2"/>
  <c r="AP350" i="2" s="1"/>
  <c r="AB349" i="2"/>
  <c r="AC349" i="2"/>
  <c r="AD349" i="2" s="1"/>
  <c r="X346" i="2"/>
  <c r="X347" i="2"/>
  <c r="U346" i="2"/>
  <c r="V346" i="2" s="1"/>
  <c r="T345" i="2"/>
  <c r="P348" i="2"/>
  <c r="Q348" i="2" s="1"/>
  <c r="P344" i="2"/>
  <c r="Q344" i="2" s="1"/>
  <c r="L346" i="2"/>
  <c r="M346" i="2" s="1"/>
  <c r="K345" i="2"/>
  <c r="AE348" i="2"/>
  <c r="AC346" i="2"/>
  <c r="AD346" i="2" s="1"/>
  <c r="P347" i="2"/>
  <c r="Q347" i="2" s="1"/>
  <c r="L345" i="2"/>
  <c r="M345" i="2" s="1"/>
  <c r="AE344" i="2"/>
  <c r="AK348" i="2"/>
  <c r="AL348" i="2" s="1"/>
  <c r="AK344" i="2"/>
  <c r="AL344" i="2" s="1"/>
  <c r="Y344" i="2"/>
  <c r="Z344" i="2" s="1"/>
  <c r="U348" i="2"/>
  <c r="V348" i="2" s="1"/>
  <c r="P346" i="2"/>
  <c r="Q346" i="2" s="1"/>
  <c r="L348" i="2"/>
  <c r="M348" i="2" s="1"/>
  <c r="L344" i="2"/>
  <c r="M344" i="2" s="1"/>
  <c r="Y347" i="2"/>
  <c r="Z347" i="2" s="1"/>
  <c r="U345" i="2"/>
  <c r="V345" i="2" s="1"/>
  <c r="AQ345" i="2" l="1"/>
  <c r="AQ348" i="2"/>
  <c r="AQ346" i="2"/>
  <c r="AC347" i="2"/>
  <c r="AD347" i="2" s="1"/>
  <c r="AQ344" i="2"/>
  <c r="AO345" i="2"/>
  <c r="AP345" i="2" s="1"/>
  <c r="AI345" i="2"/>
  <c r="AJ345" i="2" s="1"/>
  <c r="AR345" i="2" s="1"/>
  <c r="AB344" i="2"/>
  <c r="AC344" i="2"/>
  <c r="AD344" i="2" s="1"/>
  <c r="AO346" i="2"/>
  <c r="AP346" i="2" s="1"/>
  <c r="AH346" i="2"/>
  <c r="AI347" i="2"/>
  <c r="AJ347" i="2" s="1"/>
  <c r="AR347" i="2" s="1"/>
  <c r="AO347" i="2"/>
  <c r="AP347" i="2" s="1"/>
  <c r="AB348" i="2"/>
  <c r="AC348" i="2"/>
  <c r="AD348" i="2" s="1"/>
  <c r="AH348" i="2"/>
  <c r="AI348" i="2"/>
  <c r="AJ348" i="2" s="1"/>
  <c r="AR348" i="2" s="1"/>
  <c r="AO348" i="2"/>
  <c r="AP348" i="2" s="1"/>
  <c r="AQ347" i="2"/>
  <c r="AI344" i="2"/>
  <c r="AJ344" i="2" s="1"/>
  <c r="AR344" i="2" s="1"/>
  <c r="AO344" i="2"/>
  <c r="AP344" i="2" s="1"/>
  <c r="AH344" i="2"/>
  <c r="C341" i="2" l="1"/>
  <c r="C342" i="2"/>
  <c r="C343" i="2"/>
  <c r="D341" i="2"/>
  <c r="D342" i="2"/>
  <c r="D343" i="2"/>
  <c r="E341" i="2"/>
  <c r="E342" i="2"/>
  <c r="E343" i="2"/>
  <c r="F341" i="2"/>
  <c r="F342" i="2"/>
  <c r="F343" i="2"/>
  <c r="J341" i="2"/>
  <c r="J342" i="2"/>
  <c r="L342" i="2" s="1"/>
  <c r="M342" i="2" s="1"/>
  <c r="J343" i="2"/>
  <c r="N341" i="2"/>
  <c r="N342" i="2"/>
  <c r="N343" i="2"/>
  <c r="S341" i="2"/>
  <c r="S342" i="2"/>
  <c r="S343" i="2"/>
  <c r="W341" i="2"/>
  <c r="AK341" i="2" s="1"/>
  <c r="AL341" i="2" s="1"/>
  <c r="W342" i="2"/>
  <c r="Y342" i="2" s="1"/>
  <c r="Z342" i="2" s="1"/>
  <c r="W343" i="2"/>
  <c r="X343" i="2" s="1"/>
  <c r="AS341" i="2"/>
  <c r="AS342" i="2"/>
  <c r="AS343" i="2"/>
  <c r="AT341" i="2"/>
  <c r="AT342" i="2"/>
  <c r="AT343" i="2"/>
  <c r="U342" i="2" l="1"/>
  <c r="V342" i="2" s="1"/>
  <c r="AA343" i="2"/>
  <c r="AB343" i="2" s="1"/>
  <c r="P342" i="2"/>
  <c r="Q342" i="2" s="1"/>
  <c r="AQ342" i="2" s="1"/>
  <c r="O343" i="2"/>
  <c r="P341" i="2"/>
  <c r="Q341" i="2" s="1"/>
  <c r="K341" i="2"/>
  <c r="T341" i="2"/>
  <c r="AE343" i="2"/>
  <c r="AH343" i="2" s="1"/>
  <c r="T343" i="2"/>
  <c r="AK343" i="2"/>
  <c r="AL343" i="2" s="1"/>
  <c r="AE342" i="2"/>
  <c r="AO342" i="2" s="1"/>
  <c r="AP342" i="2" s="1"/>
  <c r="AA342" i="2"/>
  <c r="AC342" i="2" s="1"/>
  <c r="AD342" i="2" s="1"/>
  <c r="X341" i="2"/>
  <c r="AE341" i="2"/>
  <c r="Y341" i="2"/>
  <c r="Z341" i="2" s="1"/>
  <c r="U343" i="2"/>
  <c r="V343" i="2" s="1"/>
  <c r="O341" i="2"/>
  <c r="AA341" i="2"/>
  <c r="AB341" i="2" s="1"/>
  <c r="K343" i="2"/>
  <c r="L343" i="2"/>
  <c r="M343" i="2" s="1"/>
  <c r="L341" i="2"/>
  <c r="M341" i="2" s="1"/>
  <c r="Y343" i="2"/>
  <c r="Z343" i="2" s="1"/>
  <c r="X342" i="2"/>
  <c r="T342" i="2"/>
  <c r="P343" i="2"/>
  <c r="Q343" i="2" s="1"/>
  <c r="O342" i="2"/>
  <c r="K342" i="2"/>
  <c r="AK342" i="2"/>
  <c r="AL342" i="2" s="1"/>
  <c r="U341" i="2"/>
  <c r="V341" i="2" s="1"/>
  <c r="C338" i="2"/>
  <c r="C339" i="2"/>
  <c r="C340" i="2"/>
  <c r="D338" i="2"/>
  <c r="D339" i="2"/>
  <c r="D340" i="2"/>
  <c r="E338" i="2"/>
  <c r="E339" i="2"/>
  <c r="E340" i="2"/>
  <c r="F338" i="2"/>
  <c r="F339" i="2"/>
  <c r="F340" i="2"/>
  <c r="J338" i="2"/>
  <c r="J339" i="2"/>
  <c r="J340" i="2"/>
  <c r="N338" i="2"/>
  <c r="N339" i="2"/>
  <c r="N340" i="2"/>
  <c r="S338" i="2"/>
  <c r="S339" i="2"/>
  <c r="S340" i="2"/>
  <c r="W338" i="2"/>
  <c r="W339" i="2"/>
  <c r="W340" i="2"/>
  <c r="AS338" i="2"/>
  <c r="AS339" i="2"/>
  <c r="AS340" i="2"/>
  <c r="AT338" i="2"/>
  <c r="AT339" i="2"/>
  <c r="AT340" i="2"/>
  <c r="AC343" i="2" l="1"/>
  <c r="AD343" i="2" s="1"/>
  <c r="AQ341" i="2"/>
  <c r="AO343" i="2"/>
  <c r="AP343" i="2" s="1"/>
  <c r="AI343" i="2"/>
  <c r="AJ343" i="2" s="1"/>
  <c r="AR343" i="2" s="1"/>
  <c r="AK340" i="2"/>
  <c r="AL340" i="2" s="1"/>
  <c r="U340" i="2"/>
  <c r="V340" i="2" s="1"/>
  <c r="AK339" i="2"/>
  <c r="AL339" i="2" s="1"/>
  <c r="K340" i="2"/>
  <c r="O339" i="2"/>
  <c r="K339" i="2"/>
  <c r="X339" i="2"/>
  <c r="AE339" i="2"/>
  <c r="AO339" i="2" s="1"/>
  <c r="AP339" i="2" s="1"/>
  <c r="U338" i="2"/>
  <c r="V338" i="2" s="1"/>
  <c r="O340" i="2"/>
  <c r="AC341" i="2"/>
  <c r="AD341" i="2" s="1"/>
  <c r="AH342" i="2"/>
  <c r="AI342" i="2"/>
  <c r="AJ342" i="2" s="1"/>
  <c r="AR342" i="2" s="1"/>
  <c r="X340" i="2"/>
  <c r="K338" i="2"/>
  <c r="AB342" i="2"/>
  <c r="AH341" i="2"/>
  <c r="AI341" i="2"/>
  <c r="AJ341" i="2" s="1"/>
  <c r="AR341" i="2" s="1"/>
  <c r="AO341" i="2"/>
  <c r="AP341" i="2" s="1"/>
  <c r="T340" i="2"/>
  <c r="P339" i="2"/>
  <c r="Q339" i="2" s="1"/>
  <c r="AA340" i="2"/>
  <c r="AB340" i="2" s="1"/>
  <c r="P338" i="2"/>
  <c r="Q338" i="2" s="1"/>
  <c r="AE338" i="2"/>
  <c r="AO338" i="2" s="1"/>
  <c r="AP338" i="2" s="1"/>
  <c r="AA339" i="2"/>
  <c r="AC339" i="2" s="1"/>
  <c r="AD339" i="2" s="1"/>
  <c r="AK338" i="2"/>
  <c r="AL338" i="2" s="1"/>
  <c r="AA338" i="2"/>
  <c r="AC338" i="2" s="1"/>
  <c r="AD338" i="2" s="1"/>
  <c r="Y339" i="2"/>
  <c r="Z339" i="2" s="1"/>
  <c r="AQ343" i="2"/>
  <c r="L339" i="2"/>
  <c r="M339" i="2" s="1"/>
  <c r="AE340" i="2"/>
  <c r="AH340" i="2" s="1"/>
  <c r="Y340" i="2"/>
  <c r="Z340" i="2" s="1"/>
  <c r="Y338" i="2"/>
  <c r="Z338" i="2" s="1"/>
  <c r="U339" i="2"/>
  <c r="V339" i="2" s="1"/>
  <c r="L340" i="2"/>
  <c r="M340" i="2" s="1"/>
  <c r="T339" i="2"/>
  <c r="P340" i="2"/>
  <c r="Q340" i="2" s="1"/>
  <c r="L338" i="2"/>
  <c r="M338" i="2" s="1"/>
  <c r="X338" i="2"/>
  <c r="T338" i="2"/>
  <c r="O338" i="2"/>
  <c r="C337" i="2"/>
  <c r="D337" i="2"/>
  <c r="E337" i="2"/>
  <c r="F337" i="2"/>
  <c r="J337" i="2"/>
  <c r="N337" i="2"/>
  <c r="S337" i="2"/>
  <c r="W337" i="2"/>
  <c r="X337" i="2" s="1"/>
  <c r="AS337" i="2"/>
  <c r="AT337" i="2"/>
  <c r="AH339" i="2" l="1"/>
  <c r="AI339" i="2"/>
  <c r="AJ339" i="2" s="1"/>
  <c r="AR339" i="2" s="1"/>
  <c r="AB339" i="2"/>
  <c r="AB338" i="2"/>
  <c r="AQ338" i="2"/>
  <c r="L337" i="2"/>
  <c r="M337" i="2" s="1"/>
  <c r="AI340" i="2"/>
  <c r="AJ340" i="2" s="1"/>
  <c r="AR340" i="2" s="1"/>
  <c r="AC340" i="2"/>
  <c r="AD340" i="2" s="1"/>
  <c r="U337" i="2"/>
  <c r="V337" i="2" s="1"/>
  <c r="AQ339" i="2"/>
  <c r="AH338" i="2"/>
  <c r="AI338" i="2"/>
  <c r="AJ338" i="2" s="1"/>
  <c r="AR338" i="2" s="1"/>
  <c r="AQ340" i="2"/>
  <c r="AO340" i="2"/>
  <c r="AP340" i="2" s="1"/>
  <c r="O337" i="2"/>
  <c r="AE337" i="2"/>
  <c r="AO337" i="2" s="1"/>
  <c r="AP337" i="2" s="1"/>
  <c r="AK337" i="2"/>
  <c r="AL337" i="2" s="1"/>
  <c r="AA337" i="2"/>
  <c r="AC337" i="2" s="1"/>
  <c r="AD337" i="2" s="1"/>
  <c r="Y337" i="2"/>
  <c r="Z337" i="2" s="1"/>
  <c r="P337" i="2"/>
  <c r="Q337" i="2" s="1"/>
  <c r="T337" i="2"/>
  <c r="K337" i="2"/>
  <c r="C336" i="2"/>
  <c r="D336" i="2"/>
  <c r="E336" i="2"/>
  <c r="F336" i="2"/>
  <c r="J336" i="2"/>
  <c r="N336" i="2"/>
  <c r="S336" i="2"/>
  <c r="W336" i="2"/>
  <c r="Y336" i="2" s="1"/>
  <c r="Z336" i="2" s="1"/>
  <c r="AS336" i="2"/>
  <c r="AT336" i="2"/>
  <c r="P336" i="2" l="1"/>
  <c r="Q336" i="2" s="1"/>
  <c r="AH337" i="2"/>
  <c r="AI337" i="2"/>
  <c r="AJ337" i="2" s="1"/>
  <c r="AR337" i="2" s="1"/>
  <c r="AB337" i="2"/>
  <c r="AQ337" i="2"/>
  <c r="AE336" i="2"/>
  <c r="AH336" i="2" s="1"/>
  <c r="L336" i="2"/>
  <c r="M336" i="2" s="1"/>
  <c r="U336" i="2"/>
  <c r="V336" i="2" s="1"/>
  <c r="AA336" i="2"/>
  <c r="AC336" i="2" s="1"/>
  <c r="AD336" i="2" s="1"/>
  <c r="AK336" i="2"/>
  <c r="AL336" i="2" s="1"/>
  <c r="AQ336" i="2"/>
  <c r="X336" i="2"/>
  <c r="T336" i="2"/>
  <c r="O336" i="2"/>
  <c r="K336" i="2"/>
  <c r="C335" i="2"/>
  <c r="D335" i="2"/>
  <c r="E335" i="2"/>
  <c r="F335" i="2"/>
  <c r="J335" i="2"/>
  <c r="N335" i="2"/>
  <c r="S335" i="2"/>
  <c r="W335" i="2"/>
  <c r="X335" i="2" s="1"/>
  <c r="AS335" i="2"/>
  <c r="AT335" i="2"/>
  <c r="AB336" i="2" l="1"/>
  <c r="AI336" i="2"/>
  <c r="AJ336" i="2" s="1"/>
  <c r="AR336" i="2" s="1"/>
  <c r="AO336" i="2"/>
  <c r="AP336" i="2" s="1"/>
  <c r="T335" i="2"/>
  <c r="K335" i="2"/>
  <c r="AE335" i="2"/>
  <c r="AH335" i="2" s="1"/>
  <c r="O335" i="2"/>
  <c r="Y335" i="2"/>
  <c r="Z335" i="2" s="1"/>
  <c r="U335" i="2"/>
  <c r="V335" i="2" s="1"/>
  <c r="AK335" i="2"/>
  <c r="AL335" i="2" s="1"/>
  <c r="AA335" i="2"/>
  <c r="P335" i="2"/>
  <c r="Q335" i="2" s="1"/>
  <c r="L335" i="2"/>
  <c r="M335" i="2" s="1"/>
  <c r="C334" i="2"/>
  <c r="D334" i="2"/>
  <c r="E334" i="2"/>
  <c r="F334" i="2"/>
  <c r="J334" i="2"/>
  <c r="N334" i="2"/>
  <c r="S334" i="2"/>
  <c r="W334" i="2"/>
  <c r="X334" i="2" s="1"/>
  <c r="AS334" i="2"/>
  <c r="AT334" i="2"/>
  <c r="AQ335" i="2" l="1"/>
  <c r="AI335" i="2"/>
  <c r="AJ335" i="2" s="1"/>
  <c r="AR335" i="2" s="1"/>
  <c r="P334" i="2"/>
  <c r="Q334" i="2" s="1"/>
  <c r="AO335" i="2"/>
  <c r="AP335" i="2" s="1"/>
  <c r="AB335" i="2"/>
  <c r="AC335" i="2"/>
  <c r="AD335" i="2" s="1"/>
  <c r="L334" i="2"/>
  <c r="M334" i="2" s="1"/>
  <c r="U334" i="2"/>
  <c r="V334" i="2" s="1"/>
  <c r="AE334" i="2"/>
  <c r="AH334" i="2" s="1"/>
  <c r="AK334" i="2"/>
  <c r="AL334" i="2" s="1"/>
  <c r="Y334" i="2"/>
  <c r="Z334" i="2" s="1"/>
  <c r="AQ334" i="2" s="1"/>
  <c r="T334" i="2"/>
  <c r="O334" i="2"/>
  <c r="K334" i="2"/>
  <c r="AA334" i="2"/>
  <c r="C332" i="2"/>
  <c r="C333" i="2"/>
  <c r="D332" i="2"/>
  <c r="D333" i="2"/>
  <c r="E332" i="2"/>
  <c r="E333" i="2"/>
  <c r="F332" i="2"/>
  <c r="F333" i="2"/>
  <c r="J332" i="2"/>
  <c r="J333" i="2"/>
  <c r="N332" i="2"/>
  <c r="O332" i="2" s="1"/>
  <c r="N333" i="2"/>
  <c r="O333" i="2" s="1"/>
  <c r="S332" i="2"/>
  <c r="S333" i="2"/>
  <c r="W332" i="2"/>
  <c r="W333" i="2"/>
  <c r="X333" i="2" s="1"/>
  <c r="AS332" i="2"/>
  <c r="AS333" i="2"/>
  <c r="AT332" i="2"/>
  <c r="AT333" i="2"/>
  <c r="AA333" i="2" l="1"/>
  <c r="AC333" i="2" s="1"/>
  <c r="AD333" i="2" s="1"/>
  <c r="AK333" i="2"/>
  <c r="AL333" i="2" s="1"/>
  <c r="U333" i="2"/>
  <c r="V333" i="2" s="1"/>
  <c r="AA332" i="2"/>
  <c r="AB332" i="2" s="1"/>
  <c r="AE333" i="2"/>
  <c r="AH333" i="2" s="1"/>
  <c r="AI334" i="2"/>
  <c r="AJ334" i="2" s="1"/>
  <c r="AR334" i="2" s="1"/>
  <c r="T333" i="2"/>
  <c r="K333" i="2"/>
  <c r="AO334" i="2"/>
  <c r="AP334" i="2" s="1"/>
  <c r="AK332" i="2"/>
  <c r="AL332" i="2" s="1"/>
  <c r="Y333" i="2"/>
  <c r="Z333" i="2" s="1"/>
  <c r="T332" i="2"/>
  <c r="K332" i="2"/>
  <c r="X332" i="2"/>
  <c r="AC334" i="2"/>
  <c r="AD334" i="2" s="1"/>
  <c r="AB334" i="2"/>
  <c r="AE332" i="2"/>
  <c r="AH332" i="2" s="1"/>
  <c r="Y332" i="2"/>
  <c r="Z332" i="2" s="1"/>
  <c r="U332" i="2"/>
  <c r="V332" i="2" s="1"/>
  <c r="P333" i="2"/>
  <c r="Q333" i="2" s="1"/>
  <c r="L333" i="2"/>
  <c r="M333" i="2" s="1"/>
  <c r="P332" i="2"/>
  <c r="Q332" i="2" s="1"/>
  <c r="L332" i="2"/>
  <c r="M332" i="2" s="1"/>
  <c r="I7" i="12"/>
  <c r="J7" i="12" s="1"/>
  <c r="K7" i="12" s="1"/>
  <c r="L7" i="12"/>
  <c r="M7" i="12"/>
  <c r="U7" i="12"/>
  <c r="C327" i="2"/>
  <c r="C328" i="2"/>
  <c r="C329" i="2"/>
  <c r="C330" i="2"/>
  <c r="C331" i="2"/>
  <c r="D327" i="2"/>
  <c r="D328" i="2"/>
  <c r="D329" i="2"/>
  <c r="D330" i="2"/>
  <c r="D331" i="2"/>
  <c r="E327" i="2"/>
  <c r="E328" i="2"/>
  <c r="E329" i="2"/>
  <c r="E330" i="2"/>
  <c r="E331" i="2"/>
  <c r="F327" i="2"/>
  <c r="F328" i="2"/>
  <c r="F329" i="2"/>
  <c r="F330" i="2"/>
  <c r="F331" i="2"/>
  <c r="J327" i="2"/>
  <c r="J328" i="2"/>
  <c r="J329" i="2"/>
  <c r="J330" i="2"/>
  <c r="J331" i="2"/>
  <c r="N327" i="2"/>
  <c r="N328" i="2"/>
  <c r="N329" i="2"/>
  <c r="N330" i="2"/>
  <c r="N331" i="2"/>
  <c r="S327" i="2"/>
  <c r="S328" i="2"/>
  <c r="S329" i="2"/>
  <c r="S330" i="2"/>
  <c r="S331" i="2"/>
  <c r="W327" i="2"/>
  <c r="W328" i="2"/>
  <c r="W329" i="2"/>
  <c r="W330" i="2"/>
  <c r="W331" i="2"/>
  <c r="AS327" i="2"/>
  <c r="AS328" i="2"/>
  <c r="AS329" i="2"/>
  <c r="AS330" i="2"/>
  <c r="AS331" i="2"/>
  <c r="AT327" i="2"/>
  <c r="AT328" i="2"/>
  <c r="AT329" i="2"/>
  <c r="AT330" i="2"/>
  <c r="AT331" i="2"/>
  <c r="AB333" i="2" l="1"/>
  <c r="T328" i="2"/>
  <c r="X330" i="2"/>
  <c r="U328" i="2"/>
  <c r="V328" i="2" s="1"/>
  <c r="AQ332" i="2"/>
  <c r="Y331" i="2"/>
  <c r="Z331" i="2" s="1"/>
  <c r="AC332" i="2"/>
  <c r="AD332" i="2" s="1"/>
  <c r="AO332" i="2"/>
  <c r="AP332" i="2" s="1"/>
  <c r="AI333" i="2"/>
  <c r="AJ333" i="2" s="1"/>
  <c r="AR333" i="2" s="1"/>
  <c r="P331" i="2"/>
  <c r="Q331" i="2" s="1"/>
  <c r="AQ331" i="2" s="1"/>
  <c r="L328" i="2"/>
  <c r="M328" i="2" s="1"/>
  <c r="O330" i="2"/>
  <c r="AQ333" i="2"/>
  <c r="T329" i="2"/>
  <c r="AO333" i="2"/>
  <c r="AP333" i="2" s="1"/>
  <c r="Y329" i="2"/>
  <c r="Z329" i="2" s="1"/>
  <c r="AE329" i="2"/>
  <c r="AI329" i="2" s="1"/>
  <c r="AJ329" i="2" s="1"/>
  <c r="AR329" i="2" s="1"/>
  <c r="AA330" i="2"/>
  <c r="AC330" i="2" s="1"/>
  <c r="AD330" i="2" s="1"/>
  <c r="Y327" i="2"/>
  <c r="Z327" i="2" s="1"/>
  <c r="P330" i="2"/>
  <c r="Q330" i="2" s="1"/>
  <c r="AE330" i="2"/>
  <c r="AI330" i="2" s="1"/>
  <c r="AJ330" i="2" s="1"/>
  <c r="AR330" i="2" s="1"/>
  <c r="AK329" i="2"/>
  <c r="AL329" i="2" s="1"/>
  <c r="O329" i="2"/>
  <c r="AE328" i="2"/>
  <c r="AH328" i="2" s="1"/>
  <c r="K329" i="2"/>
  <c r="O327" i="2"/>
  <c r="P329" i="2"/>
  <c r="Q329" i="2" s="1"/>
  <c r="AQ329" i="2" s="1"/>
  <c r="X331" i="2"/>
  <c r="X327" i="2"/>
  <c r="AK330" i="2"/>
  <c r="AL330" i="2" s="1"/>
  <c r="AK331" i="2"/>
  <c r="AL331" i="2" s="1"/>
  <c r="K331" i="2"/>
  <c r="K327" i="2"/>
  <c r="P328" i="2"/>
  <c r="Q328" i="2" s="1"/>
  <c r="K328" i="2"/>
  <c r="AK328" i="2"/>
  <c r="AL328" i="2" s="1"/>
  <c r="AA329" i="2"/>
  <c r="AB329" i="2" s="1"/>
  <c r="X329" i="2"/>
  <c r="T331" i="2"/>
  <c r="T327" i="2"/>
  <c r="AA328" i="2"/>
  <c r="Y330" i="2"/>
  <c r="Z330" i="2" s="1"/>
  <c r="P327" i="2"/>
  <c r="Q327" i="2" s="1"/>
  <c r="AI332" i="2"/>
  <c r="AJ332" i="2" s="1"/>
  <c r="AR332" i="2" s="1"/>
  <c r="Y328" i="2"/>
  <c r="Z328" i="2" s="1"/>
  <c r="X328" i="2"/>
  <c r="U331" i="2"/>
  <c r="V331" i="2" s="1"/>
  <c r="U327" i="2"/>
  <c r="V327" i="2" s="1"/>
  <c r="O331" i="2"/>
  <c r="L331" i="2"/>
  <c r="M331" i="2" s="1"/>
  <c r="L327" i="2"/>
  <c r="M327" i="2" s="1"/>
  <c r="AE331" i="2"/>
  <c r="AI331" i="2" s="1"/>
  <c r="AJ331" i="2" s="1"/>
  <c r="AR331" i="2" s="1"/>
  <c r="AE327" i="2"/>
  <c r="AA331" i="2"/>
  <c r="AC331" i="2" s="1"/>
  <c r="AD331" i="2" s="1"/>
  <c r="AA327" i="2"/>
  <c r="AB327" i="2" s="1"/>
  <c r="U330" i="2"/>
  <c r="V330" i="2" s="1"/>
  <c r="T330" i="2"/>
  <c r="L330" i="2"/>
  <c r="M330" i="2" s="1"/>
  <c r="K330" i="2"/>
  <c r="AK327" i="2"/>
  <c r="AL327" i="2" s="1"/>
  <c r="U329" i="2"/>
  <c r="V329" i="2" s="1"/>
  <c r="O328" i="2"/>
  <c r="L329" i="2"/>
  <c r="M329" i="2" s="1"/>
  <c r="N7" i="12"/>
  <c r="O10" i="12" s="1"/>
  <c r="C325" i="2"/>
  <c r="C326" i="2"/>
  <c r="D325" i="2"/>
  <c r="D326" i="2"/>
  <c r="E325" i="2"/>
  <c r="E326" i="2"/>
  <c r="F325" i="2"/>
  <c r="F326" i="2"/>
  <c r="J325" i="2"/>
  <c r="J326" i="2"/>
  <c r="N325" i="2"/>
  <c r="O325" i="2" s="1"/>
  <c r="N326" i="2"/>
  <c r="S325" i="2"/>
  <c r="S326" i="2"/>
  <c r="W325" i="2"/>
  <c r="W326" i="2"/>
  <c r="X326" i="2" s="1"/>
  <c r="AS325" i="2"/>
  <c r="AS326" i="2"/>
  <c r="AT325" i="2"/>
  <c r="AT326" i="2"/>
  <c r="R7" i="12" l="1"/>
  <c r="S10" i="12" s="1"/>
  <c r="O326" i="2"/>
  <c r="AC329" i="2"/>
  <c r="AD329" i="2" s="1"/>
  <c r="AB330" i="2"/>
  <c r="AH330" i="2"/>
  <c r="AC327" i="2"/>
  <c r="AD327" i="2" s="1"/>
  <c r="AO329" i="2"/>
  <c r="AP329" i="2" s="1"/>
  <c r="AH329" i="2"/>
  <c r="AO330" i="2"/>
  <c r="AP330" i="2" s="1"/>
  <c r="AQ328" i="2"/>
  <c r="AQ327" i="2"/>
  <c r="AI328" i="2"/>
  <c r="AJ328" i="2" s="1"/>
  <c r="AR328" i="2" s="1"/>
  <c r="AO328" i="2"/>
  <c r="AP328" i="2" s="1"/>
  <c r="AQ330" i="2"/>
  <c r="T326" i="2"/>
  <c r="K326" i="2"/>
  <c r="AC328" i="2"/>
  <c r="AD328" i="2" s="1"/>
  <c r="AB328" i="2"/>
  <c r="AK326" i="2"/>
  <c r="AL326" i="2" s="1"/>
  <c r="AA325" i="2"/>
  <c r="AB325" i="2" s="1"/>
  <c r="AB331" i="2"/>
  <c r="AH327" i="2"/>
  <c r="AO327" i="2"/>
  <c r="AP327" i="2" s="1"/>
  <c r="AI327" i="2"/>
  <c r="AJ327" i="2" s="1"/>
  <c r="AR327" i="2" s="1"/>
  <c r="AE326" i="2"/>
  <c r="AH326" i="2" s="1"/>
  <c r="AH331" i="2"/>
  <c r="AO331" i="2"/>
  <c r="AP331" i="2" s="1"/>
  <c r="U326" i="2"/>
  <c r="V326" i="2" s="1"/>
  <c r="Y326" i="2"/>
  <c r="Z326" i="2" s="1"/>
  <c r="P7" i="12"/>
  <c r="Q7" i="12" s="1"/>
  <c r="T325" i="2"/>
  <c r="K325" i="2"/>
  <c r="AK325" i="2"/>
  <c r="AL325" i="2" s="1"/>
  <c r="AA326" i="2"/>
  <c r="AB326" i="2" s="1"/>
  <c r="X325" i="2"/>
  <c r="AE325" i="2"/>
  <c r="AH325" i="2" s="1"/>
  <c r="Y325" i="2"/>
  <c r="Z325" i="2" s="1"/>
  <c r="U325" i="2"/>
  <c r="V325" i="2" s="1"/>
  <c r="AO326" i="2"/>
  <c r="AP326" i="2" s="1"/>
  <c r="P326" i="2"/>
  <c r="Q326" i="2" s="1"/>
  <c r="L326" i="2"/>
  <c r="M326" i="2" s="1"/>
  <c r="P325" i="2"/>
  <c r="Q325" i="2" s="1"/>
  <c r="L325" i="2"/>
  <c r="M325" i="2" s="1"/>
  <c r="C324" i="2"/>
  <c r="D324" i="2"/>
  <c r="E324" i="2"/>
  <c r="F324" i="2"/>
  <c r="J324" i="2"/>
  <c r="N324" i="2"/>
  <c r="S324" i="2"/>
  <c r="W324" i="2"/>
  <c r="X324" i="2" s="1"/>
  <c r="AS324" i="2"/>
  <c r="AT324" i="2"/>
  <c r="O324" i="2" l="1"/>
  <c r="Y324" i="2"/>
  <c r="Z324" i="2" s="1"/>
  <c r="AO325" i="2"/>
  <c r="AP325" i="2" s="1"/>
  <c r="AI325" i="2"/>
  <c r="AJ325" i="2" s="1"/>
  <c r="AR325" i="2" s="1"/>
  <c r="AQ325" i="2"/>
  <c r="AC325" i="2"/>
  <c r="AD325" i="2" s="1"/>
  <c r="AQ326" i="2"/>
  <c r="AC326" i="2"/>
  <c r="AD326" i="2" s="1"/>
  <c r="AI326" i="2"/>
  <c r="AJ326" i="2" s="1"/>
  <c r="AR326" i="2" s="1"/>
  <c r="K324" i="2"/>
  <c r="AE324" i="2"/>
  <c r="AH324" i="2" s="1"/>
  <c r="U324" i="2"/>
  <c r="V324" i="2" s="1"/>
  <c r="AK324" i="2"/>
  <c r="AL324" i="2" s="1"/>
  <c r="T324" i="2"/>
  <c r="P324" i="2"/>
  <c r="Q324" i="2" s="1"/>
  <c r="AQ324" i="2" s="1"/>
  <c r="AA324" i="2"/>
  <c r="L324" i="2"/>
  <c r="M324" i="2" s="1"/>
  <c r="C319" i="2"/>
  <c r="C320" i="2"/>
  <c r="C321" i="2"/>
  <c r="C322" i="2"/>
  <c r="C323" i="2"/>
  <c r="D319" i="2"/>
  <c r="D320" i="2"/>
  <c r="D321" i="2"/>
  <c r="D322" i="2"/>
  <c r="D323" i="2"/>
  <c r="E319" i="2"/>
  <c r="E320" i="2"/>
  <c r="E321" i="2"/>
  <c r="E322" i="2"/>
  <c r="E323" i="2"/>
  <c r="F319" i="2"/>
  <c r="F320" i="2"/>
  <c r="F321" i="2"/>
  <c r="F322" i="2"/>
  <c r="F323" i="2"/>
  <c r="J319" i="2"/>
  <c r="J320" i="2"/>
  <c r="J321" i="2"/>
  <c r="J322" i="2"/>
  <c r="J323" i="2"/>
  <c r="N319" i="2"/>
  <c r="N320" i="2"/>
  <c r="N321" i="2"/>
  <c r="N322" i="2"/>
  <c r="N323" i="2"/>
  <c r="S319" i="2"/>
  <c r="S320" i="2"/>
  <c r="S321" i="2"/>
  <c r="S322" i="2"/>
  <c r="S323" i="2"/>
  <c r="W319" i="2"/>
  <c r="W320" i="2"/>
  <c r="W321" i="2"/>
  <c r="W322" i="2"/>
  <c r="X322" i="2" s="1"/>
  <c r="W323" i="2"/>
  <c r="AS319" i="2"/>
  <c r="AS320" i="2"/>
  <c r="AS321" i="2"/>
  <c r="AS322" i="2"/>
  <c r="AS323" i="2"/>
  <c r="AT319" i="2"/>
  <c r="AT320" i="2"/>
  <c r="AT321" i="2"/>
  <c r="AT322" i="2"/>
  <c r="AT323" i="2"/>
  <c r="L320" i="2" l="1"/>
  <c r="M320" i="2" s="1"/>
  <c r="AO324" i="2"/>
  <c r="AP324" i="2" s="1"/>
  <c r="P322" i="2"/>
  <c r="Q322" i="2" s="1"/>
  <c r="K319" i="2"/>
  <c r="AK323" i="2"/>
  <c r="K321" i="2"/>
  <c r="O320" i="2"/>
  <c r="AA323" i="2"/>
  <c r="AB323" i="2" s="1"/>
  <c r="U323" i="2"/>
  <c r="V323" i="2" s="1"/>
  <c r="O321" i="2"/>
  <c r="AA319" i="2"/>
  <c r="AB319" i="2" s="1"/>
  <c r="AE323" i="2"/>
  <c r="AO323" i="2" s="1"/>
  <c r="AP323" i="2" s="1"/>
  <c r="AA320" i="2"/>
  <c r="AB320" i="2" s="1"/>
  <c r="T323" i="2"/>
  <c r="L323" i="2"/>
  <c r="M323" i="2" s="1"/>
  <c r="U322" i="2"/>
  <c r="V322" i="2" s="1"/>
  <c r="O319" i="2"/>
  <c r="AI324" i="2"/>
  <c r="AJ324" i="2" s="1"/>
  <c r="AR324" i="2" s="1"/>
  <c r="X321" i="2"/>
  <c r="T319" i="2"/>
  <c r="L319" i="2"/>
  <c r="M319" i="2" s="1"/>
  <c r="Y320" i="2"/>
  <c r="Z320" i="2" s="1"/>
  <c r="AE322" i="2"/>
  <c r="AI322" i="2" s="1"/>
  <c r="AJ322" i="2" s="1"/>
  <c r="AR322" i="2" s="1"/>
  <c r="U319" i="2"/>
  <c r="V319" i="2" s="1"/>
  <c r="K323" i="2"/>
  <c r="AL323" i="2"/>
  <c r="AK322" i="2"/>
  <c r="AL322" i="2" s="1"/>
  <c r="AA321" i="2"/>
  <c r="AB321" i="2" s="1"/>
  <c r="O322" i="2"/>
  <c r="AE319" i="2"/>
  <c r="AO319" i="2" s="1"/>
  <c r="AP319" i="2" s="1"/>
  <c r="T321" i="2"/>
  <c r="AK321" i="2"/>
  <c r="AL321" i="2" s="1"/>
  <c r="T322" i="2"/>
  <c r="T320" i="2"/>
  <c r="P319" i="2"/>
  <c r="Q319" i="2" s="1"/>
  <c r="K320" i="2"/>
  <c r="AA322" i="2"/>
  <c r="AC322" i="2" s="1"/>
  <c r="AD322" i="2" s="1"/>
  <c r="X320" i="2"/>
  <c r="AK319" i="2"/>
  <c r="AL319" i="2" s="1"/>
  <c r="Y322" i="2"/>
  <c r="Z322" i="2" s="1"/>
  <c r="L322" i="2"/>
  <c r="M322" i="2" s="1"/>
  <c r="AC324" i="2"/>
  <c r="AD324" i="2" s="1"/>
  <c r="AB324" i="2"/>
  <c r="AK320" i="2"/>
  <c r="AL320" i="2" s="1"/>
  <c r="AE321" i="2"/>
  <c r="AI321" i="2" s="1"/>
  <c r="AJ321" i="2" s="1"/>
  <c r="AR321" i="2" s="1"/>
  <c r="U321" i="2"/>
  <c r="V321" i="2" s="1"/>
  <c r="P323" i="2"/>
  <c r="Q323" i="2" s="1"/>
  <c r="O323" i="2"/>
  <c r="L321" i="2"/>
  <c r="M321" i="2" s="1"/>
  <c r="AE320" i="2"/>
  <c r="AH320" i="2" s="1"/>
  <c r="Y323" i="2"/>
  <c r="Z323" i="2" s="1"/>
  <c r="X319" i="2"/>
  <c r="K322" i="2"/>
  <c r="X323" i="2"/>
  <c r="P320" i="2"/>
  <c r="Q320" i="2" s="1"/>
  <c r="Y319" i="2"/>
  <c r="Z319" i="2" s="1"/>
  <c r="U320" i="2"/>
  <c r="V320" i="2" s="1"/>
  <c r="Y321" i="2"/>
  <c r="Z321" i="2" s="1"/>
  <c r="P321" i="2"/>
  <c r="Q321" i="2" s="1"/>
  <c r="C318" i="2"/>
  <c r="D318" i="2"/>
  <c r="E318" i="2"/>
  <c r="F318" i="2"/>
  <c r="J318" i="2"/>
  <c r="N318" i="2"/>
  <c r="S318" i="2"/>
  <c r="W318" i="2"/>
  <c r="X318" i="2" s="1"/>
  <c r="AS318" i="2"/>
  <c r="AT318" i="2"/>
  <c r="AC320" i="2" l="1"/>
  <c r="AD320" i="2" s="1"/>
  <c r="AQ322" i="2"/>
  <c r="AB322" i="2"/>
  <c r="AC323" i="2"/>
  <c r="AD323" i="2" s="1"/>
  <c r="AC321" i="2"/>
  <c r="AD321" i="2" s="1"/>
  <c r="AO320" i="2"/>
  <c r="AP320" i="2" s="1"/>
  <c r="AC319" i="2"/>
  <c r="AD319" i="2" s="1"/>
  <c r="AQ320" i="2"/>
  <c r="AI323" i="2"/>
  <c r="AJ323" i="2" s="1"/>
  <c r="AR323" i="2" s="1"/>
  <c r="AH323" i="2"/>
  <c r="AQ319" i="2"/>
  <c r="AO322" i="2"/>
  <c r="AP322" i="2" s="1"/>
  <c r="AH322" i="2"/>
  <c r="K318" i="2"/>
  <c r="AQ323" i="2"/>
  <c r="AH319" i="2"/>
  <c r="AI319" i="2"/>
  <c r="AJ319" i="2" s="1"/>
  <c r="AR319" i="2" s="1"/>
  <c r="AQ321" i="2"/>
  <c r="T318" i="2"/>
  <c r="O318" i="2"/>
  <c r="AI320" i="2"/>
  <c r="AJ320" i="2" s="1"/>
  <c r="AR320" i="2" s="1"/>
  <c r="AH321" i="2"/>
  <c r="AO321" i="2"/>
  <c r="AP321" i="2" s="1"/>
  <c r="AE318" i="2"/>
  <c r="AA318" i="2"/>
  <c r="AB318" i="2" s="1"/>
  <c r="P318" i="2"/>
  <c r="Q318" i="2" s="1"/>
  <c r="AK318" i="2"/>
  <c r="AL318" i="2" s="1"/>
  <c r="Y318" i="2"/>
  <c r="Z318" i="2" s="1"/>
  <c r="U318" i="2"/>
  <c r="V318" i="2" s="1"/>
  <c r="L318" i="2"/>
  <c r="M318" i="2" s="1"/>
  <c r="C317" i="2"/>
  <c r="D317" i="2"/>
  <c r="E317" i="2"/>
  <c r="F317" i="2"/>
  <c r="J317" i="2"/>
  <c r="N317" i="2"/>
  <c r="S317" i="2"/>
  <c r="W317" i="2"/>
  <c r="X317" i="2" s="1"/>
  <c r="AS317" i="2"/>
  <c r="AT317" i="2"/>
  <c r="AC318" i="2" l="1"/>
  <c r="AD318" i="2" s="1"/>
  <c r="AQ318" i="2"/>
  <c r="K317" i="2"/>
  <c r="T317" i="2"/>
  <c r="AH318" i="2"/>
  <c r="AO318" i="2"/>
  <c r="AP318" i="2" s="1"/>
  <c r="AI318" i="2"/>
  <c r="AJ318" i="2" s="1"/>
  <c r="AR318" i="2" s="1"/>
  <c r="O317" i="2"/>
  <c r="U317" i="2"/>
  <c r="V317" i="2" s="1"/>
  <c r="Y317" i="2"/>
  <c r="Z317" i="2" s="1"/>
  <c r="AA317" i="2"/>
  <c r="P317" i="2"/>
  <c r="Q317" i="2" s="1"/>
  <c r="AE317" i="2"/>
  <c r="AK317" i="2"/>
  <c r="AL317" i="2" s="1"/>
  <c r="L317" i="2"/>
  <c r="M317" i="2" s="1"/>
  <c r="C314" i="2"/>
  <c r="C315" i="2"/>
  <c r="C316" i="2"/>
  <c r="D314" i="2"/>
  <c r="D315" i="2"/>
  <c r="D316" i="2"/>
  <c r="E314" i="2"/>
  <c r="E315" i="2"/>
  <c r="E316" i="2"/>
  <c r="F314" i="2"/>
  <c r="F315" i="2"/>
  <c r="F316" i="2"/>
  <c r="J314" i="2"/>
  <c r="J315" i="2"/>
  <c r="J316" i="2"/>
  <c r="N314" i="2"/>
  <c r="N315" i="2"/>
  <c r="N316" i="2"/>
  <c r="S314" i="2"/>
  <c r="S315" i="2"/>
  <c r="S316" i="2"/>
  <c r="W314" i="2"/>
  <c r="Y314" i="2" s="1"/>
  <c r="Z314" i="2" s="1"/>
  <c r="W315" i="2"/>
  <c r="Y315" i="2" s="1"/>
  <c r="Z315" i="2" s="1"/>
  <c r="W316" i="2"/>
  <c r="X316" i="2" s="1"/>
  <c r="AS314" i="2"/>
  <c r="AS315" i="2"/>
  <c r="AS316" i="2"/>
  <c r="AT314" i="2"/>
  <c r="AT315" i="2"/>
  <c r="AT316" i="2"/>
  <c r="K316" i="2" l="1"/>
  <c r="T316" i="2"/>
  <c r="P314" i="2"/>
  <c r="Q314" i="2" s="1"/>
  <c r="AE314" i="2"/>
  <c r="AH314" i="2" s="1"/>
  <c r="P315" i="2"/>
  <c r="Q315" i="2" s="1"/>
  <c r="AQ315" i="2" s="1"/>
  <c r="K314" i="2"/>
  <c r="U314" i="2"/>
  <c r="V314" i="2" s="1"/>
  <c r="U315" i="2"/>
  <c r="V315" i="2" s="1"/>
  <c r="O316" i="2"/>
  <c r="AQ317" i="2"/>
  <c r="AA316" i="2"/>
  <c r="AB316" i="2" s="1"/>
  <c r="X315" i="2"/>
  <c r="U316" i="2"/>
  <c r="V316" i="2" s="1"/>
  <c r="L316" i="2"/>
  <c r="M316" i="2" s="1"/>
  <c r="AK314" i="2"/>
  <c r="AL314" i="2" s="1"/>
  <c r="AH317" i="2"/>
  <c r="AI317" i="2"/>
  <c r="AJ317" i="2" s="1"/>
  <c r="AR317" i="2" s="1"/>
  <c r="AO317" i="2"/>
  <c r="AP317" i="2" s="1"/>
  <c r="AB317" i="2"/>
  <c r="AC317" i="2"/>
  <c r="AD317" i="2" s="1"/>
  <c r="L314" i="2"/>
  <c r="M314" i="2" s="1"/>
  <c r="AE316" i="2"/>
  <c r="AH316" i="2" s="1"/>
  <c r="AK316" i="2"/>
  <c r="AL316" i="2" s="1"/>
  <c r="AE315" i="2"/>
  <c r="AI315" i="2" s="1"/>
  <c r="AJ315" i="2" s="1"/>
  <c r="AR315" i="2" s="1"/>
  <c r="Y316" i="2"/>
  <c r="Z316" i="2" s="1"/>
  <c r="T315" i="2"/>
  <c r="P316" i="2"/>
  <c r="Q316" i="2" s="1"/>
  <c r="AA314" i="2"/>
  <c r="AC314" i="2" s="1"/>
  <c r="AD314" i="2" s="1"/>
  <c r="AK315" i="2"/>
  <c r="AL315" i="2" s="1"/>
  <c r="L315" i="2"/>
  <c r="M315" i="2" s="1"/>
  <c r="AA315" i="2"/>
  <c r="O315" i="2"/>
  <c r="K315" i="2"/>
  <c r="AQ314" i="2"/>
  <c r="X314" i="2"/>
  <c r="T314" i="2"/>
  <c r="O314" i="2"/>
  <c r="AQ316" i="2" l="1"/>
  <c r="AI314" i="2"/>
  <c r="AJ314" i="2" s="1"/>
  <c r="AR314" i="2" s="1"/>
  <c r="AO314" i="2"/>
  <c r="AP314" i="2" s="1"/>
  <c r="AB314" i="2"/>
  <c r="AO316" i="2"/>
  <c r="AP316" i="2" s="1"/>
  <c r="AC316" i="2"/>
  <c r="AD316" i="2" s="1"/>
  <c r="AI316" i="2"/>
  <c r="AJ316" i="2" s="1"/>
  <c r="AR316" i="2" s="1"/>
  <c r="AH315" i="2"/>
  <c r="AO315" i="2"/>
  <c r="AP315" i="2" s="1"/>
  <c r="AC315" i="2"/>
  <c r="AD315" i="2" s="1"/>
  <c r="AB315" i="2"/>
  <c r="C312" i="2"/>
  <c r="C313" i="2"/>
  <c r="D312" i="2"/>
  <c r="D313" i="2"/>
  <c r="E312" i="2"/>
  <c r="E313" i="2"/>
  <c r="F312" i="2"/>
  <c r="F313" i="2"/>
  <c r="J312" i="2"/>
  <c r="J313" i="2"/>
  <c r="N312" i="2"/>
  <c r="O312" i="2" s="1"/>
  <c r="N313" i="2"/>
  <c r="O313" i="2" s="1"/>
  <c r="S312" i="2"/>
  <c r="S313" i="2"/>
  <c r="W312" i="2"/>
  <c r="X312" i="2" s="1"/>
  <c r="W313" i="2"/>
  <c r="X313" i="2" s="1"/>
  <c r="AS312" i="2"/>
  <c r="AS313" i="2"/>
  <c r="AT312" i="2"/>
  <c r="AT313" i="2"/>
  <c r="T313" i="2" l="1"/>
  <c r="K313" i="2"/>
  <c r="AA312" i="2"/>
  <c r="AB312" i="2" s="1"/>
  <c r="AA313" i="2"/>
  <c r="AB313" i="2" s="1"/>
  <c r="AK313" i="2"/>
  <c r="AL313" i="2" s="1"/>
  <c r="AK312" i="2"/>
  <c r="AL312" i="2" s="1"/>
  <c r="Y312" i="2"/>
  <c r="Z312" i="2" s="1"/>
  <c r="T312" i="2"/>
  <c r="K312" i="2"/>
  <c r="AE312" i="2"/>
  <c r="AH312" i="2" s="1"/>
  <c r="AE313" i="2"/>
  <c r="AH313" i="2" s="1"/>
  <c r="Y313" i="2"/>
  <c r="Z313" i="2" s="1"/>
  <c r="U313" i="2"/>
  <c r="V313" i="2" s="1"/>
  <c r="U312" i="2"/>
  <c r="V312" i="2" s="1"/>
  <c r="AO313" i="2"/>
  <c r="AP313" i="2" s="1"/>
  <c r="P313" i="2"/>
  <c r="Q313" i="2" s="1"/>
  <c r="L313" i="2"/>
  <c r="M313" i="2" s="1"/>
  <c r="P312" i="2"/>
  <c r="Q312" i="2" s="1"/>
  <c r="L312" i="2"/>
  <c r="M312" i="2" s="1"/>
  <c r="AI313" i="2" l="1"/>
  <c r="AJ313" i="2" s="1"/>
  <c r="AR313" i="2" s="1"/>
  <c r="AO312" i="2"/>
  <c r="AP312" i="2" s="1"/>
  <c r="AC312" i="2"/>
  <c r="AD312" i="2" s="1"/>
  <c r="AC313" i="2"/>
  <c r="AD313" i="2" s="1"/>
  <c r="AI312" i="2"/>
  <c r="AJ312" i="2" s="1"/>
  <c r="AR312" i="2" s="1"/>
  <c r="AQ312" i="2"/>
  <c r="AQ313" i="2"/>
  <c r="C311" i="2" l="1"/>
  <c r="D311" i="2"/>
  <c r="E311" i="2"/>
  <c r="F311" i="2"/>
  <c r="J311" i="2"/>
  <c r="N311" i="2"/>
  <c r="S311" i="2"/>
  <c r="W311" i="2"/>
  <c r="X311" i="2" s="1"/>
  <c r="AS311" i="2"/>
  <c r="AT311" i="2"/>
  <c r="AA311" i="2" l="1"/>
  <c r="AB311" i="2" s="1"/>
  <c r="AK311" i="2"/>
  <c r="AL311" i="2" s="1"/>
  <c r="K311" i="2"/>
  <c r="T311" i="2"/>
  <c r="AE311" i="2"/>
  <c r="O311" i="2"/>
  <c r="U311" i="2"/>
  <c r="V311" i="2" s="1"/>
  <c r="Y311" i="2"/>
  <c r="Z311" i="2" s="1"/>
  <c r="P311" i="2"/>
  <c r="Q311" i="2" s="1"/>
  <c r="L311" i="2"/>
  <c r="M311" i="2" s="1"/>
  <c r="C310" i="2"/>
  <c r="D310" i="2"/>
  <c r="E310" i="2"/>
  <c r="F310" i="2"/>
  <c r="J310" i="2"/>
  <c r="N310" i="2"/>
  <c r="S310" i="2"/>
  <c r="W310" i="2"/>
  <c r="X310" i="2" s="1"/>
  <c r="AS310" i="2"/>
  <c r="AT310" i="2"/>
  <c r="AC311" i="2" l="1"/>
  <c r="AD311" i="2" s="1"/>
  <c r="P310" i="2"/>
  <c r="Q310" i="2" s="1"/>
  <c r="K310" i="2"/>
  <c r="T310" i="2"/>
  <c r="AQ311" i="2"/>
  <c r="AK310" i="2"/>
  <c r="AL310" i="2" s="1"/>
  <c r="AH311" i="2"/>
  <c r="AO311" i="2"/>
  <c r="AP311" i="2" s="1"/>
  <c r="AI311" i="2"/>
  <c r="AJ311" i="2" s="1"/>
  <c r="AR311" i="2" s="1"/>
  <c r="AA310" i="2"/>
  <c r="O310" i="2"/>
  <c r="AE310" i="2"/>
  <c r="AI310" i="2" s="1"/>
  <c r="AJ310" i="2" s="1"/>
  <c r="AR310" i="2" s="1"/>
  <c r="Y310" i="2"/>
  <c r="Z310" i="2" s="1"/>
  <c r="U310" i="2"/>
  <c r="V310" i="2" s="1"/>
  <c r="L310" i="2"/>
  <c r="M310" i="2" s="1"/>
  <c r="C308" i="2"/>
  <c r="C309" i="2"/>
  <c r="D308" i="2"/>
  <c r="D309" i="2"/>
  <c r="E308" i="2"/>
  <c r="E309" i="2"/>
  <c r="F308" i="2"/>
  <c r="F309" i="2"/>
  <c r="J308" i="2"/>
  <c r="J309" i="2"/>
  <c r="N308" i="2"/>
  <c r="O308" i="2" s="1"/>
  <c r="N309" i="2"/>
  <c r="O309" i="2" s="1"/>
  <c r="S308" i="2"/>
  <c r="S309" i="2"/>
  <c r="W308" i="2"/>
  <c r="X308" i="2" s="1"/>
  <c r="W309" i="2"/>
  <c r="X309" i="2" s="1"/>
  <c r="AS308" i="2"/>
  <c r="AS309" i="2"/>
  <c r="AT308" i="2"/>
  <c r="AT309" i="2"/>
  <c r="AQ310" i="2" l="1"/>
  <c r="T309" i="2"/>
  <c r="K309" i="2"/>
  <c r="AK309" i="2"/>
  <c r="AL309" i="2" s="1"/>
  <c r="AB310" i="2"/>
  <c r="AC310" i="2"/>
  <c r="AD310" i="2" s="1"/>
  <c r="T308" i="2"/>
  <c r="K308" i="2"/>
  <c r="AH310" i="2"/>
  <c r="AO310" i="2"/>
  <c r="AP310" i="2" s="1"/>
  <c r="AE309" i="2"/>
  <c r="AH309" i="2" s="1"/>
  <c r="AA309" i="2"/>
  <c r="AB309" i="2" s="1"/>
  <c r="AK308" i="2"/>
  <c r="AL308" i="2" s="1"/>
  <c r="Y308" i="2"/>
  <c r="Z308" i="2" s="1"/>
  <c r="U308" i="2"/>
  <c r="V308" i="2" s="1"/>
  <c r="AE308" i="2"/>
  <c r="AH308" i="2" s="1"/>
  <c r="AA308" i="2"/>
  <c r="P308" i="2"/>
  <c r="Q308" i="2" s="1"/>
  <c r="L308" i="2"/>
  <c r="M308" i="2" s="1"/>
  <c r="P309" i="2"/>
  <c r="Q309" i="2" s="1"/>
  <c r="L309" i="2"/>
  <c r="M309" i="2" s="1"/>
  <c r="AC309" i="2"/>
  <c r="AD309" i="2" s="1"/>
  <c r="Y309" i="2"/>
  <c r="Z309" i="2" s="1"/>
  <c r="U309" i="2"/>
  <c r="V309" i="2" s="1"/>
  <c r="C305" i="2"/>
  <c r="C306" i="2"/>
  <c r="C307" i="2"/>
  <c r="D305" i="2"/>
  <c r="D306" i="2"/>
  <c r="D307" i="2"/>
  <c r="E305" i="2"/>
  <c r="E306" i="2"/>
  <c r="E307" i="2"/>
  <c r="F305" i="2"/>
  <c r="F306" i="2"/>
  <c r="F307" i="2"/>
  <c r="J305" i="2"/>
  <c r="J306" i="2"/>
  <c r="J307" i="2"/>
  <c r="N305" i="2"/>
  <c r="N306" i="2"/>
  <c r="N307" i="2"/>
  <c r="S305" i="2"/>
  <c r="S306" i="2"/>
  <c r="S307" i="2"/>
  <c r="W305" i="2"/>
  <c r="Y305" i="2" s="1"/>
  <c r="Z305" i="2" s="1"/>
  <c r="W306" i="2"/>
  <c r="Y306" i="2" s="1"/>
  <c r="Z306" i="2" s="1"/>
  <c r="W307" i="2"/>
  <c r="AS305" i="2"/>
  <c r="AS306" i="2"/>
  <c r="AS307" i="2"/>
  <c r="AT305" i="2"/>
  <c r="AT306" i="2"/>
  <c r="AT307" i="2"/>
  <c r="AA306" i="2" l="1"/>
  <c r="AC306" i="2" s="1"/>
  <c r="AD306" i="2" s="1"/>
  <c r="T307" i="2"/>
  <c r="U305" i="2"/>
  <c r="V305" i="2" s="1"/>
  <c r="AQ309" i="2"/>
  <c r="AE307" i="2"/>
  <c r="AH307" i="2" s="1"/>
  <c r="O305" i="2"/>
  <c r="U306" i="2"/>
  <c r="V306" i="2" s="1"/>
  <c r="AI309" i="2"/>
  <c r="AJ309" i="2" s="1"/>
  <c r="AR309" i="2" s="1"/>
  <c r="AO309" i="2"/>
  <c r="AP309" i="2" s="1"/>
  <c r="L306" i="2"/>
  <c r="M306" i="2" s="1"/>
  <c r="P305" i="2"/>
  <c r="Q305" i="2" s="1"/>
  <c r="AQ305" i="2" s="1"/>
  <c r="K307" i="2"/>
  <c r="O307" i="2"/>
  <c r="X307" i="2"/>
  <c r="K305" i="2"/>
  <c r="P307" i="2"/>
  <c r="Q307" i="2" s="1"/>
  <c r="AI308" i="2"/>
  <c r="AJ308" i="2" s="1"/>
  <c r="AR308" i="2" s="1"/>
  <c r="AQ308" i="2"/>
  <c r="AA305" i="2"/>
  <c r="AC305" i="2" s="1"/>
  <c r="AD305" i="2" s="1"/>
  <c r="AK307" i="2"/>
  <c r="AL307" i="2" s="1"/>
  <c r="L305" i="2"/>
  <c r="M305" i="2" s="1"/>
  <c r="AO308" i="2"/>
  <c r="AP308" i="2" s="1"/>
  <c r="AB308" i="2"/>
  <c r="AC308" i="2"/>
  <c r="AD308" i="2" s="1"/>
  <c r="AO307" i="2"/>
  <c r="AP307" i="2" s="1"/>
  <c r="AK306" i="2"/>
  <c r="AL306" i="2" s="1"/>
  <c r="AE305" i="2"/>
  <c r="AI305" i="2" s="1"/>
  <c r="AJ305" i="2" s="1"/>
  <c r="AR305" i="2" s="1"/>
  <c r="L307" i="2"/>
  <c r="M307" i="2" s="1"/>
  <c r="AK305" i="2"/>
  <c r="AL305" i="2" s="1"/>
  <c r="X306" i="2"/>
  <c r="U307" i="2"/>
  <c r="V307" i="2" s="1"/>
  <c r="AA307" i="2"/>
  <c r="P306" i="2"/>
  <c r="Q306" i="2" s="1"/>
  <c r="AQ306" i="2" s="1"/>
  <c r="Y307" i="2"/>
  <c r="Z307" i="2" s="1"/>
  <c r="T306" i="2"/>
  <c r="AE306" i="2"/>
  <c r="AB306" i="2"/>
  <c r="O306" i="2"/>
  <c r="K306" i="2"/>
  <c r="X305" i="2"/>
  <c r="T305" i="2"/>
  <c r="C304" i="2"/>
  <c r="D304" i="2"/>
  <c r="E304" i="2"/>
  <c r="F304" i="2"/>
  <c r="J304" i="2"/>
  <c r="N304" i="2"/>
  <c r="S304" i="2"/>
  <c r="W304" i="2"/>
  <c r="Y304" i="2" s="1"/>
  <c r="Z304" i="2" s="1"/>
  <c r="AS304" i="2"/>
  <c r="AT304" i="2"/>
  <c r="AQ307" i="2" l="1"/>
  <c r="AI307" i="2"/>
  <c r="AJ307" i="2" s="1"/>
  <c r="AR307" i="2" s="1"/>
  <c r="AA304" i="2"/>
  <c r="AC304" i="2" s="1"/>
  <c r="AD304" i="2" s="1"/>
  <c r="AB305" i="2"/>
  <c r="O304" i="2"/>
  <c r="AE304" i="2"/>
  <c r="AO304" i="2" s="1"/>
  <c r="AP304" i="2" s="1"/>
  <c r="AH305" i="2"/>
  <c r="AO305" i="2"/>
  <c r="AP305" i="2" s="1"/>
  <c r="P304" i="2"/>
  <c r="Q304" i="2" s="1"/>
  <c r="AQ304" i="2" s="1"/>
  <c r="AB307" i="2"/>
  <c r="AC307" i="2"/>
  <c r="AD307" i="2" s="1"/>
  <c r="AH306" i="2"/>
  <c r="AI306" i="2"/>
  <c r="AJ306" i="2" s="1"/>
  <c r="AR306" i="2" s="1"/>
  <c r="AO306" i="2"/>
  <c r="AP306" i="2" s="1"/>
  <c r="L304" i="2"/>
  <c r="M304" i="2" s="1"/>
  <c r="U304" i="2"/>
  <c r="V304" i="2" s="1"/>
  <c r="AI304" i="2"/>
  <c r="AJ304" i="2" s="1"/>
  <c r="AR304" i="2" s="1"/>
  <c r="X304" i="2"/>
  <c r="T304" i="2"/>
  <c r="K304" i="2"/>
  <c r="AK304" i="2"/>
  <c r="AL304" i="2" s="1"/>
  <c r="C302" i="2"/>
  <c r="C303" i="2"/>
  <c r="D302" i="2"/>
  <c r="D303" i="2"/>
  <c r="E302" i="2"/>
  <c r="E303" i="2"/>
  <c r="F302" i="2"/>
  <c r="F303" i="2"/>
  <c r="J302" i="2"/>
  <c r="J303" i="2"/>
  <c r="N302" i="2"/>
  <c r="O302" i="2" s="1"/>
  <c r="N303" i="2"/>
  <c r="O303" i="2" s="1"/>
  <c r="S302" i="2"/>
  <c r="S303" i="2"/>
  <c r="W302" i="2"/>
  <c r="X302" i="2" s="1"/>
  <c r="W303" i="2"/>
  <c r="X303" i="2" s="1"/>
  <c r="AS302" i="2"/>
  <c r="AS303" i="2"/>
  <c r="AT302" i="2"/>
  <c r="AT303" i="2"/>
  <c r="AB304" i="2" l="1"/>
  <c r="AK303" i="2"/>
  <c r="AL303" i="2" s="1"/>
  <c r="AH304" i="2"/>
  <c r="T303" i="2"/>
  <c r="K303" i="2"/>
  <c r="AE302" i="2"/>
  <c r="AH302" i="2" s="1"/>
  <c r="AA303" i="2"/>
  <c r="AB303" i="2" s="1"/>
  <c r="Y302" i="2"/>
  <c r="Z302" i="2" s="1"/>
  <c r="T302" i="2"/>
  <c r="K302" i="2"/>
  <c r="AK302" i="2"/>
  <c r="AL302" i="2" s="1"/>
  <c r="AA302" i="2"/>
  <c r="AB302" i="2" s="1"/>
  <c r="AE303" i="2"/>
  <c r="AH303" i="2" s="1"/>
  <c r="Y303" i="2"/>
  <c r="Z303" i="2" s="1"/>
  <c r="U303" i="2"/>
  <c r="V303" i="2" s="1"/>
  <c r="U302" i="2"/>
  <c r="V302" i="2" s="1"/>
  <c r="AO303" i="2"/>
  <c r="AP303" i="2" s="1"/>
  <c r="P303" i="2"/>
  <c r="Q303" i="2" s="1"/>
  <c r="L303" i="2"/>
  <c r="M303" i="2" s="1"/>
  <c r="P302" i="2"/>
  <c r="Q302" i="2" s="1"/>
  <c r="L302" i="2"/>
  <c r="M302" i="2" s="1"/>
  <c r="C298" i="2"/>
  <c r="C299" i="2"/>
  <c r="C300" i="2"/>
  <c r="C301" i="2"/>
  <c r="D298" i="2"/>
  <c r="D299" i="2"/>
  <c r="D300" i="2"/>
  <c r="D301" i="2"/>
  <c r="E298" i="2"/>
  <c r="E299" i="2"/>
  <c r="E300" i="2"/>
  <c r="E301" i="2"/>
  <c r="F298" i="2"/>
  <c r="F299" i="2"/>
  <c r="F300" i="2"/>
  <c r="F301" i="2"/>
  <c r="J298" i="2"/>
  <c r="L298" i="2" s="1"/>
  <c r="M298" i="2" s="1"/>
  <c r="J299" i="2"/>
  <c r="L299" i="2" s="1"/>
  <c r="M299" i="2" s="1"/>
  <c r="J300" i="2"/>
  <c r="K300" i="2" s="1"/>
  <c r="J301" i="2"/>
  <c r="L301" i="2" s="1"/>
  <c r="M301" i="2" s="1"/>
  <c r="N298" i="2"/>
  <c r="N299" i="2"/>
  <c r="N300" i="2"/>
  <c r="N301" i="2"/>
  <c r="S298" i="2"/>
  <c r="S299" i="2"/>
  <c r="S300" i="2"/>
  <c r="S301" i="2"/>
  <c r="W298" i="2"/>
  <c r="W299" i="2"/>
  <c r="W300" i="2"/>
  <c r="AK300" i="2" s="1"/>
  <c r="W301" i="2"/>
  <c r="AS298" i="2"/>
  <c r="AS299" i="2"/>
  <c r="AS300" i="2"/>
  <c r="AS301" i="2"/>
  <c r="AT298" i="2"/>
  <c r="AT299" i="2"/>
  <c r="AT300" i="2"/>
  <c r="AT301" i="2"/>
  <c r="K298" i="2" l="1"/>
  <c r="AQ302" i="2"/>
  <c r="Y301" i="2"/>
  <c r="Z301" i="2" s="1"/>
  <c r="O299" i="2"/>
  <c r="X298" i="2"/>
  <c r="T298" i="2"/>
  <c r="T299" i="2"/>
  <c r="AL300" i="2"/>
  <c r="AI303" i="2"/>
  <c r="AJ303" i="2" s="1"/>
  <c r="AR303" i="2" s="1"/>
  <c r="AC302" i="2"/>
  <c r="AD302" i="2" s="1"/>
  <c r="Y298" i="2"/>
  <c r="Z298" i="2" s="1"/>
  <c r="P299" i="2"/>
  <c r="Q299" i="2" s="1"/>
  <c r="AI302" i="2"/>
  <c r="AJ302" i="2" s="1"/>
  <c r="AR302" i="2" s="1"/>
  <c r="K299" i="2"/>
  <c r="U298" i="2"/>
  <c r="V298" i="2" s="1"/>
  <c r="AO302" i="2"/>
  <c r="AP302" i="2" s="1"/>
  <c r="U299" i="2"/>
  <c r="V299" i="2" s="1"/>
  <c r="AE298" i="2"/>
  <c r="AH298" i="2" s="1"/>
  <c r="AA298" i="2"/>
  <c r="AC298" i="2" s="1"/>
  <c r="AD298" i="2" s="1"/>
  <c r="P298" i="2"/>
  <c r="Q298" i="2" s="1"/>
  <c r="P300" i="2"/>
  <c r="Q300" i="2" s="1"/>
  <c r="T300" i="2"/>
  <c r="AC303" i="2"/>
  <c r="AD303" i="2" s="1"/>
  <c r="O298" i="2"/>
  <c r="X300" i="2"/>
  <c r="O300" i="2"/>
  <c r="L300" i="2"/>
  <c r="M300" i="2" s="1"/>
  <c r="AQ303" i="2"/>
  <c r="AK298" i="2"/>
  <c r="AL298" i="2" s="1"/>
  <c r="Y300" i="2"/>
  <c r="Z300" i="2" s="1"/>
  <c r="AA300" i="2"/>
  <c r="AB300" i="2" s="1"/>
  <c r="X299" i="2"/>
  <c r="Y299" i="2"/>
  <c r="Z299" i="2" s="1"/>
  <c r="U300" i="2"/>
  <c r="V300" i="2" s="1"/>
  <c r="AE300" i="2"/>
  <c r="AA299" i="2"/>
  <c r="AK299" i="2"/>
  <c r="AL299" i="2" s="1"/>
  <c r="O301" i="2"/>
  <c r="T301" i="2"/>
  <c r="AK301" i="2"/>
  <c r="AL301" i="2" s="1"/>
  <c r="AE299" i="2"/>
  <c r="AA301" i="2"/>
  <c r="P301" i="2"/>
  <c r="Q301" i="2" s="1"/>
  <c r="AE301" i="2"/>
  <c r="U301" i="2"/>
  <c r="V301" i="2" s="1"/>
  <c r="X301" i="2"/>
  <c r="K301" i="2"/>
  <c r="C292" i="2"/>
  <c r="C293" i="2"/>
  <c r="C294" i="2"/>
  <c r="C295" i="2"/>
  <c r="C296" i="2"/>
  <c r="C297" i="2"/>
  <c r="D292" i="2"/>
  <c r="D293" i="2"/>
  <c r="D294" i="2"/>
  <c r="D295" i="2"/>
  <c r="D296" i="2"/>
  <c r="D297" i="2"/>
  <c r="E292" i="2"/>
  <c r="E293" i="2"/>
  <c r="E294" i="2"/>
  <c r="E295" i="2"/>
  <c r="E296" i="2"/>
  <c r="E297" i="2"/>
  <c r="F292" i="2"/>
  <c r="F293" i="2"/>
  <c r="F294" i="2"/>
  <c r="F295" i="2"/>
  <c r="F296" i="2"/>
  <c r="F297" i="2"/>
  <c r="J292" i="2"/>
  <c r="J293" i="2"/>
  <c r="J294" i="2"/>
  <c r="J295" i="2"/>
  <c r="J296" i="2"/>
  <c r="J297" i="2"/>
  <c r="N292" i="2"/>
  <c r="O292" i="2" s="1"/>
  <c r="N293" i="2"/>
  <c r="O293" i="2" s="1"/>
  <c r="N294" i="2"/>
  <c r="N295" i="2"/>
  <c r="N296" i="2"/>
  <c r="N297" i="2"/>
  <c r="S292" i="2"/>
  <c r="S293" i="2"/>
  <c r="S294" i="2"/>
  <c r="S295" i="2"/>
  <c r="S296" i="2"/>
  <c r="S297" i="2"/>
  <c r="W292" i="2"/>
  <c r="X292" i="2" s="1"/>
  <c r="W293" i="2"/>
  <c r="W294" i="2"/>
  <c r="AK294" i="2" s="1"/>
  <c r="AL294" i="2" s="1"/>
  <c r="W295" i="2"/>
  <c r="W296" i="2"/>
  <c r="W297" i="2"/>
  <c r="AS292" i="2"/>
  <c r="AS293" i="2"/>
  <c r="AS294" i="2"/>
  <c r="AS295" i="2"/>
  <c r="AS296" i="2"/>
  <c r="AS297" i="2"/>
  <c r="AT292" i="2"/>
  <c r="AT293" i="2"/>
  <c r="AT294" i="2"/>
  <c r="AT295" i="2"/>
  <c r="AT296" i="2"/>
  <c r="AT297" i="2"/>
  <c r="AQ301" i="2" l="1"/>
  <c r="K292" i="2"/>
  <c r="AB298" i="2"/>
  <c r="AQ299" i="2"/>
  <c r="AO298" i="2"/>
  <c r="AP298" i="2" s="1"/>
  <c r="AI298" i="2"/>
  <c r="AJ298" i="2" s="1"/>
  <c r="AR298" i="2" s="1"/>
  <c r="AQ298" i="2"/>
  <c r="T293" i="2"/>
  <c r="U294" i="2"/>
  <c r="V294" i="2" s="1"/>
  <c r="AK297" i="2"/>
  <c r="AQ300" i="2"/>
  <c r="Y294" i="2"/>
  <c r="Z294" i="2" s="1"/>
  <c r="X295" i="2"/>
  <c r="T294" i="2"/>
  <c r="X294" i="2"/>
  <c r="AA296" i="2"/>
  <c r="AB296" i="2" s="1"/>
  <c r="AA292" i="2"/>
  <c r="AB292" i="2" s="1"/>
  <c r="K294" i="2"/>
  <c r="AE296" i="2"/>
  <c r="AH296" i="2" s="1"/>
  <c r="O294" i="2"/>
  <c r="AA297" i="2"/>
  <c r="AB297" i="2" s="1"/>
  <c r="K293" i="2"/>
  <c r="AK293" i="2"/>
  <c r="AL293" i="2" s="1"/>
  <c r="Y295" i="2"/>
  <c r="Z295" i="2" s="1"/>
  <c r="O295" i="2"/>
  <c r="K295" i="2"/>
  <c r="O297" i="2"/>
  <c r="Y293" i="2"/>
  <c r="Z293" i="2" s="1"/>
  <c r="K297" i="2"/>
  <c r="L293" i="2"/>
  <c r="M293" i="2" s="1"/>
  <c r="AC300" i="2"/>
  <c r="AD300" i="2" s="1"/>
  <c r="AA294" i="2"/>
  <c r="AB294" i="2" s="1"/>
  <c r="T295" i="2"/>
  <c r="P296" i="2"/>
  <c r="Q296" i="2" s="1"/>
  <c r="P292" i="2"/>
  <c r="Q292" i="2" s="1"/>
  <c r="L296" i="2"/>
  <c r="M296" i="2" s="1"/>
  <c r="L292" i="2"/>
  <c r="M292" i="2" s="1"/>
  <c r="AB299" i="2"/>
  <c r="AC299" i="2"/>
  <c r="AD299" i="2" s="1"/>
  <c r="AE295" i="2"/>
  <c r="AH295" i="2" s="1"/>
  <c r="AA293" i="2"/>
  <c r="AC293" i="2" s="1"/>
  <c r="AD293" i="2" s="1"/>
  <c r="P294" i="2"/>
  <c r="Q294" i="2" s="1"/>
  <c r="AO300" i="2"/>
  <c r="AP300" i="2" s="1"/>
  <c r="AI300" i="2"/>
  <c r="AJ300" i="2" s="1"/>
  <c r="AR300" i="2" s="1"/>
  <c r="AH300" i="2"/>
  <c r="Y297" i="2"/>
  <c r="Z297" i="2" s="1"/>
  <c r="T292" i="2"/>
  <c r="L294" i="2"/>
  <c r="M294" i="2" s="1"/>
  <c r="X296" i="2"/>
  <c r="AE292" i="2"/>
  <c r="AH292" i="2" s="1"/>
  <c r="P293" i="2"/>
  <c r="Q293" i="2" s="1"/>
  <c r="AO299" i="2"/>
  <c r="AP299" i="2" s="1"/>
  <c r="AH299" i="2"/>
  <c r="AI299" i="2"/>
  <c r="AJ299" i="2" s="1"/>
  <c r="AR299" i="2" s="1"/>
  <c r="AL297" i="2"/>
  <c r="U293" i="2"/>
  <c r="V293" i="2" s="1"/>
  <c r="AK296" i="2"/>
  <c r="AL296" i="2" s="1"/>
  <c r="AK292" i="2"/>
  <c r="AL292" i="2" s="1"/>
  <c r="U297" i="2"/>
  <c r="V297" i="2" s="1"/>
  <c r="T297" i="2"/>
  <c r="P297" i="2"/>
  <c r="Q297" i="2" s="1"/>
  <c r="L297" i="2"/>
  <c r="M297" i="2" s="1"/>
  <c r="AK295" i="2"/>
  <c r="AL295" i="2" s="1"/>
  <c r="AA295" i="2"/>
  <c r="X297" i="2"/>
  <c r="X293" i="2"/>
  <c r="U295" i="2"/>
  <c r="V295" i="2" s="1"/>
  <c r="T296" i="2"/>
  <c r="P295" i="2"/>
  <c r="Q295" i="2" s="1"/>
  <c r="O296" i="2"/>
  <c r="L295" i="2"/>
  <c r="M295" i="2" s="1"/>
  <c r="K296" i="2"/>
  <c r="AO301" i="2"/>
  <c r="AP301" i="2" s="1"/>
  <c r="AH301" i="2"/>
  <c r="AI301" i="2"/>
  <c r="AJ301" i="2" s="1"/>
  <c r="AR301" i="2" s="1"/>
  <c r="AB301" i="2"/>
  <c r="AC301" i="2"/>
  <c r="AD301" i="2" s="1"/>
  <c r="AE294" i="2"/>
  <c r="Y296" i="2"/>
  <c r="Z296" i="2" s="1"/>
  <c r="Y292" i="2"/>
  <c r="Z292" i="2" s="1"/>
  <c r="U296" i="2"/>
  <c r="V296" i="2" s="1"/>
  <c r="U292" i="2"/>
  <c r="V292" i="2" s="1"/>
  <c r="AE297" i="2"/>
  <c r="AE293" i="2"/>
  <c r="C291" i="2"/>
  <c r="D291" i="2"/>
  <c r="E291" i="2"/>
  <c r="F291" i="2"/>
  <c r="J291" i="2"/>
  <c r="N291" i="2"/>
  <c r="S291" i="2"/>
  <c r="W291" i="2"/>
  <c r="X291" i="2" s="1"/>
  <c r="AS291" i="2"/>
  <c r="AT291" i="2"/>
  <c r="AI296" i="2" l="1"/>
  <c r="AJ296" i="2" s="1"/>
  <c r="AR296" i="2" s="1"/>
  <c r="AI295" i="2"/>
  <c r="AJ295" i="2" s="1"/>
  <c r="AR295" i="2" s="1"/>
  <c r="AQ293" i="2"/>
  <c r="AC296" i="2"/>
  <c r="AD296" i="2" s="1"/>
  <c r="AQ295" i="2"/>
  <c r="AO295" i="2"/>
  <c r="AP295" i="2" s="1"/>
  <c r="AC294" i="2"/>
  <c r="AD294" i="2" s="1"/>
  <c r="AQ294" i="2"/>
  <c r="AC297" i="2"/>
  <c r="AD297" i="2" s="1"/>
  <c r="AO296" i="2"/>
  <c r="AP296" i="2" s="1"/>
  <c r="AQ292" i="2"/>
  <c r="AQ297" i="2"/>
  <c r="AC292" i="2"/>
  <c r="AD292" i="2" s="1"/>
  <c r="O291" i="2"/>
  <c r="AQ296" i="2"/>
  <c r="AB293" i="2"/>
  <c r="AI292" i="2"/>
  <c r="AJ292" i="2" s="1"/>
  <c r="AR292" i="2" s="1"/>
  <c r="AO292" i="2"/>
  <c r="AP292" i="2" s="1"/>
  <c r="AB295" i="2"/>
  <c r="AC295" i="2"/>
  <c r="AD295" i="2" s="1"/>
  <c r="AO293" i="2"/>
  <c r="AP293" i="2" s="1"/>
  <c r="AH293" i="2"/>
  <c r="AI293" i="2"/>
  <c r="AJ293" i="2" s="1"/>
  <c r="AR293" i="2" s="1"/>
  <c r="AO297" i="2"/>
  <c r="AP297" i="2" s="1"/>
  <c r="AI297" i="2"/>
  <c r="AJ297" i="2" s="1"/>
  <c r="AR297" i="2" s="1"/>
  <c r="AH297" i="2"/>
  <c r="AI294" i="2"/>
  <c r="AJ294" i="2" s="1"/>
  <c r="AR294" i="2" s="1"/>
  <c r="AH294" i="2"/>
  <c r="AO294" i="2"/>
  <c r="AP294" i="2" s="1"/>
  <c r="AE291" i="2"/>
  <c r="AH291" i="2" s="1"/>
  <c r="AA291" i="2"/>
  <c r="AB291" i="2" s="1"/>
  <c r="AK291" i="2"/>
  <c r="AL291" i="2" s="1"/>
  <c r="U291" i="2"/>
  <c r="V291" i="2" s="1"/>
  <c r="L291" i="2"/>
  <c r="M291" i="2" s="1"/>
  <c r="Y291" i="2"/>
  <c r="Z291" i="2" s="1"/>
  <c r="P291" i="2"/>
  <c r="Q291" i="2" s="1"/>
  <c r="T291" i="2"/>
  <c r="K291" i="2"/>
  <c r="C290" i="2"/>
  <c r="D290" i="2"/>
  <c r="E290" i="2"/>
  <c r="F290" i="2"/>
  <c r="J290" i="2"/>
  <c r="N290" i="2"/>
  <c r="S290" i="2"/>
  <c r="W290" i="2"/>
  <c r="Y290" i="2" s="1"/>
  <c r="Z290" i="2" s="1"/>
  <c r="AS290" i="2"/>
  <c r="AT290" i="2"/>
  <c r="T290" i="2" l="1"/>
  <c r="AQ291" i="2"/>
  <c r="L290" i="2"/>
  <c r="M290" i="2" s="1"/>
  <c r="AC291" i="2"/>
  <c r="AD291" i="2" s="1"/>
  <c r="AI291" i="2"/>
  <c r="AJ291" i="2" s="1"/>
  <c r="AR291" i="2" s="1"/>
  <c r="P290" i="2"/>
  <c r="Q290" i="2" s="1"/>
  <c r="AQ290" i="2" s="1"/>
  <c r="AO291" i="2"/>
  <c r="AP291" i="2" s="1"/>
  <c r="O290" i="2"/>
  <c r="AK290" i="2"/>
  <c r="AL290" i="2" s="1"/>
  <c r="AE290" i="2"/>
  <c r="AA290" i="2"/>
  <c r="U290" i="2"/>
  <c r="V290" i="2" s="1"/>
  <c r="X290" i="2"/>
  <c r="K290" i="2"/>
  <c r="C286" i="2"/>
  <c r="C287" i="2"/>
  <c r="C288" i="2"/>
  <c r="C289" i="2"/>
  <c r="D286" i="2"/>
  <c r="D287" i="2"/>
  <c r="D288" i="2"/>
  <c r="D289" i="2"/>
  <c r="E286" i="2"/>
  <c r="E287" i="2"/>
  <c r="E288" i="2"/>
  <c r="E289" i="2"/>
  <c r="F286" i="2"/>
  <c r="F287" i="2"/>
  <c r="F288" i="2"/>
  <c r="F289" i="2"/>
  <c r="J286" i="2"/>
  <c r="L286" i="2" s="1"/>
  <c r="M286" i="2" s="1"/>
  <c r="J287" i="2"/>
  <c r="K287" i="2" s="1"/>
  <c r="J288" i="2"/>
  <c r="K288" i="2" s="1"/>
  <c r="J289" i="2"/>
  <c r="K289" i="2" s="1"/>
  <c r="N286" i="2"/>
  <c r="N287" i="2"/>
  <c r="N288" i="2"/>
  <c r="N289" i="2"/>
  <c r="S286" i="2"/>
  <c r="S287" i="2"/>
  <c r="T287" i="2" s="1"/>
  <c r="S288" i="2"/>
  <c r="S289" i="2"/>
  <c r="W286" i="2"/>
  <c r="W287" i="2"/>
  <c r="W288" i="2"/>
  <c r="W289" i="2"/>
  <c r="AK286" i="2"/>
  <c r="AS286" i="2"/>
  <c r="AS287" i="2"/>
  <c r="AS288" i="2"/>
  <c r="AS289" i="2"/>
  <c r="AT286" i="2"/>
  <c r="AT287" i="2"/>
  <c r="AT288" i="2"/>
  <c r="AT289" i="2"/>
  <c r="AA288" i="2" l="1"/>
  <c r="AB288" i="2" s="1"/>
  <c r="U287" i="2"/>
  <c r="V287" i="2" s="1"/>
  <c r="AK287" i="2"/>
  <c r="AL287" i="2" s="1"/>
  <c r="X288" i="2"/>
  <c r="U286" i="2"/>
  <c r="V286" i="2" s="1"/>
  <c r="AE287" i="2"/>
  <c r="AI287" i="2" s="1"/>
  <c r="AJ287" i="2" s="1"/>
  <c r="AR287" i="2" s="1"/>
  <c r="AE286" i="2"/>
  <c r="AI286" i="2" s="1"/>
  <c r="AJ286" i="2" s="1"/>
  <c r="AR286" i="2" s="1"/>
  <c r="O286" i="2"/>
  <c r="T288" i="2"/>
  <c r="Y286" i="2"/>
  <c r="Z286" i="2" s="1"/>
  <c r="U288" i="2"/>
  <c r="V288" i="2" s="1"/>
  <c r="AK288" i="2"/>
  <c r="AL288" i="2" s="1"/>
  <c r="T289" i="2"/>
  <c r="Y288" i="2"/>
  <c r="Z288" i="2" s="1"/>
  <c r="AL286" i="2"/>
  <c r="X286" i="2"/>
  <c r="T286" i="2"/>
  <c r="K286" i="2"/>
  <c r="AA286" i="2"/>
  <c r="P286" i="2"/>
  <c r="Q286" i="2" s="1"/>
  <c r="U289" i="2"/>
  <c r="V289" i="2" s="1"/>
  <c r="Y287" i="2"/>
  <c r="Z287" i="2" s="1"/>
  <c r="O289" i="2"/>
  <c r="L287" i="2"/>
  <c r="M287" i="2" s="1"/>
  <c r="AE289" i="2"/>
  <c r="AH289" i="2" s="1"/>
  <c r="AA287" i="2"/>
  <c r="X287" i="2"/>
  <c r="P289" i="2"/>
  <c r="Q289" i="2" s="1"/>
  <c r="O287" i="2"/>
  <c r="X289" i="2"/>
  <c r="AH290" i="2"/>
  <c r="AI290" i="2"/>
  <c r="AJ290" i="2" s="1"/>
  <c r="AR290" i="2" s="1"/>
  <c r="AO290" i="2"/>
  <c r="AP290" i="2" s="1"/>
  <c r="AB290" i="2"/>
  <c r="AC290" i="2"/>
  <c r="AD290" i="2" s="1"/>
  <c r="AK289" i="2"/>
  <c r="AL289" i="2" s="1"/>
  <c r="Y289" i="2"/>
  <c r="Z289" i="2" s="1"/>
  <c r="P287" i="2"/>
  <c r="Q287" i="2" s="1"/>
  <c r="L289" i="2"/>
  <c r="M289" i="2" s="1"/>
  <c r="AA289" i="2"/>
  <c r="AE288" i="2"/>
  <c r="AH288" i="2" s="1"/>
  <c r="AC288" i="2"/>
  <c r="AD288" i="2" s="1"/>
  <c r="P288" i="2"/>
  <c r="Q288" i="2" s="1"/>
  <c r="O288" i="2"/>
  <c r="L288" i="2"/>
  <c r="M288" i="2" s="1"/>
  <c r="C285" i="2"/>
  <c r="D285" i="2"/>
  <c r="E285" i="2"/>
  <c r="F285" i="2"/>
  <c r="J285" i="2"/>
  <c r="N285" i="2"/>
  <c r="S285" i="2"/>
  <c r="W285" i="2"/>
  <c r="AS285" i="2"/>
  <c r="AT285" i="2"/>
  <c r="Y285" i="2" l="1"/>
  <c r="Z285" i="2" s="1"/>
  <c r="AO286" i="2"/>
  <c r="AP286" i="2" s="1"/>
  <c r="AH286" i="2"/>
  <c r="AQ287" i="2"/>
  <c r="AQ288" i="2"/>
  <c r="AO287" i="2"/>
  <c r="AP287" i="2" s="1"/>
  <c r="AH287" i="2"/>
  <c r="AO289" i="2"/>
  <c r="AP289" i="2" s="1"/>
  <c r="AI289" i="2"/>
  <c r="AJ289" i="2" s="1"/>
  <c r="AR289" i="2" s="1"/>
  <c r="AQ286" i="2"/>
  <c r="K285" i="2"/>
  <c r="U285" i="2"/>
  <c r="V285" i="2" s="1"/>
  <c r="AC286" i="2"/>
  <c r="AD286" i="2" s="1"/>
  <c r="AB286" i="2"/>
  <c r="AQ289" i="2"/>
  <c r="AO288" i="2"/>
  <c r="AP288" i="2" s="1"/>
  <c r="O285" i="2"/>
  <c r="AB287" i="2"/>
  <c r="AC287" i="2"/>
  <c r="AD287" i="2" s="1"/>
  <c r="AB289" i="2"/>
  <c r="AC289" i="2"/>
  <c r="AD289" i="2" s="1"/>
  <c r="AI288" i="2"/>
  <c r="AJ288" i="2" s="1"/>
  <c r="AR288" i="2" s="1"/>
  <c r="P285" i="2"/>
  <c r="Q285" i="2" s="1"/>
  <c r="AK285" i="2"/>
  <c r="AL285" i="2" s="1"/>
  <c r="AE285" i="2"/>
  <c r="AI285" i="2" s="1"/>
  <c r="AJ285" i="2" s="1"/>
  <c r="AR285" i="2" s="1"/>
  <c r="L285" i="2"/>
  <c r="M285" i="2" s="1"/>
  <c r="AA285" i="2"/>
  <c r="X285" i="2"/>
  <c r="T285" i="2"/>
  <c r="C284" i="2"/>
  <c r="D284" i="2"/>
  <c r="E284" i="2"/>
  <c r="F284" i="2"/>
  <c r="J284" i="2"/>
  <c r="N284" i="2"/>
  <c r="S284" i="2"/>
  <c r="W284" i="2"/>
  <c r="X284" i="2" s="1"/>
  <c r="AS284" i="2"/>
  <c r="AT284" i="2"/>
  <c r="AQ285" i="2" l="1"/>
  <c r="AH285" i="2"/>
  <c r="AO285" i="2"/>
  <c r="AP285" i="2" s="1"/>
  <c r="K284" i="2"/>
  <c r="T284" i="2"/>
  <c r="AB285" i="2"/>
  <c r="AC285" i="2"/>
  <c r="AD285" i="2" s="1"/>
  <c r="O284" i="2"/>
  <c r="U284" i="2"/>
  <c r="V284" i="2" s="1"/>
  <c r="Y284" i="2"/>
  <c r="Z284" i="2" s="1"/>
  <c r="AA284" i="2"/>
  <c r="P284" i="2"/>
  <c r="Q284" i="2" s="1"/>
  <c r="AK284" i="2"/>
  <c r="AL284" i="2" s="1"/>
  <c r="AE284" i="2"/>
  <c r="L284" i="2"/>
  <c r="M284" i="2" s="1"/>
  <c r="C282" i="2"/>
  <c r="C283" i="2"/>
  <c r="D282" i="2"/>
  <c r="D283" i="2"/>
  <c r="E282" i="2"/>
  <c r="E283" i="2"/>
  <c r="F282" i="2"/>
  <c r="F283" i="2"/>
  <c r="J282" i="2"/>
  <c r="J283" i="2"/>
  <c r="N282" i="2"/>
  <c r="N283" i="2"/>
  <c r="O283" i="2" s="1"/>
  <c r="S282" i="2"/>
  <c r="S283" i="2"/>
  <c r="W282" i="2"/>
  <c r="X282" i="2" s="1"/>
  <c r="W283" i="2"/>
  <c r="AS282" i="2"/>
  <c r="AS283" i="2"/>
  <c r="AT282" i="2"/>
  <c r="AT283" i="2"/>
  <c r="T282" i="2" l="1"/>
  <c r="AE282" i="2"/>
  <c r="AH282" i="2" s="1"/>
  <c r="K282" i="2"/>
  <c r="L283" i="2"/>
  <c r="M283" i="2" s="1"/>
  <c r="U283" i="2"/>
  <c r="V283" i="2" s="1"/>
  <c r="AA283" i="2"/>
  <c r="AB283" i="2" s="1"/>
  <c r="AK282" i="2"/>
  <c r="AL282" i="2" s="1"/>
  <c r="AA282" i="2"/>
  <c r="AB282" i="2" s="1"/>
  <c r="T283" i="2"/>
  <c r="X283" i="2"/>
  <c r="K283" i="2"/>
  <c r="AQ284" i="2"/>
  <c r="AO284" i="2"/>
  <c r="AP284" i="2" s="1"/>
  <c r="AH284" i="2"/>
  <c r="AI284" i="2"/>
  <c r="AJ284" i="2" s="1"/>
  <c r="AR284" i="2" s="1"/>
  <c r="AB284" i="2"/>
  <c r="AC284" i="2"/>
  <c r="AD284" i="2" s="1"/>
  <c r="AE283" i="2"/>
  <c r="AI283" i="2" s="1"/>
  <c r="AJ283" i="2" s="1"/>
  <c r="AR283" i="2" s="1"/>
  <c r="Y283" i="2"/>
  <c r="Z283" i="2" s="1"/>
  <c r="O282" i="2"/>
  <c r="AK283" i="2"/>
  <c r="AL283" i="2" s="1"/>
  <c r="P283" i="2"/>
  <c r="Q283" i="2" s="1"/>
  <c r="Y282" i="2"/>
  <c r="Z282" i="2" s="1"/>
  <c r="U282" i="2"/>
  <c r="V282" i="2" s="1"/>
  <c r="P282" i="2"/>
  <c r="Q282" i="2" s="1"/>
  <c r="L282" i="2"/>
  <c r="M282" i="2" s="1"/>
  <c r="C281" i="2"/>
  <c r="D281" i="2"/>
  <c r="E281" i="2"/>
  <c r="F281" i="2"/>
  <c r="J281" i="2"/>
  <c r="N281" i="2"/>
  <c r="S281" i="2"/>
  <c r="W281" i="2"/>
  <c r="X281" i="2" s="1"/>
  <c r="AS281" i="2"/>
  <c r="AT281" i="2"/>
  <c r="AI282" i="2" l="1"/>
  <c r="AJ282" i="2" s="1"/>
  <c r="AR282" i="2" s="1"/>
  <c r="AO282" i="2"/>
  <c r="AP282" i="2" s="1"/>
  <c r="AQ283" i="2"/>
  <c r="AC283" i="2"/>
  <c r="AD283" i="2" s="1"/>
  <c r="AC282" i="2"/>
  <c r="AD282" i="2" s="1"/>
  <c r="T281" i="2"/>
  <c r="O281" i="2"/>
  <c r="AK281" i="2"/>
  <c r="AL281" i="2" s="1"/>
  <c r="K281" i="2"/>
  <c r="AH283" i="2"/>
  <c r="AO283" i="2"/>
  <c r="AP283" i="2" s="1"/>
  <c r="AQ282" i="2"/>
  <c r="U281" i="2"/>
  <c r="V281" i="2" s="1"/>
  <c r="AE281" i="2"/>
  <c r="AI281" i="2" s="1"/>
  <c r="AJ281" i="2" s="1"/>
  <c r="AR281" i="2" s="1"/>
  <c r="Y281" i="2"/>
  <c r="Z281" i="2" s="1"/>
  <c r="AA281" i="2"/>
  <c r="P281" i="2"/>
  <c r="Q281" i="2" s="1"/>
  <c r="L281" i="2"/>
  <c r="M281" i="2" s="1"/>
  <c r="C280" i="2"/>
  <c r="D280" i="2"/>
  <c r="E280" i="2"/>
  <c r="F280" i="2"/>
  <c r="J280" i="2"/>
  <c r="N280" i="2"/>
  <c r="S280" i="2"/>
  <c r="W280" i="2"/>
  <c r="X280" i="2" s="1"/>
  <c r="AS280" i="2"/>
  <c r="AT280" i="2"/>
  <c r="T280" i="2" l="1"/>
  <c r="K280" i="2"/>
  <c r="AQ281" i="2"/>
  <c r="O280" i="2"/>
  <c r="AH281" i="2"/>
  <c r="AO281" i="2"/>
  <c r="AP281" i="2" s="1"/>
  <c r="AB281" i="2"/>
  <c r="AC281" i="2"/>
  <c r="AD281" i="2" s="1"/>
  <c r="U280" i="2"/>
  <c r="V280" i="2" s="1"/>
  <c r="AE280" i="2"/>
  <c r="AH280" i="2" s="1"/>
  <c r="Y280" i="2"/>
  <c r="Z280" i="2" s="1"/>
  <c r="AK280" i="2"/>
  <c r="AL280" i="2" s="1"/>
  <c r="AA280" i="2"/>
  <c r="P280" i="2"/>
  <c r="Q280" i="2" s="1"/>
  <c r="L280" i="2"/>
  <c r="M280" i="2" s="1"/>
  <c r="C278" i="2"/>
  <c r="C279" i="2"/>
  <c r="D278" i="2"/>
  <c r="D279" i="2"/>
  <c r="E278" i="2"/>
  <c r="E279" i="2"/>
  <c r="F278" i="2"/>
  <c r="F279" i="2"/>
  <c r="J278" i="2"/>
  <c r="J279" i="2"/>
  <c r="N278" i="2"/>
  <c r="O278" i="2" s="1"/>
  <c r="N279" i="2"/>
  <c r="O279" i="2" s="1"/>
  <c r="S278" i="2"/>
  <c r="S279" i="2"/>
  <c r="W278" i="2"/>
  <c r="X278" i="2" s="1"/>
  <c r="W279" i="2"/>
  <c r="X279" i="2" s="1"/>
  <c r="AS278" i="2"/>
  <c r="AS279" i="2"/>
  <c r="AT278" i="2"/>
  <c r="AT279" i="2"/>
  <c r="AI280" i="2" l="1"/>
  <c r="AJ280" i="2" s="1"/>
  <c r="AR280" i="2" s="1"/>
  <c r="AA279" i="2"/>
  <c r="AB279" i="2" s="1"/>
  <c r="AK279" i="2"/>
  <c r="AL279" i="2" s="1"/>
  <c r="T279" i="2"/>
  <c r="K279" i="2"/>
  <c r="AE278" i="2"/>
  <c r="AH278" i="2" s="1"/>
  <c r="AO280" i="2"/>
  <c r="AP280" i="2" s="1"/>
  <c r="AQ280" i="2"/>
  <c r="AB280" i="2"/>
  <c r="AC280" i="2"/>
  <c r="AD280" i="2" s="1"/>
  <c r="Y278" i="2"/>
  <c r="Z278" i="2" s="1"/>
  <c r="T278" i="2"/>
  <c r="K278" i="2"/>
  <c r="AK278" i="2"/>
  <c r="AL278" i="2" s="1"/>
  <c r="AA278" i="2"/>
  <c r="AB278" i="2" s="1"/>
  <c r="AE279" i="2"/>
  <c r="AH279" i="2" s="1"/>
  <c r="Y279" i="2"/>
  <c r="Z279" i="2" s="1"/>
  <c r="U279" i="2"/>
  <c r="V279" i="2" s="1"/>
  <c r="U278" i="2"/>
  <c r="V278" i="2" s="1"/>
  <c r="AC279" i="2"/>
  <c r="AD279" i="2" s="1"/>
  <c r="P279" i="2"/>
  <c r="Q279" i="2" s="1"/>
  <c r="AQ279" i="2" s="1"/>
  <c r="L279" i="2"/>
  <c r="M279" i="2" s="1"/>
  <c r="P278" i="2"/>
  <c r="Q278" i="2" s="1"/>
  <c r="L278" i="2"/>
  <c r="M278" i="2" s="1"/>
  <c r="C277" i="2"/>
  <c r="D277" i="2"/>
  <c r="E277" i="2"/>
  <c r="F277" i="2"/>
  <c r="J277" i="2"/>
  <c r="N277" i="2"/>
  <c r="S277" i="2"/>
  <c r="W277" i="2"/>
  <c r="Y277" i="2" s="1"/>
  <c r="Z277" i="2" s="1"/>
  <c r="AS277" i="2"/>
  <c r="AT277" i="2"/>
  <c r="AQ278" i="2" l="1"/>
  <c r="AO278" i="2"/>
  <c r="AP278" i="2" s="1"/>
  <c r="AI278" i="2"/>
  <c r="AJ278" i="2" s="1"/>
  <c r="AR278" i="2" s="1"/>
  <c r="AC278" i="2"/>
  <c r="AD278" i="2" s="1"/>
  <c r="AO279" i="2"/>
  <c r="AP279" i="2" s="1"/>
  <c r="P277" i="2"/>
  <c r="Q277" i="2" s="1"/>
  <c r="AQ277" i="2" s="1"/>
  <c r="AI279" i="2"/>
  <c r="AJ279" i="2" s="1"/>
  <c r="AR279" i="2" s="1"/>
  <c r="AE277" i="2"/>
  <c r="AH277" i="2" s="1"/>
  <c r="L277" i="2"/>
  <c r="M277" i="2" s="1"/>
  <c r="U277" i="2"/>
  <c r="V277" i="2" s="1"/>
  <c r="AA277" i="2"/>
  <c r="AC277" i="2" s="1"/>
  <c r="AD277" i="2" s="1"/>
  <c r="AK277" i="2"/>
  <c r="AL277" i="2" s="1"/>
  <c r="X277" i="2"/>
  <c r="T277" i="2"/>
  <c r="O277" i="2"/>
  <c r="K277" i="2"/>
  <c r="C276" i="2"/>
  <c r="D276" i="2"/>
  <c r="E276" i="2"/>
  <c r="F276" i="2"/>
  <c r="J276" i="2"/>
  <c r="N276" i="2"/>
  <c r="S276" i="2"/>
  <c r="W276" i="2"/>
  <c r="X276" i="2" s="1"/>
  <c r="AS276" i="2"/>
  <c r="AT276" i="2"/>
  <c r="AB277" i="2" l="1"/>
  <c r="AI277" i="2"/>
  <c r="AJ277" i="2" s="1"/>
  <c r="AR277" i="2" s="1"/>
  <c r="AO277" i="2"/>
  <c r="AP277" i="2" s="1"/>
  <c r="O276" i="2"/>
  <c r="L276" i="2"/>
  <c r="M276" i="2" s="1"/>
  <c r="AE276" i="2"/>
  <c r="AO276" i="2" s="1"/>
  <c r="AP276" i="2" s="1"/>
  <c r="T276" i="2"/>
  <c r="AA276" i="2"/>
  <c r="AC276" i="2" s="1"/>
  <c r="AD276" i="2" s="1"/>
  <c r="AK276" i="2"/>
  <c r="AL276" i="2" s="1"/>
  <c r="Y276" i="2"/>
  <c r="Z276" i="2" s="1"/>
  <c r="U276" i="2"/>
  <c r="V276" i="2" s="1"/>
  <c r="P276" i="2"/>
  <c r="Q276" i="2" s="1"/>
  <c r="K276" i="2"/>
  <c r="C275" i="2"/>
  <c r="D275" i="2"/>
  <c r="E275" i="2"/>
  <c r="F275" i="2"/>
  <c r="J275" i="2"/>
  <c r="N275" i="2"/>
  <c r="S275" i="2"/>
  <c r="W275" i="2"/>
  <c r="AS275" i="2"/>
  <c r="AT275" i="2"/>
  <c r="AI276" i="2" l="1"/>
  <c r="AJ276" i="2" s="1"/>
  <c r="AR276" i="2" s="1"/>
  <c r="T275" i="2"/>
  <c r="AE275" i="2"/>
  <c r="AO275" i="2" s="1"/>
  <c r="AP275" i="2" s="1"/>
  <c r="K275" i="2"/>
  <c r="AB276" i="2"/>
  <c r="U275" i="2"/>
  <c r="V275" i="2" s="1"/>
  <c r="P275" i="2"/>
  <c r="Q275" i="2" s="1"/>
  <c r="AQ276" i="2"/>
  <c r="AH276" i="2"/>
  <c r="AA275" i="2"/>
  <c r="AB275" i="2" s="1"/>
  <c r="X275" i="2"/>
  <c r="O275" i="2"/>
  <c r="Y275" i="2"/>
  <c r="Z275" i="2" s="1"/>
  <c r="AK275" i="2"/>
  <c r="AL275" i="2" s="1"/>
  <c r="L275" i="2"/>
  <c r="M275" i="2" s="1"/>
  <c r="C274" i="2"/>
  <c r="D274" i="2"/>
  <c r="E274" i="2"/>
  <c r="F274" i="2"/>
  <c r="J274" i="2"/>
  <c r="N274" i="2"/>
  <c r="S274" i="2"/>
  <c r="W274" i="2"/>
  <c r="AS274" i="2"/>
  <c r="AT274" i="2"/>
  <c r="AQ275" i="2" l="1"/>
  <c r="AI275" i="2"/>
  <c r="AJ275" i="2" s="1"/>
  <c r="AR275" i="2" s="1"/>
  <c r="AH275" i="2"/>
  <c r="T274" i="2"/>
  <c r="P274" i="2"/>
  <c r="Q274" i="2" s="1"/>
  <c r="AC275" i="2"/>
  <c r="AD275" i="2" s="1"/>
  <c r="AK274" i="2"/>
  <c r="AL274" i="2" s="1"/>
  <c r="K274" i="2"/>
  <c r="AA274" i="2"/>
  <c r="O274" i="2"/>
  <c r="Y274" i="2"/>
  <c r="Z274" i="2" s="1"/>
  <c r="AQ274" i="2" s="1"/>
  <c r="X274" i="2"/>
  <c r="U274" i="2"/>
  <c r="V274" i="2" s="1"/>
  <c r="AE274" i="2"/>
  <c r="L274" i="2"/>
  <c r="M274" i="2" s="1"/>
  <c r="C273" i="2"/>
  <c r="D273" i="2"/>
  <c r="E273" i="2"/>
  <c r="F273" i="2"/>
  <c r="J273" i="2"/>
  <c r="N273" i="2"/>
  <c r="S273" i="2"/>
  <c r="W273" i="2"/>
  <c r="AS273" i="2"/>
  <c r="AT273" i="2"/>
  <c r="AK273" i="2" l="1"/>
  <c r="AL273" i="2" s="1"/>
  <c r="K273" i="2"/>
  <c r="P273" i="2"/>
  <c r="Q273" i="2" s="1"/>
  <c r="AB274" i="2"/>
  <c r="AC274" i="2"/>
  <c r="AD274" i="2" s="1"/>
  <c r="T273" i="2"/>
  <c r="AO274" i="2"/>
  <c r="AP274" i="2" s="1"/>
  <c r="AH274" i="2"/>
  <c r="AI274" i="2"/>
  <c r="AJ274" i="2" s="1"/>
  <c r="AR274" i="2" s="1"/>
  <c r="AA273" i="2"/>
  <c r="AB273" i="2" s="1"/>
  <c r="O273" i="2"/>
  <c r="X273" i="2"/>
  <c r="Y273" i="2"/>
  <c r="Z273" i="2" s="1"/>
  <c r="AE273" i="2"/>
  <c r="U273" i="2"/>
  <c r="V273" i="2" s="1"/>
  <c r="L273" i="2"/>
  <c r="M273" i="2" s="1"/>
  <c r="C272" i="2"/>
  <c r="D272" i="2"/>
  <c r="E272" i="2"/>
  <c r="F272" i="2"/>
  <c r="J272" i="2"/>
  <c r="N272" i="2"/>
  <c r="S272" i="2"/>
  <c r="W272" i="2"/>
  <c r="Y272" i="2" s="1"/>
  <c r="Z272" i="2" s="1"/>
  <c r="AS272" i="2"/>
  <c r="AT272" i="2"/>
  <c r="AC273" i="2" l="1"/>
  <c r="AD273" i="2" s="1"/>
  <c r="AE272" i="2"/>
  <c r="AH272" i="2" s="1"/>
  <c r="AQ273" i="2"/>
  <c r="L272" i="2"/>
  <c r="M272" i="2" s="1"/>
  <c r="U272" i="2"/>
  <c r="V272" i="2" s="1"/>
  <c r="AO273" i="2"/>
  <c r="AP273" i="2" s="1"/>
  <c r="AH273" i="2"/>
  <c r="AI273" i="2"/>
  <c r="AJ273" i="2" s="1"/>
  <c r="AR273" i="2" s="1"/>
  <c r="P272" i="2"/>
  <c r="Q272" i="2" s="1"/>
  <c r="AQ272" i="2" s="1"/>
  <c r="AK272" i="2"/>
  <c r="AL272" i="2" s="1"/>
  <c r="AO272" i="2"/>
  <c r="AP272" i="2" s="1"/>
  <c r="AA272" i="2"/>
  <c r="AI272" i="2"/>
  <c r="AJ272" i="2" s="1"/>
  <c r="AR272" i="2" s="1"/>
  <c r="X272" i="2"/>
  <c r="T272" i="2"/>
  <c r="O272" i="2"/>
  <c r="K272" i="2"/>
  <c r="C269" i="2"/>
  <c r="C270" i="2"/>
  <c r="C271" i="2"/>
  <c r="D269" i="2"/>
  <c r="D270" i="2"/>
  <c r="D271" i="2"/>
  <c r="E269" i="2"/>
  <c r="E270" i="2"/>
  <c r="E271" i="2"/>
  <c r="F269" i="2"/>
  <c r="F270" i="2"/>
  <c r="F271" i="2"/>
  <c r="J269" i="2"/>
  <c r="J270" i="2"/>
  <c r="J271" i="2"/>
  <c r="N269" i="2"/>
  <c r="N270" i="2"/>
  <c r="N271" i="2"/>
  <c r="S269" i="2"/>
  <c r="S270" i="2"/>
  <c r="S271" i="2"/>
  <c r="W269" i="2"/>
  <c r="W270" i="2"/>
  <c r="Y270" i="2" s="1"/>
  <c r="Z270" i="2" s="1"/>
  <c r="W271" i="2"/>
  <c r="AS269" i="2"/>
  <c r="AS270" i="2"/>
  <c r="AS271" i="2"/>
  <c r="AT269" i="2"/>
  <c r="AT270" i="2"/>
  <c r="AT271" i="2"/>
  <c r="AA269" i="2" l="1"/>
  <c r="AC269" i="2" s="1"/>
  <c r="AD269" i="2" s="1"/>
  <c r="L271" i="2"/>
  <c r="M271" i="2" s="1"/>
  <c r="P271" i="2"/>
  <c r="Q271" i="2" s="1"/>
  <c r="X270" i="2"/>
  <c r="P270" i="2"/>
  <c r="Q270" i="2" s="1"/>
  <c r="K269" i="2"/>
  <c r="AE271" i="2"/>
  <c r="AH271" i="2" s="1"/>
  <c r="Y269" i="2"/>
  <c r="Z269" i="2" s="1"/>
  <c r="O271" i="2"/>
  <c r="AK270" i="2"/>
  <c r="AL270" i="2" s="1"/>
  <c r="T271" i="2"/>
  <c r="K271" i="2"/>
  <c r="AK271" i="2"/>
  <c r="AL271" i="2" s="1"/>
  <c r="AE269" i="2"/>
  <c r="AH269" i="2" s="1"/>
  <c r="X271" i="2"/>
  <c r="U270" i="2"/>
  <c r="V270" i="2" s="1"/>
  <c r="L269" i="2"/>
  <c r="M269" i="2" s="1"/>
  <c r="AA271" i="2"/>
  <c r="AC271" i="2" s="1"/>
  <c r="AD271" i="2" s="1"/>
  <c r="U269" i="2"/>
  <c r="V269" i="2" s="1"/>
  <c r="L270" i="2"/>
  <c r="M270" i="2" s="1"/>
  <c r="P269" i="2"/>
  <c r="Q269" i="2" s="1"/>
  <c r="U271" i="2"/>
  <c r="V271" i="2" s="1"/>
  <c r="AB272" i="2"/>
  <c r="AC272" i="2"/>
  <c r="AD272" i="2" s="1"/>
  <c r="AA270" i="2"/>
  <c r="AC270" i="2" s="1"/>
  <c r="AD270" i="2" s="1"/>
  <c r="O269" i="2"/>
  <c r="Y271" i="2"/>
  <c r="Z271" i="2" s="1"/>
  <c r="T270" i="2"/>
  <c r="AK269" i="2"/>
  <c r="AL269" i="2" s="1"/>
  <c r="AE270" i="2"/>
  <c r="O270" i="2"/>
  <c r="K270" i="2"/>
  <c r="AQ270" i="2"/>
  <c r="AB269" i="2"/>
  <c r="X269" i="2"/>
  <c r="T269" i="2"/>
  <c r="C266" i="2"/>
  <c r="C267" i="2"/>
  <c r="C268" i="2"/>
  <c r="D266" i="2"/>
  <c r="D267" i="2"/>
  <c r="D268" i="2"/>
  <c r="E266" i="2"/>
  <c r="E267" i="2"/>
  <c r="E268" i="2"/>
  <c r="F266" i="2"/>
  <c r="F267" i="2"/>
  <c r="F268" i="2"/>
  <c r="J266" i="2"/>
  <c r="J267" i="2"/>
  <c r="J268" i="2"/>
  <c r="N266" i="2"/>
  <c r="N267" i="2"/>
  <c r="N268" i="2"/>
  <c r="S266" i="2"/>
  <c r="S267" i="2"/>
  <c r="S268" i="2"/>
  <c r="W266" i="2"/>
  <c r="W267" i="2"/>
  <c r="Y267" i="2" s="1"/>
  <c r="Z267" i="2" s="1"/>
  <c r="W268" i="2"/>
  <c r="X268" i="2" s="1"/>
  <c r="AS266" i="2"/>
  <c r="AS267" i="2"/>
  <c r="AS268" i="2"/>
  <c r="AT266" i="2"/>
  <c r="AT267" i="2"/>
  <c r="AT268" i="2"/>
  <c r="AQ271" i="2" l="1"/>
  <c r="AO271" i="2"/>
  <c r="AP271" i="2" s="1"/>
  <c r="AI271" i="2"/>
  <c r="AJ271" i="2" s="1"/>
  <c r="AR271" i="2" s="1"/>
  <c r="AK266" i="2"/>
  <c r="X267" i="2"/>
  <c r="AA268" i="2"/>
  <c r="AB268" i="2" s="1"/>
  <c r="P267" i="2"/>
  <c r="Q267" i="2" s="1"/>
  <c r="AQ267" i="2" s="1"/>
  <c r="AO269" i="2"/>
  <c r="AP269" i="2" s="1"/>
  <c r="AQ269" i="2"/>
  <c r="O268" i="2"/>
  <c r="L267" i="2"/>
  <c r="M267" i="2" s="1"/>
  <c r="L268" i="2"/>
  <c r="M268" i="2" s="1"/>
  <c r="AI269" i="2"/>
  <c r="AJ269" i="2" s="1"/>
  <c r="AR269" i="2" s="1"/>
  <c r="AB271" i="2"/>
  <c r="K266" i="2"/>
  <c r="U266" i="2"/>
  <c r="V266" i="2" s="1"/>
  <c r="AL266" i="2"/>
  <c r="Y266" i="2"/>
  <c r="Z266" i="2" s="1"/>
  <c r="U268" i="2"/>
  <c r="V268" i="2" s="1"/>
  <c r="P266" i="2"/>
  <c r="Q266" i="2" s="1"/>
  <c r="AE267" i="2"/>
  <c r="T268" i="2"/>
  <c r="AE266" i="2"/>
  <c r="AH266" i="2" s="1"/>
  <c r="P268" i="2"/>
  <c r="Q268" i="2" s="1"/>
  <c r="K268" i="2"/>
  <c r="AB270" i="2"/>
  <c r="AH270" i="2"/>
  <c r="AO270" i="2"/>
  <c r="AP270" i="2" s="1"/>
  <c r="AI270" i="2"/>
  <c r="AJ270" i="2" s="1"/>
  <c r="AR270" i="2" s="1"/>
  <c r="AE268" i="2"/>
  <c r="AH268" i="2" s="1"/>
  <c r="AA266" i="2"/>
  <c r="AC266" i="2" s="1"/>
  <c r="AD266" i="2" s="1"/>
  <c r="AK268" i="2"/>
  <c r="AL268" i="2" s="1"/>
  <c r="Y268" i="2"/>
  <c r="Z268" i="2" s="1"/>
  <c r="U267" i="2"/>
  <c r="V267" i="2" s="1"/>
  <c r="T267" i="2"/>
  <c r="AK267" i="2"/>
  <c r="AL267" i="2" s="1"/>
  <c r="AA267" i="2"/>
  <c r="O267" i="2"/>
  <c r="K267" i="2"/>
  <c r="L266" i="2"/>
  <c r="M266" i="2" s="1"/>
  <c r="X266" i="2"/>
  <c r="T266" i="2"/>
  <c r="O266" i="2"/>
  <c r="C265" i="2"/>
  <c r="D265" i="2"/>
  <c r="E265" i="2"/>
  <c r="F265" i="2"/>
  <c r="J265" i="2"/>
  <c r="N265" i="2"/>
  <c r="S265" i="2"/>
  <c r="W265" i="2"/>
  <c r="AS265" i="2"/>
  <c r="AT265" i="2"/>
  <c r="AC268" i="2" l="1"/>
  <c r="AD268" i="2" s="1"/>
  <c r="U265" i="2"/>
  <c r="V265" i="2" s="1"/>
  <c r="AO266" i="2"/>
  <c r="AP266" i="2" s="1"/>
  <c r="AQ268" i="2"/>
  <c r="AQ266" i="2"/>
  <c r="K265" i="2"/>
  <c r="AI266" i="2"/>
  <c r="AJ266" i="2" s="1"/>
  <c r="AR266" i="2" s="1"/>
  <c r="T265" i="2"/>
  <c r="AO268" i="2"/>
  <c r="AP268" i="2" s="1"/>
  <c r="Y265" i="2"/>
  <c r="Z265" i="2" s="1"/>
  <c r="AI268" i="2"/>
  <c r="AJ268" i="2" s="1"/>
  <c r="AR268" i="2" s="1"/>
  <c r="AB266" i="2"/>
  <c r="AH267" i="2"/>
  <c r="AI267" i="2"/>
  <c r="AJ267" i="2" s="1"/>
  <c r="AR267" i="2" s="1"/>
  <c r="AO267" i="2"/>
  <c r="AP267" i="2" s="1"/>
  <c r="AK265" i="2"/>
  <c r="AL265" i="2" s="1"/>
  <c r="AE265" i="2"/>
  <c r="AH265" i="2" s="1"/>
  <c r="P265" i="2"/>
  <c r="Q265" i="2" s="1"/>
  <c r="AC267" i="2"/>
  <c r="AD267" i="2" s="1"/>
  <c r="AB267" i="2"/>
  <c r="X265" i="2"/>
  <c r="O265" i="2"/>
  <c r="AA265" i="2"/>
  <c r="L265" i="2"/>
  <c r="M265" i="2" s="1"/>
  <c r="C262" i="2"/>
  <c r="C263" i="2"/>
  <c r="C264" i="2"/>
  <c r="D262" i="2"/>
  <c r="D263" i="2"/>
  <c r="D264" i="2"/>
  <c r="E262" i="2"/>
  <c r="E263" i="2"/>
  <c r="E264" i="2"/>
  <c r="F262" i="2"/>
  <c r="F263" i="2"/>
  <c r="F264" i="2"/>
  <c r="J262" i="2"/>
  <c r="J263" i="2"/>
  <c r="J264" i="2"/>
  <c r="N262" i="2"/>
  <c r="N263" i="2"/>
  <c r="N264" i="2"/>
  <c r="S262" i="2"/>
  <c r="S263" i="2"/>
  <c r="S264" i="2"/>
  <c r="W262" i="2"/>
  <c r="X262" i="2" s="1"/>
  <c r="W263" i="2"/>
  <c r="W264" i="2"/>
  <c r="X264" i="2" s="1"/>
  <c r="AS262" i="2"/>
  <c r="AS263" i="2"/>
  <c r="AS264" i="2"/>
  <c r="AT262" i="2"/>
  <c r="AT263" i="2"/>
  <c r="AT264" i="2"/>
  <c r="L263" i="2" l="1"/>
  <c r="M263" i="2" s="1"/>
  <c r="AI265" i="2"/>
  <c r="AJ265" i="2" s="1"/>
  <c r="AR265" i="2" s="1"/>
  <c r="AQ265" i="2"/>
  <c r="U263" i="2"/>
  <c r="V263" i="2" s="1"/>
  <c r="T264" i="2"/>
  <c r="K264" i="2"/>
  <c r="T262" i="2"/>
  <c r="X263" i="2"/>
  <c r="O264" i="2"/>
  <c r="U264" i="2"/>
  <c r="V264" i="2" s="1"/>
  <c r="P263" i="2"/>
  <c r="Q263" i="2" s="1"/>
  <c r="AA264" i="2"/>
  <c r="AB264" i="2" s="1"/>
  <c r="O262" i="2"/>
  <c r="L262" i="2"/>
  <c r="M262" i="2" s="1"/>
  <c r="AO265" i="2"/>
  <c r="AP265" i="2" s="1"/>
  <c r="AA263" i="2"/>
  <c r="AC263" i="2" s="1"/>
  <c r="AD263" i="2" s="1"/>
  <c r="AA262" i="2"/>
  <c r="AB262" i="2" s="1"/>
  <c r="Y263" i="2"/>
  <c r="Z263" i="2" s="1"/>
  <c r="T263" i="2"/>
  <c r="P262" i="2"/>
  <c r="Q262" i="2" s="1"/>
  <c r="L264" i="2"/>
  <c r="M264" i="2" s="1"/>
  <c r="Y264" i="2"/>
  <c r="Z264" i="2" s="1"/>
  <c r="AB265" i="2"/>
  <c r="AC265" i="2"/>
  <c r="AD265" i="2" s="1"/>
  <c r="AK264" i="2"/>
  <c r="AL264" i="2" s="1"/>
  <c r="AE264" i="2"/>
  <c r="P264" i="2"/>
  <c r="Q264" i="2" s="1"/>
  <c r="AK262" i="2"/>
  <c r="AL262" i="2" s="1"/>
  <c r="AE262" i="2"/>
  <c r="Y262" i="2"/>
  <c r="Z262" i="2" s="1"/>
  <c r="U262" i="2"/>
  <c r="V262" i="2" s="1"/>
  <c r="K262" i="2"/>
  <c r="AK263" i="2"/>
  <c r="AL263" i="2" s="1"/>
  <c r="AE263" i="2"/>
  <c r="O263" i="2"/>
  <c r="K263" i="2"/>
  <c r="C261" i="2"/>
  <c r="D261" i="2"/>
  <c r="E261" i="2"/>
  <c r="F261" i="2"/>
  <c r="J261" i="2"/>
  <c r="N261" i="2"/>
  <c r="S261" i="2"/>
  <c r="W261" i="2"/>
  <c r="X261" i="2" s="1"/>
  <c r="AS261" i="2"/>
  <c r="AT261" i="2"/>
  <c r="AQ263" i="2" l="1"/>
  <c r="AC262" i="2"/>
  <c r="AD262" i="2" s="1"/>
  <c r="AC264" i="2"/>
  <c r="AD264" i="2" s="1"/>
  <c r="O261" i="2"/>
  <c r="Y261" i="2"/>
  <c r="Z261" i="2" s="1"/>
  <c r="AB263" i="2"/>
  <c r="AQ262" i="2"/>
  <c r="AQ264" i="2"/>
  <c r="K261" i="2"/>
  <c r="AH262" i="2"/>
  <c r="AI262" i="2"/>
  <c r="AJ262" i="2" s="1"/>
  <c r="AR262" i="2" s="1"/>
  <c r="AO262" i="2"/>
  <c r="AP262" i="2" s="1"/>
  <c r="AH264" i="2"/>
  <c r="AI264" i="2"/>
  <c r="AJ264" i="2" s="1"/>
  <c r="AR264" i="2" s="1"/>
  <c r="AO264" i="2"/>
  <c r="AP264" i="2" s="1"/>
  <c r="AH263" i="2"/>
  <c r="AI263" i="2"/>
  <c r="AJ263" i="2" s="1"/>
  <c r="AR263" i="2" s="1"/>
  <c r="AO263" i="2"/>
  <c r="AP263" i="2" s="1"/>
  <c r="AE261" i="2"/>
  <c r="AH261" i="2" s="1"/>
  <c r="AK261" i="2"/>
  <c r="AL261" i="2" s="1"/>
  <c r="T261" i="2"/>
  <c r="U261" i="2"/>
  <c r="V261" i="2" s="1"/>
  <c r="P261" i="2"/>
  <c r="Q261" i="2" s="1"/>
  <c r="AQ261" i="2" s="1"/>
  <c r="AA261" i="2"/>
  <c r="L261" i="2"/>
  <c r="M261" i="2" s="1"/>
  <c r="C259" i="2"/>
  <c r="C260" i="2"/>
  <c r="D259" i="2"/>
  <c r="D260" i="2"/>
  <c r="E259" i="2"/>
  <c r="E260" i="2"/>
  <c r="F259" i="2"/>
  <c r="F260" i="2"/>
  <c r="J259" i="2"/>
  <c r="J260" i="2"/>
  <c r="N259" i="2"/>
  <c r="O259" i="2" s="1"/>
  <c r="N260" i="2"/>
  <c r="O260" i="2" s="1"/>
  <c r="S259" i="2"/>
  <c r="S260" i="2"/>
  <c r="W259" i="2"/>
  <c r="X259" i="2" s="1"/>
  <c r="W260" i="2"/>
  <c r="X260" i="2" s="1"/>
  <c r="AS259" i="2"/>
  <c r="AS260" i="2"/>
  <c r="AT259" i="2"/>
  <c r="AT260" i="2"/>
  <c r="AI261" i="2" l="1"/>
  <c r="AJ261" i="2" s="1"/>
  <c r="AR261" i="2" s="1"/>
  <c r="AA259" i="2"/>
  <c r="AB259" i="2" s="1"/>
  <c r="T260" i="2"/>
  <c r="AA260" i="2"/>
  <c r="AB260" i="2" s="1"/>
  <c r="AO261" i="2"/>
  <c r="AP261" i="2" s="1"/>
  <c r="AK260" i="2"/>
  <c r="AL260" i="2" s="1"/>
  <c r="K260" i="2"/>
  <c r="AB261" i="2"/>
  <c r="AC261" i="2"/>
  <c r="AD261" i="2" s="1"/>
  <c r="T259" i="2"/>
  <c r="K259" i="2"/>
  <c r="AK259" i="2"/>
  <c r="AL259" i="2" s="1"/>
  <c r="Y260" i="2"/>
  <c r="Z260" i="2" s="1"/>
  <c r="U260" i="2"/>
  <c r="V260" i="2" s="1"/>
  <c r="AE260" i="2"/>
  <c r="AH260" i="2" s="1"/>
  <c r="Y259" i="2"/>
  <c r="Z259" i="2" s="1"/>
  <c r="U259" i="2"/>
  <c r="V259" i="2" s="1"/>
  <c r="P260" i="2"/>
  <c r="Q260" i="2" s="1"/>
  <c r="L260" i="2"/>
  <c r="M260" i="2" s="1"/>
  <c r="AE259" i="2"/>
  <c r="P259" i="2"/>
  <c r="Q259" i="2" s="1"/>
  <c r="L259" i="2"/>
  <c r="M259" i="2" s="1"/>
  <c r="AC259" i="2" l="1"/>
  <c r="AD259" i="2" s="1"/>
  <c r="AC260" i="2"/>
  <c r="AD260" i="2" s="1"/>
  <c r="AQ259" i="2"/>
  <c r="AQ260" i="2"/>
  <c r="AI260" i="2"/>
  <c r="AJ260" i="2" s="1"/>
  <c r="AR260" i="2" s="1"/>
  <c r="AO260" i="2"/>
  <c r="AP260" i="2" s="1"/>
  <c r="AH259" i="2"/>
  <c r="AI259" i="2"/>
  <c r="AJ259" i="2" s="1"/>
  <c r="AR259" i="2" s="1"/>
  <c r="AO259" i="2"/>
  <c r="AP259" i="2" s="1"/>
  <c r="C258" i="2"/>
  <c r="D258" i="2"/>
  <c r="E258" i="2"/>
  <c r="F258" i="2"/>
  <c r="J258" i="2"/>
  <c r="N258" i="2"/>
  <c r="S258" i="2"/>
  <c r="W258" i="2"/>
  <c r="AS258" i="2"/>
  <c r="AT258" i="2"/>
  <c r="X258" i="2" l="1"/>
  <c r="O258" i="2"/>
  <c r="Y258" i="2"/>
  <c r="Z258" i="2" s="1"/>
  <c r="AK258" i="2"/>
  <c r="AL258" i="2" s="1"/>
  <c r="K258" i="2"/>
  <c r="AE258" i="2"/>
  <c r="T258" i="2"/>
  <c r="AA258" i="2"/>
  <c r="AB258" i="2" s="1"/>
  <c r="P258" i="2"/>
  <c r="Q258" i="2" s="1"/>
  <c r="AH258" i="2"/>
  <c r="U258" i="2"/>
  <c r="V258" i="2" s="1"/>
  <c r="L258" i="2"/>
  <c r="M258" i="2" s="1"/>
  <c r="C256" i="2"/>
  <c r="C257" i="2"/>
  <c r="D256" i="2"/>
  <c r="D257" i="2"/>
  <c r="E256" i="2"/>
  <c r="E257" i="2"/>
  <c r="F256" i="2"/>
  <c r="F257" i="2"/>
  <c r="J256" i="2"/>
  <c r="J257" i="2"/>
  <c r="N256" i="2"/>
  <c r="N257" i="2"/>
  <c r="O257" i="2" s="1"/>
  <c r="S256" i="2"/>
  <c r="S257" i="2"/>
  <c r="W256" i="2"/>
  <c r="X256" i="2" s="1"/>
  <c r="W257" i="2"/>
  <c r="X257" i="2" s="1"/>
  <c r="AS256" i="2"/>
  <c r="AS257" i="2"/>
  <c r="AT256" i="2"/>
  <c r="AT257" i="2"/>
  <c r="O256" i="2" l="1"/>
  <c r="AQ258" i="2"/>
  <c r="AK256" i="2"/>
  <c r="AL256" i="2" s="1"/>
  <c r="T256" i="2"/>
  <c r="K256" i="2"/>
  <c r="AC258" i="2"/>
  <c r="AD258" i="2" s="1"/>
  <c r="AK257" i="2"/>
  <c r="AL257" i="2" s="1"/>
  <c r="T257" i="2"/>
  <c r="K257" i="2"/>
  <c r="AA257" i="2"/>
  <c r="AB257" i="2" s="1"/>
  <c r="AI258" i="2"/>
  <c r="AJ258" i="2" s="1"/>
  <c r="AR258" i="2" s="1"/>
  <c r="AO258" i="2"/>
  <c r="AP258" i="2" s="1"/>
  <c r="AA256" i="2"/>
  <c r="AB256" i="2" s="1"/>
  <c r="AE257" i="2"/>
  <c r="AH257" i="2" s="1"/>
  <c r="Y257" i="2"/>
  <c r="Z257" i="2" s="1"/>
  <c r="U257" i="2"/>
  <c r="V257" i="2" s="1"/>
  <c r="AE256" i="2"/>
  <c r="AH256" i="2" s="1"/>
  <c r="Y256" i="2"/>
  <c r="Z256" i="2" s="1"/>
  <c r="U256" i="2"/>
  <c r="V256" i="2" s="1"/>
  <c r="P257" i="2"/>
  <c r="Q257" i="2" s="1"/>
  <c r="L257" i="2"/>
  <c r="M257" i="2" s="1"/>
  <c r="P256" i="2"/>
  <c r="Q256" i="2" s="1"/>
  <c r="L256" i="2"/>
  <c r="M256" i="2" s="1"/>
  <c r="C254" i="2"/>
  <c r="C255" i="2"/>
  <c r="D254" i="2"/>
  <c r="D255" i="2"/>
  <c r="E254" i="2"/>
  <c r="E255" i="2"/>
  <c r="F254" i="2"/>
  <c r="F255" i="2"/>
  <c r="J254" i="2"/>
  <c r="J255" i="2"/>
  <c r="N254" i="2"/>
  <c r="O254" i="2" s="1"/>
  <c r="N255" i="2"/>
  <c r="O255" i="2" s="1"/>
  <c r="S254" i="2"/>
  <c r="S255" i="2"/>
  <c r="W254" i="2"/>
  <c r="W255" i="2"/>
  <c r="X255" i="2" s="1"/>
  <c r="AS254" i="2"/>
  <c r="AS255" i="2"/>
  <c r="AT254" i="2"/>
  <c r="AT255" i="2"/>
  <c r="AQ257" i="2" l="1"/>
  <c r="AK255" i="2"/>
  <c r="AL255" i="2" s="1"/>
  <c r="AE255" i="2"/>
  <c r="AH255" i="2" s="1"/>
  <c r="AA254" i="2"/>
  <c r="AC254" i="2" s="1"/>
  <c r="AD254" i="2" s="1"/>
  <c r="AA255" i="2"/>
  <c r="AB255" i="2" s="1"/>
  <c r="T255" i="2"/>
  <c r="K255" i="2"/>
  <c r="AC256" i="2"/>
  <c r="AD256" i="2" s="1"/>
  <c r="AC257" i="2"/>
  <c r="AD257" i="2" s="1"/>
  <c r="AO256" i="2"/>
  <c r="AP256" i="2" s="1"/>
  <c r="AQ256" i="2"/>
  <c r="AK254" i="2"/>
  <c r="AL254" i="2" s="1"/>
  <c r="T254" i="2"/>
  <c r="AI257" i="2"/>
  <c r="AJ257" i="2" s="1"/>
  <c r="AR257" i="2" s="1"/>
  <c r="P254" i="2"/>
  <c r="Q254" i="2" s="1"/>
  <c r="K254" i="2"/>
  <c r="AO257" i="2"/>
  <c r="AP257" i="2" s="1"/>
  <c r="X254" i="2"/>
  <c r="AI256" i="2"/>
  <c r="AJ256" i="2" s="1"/>
  <c r="AR256" i="2" s="1"/>
  <c r="L254" i="2"/>
  <c r="M254" i="2" s="1"/>
  <c r="AE254" i="2"/>
  <c r="Y255" i="2"/>
  <c r="Z255" i="2" s="1"/>
  <c r="U255" i="2"/>
  <c r="V255" i="2" s="1"/>
  <c r="Y254" i="2"/>
  <c r="Z254" i="2" s="1"/>
  <c r="AQ254" i="2" s="1"/>
  <c r="U254" i="2"/>
  <c r="V254" i="2" s="1"/>
  <c r="P255" i="2"/>
  <c r="Q255" i="2" s="1"/>
  <c r="L255" i="2"/>
  <c r="M255" i="2" s="1"/>
  <c r="C252" i="2"/>
  <c r="C253" i="2"/>
  <c r="D252" i="2"/>
  <c r="D253" i="2"/>
  <c r="E252" i="2"/>
  <c r="E253" i="2"/>
  <c r="F252" i="2"/>
  <c r="F253" i="2"/>
  <c r="J252" i="2"/>
  <c r="J253" i="2"/>
  <c r="N252" i="2"/>
  <c r="O252" i="2" s="1"/>
  <c r="N253" i="2"/>
  <c r="O253" i="2" s="1"/>
  <c r="S252" i="2"/>
  <c r="S253" i="2"/>
  <c r="W252" i="2"/>
  <c r="X252" i="2" s="1"/>
  <c r="W253" i="2"/>
  <c r="X253" i="2" s="1"/>
  <c r="AS252" i="2"/>
  <c r="AS253" i="2"/>
  <c r="AT252" i="2"/>
  <c r="AT253" i="2"/>
  <c r="AO255" i="2" l="1"/>
  <c r="AP255" i="2" s="1"/>
  <c r="AI255" i="2"/>
  <c r="AJ255" i="2" s="1"/>
  <c r="AR255" i="2" s="1"/>
  <c r="AC255" i="2"/>
  <c r="AD255" i="2" s="1"/>
  <c r="AB254" i="2"/>
  <c r="AA253" i="2"/>
  <c r="AB253" i="2" s="1"/>
  <c r="AK252" i="2"/>
  <c r="AL252" i="2" s="1"/>
  <c r="AE252" i="2"/>
  <c r="AH252" i="2" s="1"/>
  <c r="AQ255" i="2"/>
  <c r="Y252" i="2"/>
  <c r="Z252" i="2" s="1"/>
  <c r="T252" i="2"/>
  <c r="K252" i="2"/>
  <c r="AA252" i="2"/>
  <c r="AB252" i="2" s="1"/>
  <c r="AH254" i="2"/>
  <c r="AO254" i="2"/>
  <c r="AP254" i="2" s="1"/>
  <c r="AI254" i="2"/>
  <c r="AJ254" i="2" s="1"/>
  <c r="AR254" i="2" s="1"/>
  <c r="AK253" i="2"/>
  <c r="AL253" i="2" s="1"/>
  <c r="T253" i="2"/>
  <c r="K253" i="2"/>
  <c r="AE253" i="2"/>
  <c r="AH253" i="2" s="1"/>
  <c r="Y253" i="2"/>
  <c r="Z253" i="2" s="1"/>
  <c r="U253" i="2"/>
  <c r="V253" i="2" s="1"/>
  <c r="U252" i="2"/>
  <c r="V252" i="2" s="1"/>
  <c r="P253" i="2"/>
  <c r="Q253" i="2" s="1"/>
  <c r="L253" i="2"/>
  <c r="M253" i="2" s="1"/>
  <c r="AC252" i="2"/>
  <c r="AD252" i="2" s="1"/>
  <c r="P252" i="2"/>
  <c r="Q252" i="2" s="1"/>
  <c r="L252" i="2"/>
  <c r="M252" i="2" s="1"/>
  <c r="C251" i="2"/>
  <c r="D251" i="2"/>
  <c r="E251" i="2"/>
  <c r="F251" i="2"/>
  <c r="J251" i="2"/>
  <c r="N251" i="2"/>
  <c r="S251" i="2"/>
  <c r="W251" i="2"/>
  <c r="X251" i="2" s="1"/>
  <c r="AS251" i="2"/>
  <c r="AT251" i="2"/>
  <c r="C250" i="2"/>
  <c r="D250" i="2"/>
  <c r="E250" i="2"/>
  <c r="F250" i="2"/>
  <c r="J250" i="2"/>
  <c r="N250" i="2"/>
  <c r="S250" i="2"/>
  <c r="W250" i="2"/>
  <c r="Y250" i="2" s="1"/>
  <c r="Z250" i="2" s="1"/>
  <c r="AS250" i="2"/>
  <c r="AT250" i="2"/>
  <c r="AC253" i="2" l="1"/>
  <c r="AD253" i="2" s="1"/>
  <c r="AI252" i="2"/>
  <c r="AJ252" i="2" s="1"/>
  <c r="AR252" i="2" s="1"/>
  <c r="AO252" i="2"/>
  <c r="AP252" i="2" s="1"/>
  <c r="AQ252" i="2"/>
  <c r="AO253" i="2"/>
  <c r="AP253" i="2" s="1"/>
  <c r="L250" i="2"/>
  <c r="M250" i="2" s="1"/>
  <c r="O251" i="2"/>
  <c r="U250" i="2"/>
  <c r="V250" i="2" s="1"/>
  <c r="AI253" i="2"/>
  <c r="AJ253" i="2" s="1"/>
  <c r="AR253" i="2" s="1"/>
  <c r="AQ253" i="2"/>
  <c r="K251" i="2"/>
  <c r="T251" i="2"/>
  <c r="U251" i="2"/>
  <c r="V251" i="2" s="1"/>
  <c r="Y251" i="2"/>
  <c r="Z251" i="2" s="1"/>
  <c r="AE251" i="2"/>
  <c r="AA251" i="2"/>
  <c r="P251" i="2"/>
  <c r="Q251" i="2" s="1"/>
  <c r="AK251" i="2"/>
  <c r="AL251" i="2" s="1"/>
  <c r="L251" i="2"/>
  <c r="M251" i="2" s="1"/>
  <c r="P250" i="2"/>
  <c r="Q250" i="2" s="1"/>
  <c r="AQ250" i="2" s="1"/>
  <c r="X250" i="2"/>
  <c r="T250" i="2"/>
  <c r="AA250" i="2"/>
  <c r="O250" i="2"/>
  <c r="AE250" i="2"/>
  <c r="AO250" i="2" s="1"/>
  <c r="AP250" i="2" s="1"/>
  <c r="K250" i="2"/>
  <c r="AK250" i="2"/>
  <c r="AL250" i="2" s="1"/>
  <c r="C248" i="2"/>
  <c r="C249" i="2"/>
  <c r="D248" i="2"/>
  <c r="D249" i="2"/>
  <c r="E248" i="2"/>
  <c r="E249" i="2"/>
  <c r="F248" i="2"/>
  <c r="F249" i="2"/>
  <c r="J248" i="2"/>
  <c r="J249" i="2"/>
  <c r="N248" i="2"/>
  <c r="N249" i="2"/>
  <c r="O249" i="2" s="1"/>
  <c r="S248" i="2"/>
  <c r="S249" i="2"/>
  <c r="W248" i="2"/>
  <c r="W249" i="2"/>
  <c r="AS248" i="2"/>
  <c r="AS249" i="2"/>
  <c r="AT248" i="2"/>
  <c r="AT249" i="2"/>
  <c r="AA248" i="2" l="1"/>
  <c r="AB248" i="2" s="1"/>
  <c r="AK248" i="2"/>
  <c r="AL248" i="2" s="1"/>
  <c r="T248" i="2"/>
  <c r="AQ251" i="2"/>
  <c r="AB251" i="2"/>
  <c r="AC251" i="2"/>
  <c r="AD251" i="2" s="1"/>
  <c r="AO251" i="2"/>
  <c r="AP251" i="2" s="1"/>
  <c r="AH251" i="2"/>
  <c r="AI251" i="2"/>
  <c r="AJ251" i="2" s="1"/>
  <c r="AR251" i="2" s="1"/>
  <c r="AE249" i="2"/>
  <c r="AH249" i="2" s="1"/>
  <c r="T249" i="2"/>
  <c r="K249" i="2"/>
  <c r="X249" i="2"/>
  <c r="P249" i="2"/>
  <c r="Q249" i="2" s="1"/>
  <c r="AH250" i="2"/>
  <c r="AI250" i="2"/>
  <c r="AJ250" i="2" s="1"/>
  <c r="AR250" i="2" s="1"/>
  <c r="AC250" i="2"/>
  <c r="AD250" i="2" s="1"/>
  <c r="AB250" i="2"/>
  <c r="X248" i="2"/>
  <c r="K248" i="2"/>
  <c r="AK249" i="2"/>
  <c r="AL249" i="2" s="1"/>
  <c r="AA249" i="2"/>
  <c r="O248" i="2"/>
  <c r="L249" i="2"/>
  <c r="M249" i="2" s="1"/>
  <c r="AE248" i="2"/>
  <c r="AH248" i="2" s="1"/>
  <c r="Y249" i="2"/>
  <c r="Z249" i="2" s="1"/>
  <c r="AQ249" i="2" s="1"/>
  <c r="U249" i="2"/>
  <c r="V249" i="2" s="1"/>
  <c r="Y248" i="2"/>
  <c r="Z248" i="2" s="1"/>
  <c r="U248" i="2"/>
  <c r="V248" i="2" s="1"/>
  <c r="AC248" i="2"/>
  <c r="AD248" i="2" s="1"/>
  <c r="P248" i="2"/>
  <c r="Q248" i="2" s="1"/>
  <c r="L248" i="2"/>
  <c r="M248" i="2" s="1"/>
  <c r="C247" i="2"/>
  <c r="D247" i="2"/>
  <c r="E247" i="2"/>
  <c r="F247" i="2"/>
  <c r="J247" i="2"/>
  <c r="N247" i="2"/>
  <c r="S247" i="2"/>
  <c r="W247" i="2"/>
  <c r="X247" i="2" s="1"/>
  <c r="AS247" i="2"/>
  <c r="AT247" i="2"/>
  <c r="AQ248" i="2" l="1"/>
  <c r="AO248" i="2"/>
  <c r="AP248" i="2" s="1"/>
  <c r="AI249" i="2"/>
  <c r="AJ249" i="2" s="1"/>
  <c r="AR249" i="2" s="1"/>
  <c r="AO249" i="2"/>
  <c r="AP249" i="2" s="1"/>
  <c r="P247" i="2"/>
  <c r="Q247" i="2" s="1"/>
  <c r="AI248" i="2"/>
  <c r="AJ248" i="2" s="1"/>
  <c r="AR248" i="2" s="1"/>
  <c r="AB249" i="2"/>
  <c r="AC249" i="2"/>
  <c r="AD249" i="2" s="1"/>
  <c r="L247" i="2"/>
  <c r="M247" i="2" s="1"/>
  <c r="U247" i="2"/>
  <c r="V247" i="2" s="1"/>
  <c r="AE247" i="2"/>
  <c r="AO247" i="2" s="1"/>
  <c r="AP247" i="2" s="1"/>
  <c r="AA247" i="2"/>
  <c r="AC247" i="2" s="1"/>
  <c r="AD247" i="2" s="1"/>
  <c r="AK247" i="2"/>
  <c r="AL247" i="2" s="1"/>
  <c r="Y247" i="2"/>
  <c r="Z247" i="2" s="1"/>
  <c r="T247" i="2"/>
  <c r="O247" i="2"/>
  <c r="K247" i="2"/>
  <c r="C246" i="2"/>
  <c r="D246" i="2"/>
  <c r="E246" i="2"/>
  <c r="F246" i="2"/>
  <c r="J246" i="2"/>
  <c r="N246" i="2"/>
  <c r="S246" i="2"/>
  <c r="W246" i="2"/>
  <c r="X246" i="2" s="1"/>
  <c r="AS246" i="2"/>
  <c r="AT246" i="2"/>
  <c r="AQ247" i="2" l="1"/>
  <c r="O246" i="2"/>
  <c r="AB247" i="2"/>
  <c r="AI247" i="2"/>
  <c r="AJ247" i="2" s="1"/>
  <c r="AR247" i="2" s="1"/>
  <c r="U246" i="2"/>
  <c r="V246" i="2" s="1"/>
  <c r="AH247" i="2"/>
  <c r="K246" i="2"/>
  <c r="T246" i="2"/>
  <c r="AK246" i="2"/>
  <c r="AL246" i="2" s="1"/>
  <c r="P246" i="2"/>
  <c r="Q246" i="2" s="1"/>
  <c r="Y246" i="2"/>
  <c r="Z246" i="2" s="1"/>
  <c r="AE246" i="2"/>
  <c r="AA246" i="2"/>
  <c r="L246" i="2"/>
  <c r="M246" i="2" s="1"/>
  <c r="C245" i="2"/>
  <c r="D245" i="2"/>
  <c r="E245" i="2"/>
  <c r="F245" i="2"/>
  <c r="J245" i="2"/>
  <c r="N245" i="2"/>
  <c r="S245" i="2"/>
  <c r="W245" i="2"/>
  <c r="AS245" i="2"/>
  <c r="AT245" i="2"/>
  <c r="AQ246" i="2" l="1"/>
  <c r="AK245" i="2"/>
  <c r="AL245" i="2" s="1"/>
  <c r="Y245" i="2"/>
  <c r="Z245" i="2" s="1"/>
  <c r="P245" i="2"/>
  <c r="Q245" i="2" s="1"/>
  <c r="AE245" i="2"/>
  <c r="AH245" i="2" s="1"/>
  <c r="L245" i="2"/>
  <c r="M245" i="2" s="1"/>
  <c r="T245" i="2"/>
  <c r="AO246" i="2"/>
  <c r="AP246" i="2" s="1"/>
  <c r="AH246" i="2"/>
  <c r="AI246" i="2"/>
  <c r="AJ246" i="2" s="1"/>
  <c r="AR246" i="2" s="1"/>
  <c r="AB246" i="2"/>
  <c r="AC246" i="2"/>
  <c r="AD246" i="2" s="1"/>
  <c r="X245" i="2"/>
  <c r="O245" i="2"/>
  <c r="U245" i="2"/>
  <c r="V245" i="2" s="1"/>
  <c r="AA245" i="2"/>
  <c r="K245" i="2"/>
  <c r="Y3" i="12"/>
  <c r="V3" i="12"/>
  <c r="U4" i="12"/>
  <c r="U5" i="12"/>
  <c r="U6" i="12"/>
  <c r="U3" i="12"/>
  <c r="C241" i="2"/>
  <c r="C242" i="2"/>
  <c r="C243" i="2"/>
  <c r="C244" i="2"/>
  <c r="D241" i="2"/>
  <c r="D242" i="2"/>
  <c r="D243" i="2"/>
  <c r="D244" i="2"/>
  <c r="E241" i="2"/>
  <c r="E242" i="2"/>
  <c r="E243" i="2"/>
  <c r="E244" i="2"/>
  <c r="F241" i="2"/>
  <c r="F242" i="2"/>
  <c r="F243" i="2"/>
  <c r="F244" i="2"/>
  <c r="J241" i="2"/>
  <c r="K241" i="2" s="1"/>
  <c r="J242" i="2"/>
  <c r="L242" i="2" s="1"/>
  <c r="M242" i="2" s="1"/>
  <c r="J243" i="2"/>
  <c r="K243" i="2" s="1"/>
  <c r="J244" i="2"/>
  <c r="L244" i="2" s="1"/>
  <c r="M244" i="2" s="1"/>
  <c r="N241" i="2"/>
  <c r="O241" i="2" s="1"/>
  <c r="N242" i="2"/>
  <c r="N243" i="2"/>
  <c r="N244" i="2"/>
  <c r="O244" i="2" s="1"/>
  <c r="S241" i="2"/>
  <c r="S242" i="2"/>
  <c r="S243" i="2"/>
  <c r="S244" i="2"/>
  <c r="W241" i="2"/>
  <c r="W242" i="2"/>
  <c r="W243" i="2"/>
  <c r="AK243" i="2" s="1"/>
  <c r="W244" i="2"/>
  <c r="AS241" i="2"/>
  <c r="AS242" i="2"/>
  <c r="AS243" i="2"/>
  <c r="AS244" i="2"/>
  <c r="AT241" i="2"/>
  <c r="AT242" i="2"/>
  <c r="AT243" i="2"/>
  <c r="AT244" i="2"/>
  <c r="Y4" i="12" l="1"/>
  <c r="AA4" i="12" s="1"/>
  <c r="AB4" i="12" s="1"/>
  <c r="AC4" i="12" s="1"/>
  <c r="Z3" i="12"/>
  <c r="AQ245" i="2"/>
  <c r="X241" i="2"/>
  <c r="W3" i="12"/>
  <c r="X3" i="12" s="1"/>
  <c r="Y241" i="2"/>
  <c r="Z241" i="2" s="1"/>
  <c r="T241" i="2"/>
  <c r="P244" i="2"/>
  <c r="Q244" i="2" s="1"/>
  <c r="P243" i="2"/>
  <c r="Q243" i="2" s="1"/>
  <c r="L243" i="2"/>
  <c r="M243" i="2" s="1"/>
  <c r="AK244" i="2"/>
  <c r="AL244" i="2" s="1"/>
  <c r="AL243" i="2"/>
  <c r="T243" i="2"/>
  <c r="O243" i="2"/>
  <c r="K244" i="2"/>
  <c r="AI245" i="2"/>
  <c r="AJ245" i="2" s="1"/>
  <c r="AR245" i="2" s="1"/>
  <c r="AA244" i="2"/>
  <c r="AB244" i="2" s="1"/>
  <c r="AE242" i="2"/>
  <c r="AO242" i="2" s="1"/>
  <c r="AP242" i="2" s="1"/>
  <c r="Y244" i="2"/>
  <c r="Z244" i="2" s="1"/>
  <c r="T244" i="2"/>
  <c r="AA243" i="2"/>
  <c r="AB243" i="2" s="1"/>
  <c r="AK242" i="2"/>
  <c r="AL242" i="2" s="1"/>
  <c r="AE244" i="2"/>
  <c r="AH244" i="2" s="1"/>
  <c r="X244" i="2"/>
  <c r="T242" i="2"/>
  <c r="O242" i="2"/>
  <c r="U242" i="2"/>
  <c r="V242" i="2" s="1"/>
  <c r="AK241" i="2"/>
  <c r="AL241" i="2" s="1"/>
  <c r="X243" i="2"/>
  <c r="P241" i="2"/>
  <c r="Q241" i="2" s="1"/>
  <c r="AO245" i="2"/>
  <c r="AP245" i="2" s="1"/>
  <c r="Y243" i="2"/>
  <c r="Z243" i="2" s="1"/>
  <c r="AE243" i="2"/>
  <c r="Y242" i="2"/>
  <c r="Z242" i="2" s="1"/>
  <c r="X242" i="2"/>
  <c r="K242" i="2"/>
  <c r="AA242" i="2"/>
  <c r="AB242" i="2" s="1"/>
  <c r="AE241" i="2"/>
  <c r="AH241" i="2" s="1"/>
  <c r="AA241" i="2"/>
  <c r="AB241" i="2" s="1"/>
  <c r="P242" i="2"/>
  <c r="Q242" i="2" s="1"/>
  <c r="AB245" i="2"/>
  <c r="AC245" i="2"/>
  <c r="AD245" i="2" s="1"/>
  <c r="L241" i="2"/>
  <c r="M241" i="2" s="1"/>
  <c r="U241" i="2"/>
  <c r="V241" i="2" s="1"/>
  <c r="AA3" i="12"/>
  <c r="AB3" i="12" s="1"/>
  <c r="AC3" i="12" s="1"/>
  <c r="AO241" i="2"/>
  <c r="AP241" i="2" s="1"/>
  <c r="U243" i="2"/>
  <c r="V243" i="2" s="1"/>
  <c r="U244" i="2"/>
  <c r="V244" i="2" s="1"/>
  <c r="C240" i="2"/>
  <c r="D240" i="2"/>
  <c r="E240" i="2"/>
  <c r="F240" i="2"/>
  <c r="J240" i="2"/>
  <c r="N240" i="2"/>
  <c r="S240" i="2"/>
  <c r="W240" i="2"/>
  <c r="Y240" i="2" s="1"/>
  <c r="Z240" i="2" s="1"/>
  <c r="AS240" i="2"/>
  <c r="AT240" i="2"/>
  <c r="Y5" i="12" l="1"/>
  <c r="AH242" i="2"/>
  <c r="AI242" i="2"/>
  <c r="AJ242" i="2" s="1"/>
  <c r="AR242" i="2" s="1"/>
  <c r="AO244" i="2"/>
  <c r="AP244" i="2" s="1"/>
  <c r="AQ241" i="2"/>
  <c r="AQ243" i="2"/>
  <c r="AC242" i="2"/>
  <c r="AD242" i="2" s="1"/>
  <c r="AI244" i="2"/>
  <c r="AJ244" i="2" s="1"/>
  <c r="AR244" i="2" s="1"/>
  <c r="AC243" i="2"/>
  <c r="AD243" i="2" s="1"/>
  <c r="AQ244" i="2"/>
  <c r="AC244" i="2"/>
  <c r="AD244" i="2" s="1"/>
  <c r="AC241" i="2"/>
  <c r="AD241" i="2" s="1"/>
  <c r="AI243" i="2"/>
  <c r="AJ243" i="2" s="1"/>
  <c r="AR243" i="2" s="1"/>
  <c r="AH243" i="2"/>
  <c r="AO243" i="2"/>
  <c r="AP243" i="2" s="1"/>
  <c r="AQ242" i="2"/>
  <c r="AI241" i="2"/>
  <c r="AJ241" i="2" s="1"/>
  <c r="AR241" i="2" s="1"/>
  <c r="O240" i="2"/>
  <c r="K240" i="2"/>
  <c r="T240" i="2"/>
  <c r="AK240" i="2"/>
  <c r="AL240" i="2" s="1"/>
  <c r="AE240" i="2"/>
  <c r="AO240" i="2" s="1"/>
  <c r="AP240" i="2" s="1"/>
  <c r="AA240" i="2"/>
  <c r="AB240" i="2" s="1"/>
  <c r="L240" i="2"/>
  <c r="M240" i="2" s="1"/>
  <c r="U240" i="2"/>
  <c r="V240" i="2" s="1"/>
  <c r="P240" i="2"/>
  <c r="Q240" i="2" s="1"/>
  <c r="AQ240" i="2" s="1"/>
  <c r="X240" i="2"/>
  <c r="C239" i="2"/>
  <c r="D239" i="2"/>
  <c r="E239" i="2"/>
  <c r="F239" i="2"/>
  <c r="J239" i="2"/>
  <c r="N239" i="2"/>
  <c r="S239" i="2"/>
  <c r="W239" i="2"/>
  <c r="X239" i="2" s="1"/>
  <c r="AS239" i="2"/>
  <c r="AT239" i="2"/>
  <c r="Y6" i="12" l="1"/>
  <c r="AA5" i="12"/>
  <c r="AB5" i="12" s="1"/>
  <c r="AC5" i="12" s="1"/>
  <c r="O239" i="2"/>
  <c r="AC240" i="2"/>
  <c r="AD240" i="2" s="1"/>
  <c r="AH240" i="2"/>
  <c r="AI240" i="2"/>
  <c r="AJ240" i="2" s="1"/>
  <c r="AR240" i="2" s="1"/>
  <c r="T239" i="2"/>
  <c r="K239" i="2"/>
  <c r="AE239" i="2"/>
  <c r="AO239" i="2" s="1"/>
  <c r="AP239" i="2" s="1"/>
  <c r="U239" i="2"/>
  <c r="V239" i="2" s="1"/>
  <c r="P239" i="2"/>
  <c r="Q239" i="2" s="1"/>
  <c r="AK239" i="2"/>
  <c r="AL239" i="2" s="1"/>
  <c r="AA239" i="2"/>
  <c r="L239" i="2"/>
  <c r="M239" i="2" s="1"/>
  <c r="Y239" i="2"/>
  <c r="Z239" i="2" s="1"/>
  <c r="AQ239" i="2" s="1"/>
  <c r="C238" i="2"/>
  <c r="D238" i="2"/>
  <c r="E238" i="2"/>
  <c r="F238" i="2"/>
  <c r="J238" i="2"/>
  <c r="N238" i="2"/>
  <c r="S238" i="2"/>
  <c r="W238" i="2"/>
  <c r="AS238" i="2"/>
  <c r="AT238" i="2"/>
  <c r="AA6" i="12" l="1"/>
  <c r="AB6" i="12" s="1"/>
  <c r="AC6" i="12" s="1"/>
  <c r="Y7" i="12"/>
  <c r="X238" i="2"/>
  <c r="O238" i="2"/>
  <c r="Y238" i="2"/>
  <c r="Z238" i="2" s="1"/>
  <c r="AH239" i="2"/>
  <c r="K238" i="2"/>
  <c r="AI239" i="2"/>
  <c r="AJ239" i="2" s="1"/>
  <c r="AR239" i="2" s="1"/>
  <c r="AB239" i="2"/>
  <c r="AC239" i="2"/>
  <c r="AD239" i="2" s="1"/>
  <c r="AK238" i="2"/>
  <c r="AL238" i="2" s="1"/>
  <c r="AE238" i="2"/>
  <c r="AH238" i="2" s="1"/>
  <c r="U238" i="2"/>
  <c r="V238" i="2" s="1"/>
  <c r="T238" i="2"/>
  <c r="P238" i="2"/>
  <c r="Q238" i="2" s="1"/>
  <c r="AQ238" i="2" s="1"/>
  <c r="AA238" i="2"/>
  <c r="L238" i="2"/>
  <c r="M238" i="2" s="1"/>
  <c r="C237" i="2"/>
  <c r="D237" i="2"/>
  <c r="E237" i="2"/>
  <c r="F237" i="2"/>
  <c r="J237" i="2"/>
  <c r="N237" i="2"/>
  <c r="S237" i="2"/>
  <c r="W237" i="2"/>
  <c r="X237" i="2" s="1"/>
  <c r="AS237" i="2"/>
  <c r="AT237" i="2"/>
  <c r="C236" i="2"/>
  <c r="D236" i="2"/>
  <c r="E236" i="2"/>
  <c r="F236" i="2"/>
  <c r="J236" i="2"/>
  <c r="N236" i="2"/>
  <c r="S236" i="2"/>
  <c r="W236" i="2"/>
  <c r="AS236" i="2"/>
  <c r="AT236" i="2"/>
  <c r="C235" i="2"/>
  <c r="D235" i="2"/>
  <c r="E235" i="2"/>
  <c r="F235" i="2"/>
  <c r="J235" i="2"/>
  <c r="N235" i="2"/>
  <c r="S235" i="2"/>
  <c r="W235" i="2"/>
  <c r="X235" i="2" s="1"/>
  <c r="AS235" i="2"/>
  <c r="AT235" i="2"/>
  <c r="AA7" i="12" l="1"/>
  <c r="AB7" i="12" s="1"/>
  <c r="AC7" i="12" s="1"/>
  <c r="Y8" i="12"/>
  <c r="K237" i="2"/>
  <c r="AI238" i="2"/>
  <c r="AJ238" i="2" s="1"/>
  <c r="AR238" i="2" s="1"/>
  <c r="AE235" i="2"/>
  <c r="AO235" i="2" s="1"/>
  <c r="AP235" i="2" s="1"/>
  <c r="U237" i="2"/>
  <c r="V237" i="2" s="1"/>
  <c r="P236" i="2"/>
  <c r="Q236" i="2" s="1"/>
  <c r="AA236" i="2"/>
  <c r="AB236" i="2" s="1"/>
  <c r="O237" i="2"/>
  <c r="AO238" i="2"/>
  <c r="AP238" i="2" s="1"/>
  <c r="AC238" i="2"/>
  <c r="AD238" i="2" s="1"/>
  <c r="AB238" i="2"/>
  <c r="Y235" i="2"/>
  <c r="Z235" i="2" s="1"/>
  <c r="T236" i="2"/>
  <c r="T237" i="2"/>
  <c r="AK237" i="2"/>
  <c r="AL237" i="2" s="1"/>
  <c r="AA237" i="2"/>
  <c r="P237" i="2"/>
  <c r="Q237" i="2" s="1"/>
  <c r="AE237" i="2"/>
  <c r="AO237" i="2" s="1"/>
  <c r="AP237" i="2" s="1"/>
  <c r="L237" i="2"/>
  <c r="M237" i="2" s="1"/>
  <c r="Y236" i="2"/>
  <c r="Z236" i="2" s="1"/>
  <c r="L236" i="2"/>
  <c r="M236" i="2" s="1"/>
  <c r="AE236" i="2"/>
  <c r="AO236" i="2" s="1"/>
  <c r="AP236" i="2" s="1"/>
  <c r="U236" i="2"/>
  <c r="V236" i="2" s="1"/>
  <c r="Y237" i="2"/>
  <c r="Z237" i="2" s="1"/>
  <c r="X236" i="2"/>
  <c r="O236" i="2"/>
  <c r="K236" i="2"/>
  <c r="O235" i="2"/>
  <c r="K235" i="2"/>
  <c r="AK235" i="2"/>
  <c r="AL235" i="2" s="1"/>
  <c r="AH235" i="2"/>
  <c r="T235" i="2"/>
  <c r="AK236" i="2"/>
  <c r="AL236" i="2" s="1"/>
  <c r="U235" i="2"/>
  <c r="V235" i="2" s="1"/>
  <c r="AA235" i="2"/>
  <c r="P235" i="2"/>
  <c r="Q235" i="2" s="1"/>
  <c r="L235" i="2"/>
  <c r="M235" i="2" s="1"/>
  <c r="C234" i="2"/>
  <c r="D234" i="2"/>
  <c r="E234" i="2"/>
  <c r="F234" i="2"/>
  <c r="J234" i="2"/>
  <c r="N234" i="2"/>
  <c r="S234" i="2"/>
  <c r="W234" i="2"/>
  <c r="X234" i="2" s="1"/>
  <c r="AS234" i="2"/>
  <c r="AT234" i="2"/>
  <c r="Y9" i="12" l="1"/>
  <c r="Y10" i="12" s="1"/>
  <c r="Y11" i="12" s="1"/>
  <c r="AA8" i="12"/>
  <c r="AB8" i="12" s="1"/>
  <c r="AC8" i="12" s="1"/>
  <c r="AI235" i="2"/>
  <c r="AJ235" i="2" s="1"/>
  <c r="AR235" i="2" s="1"/>
  <c r="AI237" i="2"/>
  <c r="AJ237" i="2" s="1"/>
  <c r="AR237" i="2" s="1"/>
  <c r="AQ236" i="2"/>
  <c r="AQ235" i="2"/>
  <c r="AC236" i="2"/>
  <c r="AD236" i="2" s="1"/>
  <c r="AH236" i="2"/>
  <c r="AI236" i="2"/>
  <c r="AJ236" i="2" s="1"/>
  <c r="AR236" i="2" s="1"/>
  <c r="U234" i="2"/>
  <c r="V234" i="2" s="1"/>
  <c r="AH237" i="2"/>
  <c r="AQ237" i="2"/>
  <c r="AB237" i="2"/>
  <c r="AC237" i="2"/>
  <c r="AD237" i="2" s="1"/>
  <c r="AK234" i="2"/>
  <c r="AL234" i="2" s="1"/>
  <c r="AB235" i="2"/>
  <c r="AC235" i="2"/>
  <c r="AD235" i="2" s="1"/>
  <c r="Y234" i="2"/>
  <c r="Z234" i="2" s="1"/>
  <c r="O234" i="2"/>
  <c r="AE234" i="2"/>
  <c r="AO234" i="2" s="1"/>
  <c r="AP234" i="2" s="1"/>
  <c r="K234" i="2"/>
  <c r="T234" i="2"/>
  <c r="P234" i="2"/>
  <c r="Q234" i="2" s="1"/>
  <c r="AA234" i="2"/>
  <c r="L234" i="2"/>
  <c r="M234" i="2" s="1"/>
  <c r="C233" i="2"/>
  <c r="D233" i="2"/>
  <c r="E233" i="2"/>
  <c r="F233" i="2"/>
  <c r="J233" i="2"/>
  <c r="N233" i="2"/>
  <c r="S233" i="2"/>
  <c r="W233" i="2"/>
  <c r="X233" i="2" s="1"/>
  <c r="AS233" i="2"/>
  <c r="AT233" i="2"/>
  <c r="AA11" i="12" l="1"/>
  <c r="AB11" i="12" s="1"/>
  <c r="AC11" i="12" s="1"/>
  <c r="Y12" i="12"/>
  <c r="AA10" i="12"/>
  <c r="AB10" i="12" s="1"/>
  <c r="AC10" i="12" s="1"/>
  <c r="AA9" i="12"/>
  <c r="AB9" i="12" s="1"/>
  <c r="AC9" i="12" s="1"/>
  <c r="T233" i="2"/>
  <c r="AI234" i="2"/>
  <c r="AJ234" i="2" s="1"/>
  <c r="AR234" i="2" s="1"/>
  <c r="AQ234" i="2"/>
  <c r="K233" i="2"/>
  <c r="O233" i="2"/>
  <c r="AH234" i="2"/>
  <c r="AC234" i="2"/>
  <c r="AD234" i="2" s="1"/>
  <c r="AB234" i="2"/>
  <c r="AK233" i="2"/>
  <c r="AL233" i="2" s="1"/>
  <c r="AE233" i="2"/>
  <c r="AH233" i="2" s="1"/>
  <c r="U233" i="2"/>
  <c r="V233" i="2" s="1"/>
  <c r="Y233" i="2"/>
  <c r="Z233" i="2" s="1"/>
  <c r="AA233" i="2"/>
  <c r="P233" i="2"/>
  <c r="Q233" i="2" s="1"/>
  <c r="L233" i="2"/>
  <c r="M233" i="2" s="1"/>
  <c r="C232" i="2"/>
  <c r="D232" i="2"/>
  <c r="E232" i="2"/>
  <c r="F232" i="2"/>
  <c r="J232" i="2"/>
  <c r="N232" i="2"/>
  <c r="S232" i="2"/>
  <c r="W232" i="2"/>
  <c r="Y232" i="2" s="1"/>
  <c r="Z232" i="2" s="1"/>
  <c r="AS232" i="2"/>
  <c r="AT232" i="2"/>
  <c r="AA12" i="12" l="1"/>
  <c r="AB12" i="12" s="1"/>
  <c r="AC12" i="12" s="1"/>
  <c r="L232" i="2"/>
  <c r="M232" i="2" s="1"/>
  <c r="AO233" i="2"/>
  <c r="AP233" i="2" s="1"/>
  <c r="U232" i="2"/>
  <c r="V232" i="2" s="1"/>
  <c r="AI233" i="2"/>
  <c r="AJ233" i="2" s="1"/>
  <c r="AR233" i="2" s="1"/>
  <c r="AQ233" i="2"/>
  <c r="AB233" i="2"/>
  <c r="AC233" i="2"/>
  <c r="AD233" i="2" s="1"/>
  <c r="P232" i="2"/>
  <c r="Q232" i="2" s="1"/>
  <c r="AQ232" i="2" s="1"/>
  <c r="AE232" i="2"/>
  <c r="AH232" i="2" s="1"/>
  <c r="AA232" i="2"/>
  <c r="AC232" i="2" s="1"/>
  <c r="AD232" i="2" s="1"/>
  <c r="AK232" i="2"/>
  <c r="AL232" i="2" s="1"/>
  <c r="X232" i="2"/>
  <c r="T232" i="2"/>
  <c r="O232" i="2"/>
  <c r="K232" i="2"/>
  <c r="C231" i="2"/>
  <c r="D231" i="2"/>
  <c r="E231" i="2"/>
  <c r="F231" i="2"/>
  <c r="J231" i="2"/>
  <c r="N231" i="2"/>
  <c r="S231" i="2"/>
  <c r="W231" i="2"/>
  <c r="X231" i="2" s="1"/>
  <c r="AS231" i="2"/>
  <c r="AT231" i="2"/>
  <c r="AI232" i="2" l="1"/>
  <c r="AJ232" i="2" s="1"/>
  <c r="AR232" i="2" s="1"/>
  <c r="AB232" i="2"/>
  <c r="AO232" i="2"/>
  <c r="AP232" i="2" s="1"/>
  <c r="P231" i="2"/>
  <c r="Q231" i="2" s="1"/>
  <c r="AE231" i="2"/>
  <c r="AH231" i="2" s="1"/>
  <c r="T231" i="2"/>
  <c r="Y231" i="2"/>
  <c r="Z231" i="2" s="1"/>
  <c r="O231" i="2"/>
  <c r="AA231" i="2"/>
  <c r="AB231" i="2" s="1"/>
  <c r="U231" i="2"/>
  <c r="V231" i="2" s="1"/>
  <c r="K231" i="2"/>
  <c r="L231" i="2"/>
  <c r="M231" i="2" s="1"/>
  <c r="AK231" i="2"/>
  <c r="AL231" i="2" s="1"/>
  <c r="C230" i="2"/>
  <c r="D230" i="2"/>
  <c r="E230" i="2"/>
  <c r="F230" i="2"/>
  <c r="J230" i="2"/>
  <c r="N230" i="2"/>
  <c r="S230" i="2"/>
  <c r="W230" i="2"/>
  <c r="AS230" i="2"/>
  <c r="AT230" i="2"/>
  <c r="C229" i="2"/>
  <c r="D229" i="2"/>
  <c r="E229" i="2"/>
  <c r="F229" i="2"/>
  <c r="J229" i="2"/>
  <c r="N229" i="2"/>
  <c r="S229" i="2"/>
  <c r="W229" i="2"/>
  <c r="AS229" i="2"/>
  <c r="AT229" i="2"/>
  <c r="Y229" i="2" l="1"/>
  <c r="Z229" i="2" s="1"/>
  <c r="X230" i="2"/>
  <c r="T229" i="2"/>
  <c r="AQ231" i="2"/>
  <c r="AK230" i="2"/>
  <c r="AL230" i="2" s="1"/>
  <c r="K229" i="2"/>
  <c r="AA230" i="2"/>
  <c r="AB230" i="2" s="1"/>
  <c r="AI231" i="2"/>
  <c r="AJ231" i="2" s="1"/>
  <c r="AR231" i="2" s="1"/>
  <c r="AO231" i="2"/>
  <c r="AP231" i="2" s="1"/>
  <c r="P229" i="2"/>
  <c r="Q229" i="2" s="1"/>
  <c r="T230" i="2"/>
  <c r="AE230" i="2"/>
  <c r="AH230" i="2" s="1"/>
  <c r="O230" i="2"/>
  <c r="AC231" i="2"/>
  <c r="AD231" i="2" s="1"/>
  <c r="K230" i="2"/>
  <c r="U230" i="2"/>
  <c r="V230" i="2" s="1"/>
  <c r="Y230" i="2"/>
  <c r="Z230" i="2" s="1"/>
  <c r="P230" i="2"/>
  <c r="Q230" i="2" s="1"/>
  <c r="L230" i="2"/>
  <c r="M230" i="2" s="1"/>
  <c r="O229" i="2"/>
  <c r="X229" i="2"/>
  <c r="AE229" i="2"/>
  <c r="U229" i="2"/>
  <c r="V229" i="2" s="1"/>
  <c r="AK229" i="2"/>
  <c r="AL229" i="2" s="1"/>
  <c r="AA229" i="2"/>
  <c r="L229" i="2"/>
  <c r="M229" i="2" s="1"/>
  <c r="C228" i="2"/>
  <c r="D228" i="2"/>
  <c r="E228" i="2"/>
  <c r="F228" i="2"/>
  <c r="J228" i="2"/>
  <c r="N228" i="2"/>
  <c r="S228" i="2"/>
  <c r="W228" i="2"/>
  <c r="X228" i="2" s="1"/>
  <c r="AS228" i="2"/>
  <c r="AT228" i="2"/>
  <c r="AQ229" i="2" l="1"/>
  <c r="T228" i="2"/>
  <c r="AC230" i="2"/>
  <c r="AD230" i="2" s="1"/>
  <c r="AO230" i="2"/>
  <c r="AP230" i="2" s="1"/>
  <c r="K228" i="2"/>
  <c r="AI230" i="2"/>
  <c r="AJ230" i="2" s="1"/>
  <c r="AR230" i="2" s="1"/>
  <c r="AQ230" i="2"/>
  <c r="O228" i="2"/>
  <c r="AO229" i="2"/>
  <c r="AP229" i="2" s="1"/>
  <c r="AH229" i="2"/>
  <c r="AI229" i="2"/>
  <c r="AJ229" i="2" s="1"/>
  <c r="AR229" i="2" s="1"/>
  <c r="AC229" i="2"/>
  <c r="AD229" i="2" s="1"/>
  <c r="AB229" i="2"/>
  <c r="AK228" i="2"/>
  <c r="AL228" i="2" s="1"/>
  <c r="AE228" i="2"/>
  <c r="AH228" i="2" s="1"/>
  <c r="U228" i="2"/>
  <c r="V228" i="2" s="1"/>
  <c r="AA228" i="2"/>
  <c r="AB228" i="2" s="1"/>
  <c r="Y228" i="2"/>
  <c r="Z228" i="2" s="1"/>
  <c r="P228" i="2"/>
  <c r="Q228" i="2" s="1"/>
  <c r="L228" i="2"/>
  <c r="M228" i="2" s="1"/>
  <c r="C226" i="2"/>
  <c r="C227" i="2"/>
  <c r="D226" i="2"/>
  <c r="D227" i="2"/>
  <c r="E226" i="2"/>
  <c r="E227" i="2"/>
  <c r="F226" i="2"/>
  <c r="F227" i="2"/>
  <c r="J226" i="2"/>
  <c r="J227" i="2"/>
  <c r="N226" i="2"/>
  <c r="O226" i="2" s="1"/>
  <c r="N227" i="2"/>
  <c r="O227" i="2" s="1"/>
  <c r="S226" i="2"/>
  <c r="S227" i="2"/>
  <c r="W226" i="2"/>
  <c r="W227" i="2"/>
  <c r="X227" i="2" s="1"/>
  <c r="AS226" i="2"/>
  <c r="AS227" i="2"/>
  <c r="AT226" i="2"/>
  <c r="AT227" i="2"/>
  <c r="T227" i="2" l="1"/>
  <c r="AQ228" i="2"/>
  <c r="K227" i="2"/>
  <c r="AI228" i="2"/>
  <c r="AJ228" i="2" s="1"/>
  <c r="AR228" i="2" s="1"/>
  <c r="AK227" i="2"/>
  <c r="AL227" i="2" s="1"/>
  <c r="T226" i="2"/>
  <c r="K226" i="2"/>
  <c r="AO228" i="2"/>
  <c r="AP228" i="2" s="1"/>
  <c r="X226" i="2"/>
  <c r="AE226" i="2"/>
  <c r="AO226" i="2" s="1"/>
  <c r="AP226" i="2" s="1"/>
  <c r="AC228" i="2"/>
  <c r="AD228" i="2" s="1"/>
  <c r="AA227" i="2"/>
  <c r="AB227" i="2" s="1"/>
  <c r="AK226" i="2"/>
  <c r="AL226" i="2" s="1"/>
  <c r="AE227" i="2"/>
  <c r="AH227" i="2" s="1"/>
  <c r="P226" i="2"/>
  <c r="Q226" i="2" s="1"/>
  <c r="Y227" i="2"/>
  <c r="Z227" i="2" s="1"/>
  <c r="U227" i="2"/>
  <c r="V227" i="2" s="1"/>
  <c r="AA226" i="2"/>
  <c r="AB226" i="2" s="1"/>
  <c r="P227" i="2"/>
  <c r="Q227" i="2" s="1"/>
  <c r="L227" i="2"/>
  <c r="M227" i="2" s="1"/>
  <c r="L226" i="2"/>
  <c r="M226" i="2" s="1"/>
  <c r="Y226" i="2"/>
  <c r="Z226" i="2" s="1"/>
  <c r="U226" i="2"/>
  <c r="V226" i="2" s="1"/>
  <c r="C225" i="2"/>
  <c r="D225" i="2"/>
  <c r="E225" i="2"/>
  <c r="F225" i="2"/>
  <c r="J225" i="2"/>
  <c r="N225" i="2"/>
  <c r="S225" i="2"/>
  <c r="W225" i="2"/>
  <c r="X225" i="2" s="1"/>
  <c r="AS225" i="2"/>
  <c r="AT225" i="2"/>
  <c r="AQ227" i="2" l="1"/>
  <c r="AC227" i="2"/>
  <c r="AD227" i="2" s="1"/>
  <c r="Y225" i="2"/>
  <c r="Z225" i="2" s="1"/>
  <c r="O225" i="2"/>
  <c r="AI226" i="2"/>
  <c r="AJ226" i="2" s="1"/>
  <c r="AR226" i="2" s="1"/>
  <c r="AH226" i="2"/>
  <c r="AC226" i="2"/>
  <c r="AD226" i="2" s="1"/>
  <c r="AO227" i="2"/>
  <c r="AP227" i="2" s="1"/>
  <c r="AQ226" i="2"/>
  <c r="AI227" i="2"/>
  <c r="AJ227" i="2" s="1"/>
  <c r="AR227" i="2" s="1"/>
  <c r="AE225" i="2"/>
  <c r="AO225" i="2" s="1"/>
  <c r="AP225" i="2" s="1"/>
  <c r="L225" i="2"/>
  <c r="M225" i="2" s="1"/>
  <c r="AK225" i="2"/>
  <c r="AL225" i="2" s="1"/>
  <c r="T225" i="2"/>
  <c r="U225" i="2"/>
  <c r="V225" i="2" s="1"/>
  <c r="AA225" i="2"/>
  <c r="P225" i="2"/>
  <c r="Q225" i="2" s="1"/>
  <c r="AQ225" i="2" s="1"/>
  <c r="K225" i="2"/>
  <c r="C224" i="2"/>
  <c r="D224" i="2"/>
  <c r="E224" i="2"/>
  <c r="F224" i="2"/>
  <c r="J224" i="2"/>
  <c r="N224" i="2"/>
  <c r="S224" i="2"/>
  <c r="W224" i="2"/>
  <c r="AS224" i="2"/>
  <c r="AT224" i="2"/>
  <c r="C223" i="2"/>
  <c r="D223" i="2"/>
  <c r="E223" i="2"/>
  <c r="F223" i="2"/>
  <c r="J223" i="2"/>
  <c r="N223" i="2"/>
  <c r="S223" i="2"/>
  <c r="W223" i="2"/>
  <c r="X223" i="2" s="1"/>
  <c r="AS223" i="2"/>
  <c r="AT223" i="2"/>
  <c r="AH225" i="2" l="1"/>
  <c r="P224" i="2"/>
  <c r="Q224" i="2" s="1"/>
  <c r="AI225" i="2"/>
  <c r="AJ225" i="2" s="1"/>
  <c r="AR225" i="2" s="1"/>
  <c r="U223" i="2"/>
  <c r="V223" i="2" s="1"/>
  <c r="T224" i="2"/>
  <c r="AE224" i="2"/>
  <c r="AO224" i="2" s="1"/>
  <c r="AP224" i="2" s="1"/>
  <c r="K223" i="2"/>
  <c r="AB225" i="2"/>
  <c r="AC225" i="2"/>
  <c r="AD225" i="2" s="1"/>
  <c r="K224" i="2"/>
  <c r="AK224" i="2"/>
  <c r="AL224" i="2" s="1"/>
  <c r="U224" i="2"/>
  <c r="V224" i="2" s="1"/>
  <c r="Y224" i="2"/>
  <c r="Z224" i="2" s="1"/>
  <c r="O224" i="2"/>
  <c r="X224" i="2"/>
  <c r="AA224" i="2"/>
  <c r="L224" i="2"/>
  <c r="M224" i="2" s="1"/>
  <c r="AK223" i="2"/>
  <c r="AL223" i="2" s="1"/>
  <c r="O223" i="2"/>
  <c r="AE223" i="2"/>
  <c r="AI223" i="2" s="1"/>
  <c r="AJ223" i="2" s="1"/>
  <c r="AR223" i="2" s="1"/>
  <c r="Y223" i="2"/>
  <c r="Z223" i="2" s="1"/>
  <c r="T223" i="2"/>
  <c r="P223" i="2"/>
  <c r="Q223" i="2" s="1"/>
  <c r="AA223" i="2"/>
  <c r="L223" i="2"/>
  <c r="M223" i="2" s="1"/>
  <c r="C222" i="2"/>
  <c r="D222" i="2"/>
  <c r="E222" i="2"/>
  <c r="F222" i="2"/>
  <c r="J222" i="2"/>
  <c r="N222" i="2"/>
  <c r="S222" i="2"/>
  <c r="W222" i="2"/>
  <c r="Y222" i="2" s="1"/>
  <c r="Z222" i="2" s="1"/>
  <c r="AS222" i="2"/>
  <c r="AT222" i="2"/>
  <c r="AH223" i="2" l="1"/>
  <c r="AQ224" i="2"/>
  <c r="AI224" i="2"/>
  <c r="AJ224" i="2" s="1"/>
  <c r="AR224" i="2" s="1"/>
  <c r="AQ223" i="2"/>
  <c r="AH224" i="2"/>
  <c r="X222" i="2"/>
  <c r="O222" i="2"/>
  <c r="AB224" i="2"/>
  <c r="AC224" i="2"/>
  <c r="AD224" i="2" s="1"/>
  <c r="AE222" i="2"/>
  <c r="AH222" i="2" s="1"/>
  <c r="U222" i="2"/>
  <c r="V222" i="2" s="1"/>
  <c r="AO223" i="2"/>
  <c r="AP223" i="2" s="1"/>
  <c r="AC223" i="2"/>
  <c r="AD223" i="2" s="1"/>
  <c r="AB223" i="2"/>
  <c r="K222" i="2"/>
  <c r="AK222" i="2"/>
  <c r="AL222" i="2" s="1"/>
  <c r="T222" i="2"/>
  <c r="P222" i="2"/>
  <c r="Q222" i="2" s="1"/>
  <c r="AQ222" i="2" s="1"/>
  <c r="AA222" i="2"/>
  <c r="L222" i="2"/>
  <c r="M222" i="2" s="1"/>
  <c r="C221" i="2"/>
  <c r="D221" i="2"/>
  <c r="E221" i="2"/>
  <c r="F221" i="2"/>
  <c r="J221" i="2"/>
  <c r="N221" i="2"/>
  <c r="S221" i="2"/>
  <c r="W221" i="2"/>
  <c r="X221" i="2" s="1"/>
  <c r="AS221" i="2"/>
  <c r="AT221" i="2"/>
  <c r="O221" i="2" l="1"/>
  <c r="AA221" i="2"/>
  <c r="AC221" i="2" s="1"/>
  <c r="AD221" i="2" s="1"/>
  <c r="AI222" i="2"/>
  <c r="AJ222" i="2" s="1"/>
  <c r="AR222" i="2" s="1"/>
  <c r="AB221" i="2"/>
  <c r="AO222" i="2"/>
  <c r="AP222" i="2" s="1"/>
  <c r="U221" i="2"/>
  <c r="V221" i="2" s="1"/>
  <c r="P221" i="2"/>
  <c r="Q221" i="2" s="1"/>
  <c r="K221" i="2"/>
  <c r="AK221" i="2"/>
  <c r="AL221" i="2" s="1"/>
  <c r="T221" i="2"/>
  <c r="AC222" i="2"/>
  <c r="AD222" i="2" s="1"/>
  <c r="AB222" i="2"/>
  <c r="Y221" i="2"/>
  <c r="Z221" i="2" s="1"/>
  <c r="AE221" i="2"/>
  <c r="L221" i="2"/>
  <c r="M221" i="2" s="1"/>
  <c r="C220" i="2"/>
  <c r="D220" i="2"/>
  <c r="E220" i="2"/>
  <c r="F220" i="2"/>
  <c r="J220" i="2"/>
  <c r="N220" i="2"/>
  <c r="S220" i="2"/>
  <c r="W220" i="2"/>
  <c r="X220" i="2" s="1"/>
  <c r="AS220" i="2"/>
  <c r="AT220" i="2"/>
  <c r="AQ221" i="2" l="1"/>
  <c r="AA220" i="2"/>
  <c r="AC220" i="2" s="1"/>
  <c r="AD220" i="2" s="1"/>
  <c r="AI221" i="2"/>
  <c r="AJ221" i="2" s="1"/>
  <c r="AR221" i="2" s="1"/>
  <c r="AO221" i="2"/>
  <c r="AP221" i="2" s="1"/>
  <c r="AH221" i="2"/>
  <c r="T220" i="2"/>
  <c r="AK220" i="2"/>
  <c r="AL220" i="2" s="1"/>
  <c r="P220" i="2"/>
  <c r="Q220" i="2" s="1"/>
  <c r="L220" i="2"/>
  <c r="M220" i="2" s="1"/>
  <c r="AE220" i="2"/>
  <c r="AO220" i="2" s="1"/>
  <c r="AP220" i="2" s="1"/>
  <c r="Y220" i="2"/>
  <c r="Z220" i="2" s="1"/>
  <c r="U220" i="2"/>
  <c r="V220" i="2" s="1"/>
  <c r="O220" i="2"/>
  <c r="K220" i="2"/>
  <c r="C219" i="2"/>
  <c r="D219" i="2"/>
  <c r="E219" i="2"/>
  <c r="F219" i="2"/>
  <c r="J219" i="2"/>
  <c r="N219" i="2"/>
  <c r="S219" i="2"/>
  <c r="W219" i="2"/>
  <c r="AS219" i="2"/>
  <c r="AT219" i="2"/>
  <c r="Y219" i="2" l="1"/>
  <c r="Z219" i="2" s="1"/>
  <c r="AQ220" i="2"/>
  <c r="AB220" i="2"/>
  <c r="AH220" i="2"/>
  <c r="T219" i="2"/>
  <c r="P219" i="2"/>
  <c r="Q219" i="2" s="1"/>
  <c r="K219" i="2"/>
  <c r="AI220" i="2"/>
  <c r="AJ220" i="2" s="1"/>
  <c r="AR220" i="2" s="1"/>
  <c r="U219" i="2"/>
  <c r="V219" i="2" s="1"/>
  <c r="AE219" i="2"/>
  <c r="AI219" i="2" s="1"/>
  <c r="AJ219" i="2" s="1"/>
  <c r="AR219" i="2" s="1"/>
  <c r="AK219" i="2"/>
  <c r="AL219" i="2" s="1"/>
  <c r="AA219" i="2"/>
  <c r="L219" i="2"/>
  <c r="M219" i="2" s="1"/>
  <c r="X219" i="2"/>
  <c r="O219" i="2"/>
  <c r="AQ219" i="2" l="1"/>
  <c r="AB219" i="2"/>
  <c r="AC219" i="2"/>
  <c r="AD219" i="2" s="1"/>
  <c r="AH219" i="2"/>
  <c r="AO219" i="2"/>
  <c r="AP219" i="2" s="1"/>
  <c r="C218" i="2" l="1"/>
  <c r="D218" i="2"/>
  <c r="E218" i="2"/>
  <c r="F218" i="2"/>
  <c r="J218" i="2"/>
  <c r="N218" i="2"/>
  <c r="S218" i="2"/>
  <c r="W218" i="2"/>
  <c r="AS218" i="2"/>
  <c r="AT218" i="2"/>
  <c r="AE218" i="2" l="1"/>
  <c r="AH218" i="2" s="1"/>
  <c r="O218" i="2"/>
  <c r="P218" i="2"/>
  <c r="Q218" i="2" s="1"/>
  <c r="T218" i="2"/>
  <c r="U218" i="2"/>
  <c r="V218" i="2" s="1"/>
  <c r="K218" i="2"/>
  <c r="AA218" i="2"/>
  <c r="AB218" i="2" s="1"/>
  <c r="Y218" i="2"/>
  <c r="Z218" i="2" s="1"/>
  <c r="X218" i="2"/>
  <c r="L218" i="2"/>
  <c r="M218" i="2" s="1"/>
  <c r="AK218" i="2"/>
  <c r="AL218" i="2" s="1"/>
  <c r="C217" i="2"/>
  <c r="D217" i="2"/>
  <c r="E217" i="2"/>
  <c r="F217" i="2"/>
  <c r="J217" i="2"/>
  <c r="N217" i="2"/>
  <c r="S217" i="2"/>
  <c r="W217" i="2"/>
  <c r="AS217" i="2"/>
  <c r="AT217" i="2"/>
  <c r="AO218" i="2" l="1"/>
  <c r="AP218" i="2" s="1"/>
  <c r="AI218" i="2"/>
  <c r="AJ218" i="2" s="1"/>
  <c r="AR218" i="2" s="1"/>
  <c r="AQ218" i="2"/>
  <c r="U217" i="2"/>
  <c r="V217" i="2" s="1"/>
  <c r="AC218" i="2"/>
  <c r="AD218" i="2" s="1"/>
  <c r="O217" i="2"/>
  <c r="T217" i="2"/>
  <c r="K217" i="2"/>
  <c r="X217" i="2"/>
  <c r="AK217" i="2"/>
  <c r="AL217" i="2" s="1"/>
  <c r="AE217" i="2"/>
  <c r="AO217" i="2" s="1"/>
  <c r="AP217" i="2" s="1"/>
  <c r="P217" i="2"/>
  <c r="Q217" i="2" s="1"/>
  <c r="L217" i="2"/>
  <c r="M217" i="2" s="1"/>
  <c r="AA217" i="2"/>
  <c r="Y217" i="2"/>
  <c r="Z217" i="2" s="1"/>
  <c r="C216" i="2"/>
  <c r="D216" i="2"/>
  <c r="E216" i="2"/>
  <c r="F216" i="2"/>
  <c r="J216" i="2"/>
  <c r="N216" i="2"/>
  <c r="S216" i="2"/>
  <c r="W216" i="2"/>
  <c r="AS216" i="2"/>
  <c r="AT216" i="2"/>
  <c r="Y216" i="2" l="1"/>
  <c r="Z216" i="2" s="1"/>
  <c r="AI217" i="2"/>
  <c r="AJ217" i="2" s="1"/>
  <c r="AR217" i="2" s="1"/>
  <c r="O216" i="2"/>
  <c r="K216" i="2"/>
  <c r="AK216" i="2"/>
  <c r="AL216" i="2" s="1"/>
  <c r="T216" i="2"/>
  <c r="AH217" i="2"/>
  <c r="AQ217" i="2"/>
  <c r="AC217" i="2"/>
  <c r="AD217" i="2" s="1"/>
  <c r="AB217" i="2"/>
  <c r="AE216" i="2"/>
  <c r="AH216" i="2" s="1"/>
  <c r="AA216" i="2"/>
  <c r="AC216" i="2" s="1"/>
  <c r="AD216" i="2" s="1"/>
  <c r="X216" i="2"/>
  <c r="P216" i="2"/>
  <c r="Q216" i="2" s="1"/>
  <c r="AQ216" i="2" s="1"/>
  <c r="U216" i="2"/>
  <c r="V216" i="2" s="1"/>
  <c r="L216" i="2"/>
  <c r="M216" i="2" s="1"/>
  <c r="AO216" i="2" l="1"/>
  <c r="AP216" i="2" s="1"/>
  <c r="AI216" i="2"/>
  <c r="AJ216" i="2" s="1"/>
  <c r="AR216" i="2" s="1"/>
  <c r="AB216" i="2"/>
  <c r="S212" i="2"/>
  <c r="W212" i="2"/>
  <c r="AS212" i="2"/>
  <c r="AT212" i="2"/>
  <c r="S213" i="2"/>
  <c r="W213" i="2"/>
  <c r="AS213" i="2"/>
  <c r="AT213" i="2"/>
  <c r="S214" i="2"/>
  <c r="W214" i="2"/>
  <c r="AS214" i="2"/>
  <c r="AT214" i="2"/>
  <c r="S215" i="2"/>
  <c r="W215" i="2"/>
  <c r="AS215" i="2"/>
  <c r="AT215" i="2"/>
  <c r="J212" i="2"/>
  <c r="N212" i="2"/>
  <c r="AK212" i="2" s="1"/>
  <c r="J213" i="2"/>
  <c r="N213" i="2"/>
  <c r="J214" i="2"/>
  <c r="N214" i="2"/>
  <c r="J215" i="2"/>
  <c r="N215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J210" i="2"/>
  <c r="J211" i="2"/>
  <c r="C211" i="2"/>
  <c r="AA213" i="2" l="1"/>
  <c r="AB213" i="2" s="1"/>
  <c r="Y214" i="2"/>
  <c r="Z214" i="2" s="1"/>
  <c r="AA212" i="2"/>
  <c r="AB212" i="2" s="1"/>
  <c r="Y215" i="2"/>
  <c r="Z215" i="2" s="1"/>
  <c r="O215" i="2"/>
  <c r="O213" i="2"/>
  <c r="Y213" i="2"/>
  <c r="Z213" i="2" s="1"/>
  <c r="U215" i="2"/>
  <c r="V215" i="2" s="1"/>
  <c r="U214" i="2"/>
  <c r="V214" i="2" s="1"/>
  <c r="AE214" i="2"/>
  <c r="AO214" i="2" s="1"/>
  <c r="AP214" i="2" s="1"/>
  <c r="K215" i="2"/>
  <c r="K213" i="2"/>
  <c r="AE215" i="2"/>
  <c r="AH215" i="2" s="1"/>
  <c r="X215" i="2"/>
  <c r="X214" i="2"/>
  <c r="T213" i="2"/>
  <c r="O214" i="2"/>
  <c r="O212" i="2"/>
  <c r="AE213" i="2"/>
  <c r="AH213" i="2" s="1"/>
  <c r="X213" i="2"/>
  <c r="X212" i="2"/>
  <c r="K214" i="2"/>
  <c r="K212" i="2"/>
  <c r="AK215" i="2"/>
  <c r="AL215" i="2" s="1"/>
  <c r="AA215" i="2"/>
  <c r="T215" i="2"/>
  <c r="AK214" i="2"/>
  <c r="AA214" i="2"/>
  <c r="T214" i="2"/>
  <c r="AK213" i="2"/>
  <c r="AL213" i="2" s="1"/>
  <c r="AC213" i="2"/>
  <c r="AD213" i="2" s="1"/>
  <c r="U213" i="2"/>
  <c r="V213" i="2" s="1"/>
  <c r="AE212" i="2"/>
  <c r="AH212" i="2" s="1"/>
  <c r="T212" i="2"/>
  <c r="AL212" i="2"/>
  <c r="Y212" i="2"/>
  <c r="Z212" i="2" s="1"/>
  <c r="U212" i="2"/>
  <c r="V212" i="2" s="1"/>
  <c r="P215" i="2"/>
  <c r="Q215" i="2" s="1"/>
  <c r="L215" i="2"/>
  <c r="M215" i="2" s="1"/>
  <c r="P214" i="2"/>
  <c r="Q214" i="2" s="1"/>
  <c r="L214" i="2"/>
  <c r="M214" i="2" s="1"/>
  <c r="P213" i="2"/>
  <c r="Q213" i="2" s="1"/>
  <c r="L213" i="2"/>
  <c r="M213" i="2" s="1"/>
  <c r="P212" i="2"/>
  <c r="Q212" i="2" s="1"/>
  <c r="L212" i="2"/>
  <c r="M212" i="2" s="1"/>
  <c r="E6" i="12"/>
  <c r="M6" i="12" s="1"/>
  <c r="C6" i="12"/>
  <c r="L6" i="12" s="1"/>
  <c r="I6" i="12"/>
  <c r="E5" i="12"/>
  <c r="M5" i="12" s="1"/>
  <c r="C5" i="12"/>
  <c r="L5" i="12" s="1"/>
  <c r="I5" i="12"/>
  <c r="J5" i="12" s="1"/>
  <c r="K5" i="12" s="1"/>
  <c r="M3" i="12"/>
  <c r="L3" i="12"/>
  <c r="E4" i="12"/>
  <c r="M4" i="12" s="1"/>
  <c r="C4" i="12"/>
  <c r="L4" i="12" s="1"/>
  <c r="I4" i="12"/>
  <c r="J4" i="12" s="1"/>
  <c r="K4" i="12" s="1"/>
  <c r="I3" i="12"/>
  <c r="J3" i="12" s="1"/>
  <c r="K3" i="12" s="1"/>
  <c r="D211" i="2"/>
  <c r="E211" i="2"/>
  <c r="F211" i="2"/>
  <c r="N211" i="2"/>
  <c r="S211" i="2"/>
  <c r="W211" i="2"/>
  <c r="AS211" i="2"/>
  <c r="AT211" i="2"/>
  <c r="J6" i="12" l="1"/>
  <c r="K6" i="12" s="1"/>
  <c r="AI214" i="2"/>
  <c r="AJ214" i="2" s="1"/>
  <c r="AR214" i="2" s="1"/>
  <c r="AQ214" i="2"/>
  <c r="AQ215" i="2"/>
  <c r="AH214" i="2"/>
  <c r="AI215" i="2"/>
  <c r="AJ215" i="2" s="1"/>
  <c r="AR215" i="2" s="1"/>
  <c r="AC212" i="2"/>
  <c r="AD212" i="2" s="1"/>
  <c r="AQ213" i="2"/>
  <c r="X211" i="2"/>
  <c r="AQ212" i="2"/>
  <c r="AO215" i="2"/>
  <c r="AP215" i="2" s="1"/>
  <c r="AL214" i="2"/>
  <c r="AO212" i="2"/>
  <c r="AP212" i="2" s="1"/>
  <c r="AI212" i="2"/>
  <c r="AJ212" i="2" s="1"/>
  <c r="AR212" i="2" s="1"/>
  <c r="AB215" i="2"/>
  <c r="AC215" i="2"/>
  <c r="AD215" i="2" s="1"/>
  <c r="AO213" i="2"/>
  <c r="AP213" i="2" s="1"/>
  <c r="AI213" i="2"/>
  <c r="AJ213" i="2" s="1"/>
  <c r="AR213" i="2" s="1"/>
  <c r="AB214" i="2"/>
  <c r="AC214" i="2"/>
  <c r="AD214" i="2" s="1"/>
  <c r="T211" i="2"/>
  <c r="AK211" i="2"/>
  <c r="AL211" i="2" s="1"/>
  <c r="Y211" i="2"/>
  <c r="Z211" i="2" s="1"/>
  <c r="AE211" i="2"/>
  <c r="AI211" i="2" s="1"/>
  <c r="AJ211" i="2" s="1"/>
  <c r="AR211" i="2" s="1"/>
  <c r="O211" i="2"/>
  <c r="N6" i="12"/>
  <c r="O9" i="12" s="1"/>
  <c r="N4" i="12"/>
  <c r="N5" i="12"/>
  <c r="O8" i="12" s="1"/>
  <c r="N3" i="12"/>
  <c r="AA211" i="2"/>
  <c r="AB211" i="2" s="1"/>
  <c r="U211" i="2"/>
  <c r="V211" i="2" s="1"/>
  <c r="K211" i="2"/>
  <c r="P211" i="2"/>
  <c r="Q211" i="2" s="1"/>
  <c r="L211" i="2"/>
  <c r="M211" i="2" s="1"/>
  <c r="C210" i="2"/>
  <c r="D210" i="2"/>
  <c r="E210" i="2"/>
  <c r="F210" i="2"/>
  <c r="N210" i="2"/>
  <c r="S210" i="2"/>
  <c r="W210" i="2"/>
  <c r="AS210" i="2"/>
  <c r="AT210" i="2"/>
  <c r="O7" i="12" l="1"/>
  <c r="V4" i="12"/>
  <c r="R4" i="12"/>
  <c r="S7" i="12" s="1"/>
  <c r="P6" i="12"/>
  <c r="Q6" i="12" s="1"/>
  <c r="AH211" i="2"/>
  <c r="AQ211" i="2"/>
  <c r="Y210" i="2"/>
  <c r="Z210" i="2" s="1"/>
  <c r="AO211" i="2"/>
  <c r="AP211" i="2" s="1"/>
  <c r="R6" i="12"/>
  <c r="S9" i="12" s="1"/>
  <c r="P4" i="12"/>
  <c r="Q4" i="12" s="1"/>
  <c r="R3" i="12"/>
  <c r="P3" i="12"/>
  <c r="Q3" i="12" s="1"/>
  <c r="R5" i="12"/>
  <c r="S8" i="12" s="1"/>
  <c r="P5" i="12"/>
  <c r="Q5" i="12" s="1"/>
  <c r="AC211" i="2"/>
  <c r="AD211" i="2" s="1"/>
  <c r="O210" i="2"/>
  <c r="K210" i="2"/>
  <c r="T210" i="2"/>
  <c r="AK210" i="2"/>
  <c r="AL210" i="2" s="1"/>
  <c r="AE210" i="2"/>
  <c r="AH210" i="2" s="1"/>
  <c r="P210" i="2"/>
  <c r="Q210" i="2" s="1"/>
  <c r="AQ210" i="2" s="1"/>
  <c r="X210" i="2"/>
  <c r="U210" i="2"/>
  <c r="V210" i="2" s="1"/>
  <c r="AA210" i="2"/>
  <c r="L210" i="2"/>
  <c r="M210" i="2" s="1"/>
  <c r="C209" i="2"/>
  <c r="D209" i="2"/>
  <c r="E209" i="2"/>
  <c r="F209" i="2"/>
  <c r="J209" i="2"/>
  <c r="N209" i="2"/>
  <c r="S209" i="2"/>
  <c r="W209" i="2"/>
  <c r="AS209" i="2"/>
  <c r="AT209" i="2"/>
  <c r="C208" i="2"/>
  <c r="D208" i="2"/>
  <c r="E208" i="2"/>
  <c r="F208" i="2"/>
  <c r="J208" i="2"/>
  <c r="N208" i="2"/>
  <c r="S208" i="2"/>
  <c r="W208" i="2"/>
  <c r="AS208" i="2"/>
  <c r="AT208" i="2"/>
  <c r="C207" i="2"/>
  <c r="D207" i="2"/>
  <c r="E207" i="2"/>
  <c r="F207" i="2"/>
  <c r="J207" i="2"/>
  <c r="N207" i="2"/>
  <c r="S207" i="2"/>
  <c r="W207" i="2"/>
  <c r="AS207" i="2"/>
  <c r="AT207" i="2"/>
  <c r="C206" i="2"/>
  <c r="D206" i="2"/>
  <c r="E206" i="2"/>
  <c r="F206" i="2"/>
  <c r="J206" i="2"/>
  <c r="N206" i="2"/>
  <c r="S206" i="2"/>
  <c r="W206" i="2"/>
  <c r="AS206" i="2"/>
  <c r="AT206" i="2"/>
  <c r="T13" i="12" l="1"/>
  <c r="T7" i="12"/>
  <c r="T11" i="12"/>
  <c r="T4" i="12"/>
  <c r="T8" i="12"/>
  <c r="T12" i="12"/>
  <c r="T10" i="12"/>
  <c r="T5" i="12"/>
  <c r="T9" i="12"/>
  <c r="T3" i="12"/>
  <c r="T6" i="12"/>
  <c r="V5" i="12"/>
  <c r="W4" i="12"/>
  <c r="X4" i="12" s="1"/>
  <c r="Z4" i="12"/>
  <c r="X206" i="2"/>
  <c r="X208" i="2"/>
  <c r="X207" i="2"/>
  <c r="AA207" i="2"/>
  <c r="AB207" i="2" s="1"/>
  <c r="K206" i="2"/>
  <c r="AA209" i="2"/>
  <c r="AB209" i="2" s="1"/>
  <c r="AO210" i="2"/>
  <c r="AP210" i="2" s="1"/>
  <c r="T208" i="2"/>
  <c r="AI210" i="2"/>
  <c r="AJ210" i="2" s="1"/>
  <c r="AR210" i="2" s="1"/>
  <c r="AK208" i="2"/>
  <c r="AL208" i="2" s="1"/>
  <c r="T206" i="2"/>
  <c r="Y209" i="2"/>
  <c r="Z209" i="2" s="1"/>
  <c r="P209" i="2"/>
  <c r="Q209" i="2" s="1"/>
  <c r="AE207" i="2"/>
  <c r="AH207" i="2" s="1"/>
  <c r="AK207" i="2"/>
  <c r="AL207" i="2" s="1"/>
  <c r="K208" i="2"/>
  <c r="O209" i="2"/>
  <c r="AA206" i="2"/>
  <c r="AB206" i="2" s="1"/>
  <c r="X209" i="2"/>
  <c r="AC210" i="2"/>
  <c r="AD210" i="2" s="1"/>
  <c r="AB210" i="2"/>
  <c r="K209" i="2"/>
  <c r="P206" i="2"/>
  <c r="Q206" i="2" s="1"/>
  <c r="AK209" i="2"/>
  <c r="AL209" i="2" s="1"/>
  <c r="T209" i="2"/>
  <c r="AE209" i="2"/>
  <c r="U209" i="2"/>
  <c r="V209" i="2" s="1"/>
  <c r="L209" i="2"/>
  <c r="M209" i="2" s="1"/>
  <c r="K207" i="2"/>
  <c r="AE208" i="2"/>
  <c r="AI208" i="2" s="1"/>
  <c r="AJ208" i="2" s="1"/>
  <c r="AR208" i="2" s="1"/>
  <c r="O208" i="2"/>
  <c r="Y208" i="2"/>
  <c r="Z208" i="2" s="1"/>
  <c r="T207" i="2"/>
  <c r="U208" i="2"/>
  <c r="V208" i="2" s="1"/>
  <c r="AA208" i="2"/>
  <c r="P208" i="2"/>
  <c r="Q208" i="2" s="1"/>
  <c r="AQ208" i="2" s="1"/>
  <c r="L208" i="2"/>
  <c r="M208" i="2" s="1"/>
  <c r="AK206" i="2"/>
  <c r="AL206" i="2" s="1"/>
  <c r="O206" i="2"/>
  <c r="O207" i="2"/>
  <c r="U207" i="2"/>
  <c r="V207" i="2" s="1"/>
  <c r="Y207" i="2"/>
  <c r="Z207" i="2" s="1"/>
  <c r="P207" i="2"/>
  <c r="Q207" i="2" s="1"/>
  <c r="L207" i="2"/>
  <c r="M207" i="2" s="1"/>
  <c r="AE206" i="2"/>
  <c r="L206" i="2"/>
  <c r="M206" i="2" s="1"/>
  <c r="Y206" i="2"/>
  <c r="Z206" i="2" s="1"/>
  <c r="U206" i="2"/>
  <c r="V206" i="2" s="1"/>
  <c r="C205" i="2"/>
  <c r="D205" i="2"/>
  <c r="E205" i="2"/>
  <c r="F205" i="2"/>
  <c r="J205" i="2"/>
  <c r="N205" i="2"/>
  <c r="S205" i="2"/>
  <c r="W205" i="2"/>
  <c r="X205" i="2" s="1"/>
  <c r="AS205" i="2"/>
  <c r="AT205" i="2"/>
  <c r="C204" i="2"/>
  <c r="D204" i="2"/>
  <c r="E204" i="2"/>
  <c r="F204" i="2"/>
  <c r="J204" i="2"/>
  <c r="N204" i="2"/>
  <c r="S204" i="2"/>
  <c r="W204" i="2"/>
  <c r="AS204" i="2"/>
  <c r="AT204" i="2"/>
  <c r="C2" i="27" l="1"/>
  <c r="E11" i="27"/>
  <c r="B11" i="27"/>
  <c r="E7" i="27"/>
  <c r="B7" i="27"/>
  <c r="E10" i="27"/>
  <c r="B10" i="27"/>
  <c r="E6" i="27"/>
  <c r="B6" i="27"/>
  <c r="D3" i="27"/>
  <c r="D7" i="27"/>
  <c r="D11" i="27"/>
  <c r="C4" i="27"/>
  <c r="C8" i="27"/>
  <c r="C12" i="27"/>
  <c r="E4" i="27"/>
  <c r="D4" i="27"/>
  <c r="D8" i="27"/>
  <c r="D12" i="27"/>
  <c r="B4" i="27"/>
  <c r="C5" i="27"/>
  <c r="C9" i="27"/>
  <c r="C13" i="27"/>
  <c r="F9" i="27"/>
  <c r="D5" i="27"/>
  <c r="D9" i="27"/>
  <c r="D13" i="27"/>
  <c r="C6" i="27"/>
  <c r="C10" i="27"/>
  <c r="D6" i="27"/>
  <c r="D10" i="27"/>
  <c r="D2" i="27"/>
  <c r="C3" i="27"/>
  <c r="C7" i="27"/>
  <c r="C11" i="27"/>
  <c r="E13" i="27"/>
  <c r="B13" i="27"/>
  <c r="E9" i="27"/>
  <c r="B9" i="27"/>
  <c r="E5" i="27"/>
  <c r="B5" i="27"/>
  <c r="E12" i="27"/>
  <c r="B12" i="27"/>
  <c r="E8" i="27"/>
  <c r="B8" i="27"/>
  <c r="E4" i="25" a="1"/>
  <c r="E4" i="25" s="1"/>
  <c r="B4" i="25" a="1"/>
  <c r="B4" i="25" s="1"/>
  <c r="D3" i="25"/>
  <c r="C3" i="25"/>
  <c r="F4" i="25"/>
  <c r="E5" i="25" a="1"/>
  <c r="E5" i="25" s="1"/>
  <c r="B5" i="25" a="1"/>
  <c r="B5" i="25" s="1"/>
  <c r="D4" i="25"/>
  <c r="E2" i="25" a="1"/>
  <c r="E2" i="25" s="1"/>
  <c r="B2" i="25" a="1"/>
  <c r="B2" i="25" s="1"/>
  <c r="D5" i="25"/>
  <c r="C5" i="25"/>
  <c r="C4" i="25"/>
  <c r="E3" i="25" a="1"/>
  <c r="E3" i="25" s="1"/>
  <c r="B3" i="25" a="1"/>
  <c r="B3" i="25" s="1"/>
  <c r="C2" i="25"/>
  <c r="D2" i="25"/>
  <c r="F5" i="25"/>
  <c r="B5" i="15"/>
  <c r="V6" i="12"/>
  <c r="W5" i="12"/>
  <c r="X5" i="12" s="1"/>
  <c r="Z5" i="12"/>
  <c r="C2" i="16"/>
  <c r="B2" i="15"/>
  <c r="B3" i="15"/>
  <c r="B4" i="15"/>
  <c r="AC207" i="2"/>
  <c r="AD207" i="2" s="1"/>
  <c r="AC206" i="2"/>
  <c r="AD206" i="2" s="1"/>
  <c r="AI207" i="2"/>
  <c r="AJ207" i="2" s="1"/>
  <c r="AR207" i="2" s="1"/>
  <c r="AO207" i="2"/>
  <c r="AP207" i="2" s="1"/>
  <c r="AC209" i="2"/>
  <c r="AD209" i="2" s="1"/>
  <c r="T205" i="2"/>
  <c r="AQ209" i="2"/>
  <c r="AQ206" i="2"/>
  <c r="K205" i="2"/>
  <c r="AO208" i="2"/>
  <c r="AP208" i="2" s="1"/>
  <c r="O204" i="2"/>
  <c r="AQ207" i="2"/>
  <c r="AO209" i="2"/>
  <c r="AP209" i="2" s="1"/>
  <c r="AH209" i="2"/>
  <c r="AI209" i="2"/>
  <c r="AJ209" i="2" s="1"/>
  <c r="AR209" i="2" s="1"/>
  <c r="K204" i="2"/>
  <c r="AH208" i="2"/>
  <c r="T204" i="2"/>
  <c r="AB208" i="2"/>
  <c r="AC208" i="2"/>
  <c r="AD208" i="2" s="1"/>
  <c r="AK205" i="2"/>
  <c r="AL205" i="2" s="1"/>
  <c r="O205" i="2"/>
  <c r="AH206" i="2"/>
  <c r="AI206" i="2"/>
  <c r="AJ206" i="2" s="1"/>
  <c r="AR206" i="2" s="1"/>
  <c r="AO206" i="2"/>
  <c r="AP206" i="2" s="1"/>
  <c r="X204" i="2"/>
  <c r="AE205" i="2"/>
  <c r="AH205" i="2" s="1"/>
  <c r="U205" i="2"/>
  <c r="V205" i="2" s="1"/>
  <c r="Y205" i="2"/>
  <c r="Z205" i="2" s="1"/>
  <c r="AA205" i="2"/>
  <c r="P205" i="2"/>
  <c r="Q205" i="2" s="1"/>
  <c r="L205" i="2"/>
  <c r="M205" i="2" s="1"/>
  <c r="AE204" i="2"/>
  <c r="AO204" i="2" s="1"/>
  <c r="AP204" i="2" s="1"/>
  <c r="U204" i="2"/>
  <c r="V204" i="2" s="1"/>
  <c r="P204" i="2"/>
  <c r="Q204" i="2" s="1"/>
  <c r="AK204" i="2"/>
  <c r="AL204" i="2" s="1"/>
  <c r="AA204" i="2"/>
  <c r="L204" i="2"/>
  <c r="M204" i="2" s="1"/>
  <c r="Y204" i="2"/>
  <c r="Z204" i="2" s="1"/>
  <c r="C203" i="2"/>
  <c r="D203" i="2"/>
  <c r="E203" i="2"/>
  <c r="F203" i="2"/>
  <c r="J203" i="2"/>
  <c r="N203" i="2"/>
  <c r="S203" i="2"/>
  <c r="W203" i="2"/>
  <c r="AS203" i="2"/>
  <c r="AT203" i="2"/>
  <c r="E9" i="24" l="1"/>
  <c r="D10" i="24"/>
  <c r="D6" i="24"/>
  <c r="E12" i="24"/>
  <c r="E3" i="24"/>
  <c r="C11" i="24"/>
  <c r="C7" i="24"/>
  <c r="E7" i="24"/>
  <c r="D13" i="24"/>
  <c r="D9" i="24"/>
  <c r="D5" i="24"/>
  <c r="E10" i="24"/>
  <c r="D2" i="24"/>
  <c r="C10" i="24"/>
  <c r="C6" i="24"/>
  <c r="E13" i="24"/>
  <c r="E5" i="24"/>
  <c r="D12" i="24"/>
  <c r="D8" i="24"/>
  <c r="D4" i="24"/>
  <c r="E8" i="24"/>
  <c r="C13" i="24"/>
  <c r="C9" i="24"/>
  <c r="C5" i="24"/>
  <c r="E2" i="24"/>
  <c r="E11" i="24"/>
  <c r="E4" i="24"/>
  <c r="D11" i="24"/>
  <c r="D7" i="24"/>
  <c r="D3" i="24"/>
  <c r="E6" i="24"/>
  <c r="C12" i="24"/>
  <c r="C8" i="24"/>
  <c r="C4" i="24"/>
  <c r="B9" i="24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E2" i="23"/>
  <c r="F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D2" i="23"/>
  <c r="E5" i="16"/>
  <c r="C5" i="16"/>
  <c r="D5" i="15"/>
  <c r="J2" i="18"/>
  <c r="Q2" i="18"/>
  <c r="D5" i="16"/>
  <c r="Q6" i="18"/>
  <c r="Q7" i="18"/>
  <c r="Q4" i="18"/>
  <c r="Q8" i="18"/>
  <c r="Q12" i="18"/>
  <c r="Q16" i="18"/>
  <c r="Q20" i="18"/>
  <c r="Q24" i="18"/>
  <c r="Q28" i="18"/>
  <c r="Q32" i="18"/>
  <c r="Q36" i="18"/>
  <c r="Q40" i="18"/>
  <c r="Q44" i="18"/>
  <c r="Q48" i="18"/>
  <c r="Q52" i="18"/>
  <c r="Q56" i="18"/>
  <c r="Q60" i="18"/>
  <c r="Q64" i="18"/>
  <c r="Q68" i="18"/>
  <c r="Q72" i="18"/>
  <c r="Q76" i="18"/>
  <c r="Q80" i="18"/>
  <c r="Q84" i="18"/>
  <c r="Q88" i="18"/>
  <c r="Q92" i="18"/>
  <c r="Q96" i="18"/>
  <c r="Q100" i="18"/>
  <c r="Q104" i="18"/>
  <c r="Q108" i="18"/>
  <c r="Q112" i="18"/>
  <c r="Q116" i="18"/>
  <c r="Q120" i="18"/>
  <c r="Q124" i="18"/>
  <c r="Q128" i="18"/>
  <c r="Q132" i="18"/>
  <c r="Q136" i="18"/>
  <c r="Q140" i="18"/>
  <c r="Q144" i="18"/>
  <c r="Q148" i="18"/>
  <c r="Q152" i="18"/>
  <c r="Q156" i="18"/>
  <c r="Q160" i="18"/>
  <c r="Q164" i="18"/>
  <c r="Q168" i="18"/>
  <c r="Q172" i="18"/>
  <c r="Q176" i="18"/>
  <c r="Q180" i="18"/>
  <c r="Q184" i="18"/>
  <c r="Q188" i="18"/>
  <c r="Q192" i="18"/>
  <c r="Q196" i="18"/>
  <c r="Q200" i="18"/>
  <c r="Q204" i="18"/>
  <c r="Q208" i="18"/>
  <c r="Q212" i="18"/>
  <c r="Q216" i="18"/>
  <c r="Q220" i="18"/>
  <c r="Q224" i="18"/>
  <c r="Q228" i="18"/>
  <c r="Q232" i="18"/>
  <c r="Q236" i="18"/>
  <c r="Q240" i="18"/>
  <c r="Q244" i="18"/>
  <c r="Q248" i="18"/>
  <c r="Q252" i="18"/>
  <c r="Q256" i="18"/>
  <c r="Q260" i="18"/>
  <c r="Q264" i="18"/>
  <c r="Q268" i="18"/>
  <c r="Q272" i="18"/>
  <c r="Q276" i="18"/>
  <c r="Q280" i="18"/>
  <c r="Q284" i="18"/>
  <c r="Q288" i="18"/>
  <c r="Q292" i="18"/>
  <c r="Q296" i="18"/>
  <c r="Q300" i="18"/>
  <c r="Q304" i="18"/>
  <c r="Q308" i="18"/>
  <c r="Q312" i="18"/>
  <c r="Q316" i="18"/>
  <c r="Q320" i="18"/>
  <c r="Q324" i="18"/>
  <c r="Q328" i="18"/>
  <c r="Q332" i="18"/>
  <c r="Q336" i="18"/>
  <c r="Q340" i="18"/>
  <c r="Q344" i="18"/>
  <c r="Q348" i="18"/>
  <c r="Q352" i="18"/>
  <c r="Q356" i="18"/>
  <c r="Q360" i="18"/>
  <c r="Q364" i="18"/>
  <c r="Q368" i="18"/>
  <c r="Q259" i="18"/>
  <c r="Q287" i="18"/>
  <c r="Q303" i="18"/>
  <c r="Q319" i="18"/>
  <c r="Q331" i="18"/>
  <c r="Q347" i="18"/>
  <c r="Q359" i="18"/>
  <c r="Q9" i="18"/>
  <c r="Q13" i="18"/>
  <c r="Q17" i="18"/>
  <c r="Q21" i="18"/>
  <c r="Q25" i="18"/>
  <c r="Q29" i="18"/>
  <c r="Q33" i="18"/>
  <c r="Q37" i="18"/>
  <c r="Q41" i="18"/>
  <c r="Q45" i="18"/>
  <c r="Q49" i="18"/>
  <c r="Q53" i="18"/>
  <c r="Q57" i="18"/>
  <c r="Q61" i="18"/>
  <c r="Q65" i="18"/>
  <c r="Q69" i="18"/>
  <c r="Q73" i="18"/>
  <c r="Q77" i="18"/>
  <c r="Q81" i="18"/>
  <c r="Q85" i="18"/>
  <c r="Q89" i="18"/>
  <c r="Q93" i="18"/>
  <c r="Q97" i="18"/>
  <c r="Q101" i="18"/>
  <c r="Q105" i="18"/>
  <c r="Q109" i="18"/>
  <c r="Q113" i="18"/>
  <c r="Q117" i="18"/>
  <c r="Q121" i="18"/>
  <c r="Q125" i="18"/>
  <c r="Q129" i="18"/>
  <c r="Q133" i="18"/>
  <c r="Q137" i="18"/>
  <c r="Q141" i="18"/>
  <c r="Q145" i="18"/>
  <c r="Q149" i="18"/>
  <c r="Q153" i="18"/>
  <c r="Q157" i="18"/>
  <c r="Q161" i="18"/>
  <c r="Q165" i="18"/>
  <c r="Q169" i="18"/>
  <c r="Q173" i="18"/>
  <c r="Q177" i="18"/>
  <c r="Q181" i="18"/>
  <c r="Q185" i="18"/>
  <c r="Q189" i="18"/>
  <c r="Q193" i="18"/>
  <c r="Q197" i="18"/>
  <c r="Q201" i="18"/>
  <c r="Q205" i="18"/>
  <c r="Q209" i="18"/>
  <c r="Q213" i="18"/>
  <c r="Q217" i="18"/>
  <c r="Q221" i="18"/>
  <c r="Q225" i="18"/>
  <c r="Q229" i="18"/>
  <c r="Q233" i="18"/>
  <c r="Q237" i="18"/>
  <c r="Q241" i="18"/>
  <c r="Q245" i="18"/>
  <c r="Q249" i="18"/>
  <c r="Q253" i="18"/>
  <c r="Q257" i="18"/>
  <c r="Q261" i="18"/>
  <c r="Q265" i="18"/>
  <c r="Q269" i="18"/>
  <c r="Q273" i="18"/>
  <c r="Q277" i="18"/>
  <c r="Q281" i="18"/>
  <c r="Q285" i="18"/>
  <c r="Q289" i="18"/>
  <c r="Q293" i="18"/>
  <c r="Q297" i="18"/>
  <c r="Q301" i="18"/>
  <c r="Q305" i="18"/>
  <c r="Q309" i="18"/>
  <c r="Q313" i="18"/>
  <c r="Q317" i="18"/>
  <c r="Q321" i="18"/>
  <c r="Q325" i="18"/>
  <c r="Q329" i="18"/>
  <c r="Q333" i="18"/>
  <c r="Q337" i="18"/>
  <c r="Q341" i="18"/>
  <c r="Q345" i="18"/>
  <c r="Q349" i="18"/>
  <c r="Q353" i="18"/>
  <c r="Q357" i="18"/>
  <c r="Q361" i="18"/>
  <c r="Q365" i="18"/>
  <c r="Q3" i="18"/>
  <c r="Q5" i="18"/>
  <c r="Q19" i="18"/>
  <c r="Q27" i="18"/>
  <c r="Q35" i="18"/>
  <c r="Q43" i="18"/>
  <c r="Q51" i="18"/>
  <c r="Q59" i="18"/>
  <c r="Q67" i="18"/>
  <c r="Q75" i="18"/>
  <c r="Q83" i="18"/>
  <c r="Q91" i="18"/>
  <c r="Q99" i="18"/>
  <c r="Q107" i="18"/>
  <c r="Q115" i="18"/>
  <c r="Q123" i="18"/>
  <c r="Q131" i="18"/>
  <c r="Q139" i="18"/>
  <c r="Q147" i="18"/>
  <c r="Q155" i="18"/>
  <c r="Q163" i="18"/>
  <c r="Q171" i="18"/>
  <c r="Q179" i="18"/>
  <c r="Q187" i="18"/>
  <c r="Q195" i="18"/>
  <c r="Q207" i="18"/>
  <c r="Q215" i="18"/>
  <c r="Q223" i="18"/>
  <c r="Q231" i="18"/>
  <c r="Q239" i="18"/>
  <c r="Q247" i="18"/>
  <c r="Q251" i="18"/>
  <c r="Q263" i="18"/>
  <c r="Q275" i="18"/>
  <c r="Q283" i="18"/>
  <c r="Q295" i="18"/>
  <c r="Q307" i="18"/>
  <c r="Q315" i="18"/>
  <c r="Q327" i="18"/>
  <c r="Q339" i="18"/>
  <c r="Q351" i="18"/>
  <c r="Q363" i="18"/>
  <c r="Q10" i="18"/>
  <c r="Q14" i="18"/>
  <c r="Q18" i="18"/>
  <c r="Q22" i="18"/>
  <c r="Q26" i="18"/>
  <c r="Q30" i="18"/>
  <c r="Q34" i="18"/>
  <c r="Q38" i="18"/>
  <c r="Q42" i="18"/>
  <c r="Q46" i="18"/>
  <c r="Q50" i="18"/>
  <c r="Q54" i="18"/>
  <c r="Q58" i="18"/>
  <c r="Q62" i="18"/>
  <c r="Q66" i="18"/>
  <c r="Q70" i="18"/>
  <c r="Q74" i="18"/>
  <c r="Q78" i="18"/>
  <c r="Q82" i="18"/>
  <c r="Q86" i="18"/>
  <c r="Q90" i="18"/>
  <c r="Q94" i="18"/>
  <c r="Q98" i="18"/>
  <c r="Q102" i="18"/>
  <c r="Q106" i="18"/>
  <c r="Q110" i="18"/>
  <c r="Q114" i="18"/>
  <c r="Q118" i="18"/>
  <c r="Q122" i="18"/>
  <c r="Q126" i="18"/>
  <c r="Q130" i="18"/>
  <c r="Q134" i="18"/>
  <c r="Q138" i="18"/>
  <c r="Q142" i="18"/>
  <c r="Q146" i="18"/>
  <c r="Q150" i="18"/>
  <c r="Q154" i="18"/>
  <c r="Q158" i="18"/>
  <c r="Q162" i="18"/>
  <c r="Q166" i="18"/>
  <c r="Q170" i="18"/>
  <c r="Q174" i="18"/>
  <c r="Q178" i="18"/>
  <c r="Q182" i="18"/>
  <c r="Q186" i="18"/>
  <c r="Q190" i="18"/>
  <c r="Q194" i="18"/>
  <c r="Q198" i="18"/>
  <c r="Q202" i="18"/>
  <c r="Q206" i="18"/>
  <c r="Q210" i="18"/>
  <c r="Q214" i="18"/>
  <c r="Q218" i="18"/>
  <c r="Q222" i="18"/>
  <c r="Q226" i="18"/>
  <c r="Q230" i="18"/>
  <c r="Q234" i="18"/>
  <c r="Q238" i="18"/>
  <c r="Q242" i="18"/>
  <c r="Q246" i="18"/>
  <c r="Q250" i="18"/>
  <c r="Q254" i="18"/>
  <c r="Q258" i="18"/>
  <c r="Q262" i="18"/>
  <c r="Q266" i="18"/>
  <c r="Q270" i="18"/>
  <c r="Q274" i="18"/>
  <c r="Q278" i="18"/>
  <c r="Q282" i="18"/>
  <c r="Q286" i="18"/>
  <c r="Q290" i="18"/>
  <c r="Q294" i="18"/>
  <c r="Q298" i="18"/>
  <c r="Q302" i="18"/>
  <c r="Q306" i="18"/>
  <c r="Q310" i="18"/>
  <c r="Q314" i="18"/>
  <c r="Q318" i="18"/>
  <c r="Q322" i="18"/>
  <c r="Q326" i="18"/>
  <c r="Q330" i="18"/>
  <c r="Q334" i="18"/>
  <c r="Q338" i="18"/>
  <c r="Q342" i="18"/>
  <c r="Q346" i="18"/>
  <c r="Q350" i="18"/>
  <c r="Q354" i="18"/>
  <c r="Q358" i="18"/>
  <c r="Q362" i="18"/>
  <c r="Q366" i="18"/>
  <c r="J4" i="18"/>
  <c r="Q11" i="18"/>
  <c r="Q15" i="18"/>
  <c r="Q23" i="18"/>
  <c r="Q31" i="18"/>
  <c r="Q39" i="18"/>
  <c r="Q47" i="18"/>
  <c r="Q55" i="18"/>
  <c r="Q63" i="18"/>
  <c r="Q71" i="18"/>
  <c r="Q79" i="18"/>
  <c r="Q87" i="18"/>
  <c r="Q95" i="18"/>
  <c r="Q103" i="18"/>
  <c r="Q111" i="18"/>
  <c r="Q119" i="18"/>
  <c r="Q127" i="18"/>
  <c r="Q135" i="18"/>
  <c r="Q143" i="18"/>
  <c r="Q151" i="18"/>
  <c r="Q159" i="18"/>
  <c r="Q167" i="18"/>
  <c r="Q175" i="18"/>
  <c r="Q183" i="18"/>
  <c r="Q191" i="18"/>
  <c r="Q199" i="18"/>
  <c r="Q203" i="18"/>
  <c r="Q211" i="18"/>
  <c r="Q219" i="18"/>
  <c r="Q227" i="18"/>
  <c r="Q235" i="18"/>
  <c r="Q243" i="18"/>
  <c r="Q255" i="18"/>
  <c r="Q267" i="18"/>
  <c r="Q271" i="18"/>
  <c r="Q279" i="18"/>
  <c r="Q291" i="18"/>
  <c r="Q299" i="18"/>
  <c r="Q311" i="18"/>
  <c r="Q323" i="18"/>
  <c r="Q335" i="18"/>
  <c r="Q343" i="18"/>
  <c r="Q355" i="18"/>
  <c r="Q367" i="18"/>
  <c r="C5" i="15"/>
  <c r="V7" i="12"/>
  <c r="W6" i="12"/>
  <c r="X6" i="12" s="1"/>
  <c r="Z6" i="12"/>
  <c r="G2" i="18"/>
  <c r="D2" i="18"/>
  <c r="J338" i="18"/>
  <c r="G326" i="18"/>
  <c r="J326" i="18"/>
  <c r="D279" i="18"/>
  <c r="D219" i="18"/>
  <c r="G188" i="18"/>
  <c r="J140" i="18"/>
  <c r="D100" i="18"/>
  <c r="D340" i="18"/>
  <c r="D310" i="18"/>
  <c r="G330" i="18"/>
  <c r="D300" i="18"/>
  <c r="J168" i="18"/>
  <c r="G105" i="18"/>
  <c r="J354" i="18"/>
  <c r="D311" i="18"/>
  <c r="J321" i="18"/>
  <c r="G302" i="18"/>
  <c r="J322" i="18"/>
  <c r="G130" i="18"/>
  <c r="J10" i="18"/>
  <c r="G136" i="18"/>
  <c r="G317" i="18"/>
  <c r="D187" i="18"/>
  <c r="G294" i="18"/>
  <c r="J278" i="18"/>
  <c r="D362" i="18"/>
  <c r="D346" i="18"/>
  <c r="D178" i="18"/>
  <c r="D162" i="18"/>
  <c r="D146" i="18"/>
  <c r="D130" i="18"/>
  <c r="D206" i="18"/>
  <c r="G18" i="18"/>
  <c r="D55" i="18"/>
  <c r="D39" i="18"/>
  <c r="G177" i="18"/>
  <c r="G161" i="18"/>
  <c r="G145" i="18"/>
  <c r="G129" i="18"/>
  <c r="D324" i="18"/>
  <c r="G58" i="18"/>
  <c r="G42" i="18"/>
  <c r="D111" i="18"/>
  <c r="G242" i="18"/>
  <c r="G275" i="18"/>
  <c r="J198" i="18"/>
  <c r="G241" i="18"/>
  <c r="G225" i="18"/>
  <c r="J270" i="18"/>
  <c r="D250" i="18"/>
  <c r="D289" i="18"/>
  <c r="G335" i="18"/>
  <c r="D319" i="18"/>
  <c r="G24" i="18"/>
  <c r="J57" i="18"/>
  <c r="G90" i="18"/>
  <c r="G74" i="18"/>
  <c r="G113" i="18"/>
  <c r="D180" i="18"/>
  <c r="G164" i="18"/>
  <c r="D148" i="18"/>
  <c r="D132" i="18"/>
  <c r="G236" i="18"/>
  <c r="G220" i="18"/>
  <c r="D261" i="18"/>
  <c r="G334" i="18"/>
  <c r="G314" i="18"/>
  <c r="D356" i="18"/>
  <c r="D31" i="18"/>
  <c r="J56" i="18"/>
  <c r="J40" i="18"/>
  <c r="G81" i="18"/>
  <c r="D183" i="18"/>
  <c r="D167" i="18"/>
  <c r="D151" i="18"/>
  <c r="D135" i="18"/>
  <c r="D204" i="18"/>
  <c r="J243" i="18"/>
  <c r="J227" i="18"/>
  <c r="D272" i="18"/>
  <c r="D252" i="18"/>
  <c r="D291" i="18"/>
  <c r="D337" i="18"/>
  <c r="D321" i="18"/>
  <c r="D367" i="18"/>
  <c r="D351" i="18"/>
  <c r="D338" i="18"/>
  <c r="J233" i="18"/>
  <c r="J352" i="18"/>
  <c r="G347" i="18"/>
  <c r="G358" i="18"/>
  <c r="J128" i="18"/>
  <c r="J333" i="18"/>
  <c r="J158" i="18"/>
  <c r="G340" i="18"/>
  <c r="G295" i="18"/>
  <c r="D254" i="18"/>
  <c r="J343" i="18"/>
  <c r="J351" i="18"/>
  <c r="J131" i="18"/>
  <c r="G265" i="18"/>
  <c r="J318" i="18"/>
  <c r="J355" i="18"/>
  <c r="J363" i="18"/>
  <c r="G174" i="18"/>
  <c r="J337" i="18"/>
  <c r="G331" i="18"/>
  <c r="J356" i="18"/>
  <c r="G350" i="18"/>
  <c r="J311" i="18"/>
  <c r="J360" i="18"/>
  <c r="D352" i="18"/>
  <c r="J299" i="18"/>
  <c r="J364" i="18"/>
  <c r="G333" i="18"/>
  <c r="J313" i="18"/>
  <c r="J160" i="18"/>
  <c r="G204" i="18"/>
  <c r="G254" i="18"/>
  <c r="J274" i="18"/>
  <c r="G159" i="18"/>
  <c r="J298" i="18"/>
  <c r="G322" i="18"/>
  <c r="J188" i="18"/>
  <c r="D255" i="18"/>
  <c r="G287" i="18"/>
  <c r="D184" i="18"/>
  <c r="G271" i="18"/>
  <c r="G303" i="18"/>
  <c r="D355" i="18"/>
  <c r="J253" i="18"/>
  <c r="D288" i="18"/>
  <c r="D62" i="18"/>
  <c r="J154" i="18"/>
  <c r="G162" i="18"/>
  <c r="D226" i="18"/>
  <c r="G262" i="18"/>
  <c r="D258" i="18"/>
  <c r="G298" i="18"/>
  <c r="D326" i="18"/>
  <c r="J230" i="18"/>
  <c r="D304" i="18"/>
  <c r="J332" i="18"/>
  <c r="J316" i="18"/>
  <c r="G324" i="18"/>
  <c r="G308" i="18"/>
  <c r="G167" i="18"/>
  <c r="G210" i="18"/>
  <c r="J273" i="18"/>
  <c r="G269" i="18"/>
  <c r="G247" i="18"/>
  <c r="J300" i="18"/>
  <c r="G300" i="18"/>
  <c r="G284" i="18"/>
  <c r="D368" i="18"/>
  <c r="D273" i="18"/>
  <c r="G365" i="18"/>
  <c r="J361" i="18"/>
  <c r="D353" i="18"/>
  <c r="G349" i="18"/>
  <c r="J345" i="18"/>
  <c r="D199" i="18"/>
  <c r="G203" i="18"/>
  <c r="G73" i="18"/>
  <c r="J179" i="18"/>
  <c r="J151" i="18"/>
  <c r="J210" i="18"/>
  <c r="J238" i="18"/>
  <c r="D218" i="18"/>
  <c r="J297" i="18"/>
  <c r="J281" i="18"/>
  <c r="D293" i="18"/>
  <c r="J163" i="18"/>
  <c r="J211" i="18"/>
  <c r="G199" i="18"/>
  <c r="G226" i="18"/>
  <c r="D307" i="18"/>
  <c r="G69" i="18"/>
  <c r="G183" i="18"/>
  <c r="D366" i="18"/>
  <c r="D306" i="18"/>
  <c r="D290" i="18"/>
  <c r="D358" i="18"/>
  <c r="D174" i="18"/>
  <c r="G158" i="18"/>
  <c r="D142" i="18"/>
  <c r="D126" i="18"/>
  <c r="D202" i="18"/>
  <c r="D14" i="18"/>
  <c r="D51" i="18"/>
  <c r="D35" i="18"/>
  <c r="G173" i="18"/>
  <c r="G157" i="18"/>
  <c r="G141" i="18"/>
  <c r="G125" i="18"/>
  <c r="D320" i="18"/>
  <c r="D54" i="18"/>
  <c r="G38" i="18"/>
  <c r="G107" i="18"/>
  <c r="G234" i="18"/>
  <c r="G267" i="18"/>
  <c r="J194" i="18"/>
  <c r="G237" i="18"/>
  <c r="G221" i="18"/>
  <c r="J266" i="18"/>
  <c r="D305" i="18"/>
  <c r="D285" i="18"/>
  <c r="D331" i="18"/>
  <c r="D315" i="18"/>
  <c r="D20" i="18"/>
  <c r="J53" i="18"/>
  <c r="G86" i="18"/>
  <c r="G70" i="18"/>
  <c r="J105" i="18"/>
  <c r="G176" i="18"/>
  <c r="D160" i="18"/>
  <c r="G144" i="18"/>
  <c r="D128" i="18"/>
  <c r="G232" i="18"/>
  <c r="D216" i="18"/>
  <c r="D257" i="18"/>
  <c r="J330" i="18"/>
  <c r="J310" i="18"/>
  <c r="G352" i="18"/>
  <c r="J27" i="18"/>
  <c r="D52" i="18"/>
  <c r="D36" i="18"/>
  <c r="D77" i="18"/>
  <c r="D179" i="18"/>
  <c r="G163" i="18"/>
  <c r="D147" i="18"/>
  <c r="D131" i="18"/>
  <c r="J200" i="18"/>
  <c r="D239" i="18"/>
  <c r="D223" i="18"/>
  <c r="D268" i="18"/>
  <c r="D303" i="18"/>
  <c r="D287" i="18"/>
  <c r="D333" i="18"/>
  <c r="D317" i="18"/>
  <c r="G363" i="18"/>
  <c r="J347" i="18"/>
  <c r="J340" i="18"/>
  <c r="J262" i="18"/>
  <c r="G283" i="18"/>
  <c r="J148" i="18"/>
  <c r="J136" i="18"/>
  <c r="J314" i="18"/>
  <c r="J317" i="18"/>
  <c r="G146" i="18"/>
  <c r="J146" i="18"/>
  <c r="G250" i="18"/>
  <c r="G325" i="18"/>
  <c r="J294" i="18"/>
  <c r="G359" i="18"/>
  <c r="G367" i="18"/>
  <c r="G327" i="18"/>
  <c r="J350" i="18"/>
  <c r="G306" i="18"/>
  <c r="G351" i="18"/>
  <c r="J170" i="18"/>
  <c r="G142" i="18"/>
  <c r="J225" i="18"/>
  <c r="J279" i="18"/>
  <c r="J331" i="18"/>
  <c r="G313" i="18"/>
  <c r="J346" i="18"/>
  <c r="G344" i="18"/>
  <c r="J142" i="18"/>
  <c r="D335" i="18"/>
  <c r="J344" i="18"/>
  <c r="G180" i="18"/>
  <c r="G321" i="18"/>
  <c r="G337" i="18"/>
  <c r="G172" i="18"/>
  <c r="J183" i="18"/>
  <c r="D266" i="18"/>
  <c r="G266" i="18"/>
  <c r="D164" i="18"/>
  <c r="J287" i="18"/>
  <c r="J222" i="18"/>
  <c r="J303" i="18"/>
  <c r="G281" i="18"/>
  <c r="J202" i="18"/>
  <c r="G259" i="18"/>
  <c r="G297" i="18"/>
  <c r="D339" i="18"/>
  <c r="G273" i="18"/>
  <c r="D334" i="18"/>
  <c r="J182" i="18"/>
  <c r="J138" i="18"/>
  <c r="D342" i="18"/>
  <c r="D302" i="18"/>
  <c r="D286" i="18"/>
  <c r="G354" i="18"/>
  <c r="D170" i="18"/>
  <c r="G154" i="18"/>
  <c r="G138" i="18"/>
  <c r="D214" i="18"/>
  <c r="G26" i="18"/>
  <c r="G10" i="18"/>
  <c r="D47" i="18"/>
  <c r="D63" i="18"/>
  <c r="G169" i="18"/>
  <c r="G153" i="18"/>
  <c r="G137" i="18"/>
  <c r="D336" i="18"/>
  <c r="D312" i="18"/>
  <c r="G50" i="18"/>
  <c r="J123" i="18"/>
  <c r="D103" i="18"/>
  <c r="J226" i="18"/>
  <c r="G251" i="18"/>
  <c r="J186" i="18"/>
  <c r="G233" i="18"/>
  <c r="G217" i="18"/>
  <c r="D262" i="18"/>
  <c r="D301" i="18"/>
  <c r="D281" i="18"/>
  <c r="J327" i="18"/>
  <c r="G311" i="18"/>
  <c r="D16" i="18"/>
  <c r="J41" i="18"/>
  <c r="G82" i="18"/>
  <c r="G66" i="18"/>
  <c r="G97" i="18"/>
  <c r="D172" i="18"/>
  <c r="D156" i="18"/>
  <c r="G140" i="18"/>
  <c r="G244" i="18"/>
  <c r="G228" i="18"/>
  <c r="D269" i="18"/>
  <c r="D253" i="18"/>
  <c r="D322" i="18"/>
  <c r="G364" i="18"/>
  <c r="J348" i="18"/>
  <c r="D23" i="18"/>
  <c r="G48" i="18"/>
  <c r="D93" i="18"/>
  <c r="J73" i="18"/>
  <c r="D175" i="18"/>
  <c r="J159" i="18"/>
  <c r="D143" i="18"/>
  <c r="D127" i="18"/>
  <c r="G196" i="18"/>
  <c r="G235" i="18"/>
  <c r="G219" i="18"/>
  <c r="D260" i="18"/>
  <c r="D299" i="18"/>
  <c r="J283" i="18"/>
  <c r="D329" i="18"/>
  <c r="D313" i="18"/>
  <c r="D359" i="18"/>
  <c r="D343" i="18"/>
  <c r="J155" i="18"/>
  <c r="J309" i="18"/>
  <c r="G168" i="18"/>
  <c r="G132" i="18"/>
  <c r="J342" i="18"/>
  <c r="J358" i="18"/>
  <c r="J126" i="18"/>
  <c r="D364" i="18"/>
  <c r="J315" i="18"/>
  <c r="G342" i="18"/>
  <c r="J286" i="18"/>
  <c r="G319" i="18"/>
  <c r="G339" i="18"/>
  <c r="G318" i="18"/>
  <c r="G366" i="18"/>
  <c r="G286" i="18"/>
  <c r="D327" i="18"/>
  <c r="J144" i="18"/>
  <c r="G128" i="18"/>
  <c r="G257" i="18"/>
  <c r="J325" i="18"/>
  <c r="G362" i="18"/>
  <c r="D158" i="18"/>
  <c r="J291" i="18"/>
  <c r="J335" i="18"/>
  <c r="G360" i="18"/>
  <c r="G156" i="18"/>
  <c r="G329" i="18"/>
  <c r="G160" i="18"/>
  <c r="D354" i="18"/>
  <c r="G309" i="18"/>
  <c r="G152" i="18"/>
  <c r="J139" i="18"/>
  <c r="G289" i="18"/>
  <c r="G305" i="18"/>
  <c r="J239" i="18"/>
  <c r="G299" i="18"/>
  <c r="D238" i="18"/>
  <c r="J295" i="18"/>
  <c r="D332" i="18"/>
  <c r="G208" i="18"/>
  <c r="D263" i="18"/>
  <c r="G285" i="18"/>
  <c r="J242" i="18"/>
  <c r="J304" i="18"/>
  <c r="D328" i="18"/>
  <c r="J174" i="18"/>
  <c r="J130" i="18"/>
  <c r="G195" i="18"/>
  <c r="J258" i="18"/>
  <c r="G249" i="18"/>
  <c r="J288" i="18"/>
  <c r="G282" i="18"/>
  <c r="D308" i="18"/>
  <c r="G261" i="18"/>
  <c r="D280" i="18"/>
  <c r="J324" i="18"/>
  <c r="G336" i="18"/>
  <c r="G316" i="18"/>
  <c r="J127" i="18"/>
  <c r="G135" i="18"/>
  <c r="J219" i="18"/>
  <c r="J257" i="18"/>
  <c r="G258" i="18"/>
  <c r="D270" i="18"/>
  <c r="J284" i="18"/>
  <c r="G292" i="18"/>
  <c r="D296" i="18"/>
  <c r="J223" i="18"/>
  <c r="G368" i="18"/>
  <c r="D361" i="18"/>
  <c r="G357" i="18"/>
  <c r="J353" i="18"/>
  <c r="D345" i="18"/>
  <c r="G341" i="18"/>
  <c r="D283" i="18"/>
  <c r="G243" i="18"/>
  <c r="J111" i="18"/>
  <c r="J164" i="18"/>
  <c r="G148" i="18"/>
  <c r="D207" i="18"/>
  <c r="J221" i="18"/>
  <c r="J305" i="18"/>
  <c r="J289" i="18"/>
  <c r="D294" i="18"/>
  <c r="D66" i="18"/>
  <c r="G175" i="18"/>
  <c r="G214" i="18"/>
  <c r="J234" i="18"/>
  <c r="D230" i="18"/>
  <c r="G307" i="18"/>
  <c r="J171" i="18"/>
  <c r="G151" i="18"/>
  <c r="J199" i="18"/>
  <c r="D166" i="18"/>
  <c r="G22" i="18"/>
  <c r="G165" i="18"/>
  <c r="J62" i="18"/>
  <c r="G218" i="18"/>
  <c r="G274" i="18"/>
  <c r="G323" i="18"/>
  <c r="G78" i="18"/>
  <c r="D152" i="18"/>
  <c r="D265" i="18"/>
  <c r="D344" i="18"/>
  <c r="D65" i="18"/>
  <c r="D208" i="18"/>
  <c r="D256" i="18"/>
  <c r="D309" i="18"/>
  <c r="J152" i="18"/>
  <c r="J367" i="18"/>
  <c r="D323" i="18"/>
  <c r="G348" i="18"/>
  <c r="J204" i="18"/>
  <c r="D163" i="18"/>
  <c r="G290" i="18"/>
  <c r="D246" i="18"/>
  <c r="G179" i="18"/>
  <c r="G270" i="18"/>
  <c r="J282" i="18"/>
  <c r="J195" i="18"/>
  <c r="J336" i="18"/>
  <c r="G328" i="18"/>
  <c r="G178" i="18"/>
  <c r="G231" i="18"/>
  <c r="G253" i="18"/>
  <c r="G304" i="18"/>
  <c r="J368" i="18"/>
  <c r="D365" i="18"/>
  <c r="J357" i="18"/>
  <c r="G345" i="18"/>
  <c r="J215" i="18"/>
  <c r="J184" i="18"/>
  <c r="D144" i="18"/>
  <c r="G230" i="18"/>
  <c r="J285" i="18"/>
  <c r="J175" i="18"/>
  <c r="G206" i="18"/>
  <c r="J307" i="18"/>
  <c r="J147" i="18"/>
  <c r="J214" i="18"/>
  <c r="G191" i="18"/>
  <c r="G238" i="18"/>
  <c r="D222" i="18"/>
  <c r="D95" i="18"/>
  <c r="J208" i="18"/>
  <c r="J196" i="18"/>
  <c r="D81" i="18"/>
  <c r="G115" i="18"/>
  <c r="J272" i="18"/>
  <c r="J256" i="18"/>
  <c r="J191" i="18"/>
  <c r="G239" i="18"/>
  <c r="J267" i="18"/>
  <c r="J251" i="18"/>
  <c r="G264" i="18"/>
  <c r="G248" i="18"/>
  <c r="D117" i="18"/>
  <c r="G89" i="18"/>
  <c r="G85" i="18"/>
  <c r="G98" i="18"/>
  <c r="J134" i="18"/>
  <c r="D138" i="18"/>
  <c r="J201" i="18"/>
  <c r="J85" i="18"/>
  <c r="J121" i="18"/>
  <c r="D193" i="18"/>
  <c r="G77" i="18"/>
  <c r="G101" i="18"/>
  <c r="G215" i="18"/>
  <c r="D203" i="18"/>
  <c r="G109" i="18"/>
  <c r="J107" i="18"/>
  <c r="D115" i="18"/>
  <c r="D145" i="18"/>
  <c r="D129" i="18"/>
  <c r="D189" i="18"/>
  <c r="G194" i="18"/>
  <c r="G186" i="18"/>
  <c r="J103" i="18"/>
  <c r="D99" i="18"/>
  <c r="J169" i="18"/>
  <c r="J153" i="18"/>
  <c r="J137" i="18"/>
  <c r="D181" i="18"/>
  <c r="D165" i="18"/>
  <c r="G189" i="18"/>
  <c r="J244" i="18"/>
  <c r="J236" i="18"/>
  <c r="J228" i="18"/>
  <c r="J220" i="18"/>
  <c r="D233" i="18"/>
  <c r="D217" i="18"/>
  <c r="D185" i="18"/>
  <c r="D17" i="18"/>
  <c r="D41" i="18"/>
  <c r="G114" i="18"/>
  <c r="D104" i="18"/>
  <c r="J102" i="18"/>
  <c r="J76" i="18"/>
  <c r="J38" i="18"/>
  <c r="G80" i="18"/>
  <c r="J98" i="18"/>
  <c r="D118" i="18"/>
  <c r="D102" i="18"/>
  <c r="G64" i="18"/>
  <c r="G110" i="18"/>
  <c r="G12" i="18"/>
  <c r="J42" i="18"/>
  <c r="D30" i="18"/>
  <c r="G62" i="18"/>
  <c r="J80" i="18"/>
  <c r="G84" i="18"/>
  <c r="D78" i="18"/>
  <c r="J112" i="18"/>
  <c r="J96" i="18"/>
  <c r="G108" i="18"/>
  <c r="J50" i="18"/>
  <c r="G23" i="18"/>
  <c r="D49" i="18"/>
  <c r="D45" i="18"/>
  <c r="G60" i="18"/>
  <c r="G44" i="18"/>
  <c r="G30" i="18"/>
  <c r="G57" i="18"/>
  <c r="J83" i="18"/>
  <c r="J67" i="18"/>
  <c r="G79" i="18"/>
  <c r="G63" i="18"/>
  <c r="D80" i="18"/>
  <c r="D64" i="18"/>
  <c r="J78" i="18"/>
  <c r="D91" i="18"/>
  <c r="D75" i="18"/>
  <c r="J15" i="18"/>
  <c r="G59" i="18"/>
  <c r="G43" i="18"/>
  <c r="D22" i="18"/>
  <c r="G34" i="18"/>
  <c r="J32" i="18"/>
  <c r="J30" i="18"/>
  <c r="G27" i="18"/>
  <c r="D25" i="18"/>
  <c r="J22" i="18"/>
  <c r="J19" i="18"/>
  <c r="G15" i="18"/>
  <c r="J12" i="18"/>
  <c r="G9" i="18"/>
  <c r="D8" i="18"/>
  <c r="J6" i="18"/>
  <c r="G5" i="18"/>
  <c r="D4" i="18"/>
  <c r="G120" i="18"/>
  <c r="J61" i="18"/>
  <c r="G45" i="18"/>
  <c r="D56" i="18"/>
  <c r="D18" i="18"/>
  <c r="J79" i="18"/>
  <c r="G75" i="18"/>
  <c r="D92" i="18"/>
  <c r="J90" i="18"/>
  <c r="D87" i="18"/>
  <c r="D71" i="18"/>
  <c r="D33" i="18"/>
  <c r="J3" i="18"/>
  <c r="D182" i="18"/>
  <c r="G332" i="18"/>
  <c r="G277" i="18"/>
  <c r="G224" i="18"/>
  <c r="D139" i="18"/>
  <c r="D325" i="18"/>
  <c r="G278" i="18"/>
  <c r="G291" i="18"/>
  <c r="D176" i="18"/>
  <c r="D330" i="18"/>
  <c r="J302" i="18"/>
  <c r="J312" i="18"/>
  <c r="G263" i="18"/>
  <c r="D259" i="18"/>
  <c r="D235" i="18"/>
  <c r="J229" i="18"/>
  <c r="J203" i="18"/>
  <c r="G131" i="18"/>
  <c r="D234" i="18"/>
  <c r="D212" i="18"/>
  <c r="J81" i="18"/>
  <c r="J207" i="18"/>
  <c r="J255" i="18"/>
  <c r="J247" i="18"/>
  <c r="J99" i="18"/>
  <c r="J205" i="18"/>
  <c r="D201" i="18"/>
  <c r="D97" i="18"/>
  <c r="G123" i="18"/>
  <c r="D149" i="18"/>
  <c r="D194" i="18"/>
  <c r="J173" i="18"/>
  <c r="J125" i="18"/>
  <c r="D244" i="18"/>
  <c r="D220" i="18"/>
  <c r="G185" i="18"/>
  <c r="J113" i="18"/>
  <c r="D48" i="18"/>
  <c r="J109" i="18"/>
  <c r="J68" i="18"/>
  <c r="J54" i="18"/>
  <c r="J88" i="18"/>
  <c r="D86" i="18"/>
  <c r="G112" i="18"/>
  <c r="G61" i="18"/>
  <c r="D44" i="18"/>
  <c r="J87" i="18"/>
  <c r="G67" i="18"/>
  <c r="J82" i="18"/>
  <c r="D79" i="18"/>
  <c r="G47" i="18"/>
  <c r="G33" i="18"/>
  <c r="G25" i="18"/>
  <c r="J16" i="18"/>
  <c r="G8" i="18"/>
  <c r="G4" i="18"/>
  <c r="D350" i="18"/>
  <c r="G150" i="18"/>
  <c r="D59" i="18"/>
  <c r="G149" i="18"/>
  <c r="D46" i="18"/>
  <c r="D247" i="18"/>
  <c r="J254" i="18"/>
  <c r="D28" i="18"/>
  <c r="G121" i="18"/>
  <c r="D136" i="18"/>
  <c r="J296" i="18"/>
  <c r="J60" i="18"/>
  <c r="D171" i="18"/>
  <c r="D188" i="18"/>
  <c r="D295" i="18"/>
  <c r="G355" i="18"/>
  <c r="J250" i="18"/>
  <c r="G346" i="18"/>
  <c r="J180" i="18"/>
  <c r="D347" i="18"/>
  <c r="J167" i="18"/>
  <c r="J366" i="18"/>
  <c r="J132" i="18"/>
  <c r="J362" i="18"/>
  <c r="J323" i="18"/>
  <c r="D150" i="18"/>
  <c r="J329" i="18"/>
  <c r="G155" i="18"/>
  <c r="J206" i="18"/>
  <c r="J261" i="18"/>
  <c r="J292" i="18"/>
  <c r="G126" i="18"/>
  <c r="G255" i="18"/>
  <c r="G293" i="18"/>
  <c r="G222" i="18"/>
  <c r="J328" i="18"/>
  <c r="G320" i="18"/>
  <c r="G147" i="18"/>
  <c r="J265" i="18"/>
  <c r="D275" i="18"/>
  <c r="G296" i="18"/>
  <c r="J237" i="18"/>
  <c r="J365" i="18"/>
  <c r="G353" i="18"/>
  <c r="D341" i="18"/>
  <c r="G187" i="18"/>
  <c r="J172" i="18"/>
  <c r="J187" i="18"/>
  <c r="D249" i="18"/>
  <c r="J277" i="18"/>
  <c r="J135" i="18"/>
  <c r="J246" i="18"/>
  <c r="D159" i="18"/>
  <c r="G171" i="18"/>
  <c r="J190" i="18"/>
  <c r="D215" i="18"/>
  <c r="G227" i="18"/>
  <c r="G53" i="18"/>
  <c r="G212" i="18"/>
  <c r="D200" i="18"/>
  <c r="D192" i="18"/>
  <c r="J118" i="18"/>
  <c r="G213" i="18"/>
  <c r="J268" i="18"/>
  <c r="J252" i="18"/>
  <c r="D211" i="18"/>
  <c r="G223" i="18"/>
  <c r="J263" i="18"/>
  <c r="G276" i="18"/>
  <c r="G260" i="18"/>
  <c r="D264" i="18"/>
  <c r="G209" i="18"/>
  <c r="D34" i="18"/>
  <c r="G65" i="18"/>
  <c r="D105" i="18"/>
  <c r="G182" i="18"/>
  <c r="J213" i="18"/>
  <c r="J197" i="18"/>
  <c r="J65" i="18"/>
  <c r="G122" i="18"/>
  <c r="G54" i="18"/>
  <c r="J117" i="18"/>
  <c r="D121" i="18"/>
  <c r="G211" i="18"/>
  <c r="J119" i="18"/>
  <c r="D101" i="18"/>
  <c r="G111" i="18"/>
  <c r="D107" i="18"/>
  <c r="D141" i="18"/>
  <c r="D125" i="18"/>
  <c r="D198" i="18"/>
  <c r="D190" i="18"/>
  <c r="G16" i="18"/>
  <c r="J95" i="18"/>
  <c r="J181" i="18"/>
  <c r="J165" i="18"/>
  <c r="J149" i="18"/>
  <c r="J133" i="18"/>
  <c r="D177" i="18"/>
  <c r="D161" i="18"/>
  <c r="D213" i="18"/>
  <c r="D240" i="18"/>
  <c r="D232" i="18"/>
  <c r="D224" i="18"/>
  <c r="D245" i="18"/>
  <c r="D229" i="18"/>
  <c r="G216" i="18"/>
  <c r="J185" i="18"/>
  <c r="D13" i="18"/>
  <c r="J92" i="18"/>
  <c r="G106" i="18"/>
  <c r="J47" i="18"/>
  <c r="D112" i="18"/>
  <c r="G72" i="18"/>
  <c r="G36" i="18"/>
  <c r="D90" i="18"/>
  <c r="G118" i="18"/>
  <c r="D114" i="18"/>
  <c r="D98" i="18"/>
  <c r="D74" i="18"/>
  <c r="J124" i="18"/>
  <c r="D58" i="18"/>
  <c r="G46" i="18"/>
  <c r="J58" i="18"/>
  <c r="D57" i="18"/>
  <c r="J72" i="18"/>
  <c r="G76" i="18"/>
  <c r="D70" i="18"/>
  <c r="J108" i="18"/>
  <c r="G104" i="18"/>
  <c r="J94" i="18"/>
  <c r="G49" i="18"/>
  <c r="D40" i="18"/>
  <c r="G41" i="18"/>
  <c r="G91" i="18"/>
  <c r="D76" i="18"/>
  <c r="J74" i="18"/>
  <c r="G19" i="18"/>
  <c r="G55" i="18"/>
  <c r="G39" i="18"/>
  <c r="J11" i="18"/>
  <c r="D32" i="18"/>
  <c r="J29" i="18"/>
  <c r="J26" i="18"/>
  <c r="J25" i="18"/>
  <c r="G21" i="18"/>
  <c r="J17" i="18"/>
  <c r="J14" i="18"/>
  <c r="G11" i="18"/>
  <c r="D9" i="18"/>
  <c r="J7" i="18"/>
  <c r="G6" i="18"/>
  <c r="D5" i="18"/>
  <c r="D210" i="18"/>
  <c r="G229" i="18"/>
  <c r="D168" i="18"/>
  <c r="J89" i="18"/>
  <c r="D140" i="18"/>
  <c r="D348" i="18"/>
  <c r="J319" i="18"/>
  <c r="D274" i="18"/>
  <c r="J162" i="18"/>
  <c r="D314" i="18"/>
  <c r="J241" i="18"/>
  <c r="G280" i="18"/>
  <c r="J349" i="18"/>
  <c r="J143" i="18"/>
  <c r="D277" i="18"/>
  <c r="D116" i="18"/>
  <c r="J235" i="18"/>
  <c r="D196" i="18"/>
  <c r="J276" i="18"/>
  <c r="J231" i="18"/>
  <c r="G252" i="18"/>
  <c r="J69" i="18"/>
  <c r="D154" i="18"/>
  <c r="D69" i="18"/>
  <c r="G117" i="18"/>
  <c r="G95" i="18"/>
  <c r="D205" i="18"/>
  <c r="G52" i="18"/>
  <c r="J157" i="18"/>
  <c r="D169" i="18"/>
  <c r="D236" i="18"/>
  <c r="D237" i="18"/>
  <c r="J20" i="18"/>
  <c r="D109" i="18"/>
  <c r="D21" i="18"/>
  <c r="D106" i="18"/>
  <c r="D124" i="18"/>
  <c r="J46" i="18"/>
  <c r="J116" i="18"/>
  <c r="G96" i="18"/>
  <c r="J45" i="18"/>
  <c r="J36" i="18"/>
  <c r="G83" i="18"/>
  <c r="D68" i="18"/>
  <c r="J63" i="18"/>
  <c r="J23" i="18"/>
  <c r="G31" i="18"/>
  <c r="J24" i="18"/>
  <c r="G13" i="18"/>
  <c r="D7" i="18"/>
  <c r="D298" i="18"/>
  <c r="G134" i="18"/>
  <c r="D43" i="18"/>
  <c r="G133" i="18"/>
  <c r="J115" i="18"/>
  <c r="G245" i="18"/>
  <c r="D297" i="18"/>
  <c r="D12" i="18"/>
  <c r="G184" i="18"/>
  <c r="G240" i="18"/>
  <c r="D318" i="18"/>
  <c r="J44" i="18"/>
  <c r="D155" i="18"/>
  <c r="D231" i="18"/>
  <c r="G279" i="18"/>
  <c r="J339" i="18"/>
  <c r="G310" i="18"/>
  <c r="D363" i="18"/>
  <c r="J359" i="18"/>
  <c r="G343" i="18"/>
  <c r="D134" i="18"/>
  <c r="G356" i="18"/>
  <c r="G315" i="18"/>
  <c r="J178" i="18"/>
  <c r="J176" i="18"/>
  <c r="D271" i="18"/>
  <c r="D251" i="18"/>
  <c r="D316" i="18"/>
  <c r="J218" i="18"/>
  <c r="D267" i="18"/>
  <c r="D284" i="18"/>
  <c r="J280" i="18"/>
  <c r="J320" i="18"/>
  <c r="G312" i="18"/>
  <c r="G127" i="18"/>
  <c r="J249" i="18"/>
  <c r="J306" i="18"/>
  <c r="G288" i="18"/>
  <c r="J217" i="18"/>
  <c r="G361" i="18"/>
  <c r="D349" i="18"/>
  <c r="J341" i="18"/>
  <c r="D227" i="18"/>
  <c r="J156" i="18"/>
  <c r="J245" i="18"/>
  <c r="J301" i="18"/>
  <c r="D278" i="18"/>
  <c r="G143" i="18"/>
  <c r="G246" i="18"/>
  <c r="D37" i="18"/>
  <c r="G139" i="18"/>
  <c r="G207" i="18"/>
  <c r="D195" i="18"/>
  <c r="D243" i="18"/>
  <c r="J77" i="18"/>
  <c r="J212" i="18"/>
  <c r="G200" i="18"/>
  <c r="J192" i="18"/>
  <c r="D123" i="18"/>
  <c r="G193" i="18"/>
  <c r="J264" i="18"/>
  <c r="J248" i="18"/>
  <c r="D191" i="18"/>
  <c r="J275" i="18"/>
  <c r="J259" i="18"/>
  <c r="G272" i="18"/>
  <c r="G256" i="18"/>
  <c r="D248" i="18"/>
  <c r="G205" i="18"/>
  <c r="J93" i="18"/>
  <c r="D73" i="18"/>
  <c r="J166" i="18"/>
  <c r="G166" i="18"/>
  <c r="J209" i="18"/>
  <c r="J193" i="18"/>
  <c r="D89" i="18"/>
  <c r="G170" i="18"/>
  <c r="D53" i="18"/>
  <c r="J97" i="18"/>
  <c r="D108" i="18"/>
  <c r="G192" i="18"/>
  <c r="J101" i="18"/>
  <c r="D113" i="18"/>
  <c r="G103" i="18"/>
  <c r="D153" i="18"/>
  <c r="D137" i="18"/>
  <c r="G197" i="18"/>
  <c r="G198" i="18"/>
  <c r="G190" i="18"/>
  <c r="J55" i="18"/>
  <c r="G119" i="18"/>
  <c r="J177" i="18"/>
  <c r="J161" i="18"/>
  <c r="J145" i="18"/>
  <c r="J129" i="18"/>
  <c r="D173" i="18"/>
  <c r="D157" i="18"/>
  <c r="D197" i="18"/>
  <c r="J240" i="18"/>
  <c r="J232" i="18"/>
  <c r="J224" i="18"/>
  <c r="D241" i="18"/>
  <c r="D225" i="18"/>
  <c r="J216" i="18"/>
  <c r="J43" i="18"/>
  <c r="J59" i="18"/>
  <c r="G88" i="18"/>
  <c r="D120" i="18"/>
  <c r="D82" i="18"/>
  <c r="D96" i="18"/>
  <c r="J13" i="18"/>
  <c r="D42" i="18"/>
  <c r="J114" i="18"/>
  <c r="G102" i="18"/>
  <c r="D110" i="18"/>
  <c r="J48" i="18"/>
  <c r="J122" i="18"/>
  <c r="G124" i="18"/>
  <c r="D50" i="18"/>
  <c r="J28" i="18"/>
  <c r="J51" i="18"/>
  <c r="D38" i="18"/>
  <c r="J64" i="18"/>
  <c r="G68" i="18"/>
  <c r="J120" i="18"/>
  <c r="J104" i="18"/>
  <c r="G116" i="18"/>
  <c r="G100" i="18"/>
  <c r="D94" i="18"/>
  <c r="D61" i="18"/>
  <c r="J49" i="18"/>
  <c r="D19" i="18"/>
  <c r="G56" i="18"/>
  <c r="G40" i="18"/>
  <c r="J52" i="18"/>
  <c r="J91" i="18"/>
  <c r="J75" i="18"/>
  <c r="G87" i="18"/>
  <c r="G71" i="18"/>
  <c r="D88" i="18"/>
  <c r="D72" i="18"/>
  <c r="J86" i="18"/>
  <c r="J70" i="18"/>
  <c r="D83" i="18"/>
  <c r="D67" i="18"/>
  <c r="D27" i="18"/>
  <c r="G51" i="18"/>
  <c r="G35" i="18"/>
  <c r="D15" i="18"/>
  <c r="J33" i="18"/>
  <c r="J31" i="18"/>
  <c r="G29" i="18"/>
  <c r="D26" i="18"/>
  <c r="D24" i="18"/>
  <c r="J21" i="18"/>
  <c r="G17" i="18"/>
  <c r="G14" i="18"/>
  <c r="D10" i="18"/>
  <c r="J8" i="18"/>
  <c r="G7" i="18"/>
  <c r="D6" i="18"/>
  <c r="G3" i="18"/>
  <c r="D282" i="18"/>
  <c r="G181" i="18"/>
  <c r="G99" i="18"/>
  <c r="J37" i="18"/>
  <c r="D360" i="18"/>
  <c r="D276" i="18"/>
  <c r="J334" i="18"/>
  <c r="G301" i="18"/>
  <c r="J269" i="18"/>
  <c r="D292" i="18"/>
  <c r="G338" i="18"/>
  <c r="J290" i="18"/>
  <c r="D357" i="18"/>
  <c r="J308" i="18"/>
  <c r="J293" i="18"/>
  <c r="D242" i="18"/>
  <c r="G202" i="18"/>
  <c r="D85" i="18"/>
  <c r="G37" i="18"/>
  <c r="J260" i="18"/>
  <c r="J271" i="18"/>
  <c r="G268" i="18"/>
  <c r="G201" i="18"/>
  <c r="J150" i="18"/>
  <c r="J189" i="18"/>
  <c r="G93" i="18"/>
  <c r="D209" i="18"/>
  <c r="G28" i="18"/>
  <c r="D133" i="18"/>
  <c r="D186" i="18"/>
  <c r="D119" i="18"/>
  <c r="J141" i="18"/>
  <c r="J35" i="18"/>
  <c r="D228" i="18"/>
  <c r="D221" i="18"/>
  <c r="J39" i="18"/>
  <c r="J110" i="18"/>
  <c r="J84" i="18"/>
  <c r="D122" i="18"/>
  <c r="J106" i="18"/>
  <c r="G32" i="18"/>
  <c r="G92" i="18"/>
  <c r="J100" i="18"/>
  <c r="G94" i="18"/>
  <c r="D60" i="18"/>
  <c r="J18" i="18"/>
  <c r="J71" i="18"/>
  <c r="D84" i="18"/>
  <c r="J66" i="18"/>
  <c r="D11" i="18"/>
  <c r="J34" i="18"/>
  <c r="D29" i="18"/>
  <c r="G20" i="18"/>
  <c r="J9" i="18"/>
  <c r="J5" i="18"/>
  <c r="D3" i="18"/>
  <c r="C4" i="16"/>
  <c r="D4" i="16" s="1"/>
  <c r="E4" i="16"/>
  <c r="E3" i="16"/>
  <c r="C3" i="16"/>
  <c r="E2" i="16"/>
  <c r="D2" i="16"/>
  <c r="C4" i="15"/>
  <c r="C3" i="15"/>
  <c r="D4" i="15"/>
  <c r="D2" i="15"/>
  <c r="D3" i="15"/>
  <c r="C2" i="15"/>
  <c r="AQ204" i="2"/>
  <c r="AQ205" i="2"/>
  <c r="AI205" i="2"/>
  <c r="AJ205" i="2" s="1"/>
  <c r="AR205" i="2" s="1"/>
  <c r="AO205" i="2"/>
  <c r="AP205" i="2" s="1"/>
  <c r="AH204" i="2"/>
  <c r="AI204" i="2"/>
  <c r="AJ204" i="2" s="1"/>
  <c r="AR204" i="2" s="1"/>
  <c r="AB205" i="2"/>
  <c r="AC205" i="2"/>
  <c r="AD205" i="2" s="1"/>
  <c r="U203" i="2"/>
  <c r="V203" i="2" s="1"/>
  <c r="AC204" i="2"/>
  <c r="AD204" i="2" s="1"/>
  <c r="AB204" i="2"/>
  <c r="K203" i="2"/>
  <c r="T203" i="2"/>
  <c r="Y203" i="2"/>
  <c r="Z203" i="2" s="1"/>
  <c r="AE203" i="2"/>
  <c r="AO203" i="2" s="1"/>
  <c r="AP203" i="2" s="1"/>
  <c r="AK203" i="2"/>
  <c r="AL203" i="2" s="1"/>
  <c r="AA203" i="2"/>
  <c r="L203" i="2"/>
  <c r="M203" i="2" s="1"/>
  <c r="P203" i="2"/>
  <c r="Q203" i="2" s="1"/>
  <c r="X203" i="2"/>
  <c r="O203" i="2"/>
  <c r="C202" i="2"/>
  <c r="D202" i="2"/>
  <c r="E202" i="2"/>
  <c r="F202" i="2"/>
  <c r="J202" i="2"/>
  <c r="N202" i="2"/>
  <c r="S202" i="2"/>
  <c r="W202" i="2"/>
  <c r="X202" i="2" s="1"/>
  <c r="AS202" i="2"/>
  <c r="AT202" i="2"/>
  <c r="C201" i="2"/>
  <c r="D201" i="2"/>
  <c r="E201" i="2"/>
  <c r="F201" i="2"/>
  <c r="J201" i="2"/>
  <c r="N201" i="2"/>
  <c r="S201" i="2"/>
  <c r="W201" i="2"/>
  <c r="AS201" i="2"/>
  <c r="AT201" i="2"/>
  <c r="C200" i="2"/>
  <c r="D200" i="2"/>
  <c r="E200" i="2"/>
  <c r="F200" i="2"/>
  <c r="J200" i="2"/>
  <c r="N200" i="2"/>
  <c r="S200" i="2"/>
  <c r="W200" i="2"/>
  <c r="X200" i="2" s="1"/>
  <c r="AS200" i="2"/>
  <c r="AT200" i="2"/>
  <c r="S343" i="18" l="1"/>
  <c r="R343" i="18"/>
  <c r="S299" i="18"/>
  <c r="R299" i="18"/>
  <c r="S267" i="18"/>
  <c r="R267" i="18"/>
  <c r="S358" i="18"/>
  <c r="R358" i="18"/>
  <c r="S342" i="18"/>
  <c r="R342" i="18"/>
  <c r="S326" i="18"/>
  <c r="R326" i="18"/>
  <c r="S310" i="18"/>
  <c r="R310" i="18"/>
  <c r="S294" i="18"/>
  <c r="R294" i="18"/>
  <c r="S278" i="18"/>
  <c r="R278" i="18"/>
  <c r="S262" i="18"/>
  <c r="R262" i="18"/>
  <c r="S246" i="18"/>
  <c r="R246" i="18"/>
  <c r="R363" i="18"/>
  <c r="S363" i="18"/>
  <c r="R315" i="18"/>
  <c r="S315" i="18"/>
  <c r="S275" i="18"/>
  <c r="R275" i="18"/>
  <c r="S357" i="18"/>
  <c r="R357" i="18"/>
  <c r="S341" i="18"/>
  <c r="R341" i="18"/>
  <c r="S325" i="18"/>
  <c r="R325" i="18"/>
  <c r="S309" i="18"/>
  <c r="R309" i="18"/>
  <c r="S293" i="18"/>
  <c r="R293" i="18"/>
  <c r="S277" i="18"/>
  <c r="R277" i="18"/>
  <c r="S261" i="18"/>
  <c r="R261" i="18"/>
  <c r="S245" i="18"/>
  <c r="R245" i="18"/>
  <c r="S149" i="18"/>
  <c r="R149" i="18"/>
  <c r="S359" i="18"/>
  <c r="R359" i="18"/>
  <c r="S303" i="18"/>
  <c r="R303" i="18"/>
  <c r="S364" i="18"/>
  <c r="R364" i="18"/>
  <c r="S348" i="18"/>
  <c r="R348" i="18"/>
  <c r="S332" i="18"/>
  <c r="R332" i="18"/>
  <c r="S316" i="18"/>
  <c r="R316" i="18"/>
  <c r="S300" i="18"/>
  <c r="R300" i="18"/>
  <c r="S284" i="18"/>
  <c r="R284" i="18"/>
  <c r="S268" i="18"/>
  <c r="R268" i="18"/>
  <c r="S252" i="18"/>
  <c r="R252" i="18"/>
  <c r="S335" i="18"/>
  <c r="R335" i="18"/>
  <c r="S291" i="18"/>
  <c r="R291" i="18"/>
  <c r="S255" i="18"/>
  <c r="R255" i="18"/>
  <c r="S354" i="18"/>
  <c r="R354" i="18"/>
  <c r="S338" i="18"/>
  <c r="R338" i="18"/>
  <c r="S322" i="18"/>
  <c r="R322" i="18"/>
  <c r="S306" i="18"/>
  <c r="R306" i="18"/>
  <c r="S290" i="18"/>
  <c r="R290" i="18"/>
  <c r="S274" i="18"/>
  <c r="R274" i="18"/>
  <c r="S258" i="18"/>
  <c r="R258" i="18"/>
  <c r="S242" i="18"/>
  <c r="R242" i="18"/>
  <c r="S351" i="18"/>
  <c r="R351" i="18"/>
  <c r="R307" i="18"/>
  <c r="S307" i="18"/>
  <c r="S263" i="18"/>
  <c r="R263" i="18"/>
  <c r="S353" i="18"/>
  <c r="R353" i="18"/>
  <c r="S337" i="18"/>
  <c r="R337" i="18"/>
  <c r="S321" i="18"/>
  <c r="R321" i="18"/>
  <c r="S305" i="18"/>
  <c r="R305" i="18"/>
  <c r="S289" i="18"/>
  <c r="R289" i="18"/>
  <c r="S273" i="18"/>
  <c r="R273" i="18"/>
  <c r="S241" i="18"/>
  <c r="R241" i="18"/>
  <c r="R347" i="18"/>
  <c r="S347" i="18"/>
  <c r="S287" i="18"/>
  <c r="R287" i="18"/>
  <c r="S360" i="18"/>
  <c r="R360" i="18"/>
  <c r="S344" i="18"/>
  <c r="R344" i="18"/>
  <c r="S328" i="18"/>
  <c r="R328" i="18"/>
  <c r="S312" i="18"/>
  <c r="R312" i="18"/>
  <c r="S296" i="18"/>
  <c r="R296" i="18"/>
  <c r="S280" i="18"/>
  <c r="R280" i="18"/>
  <c r="S264" i="18"/>
  <c r="R264" i="18"/>
  <c r="S248" i="18"/>
  <c r="R248" i="18"/>
  <c r="S367" i="18"/>
  <c r="R367" i="18"/>
  <c r="R323" i="18"/>
  <c r="S323" i="18"/>
  <c r="S279" i="18"/>
  <c r="R279" i="18"/>
  <c r="S243" i="18"/>
  <c r="R243" i="18"/>
  <c r="S366" i="18"/>
  <c r="R366" i="18"/>
  <c r="S350" i="18"/>
  <c r="R350" i="18"/>
  <c r="S334" i="18"/>
  <c r="R334" i="18"/>
  <c r="S318" i="18"/>
  <c r="R318" i="18"/>
  <c r="S302" i="18"/>
  <c r="R302" i="18"/>
  <c r="S286" i="18"/>
  <c r="R286" i="18"/>
  <c r="S270" i="18"/>
  <c r="R270" i="18"/>
  <c r="S254" i="18"/>
  <c r="R254" i="18"/>
  <c r="S142" i="18"/>
  <c r="R142" i="18"/>
  <c r="R339" i="18"/>
  <c r="S339" i="18"/>
  <c r="S295" i="18"/>
  <c r="R295" i="18"/>
  <c r="S251" i="18"/>
  <c r="R251" i="18"/>
  <c r="S123" i="18"/>
  <c r="R123" i="18"/>
  <c r="S365" i="18"/>
  <c r="R365" i="18"/>
  <c r="S349" i="18"/>
  <c r="R349" i="18"/>
  <c r="S333" i="18"/>
  <c r="R333" i="18"/>
  <c r="S317" i="18"/>
  <c r="R317" i="18"/>
  <c r="S301" i="18"/>
  <c r="R301" i="18"/>
  <c r="S285" i="18"/>
  <c r="R285" i="18"/>
  <c r="S269" i="18"/>
  <c r="R269" i="18"/>
  <c r="S253" i="18"/>
  <c r="R253" i="18"/>
  <c r="S93" i="18"/>
  <c r="R93" i="18"/>
  <c r="R331" i="18"/>
  <c r="S331" i="18"/>
  <c r="S259" i="18"/>
  <c r="R259" i="18"/>
  <c r="S356" i="18"/>
  <c r="R356" i="18"/>
  <c r="S340" i="18"/>
  <c r="R340" i="18"/>
  <c r="S324" i="18"/>
  <c r="R324" i="18"/>
  <c r="S308" i="18"/>
  <c r="R308" i="18"/>
  <c r="S292" i="18"/>
  <c r="R292" i="18"/>
  <c r="S276" i="18"/>
  <c r="R276" i="18"/>
  <c r="S260" i="18"/>
  <c r="R260" i="18"/>
  <c r="S244" i="18"/>
  <c r="R244" i="18"/>
  <c r="E5" i="15"/>
  <c r="F5" i="15" s="1"/>
  <c r="R355" i="18"/>
  <c r="S355" i="18"/>
  <c r="S311" i="18"/>
  <c r="R311" i="18"/>
  <c r="S271" i="18"/>
  <c r="R271" i="18"/>
  <c r="S362" i="18"/>
  <c r="R362" i="18"/>
  <c r="S346" i="18"/>
  <c r="R346" i="18"/>
  <c r="S330" i="18"/>
  <c r="R330" i="18"/>
  <c r="S314" i="18"/>
  <c r="R314" i="18"/>
  <c r="S298" i="18"/>
  <c r="R298" i="18"/>
  <c r="S282" i="18"/>
  <c r="R282" i="18"/>
  <c r="S266" i="18"/>
  <c r="R266" i="18"/>
  <c r="S250" i="18"/>
  <c r="R250" i="18"/>
  <c r="S327" i="18"/>
  <c r="R327" i="18"/>
  <c r="S283" i="18"/>
  <c r="R283" i="18"/>
  <c r="S247" i="18"/>
  <c r="R247" i="18"/>
  <c r="S361" i="18"/>
  <c r="R361" i="18"/>
  <c r="S345" i="18"/>
  <c r="R345" i="18"/>
  <c r="S329" i="18"/>
  <c r="R329" i="18"/>
  <c r="S313" i="18"/>
  <c r="R313" i="18"/>
  <c r="S297" i="18"/>
  <c r="R297" i="18"/>
  <c r="S281" i="18"/>
  <c r="R281" i="18"/>
  <c r="S265" i="18"/>
  <c r="R265" i="18"/>
  <c r="S249" i="18"/>
  <c r="R249" i="18"/>
  <c r="S319" i="18"/>
  <c r="R319" i="18"/>
  <c r="S368" i="18"/>
  <c r="R368" i="18"/>
  <c r="S352" i="18"/>
  <c r="R352" i="18"/>
  <c r="S336" i="18"/>
  <c r="R336" i="18"/>
  <c r="S320" i="18"/>
  <c r="R320" i="18"/>
  <c r="S304" i="18"/>
  <c r="R304" i="18"/>
  <c r="S288" i="18"/>
  <c r="R288" i="18"/>
  <c r="S272" i="18"/>
  <c r="R272" i="18"/>
  <c r="S256" i="18"/>
  <c r="R256" i="18"/>
  <c r="S240" i="18"/>
  <c r="R240" i="18"/>
  <c r="F5" i="16"/>
  <c r="G5" i="16" s="1"/>
  <c r="V8" i="12"/>
  <c r="W7" i="12"/>
  <c r="X7" i="12" s="1"/>
  <c r="Z7" i="12"/>
  <c r="I3" i="18"/>
  <c r="H3" i="18"/>
  <c r="F221" i="18"/>
  <c r="E221" i="18"/>
  <c r="F241" i="18"/>
  <c r="E241" i="18"/>
  <c r="F137" i="18"/>
  <c r="E137" i="18"/>
  <c r="N209" i="18"/>
  <c r="M209" i="18"/>
  <c r="N93" i="18"/>
  <c r="M93" i="18"/>
  <c r="F243" i="18"/>
  <c r="E243" i="18"/>
  <c r="F267" i="18"/>
  <c r="E267" i="18"/>
  <c r="F271" i="18"/>
  <c r="E271" i="18"/>
  <c r="F231" i="18"/>
  <c r="E231" i="18"/>
  <c r="N24" i="18"/>
  <c r="M24" i="18"/>
  <c r="I96" i="18"/>
  <c r="H96" i="18"/>
  <c r="F237" i="18"/>
  <c r="E237" i="18"/>
  <c r="I52" i="18"/>
  <c r="H52" i="18"/>
  <c r="F116" i="18"/>
  <c r="E116" i="18"/>
  <c r="F274" i="18"/>
  <c r="E274" i="18"/>
  <c r="F5" i="18"/>
  <c r="E5" i="18"/>
  <c r="I11" i="18"/>
  <c r="H11" i="18"/>
  <c r="I118" i="18"/>
  <c r="H118" i="18"/>
  <c r="F112" i="18"/>
  <c r="E112" i="18"/>
  <c r="F13" i="18"/>
  <c r="E13" i="18"/>
  <c r="F245" i="18"/>
  <c r="E245" i="18"/>
  <c r="F213" i="18"/>
  <c r="E213" i="18"/>
  <c r="I16" i="18"/>
  <c r="H16" i="18"/>
  <c r="F141" i="18"/>
  <c r="E141" i="18"/>
  <c r="N213" i="18"/>
  <c r="M213" i="18"/>
  <c r="F192" i="18"/>
  <c r="E192" i="18"/>
  <c r="F159" i="18"/>
  <c r="E159" i="18"/>
  <c r="F249" i="18"/>
  <c r="E249" i="18"/>
  <c r="F341" i="18"/>
  <c r="E341" i="18"/>
  <c r="N206" i="18"/>
  <c r="M206" i="18"/>
  <c r="E171" i="18"/>
  <c r="E350" i="18"/>
  <c r="F350" i="18"/>
  <c r="N203" i="18"/>
  <c r="M203" i="18"/>
  <c r="F176" i="18"/>
  <c r="E176" i="18"/>
  <c r="F139" i="18"/>
  <c r="E139" i="18"/>
  <c r="F182" i="18"/>
  <c r="E182" i="18"/>
  <c r="I15" i="18"/>
  <c r="H15" i="18"/>
  <c r="F22" i="18"/>
  <c r="E22" i="18"/>
  <c r="I60" i="18"/>
  <c r="H60" i="18"/>
  <c r="F185" i="18"/>
  <c r="E185" i="18"/>
  <c r="F165" i="18"/>
  <c r="E165" i="18"/>
  <c r="F115" i="18"/>
  <c r="E115" i="18"/>
  <c r="I215" i="18"/>
  <c r="H215" i="18"/>
  <c r="N208" i="18"/>
  <c r="M208" i="18"/>
  <c r="F144" i="18"/>
  <c r="E144" i="18"/>
  <c r="N204" i="18"/>
  <c r="M204" i="18"/>
  <c r="N62" i="18"/>
  <c r="M62" i="18"/>
  <c r="F230" i="18"/>
  <c r="E230" i="18"/>
  <c r="N221" i="18"/>
  <c r="M221" i="18"/>
  <c r="F345" i="18"/>
  <c r="E345" i="18"/>
  <c r="F308" i="18"/>
  <c r="E308" i="18"/>
  <c r="F328" i="18"/>
  <c r="E328" i="18"/>
  <c r="F263" i="18"/>
  <c r="E263" i="18"/>
  <c r="F238" i="18"/>
  <c r="E238" i="18"/>
  <c r="F354" i="18"/>
  <c r="E354" i="18"/>
  <c r="I362" i="18"/>
  <c r="H362" i="18"/>
  <c r="F313" i="18"/>
  <c r="E313" i="18"/>
  <c r="F260" i="18"/>
  <c r="E260" i="18"/>
  <c r="F269" i="18"/>
  <c r="E269" i="18"/>
  <c r="F156" i="18"/>
  <c r="E156" i="18"/>
  <c r="I217" i="18"/>
  <c r="H217" i="18"/>
  <c r="F312" i="18"/>
  <c r="E312" i="18"/>
  <c r="F170" i="18"/>
  <c r="E170" i="18"/>
  <c r="E342" i="18"/>
  <c r="F342" i="18"/>
  <c r="F317" i="18"/>
  <c r="E317" i="18"/>
  <c r="F268" i="18"/>
  <c r="E268" i="18"/>
  <c r="F131" i="18"/>
  <c r="E131" i="18"/>
  <c r="F216" i="18"/>
  <c r="E216" i="18"/>
  <c r="F160" i="18"/>
  <c r="E160" i="18"/>
  <c r="F331" i="18"/>
  <c r="E331" i="18"/>
  <c r="F320" i="18"/>
  <c r="E320" i="18"/>
  <c r="F202" i="18"/>
  <c r="E202" i="18"/>
  <c r="F174" i="18"/>
  <c r="E174" i="18"/>
  <c r="E366" i="18"/>
  <c r="F366" i="18"/>
  <c r="F293" i="18"/>
  <c r="E293" i="18"/>
  <c r="F273" i="18"/>
  <c r="E273" i="18"/>
  <c r="I210" i="18"/>
  <c r="H210" i="18"/>
  <c r="F326" i="18"/>
  <c r="E326" i="18"/>
  <c r="F226" i="18"/>
  <c r="E226" i="18"/>
  <c r="F288" i="18"/>
  <c r="E288" i="18"/>
  <c r="I271" i="18"/>
  <c r="H271" i="18"/>
  <c r="F352" i="18"/>
  <c r="E352" i="18"/>
  <c r="F321" i="18"/>
  <c r="E321" i="18"/>
  <c r="F272" i="18"/>
  <c r="E272" i="18"/>
  <c r="F135" i="18"/>
  <c r="E135" i="18"/>
  <c r="I220" i="18"/>
  <c r="H220" i="18"/>
  <c r="F324" i="18"/>
  <c r="E324" i="18"/>
  <c r="F206" i="18"/>
  <c r="E206" i="18"/>
  <c r="F178" i="18"/>
  <c r="E178" i="18"/>
  <c r="F340" i="18"/>
  <c r="E340" i="18"/>
  <c r="F219" i="18"/>
  <c r="E219" i="18"/>
  <c r="N260" i="18"/>
  <c r="M260" i="18"/>
  <c r="F209" i="18"/>
  <c r="E209" i="18"/>
  <c r="F10" i="18"/>
  <c r="E10" i="18"/>
  <c r="F197" i="18"/>
  <c r="E197" i="18"/>
  <c r="F11" i="18"/>
  <c r="E11" i="18"/>
  <c r="F228" i="18"/>
  <c r="E228" i="18"/>
  <c r="F186" i="18"/>
  <c r="E186" i="18"/>
  <c r="F292" i="18"/>
  <c r="E292" i="18"/>
  <c r="F6" i="18"/>
  <c r="E6" i="18"/>
  <c r="I14" i="18"/>
  <c r="H14" i="18"/>
  <c r="F15" i="18"/>
  <c r="E15" i="18"/>
  <c r="I56" i="18"/>
  <c r="H56" i="18"/>
  <c r="F157" i="18"/>
  <c r="E157" i="18"/>
  <c r="F153" i="18"/>
  <c r="E153" i="18"/>
  <c r="F195" i="18"/>
  <c r="E195" i="18"/>
  <c r="F349" i="18"/>
  <c r="E349" i="18"/>
  <c r="F134" i="18"/>
  <c r="E134" i="18"/>
  <c r="F155" i="18"/>
  <c r="E155" i="18"/>
  <c r="F298" i="18"/>
  <c r="E298" i="18"/>
  <c r="F21" i="18"/>
  <c r="E21" i="18"/>
  <c r="F236" i="18"/>
  <c r="E236" i="18"/>
  <c r="F205" i="18"/>
  <c r="E205" i="18"/>
  <c r="F154" i="18"/>
  <c r="E154" i="18"/>
  <c r="F277" i="18"/>
  <c r="E277" i="18"/>
  <c r="F168" i="18"/>
  <c r="E168" i="18"/>
  <c r="I6" i="18"/>
  <c r="H6" i="18"/>
  <c r="F224" i="18"/>
  <c r="E224" i="18"/>
  <c r="F161" i="18"/>
  <c r="E161" i="18"/>
  <c r="F190" i="18"/>
  <c r="E190" i="18"/>
  <c r="F107" i="18"/>
  <c r="E107" i="18"/>
  <c r="I211" i="18"/>
  <c r="H211" i="18"/>
  <c r="I209" i="18"/>
  <c r="K209" i="18" s="1"/>
  <c r="L209" i="18" s="1"/>
  <c r="H209" i="18"/>
  <c r="F200" i="18"/>
  <c r="E200" i="18"/>
  <c r="F215" i="18"/>
  <c r="E215" i="18"/>
  <c r="F275" i="18"/>
  <c r="E275" i="18"/>
  <c r="N328" i="18"/>
  <c r="M328" i="18"/>
  <c r="F347" i="18"/>
  <c r="E347" i="18"/>
  <c r="I4" i="18"/>
  <c r="H4" i="18"/>
  <c r="F212" i="18"/>
  <c r="E212" i="18"/>
  <c r="F18" i="18"/>
  <c r="E18" i="18"/>
  <c r="F8" i="18"/>
  <c r="E8" i="18"/>
  <c r="F217" i="18"/>
  <c r="E217" i="18"/>
  <c r="F181" i="18"/>
  <c r="E181" i="18"/>
  <c r="F189" i="18"/>
  <c r="E189" i="18"/>
  <c r="N214" i="18"/>
  <c r="M214" i="18"/>
  <c r="F365" i="18"/>
  <c r="E365" i="18"/>
  <c r="F246" i="18"/>
  <c r="E246" i="18"/>
  <c r="F294" i="18"/>
  <c r="E294" i="18"/>
  <c r="F207" i="18"/>
  <c r="E207" i="18"/>
  <c r="I243" i="18"/>
  <c r="H243" i="18"/>
  <c r="F270" i="18"/>
  <c r="E270" i="18"/>
  <c r="I208" i="18"/>
  <c r="H208" i="18"/>
  <c r="I160" i="18"/>
  <c r="H160" i="18"/>
  <c r="F329" i="18"/>
  <c r="E329" i="18"/>
  <c r="I219" i="18"/>
  <c r="H219" i="18"/>
  <c r="F143" i="18"/>
  <c r="E143" i="18"/>
  <c r="F172" i="18"/>
  <c r="E172" i="18"/>
  <c r="F281" i="18"/>
  <c r="E281" i="18"/>
  <c r="F103" i="18"/>
  <c r="E103" i="18"/>
  <c r="F336" i="18"/>
  <c r="E336" i="18"/>
  <c r="F214" i="18"/>
  <c r="E214" i="18"/>
  <c r="F339" i="18"/>
  <c r="E339" i="18"/>
  <c r="F164" i="18"/>
  <c r="E164" i="18"/>
  <c r="I306" i="18"/>
  <c r="H306" i="18"/>
  <c r="F333" i="18"/>
  <c r="E333" i="18"/>
  <c r="F223" i="18"/>
  <c r="E223" i="18"/>
  <c r="F147" i="18"/>
  <c r="E147" i="18"/>
  <c r="F285" i="18"/>
  <c r="E285" i="18"/>
  <c r="E358" i="18"/>
  <c r="F358" i="18"/>
  <c r="N210" i="18"/>
  <c r="M210" i="18"/>
  <c r="F353" i="18"/>
  <c r="E353" i="18"/>
  <c r="F368" i="18"/>
  <c r="E368" i="18"/>
  <c r="F184" i="18"/>
  <c r="E184" i="18"/>
  <c r="I322" i="18"/>
  <c r="H322" i="18"/>
  <c r="H358" i="18"/>
  <c r="I358" i="18"/>
  <c r="F338" i="18"/>
  <c r="E338" i="18"/>
  <c r="F337" i="18"/>
  <c r="E337" i="18"/>
  <c r="F151" i="18"/>
  <c r="E151" i="18"/>
  <c r="I236" i="18"/>
  <c r="H236" i="18"/>
  <c r="F180" i="18"/>
  <c r="E180" i="18"/>
  <c r="F289" i="18"/>
  <c r="E289" i="18"/>
  <c r="F111" i="18"/>
  <c r="E111" i="18"/>
  <c r="F130" i="18"/>
  <c r="E130" i="18"/>
  <c r="E346" i="18"/>
  <c r="F346" i="18"/>
  <c r="F311" i="18"/>
  <c r="E311" i="18"/>
  <c r="F300" i="18"/>
  <c r="E300" i="18"/>
  <c r="F279" i="18"/>
  <c r="E279" i="18"/>
  <c r="F242" i="18"/>
  <c r="E242" i="18"/>
  <c r="F122" i="18"/>
  <c r="E122" i="18"/>
  <c r="F24" i="18"/>
  <c r="E24" i="18"/>
  <c r="I20" i="18"/>
  <c r="H20" i="18"/>
  <c r="F133" i="18"/>
  <c r="E133" i="18"/>
  <c r="F360" i="18"/>
  <c r="E360" i="18"/>
  <c r="F282" i="18"/>
  <c r="E282" i="18"/>
  <c r="I7" i="18"/>
  <c r="H7" i="18"/>
  <c r="I17" i="18"/>
  <c r="H17" i="18"/>
  <c r="F19" i="18"/>
  <c r="E19" i="18"/>
  <c r="I68" i="18"/>
  <c r="H68" i="18"/>
  <c r="F120" i="18"/>
  <c r="E120" i="18"/>
  <c r="N216" i="18"/>
  <c r="M216" i="18"/>
  <c r="F173" i="18"/>
  <c r="E173" i="18"/>
  <c r="F248" i="18"/>
  <c r="E248" i="18"/>
  <c r="N212" i="18"/>
  <c r="M212" i="18"/>
  <c r="F316" i="18"/>
  <c r="E316" i="18"/>
  <c r="F12" i="18"/>
  <c r="E12" i="18"/>
  <c r="F7" i="18"/>
  <c r="E7" i="18"/>
  <c r="F196" i="18"/>
  <c r="E196" i="18"/>
  <c r="F314" i="18"/>
  <c r="E314" i="18"/>
  <c r="F348" i="18"/>
  <c r="E348" i="18"/>
  <c r="I229" i="18"/>
  <c r="H229" i="18"/>
  <c r="I46" i="18"/>
  <c r="H46" i="18"/>
  <c r="I216" i="18"/>
  <c r="H216" i="18"/>
  <c r="F232" i="18"/>
  <c r="E232" i="18"/>
  <c r="F177" i="18"/>
  <c r="E177" i="18"/>
  <c r="F198" i="18"/>
  <c r="E198" i="18"/>
  <c r="I111" i="18"/>
  <c r="H111" i="18"/>
  <c r="F264" i="18"/>
  <c r="E264" i="18"/>
  <c r="I213" i="18"/>
  <c r="H213" i="18"/>
  <c r="I212" i="18"/>
  <c r="H212" i="18"/>
  <c r="N172" i="18"/>
  <c r="M172" i="18"/>
  <c r="F295" i="18"/>
  <c r="E295" i="18"/>
  <c r="I8" i="18"/>
  <c r="H8" i="18"/>
  <c r="F220" i="18"/>
  <c r="E220" i="18"/>
  <c r="F194" i="18"/>
  <c r="E194" i="18"/>
  <c r="F201" i="18"/>
  <c r="E201" i="18"/>
  <c r="F234" i="18"/>
  <c r="E234" i="18"/>
  <c r="F235" i="18"/>
  <c r="E235" i="18"/>
  <c r="I278" i="18"/>
  <c r="H278" i="18"/>
  <c r="F4" i="18"/>
  <c r="E4" i="18"/>
  <c r="I9" i="18"/>
  <c r="H9" i="18"/>
  <c r="I59" i="18"/>
  <c r="H59" i="18"/>
  <c r="I12" i="18"/>
  <c r="H12" i="18"/>
  <c r="F233" i="18"/>
  <c r="E233" i="18"/>
  <c r="F222" i="18"/>
  <c r="E222" i="18"/>
  <c r="N215" i="18"/>
  <c r="M215" i="18"/>
  <c r="F323" i="18"/>
  <c r="E323" i="18"/>
  <c r="F256" i="18"/>
  <c r="E256" i="18"/>
  <c r="F265" i="18"/>
  <c r="E265" i="18"/>
  <c r="I214" i="18"/>
  <c r="H214" i="18"/>
  <c r="F283" i="18"/>
  <c r="E283" i="18"/>
  <c r="I357" i="18"/>
  <c r="H357" i="18"/>
  <c r="F296" i="18"/>
  <c r="E296" i="18"/>
  <c r="F280" i="18"/>
  <c r="E280" i="18"/>
  <c r="N242" i="18"/>
  <c r="M242" i="18"/>
  <c r="F332" i="18"/>
  <c r="E332" i="18"/>
  <c r="F364" i="18"/>
  <c r="E364" i="18"/>
  <c r="F343" i="18"/>
  <c r="E343" i="18"/>
  <c r="F322" i="18"/>
  <c r="E322" i="18"/>
  <c r="F16" i="18"/>
  <c r="E16" i="18"/>
  <c r="F301" i="18"/>
  <c r="E301" i="18"/>
  <c r="N186" i="18"/>
  <c r="M186" i="18"/>
  <c r="F286" i="18"/>
  <c r="E286" i="18"/>
  <c r="F287" i="18"/>
  <c r="E287" i="18"/>
  <c r="F239" i="18"/>
  <c r="E239" i="18"/>
  <c r="F128" i="18"/>
  <c r="E128" i="18"/>
  <c r="F20" i="18"/>
  <c r="E20" i="18"/>
  <c r="F305" i="18"/>
  <c r="E305" i="18"/>
  <c r="F142" i="18"/>
  <c r="E142" i="18"/>
  <c r="F290" i="18"/>
  <c r="E290" i="18"/>
  <c r="N211" i="18"/>
  <c r="M211" i="18"/>
  <c r="N297" i="18"/>
  <c r="M297" i="18"/>
  <c r="F199" i="18"/>
  <c r="E199" i="18"/>
  <c r="F304" i="18"/>
  <c r="E304" i="18"/>
  <c r="F355" i="18"/>
  <c r="E355" i="18"/>
  <c r="N298" i="18"/>
  <c r="M298" i="18"/>
  <c r="F351" i="18"/>
  <c r="E351" i="18"/>
  <c r="F167" i="18"/>
  <c r="E167" i="18"/>
  <c r="F132" i="18"/>
  <c r="E132" i="18"/>
  <c r="F250" i="18"/>
  <c r="E250" i="18"/>
  <c r="I145" i="18"/>
  <c r="H145" i="18"/>
  <c r="F146" i="18"/>
  <c r="E146" i="18"/>
  <c r="E362" i="18"/>
  <c r="F362" i="18"/>
  <c r="F3" i="18"/>
  <c r="E3" i="18"/>
  <c r="I51" i="18"/>
  <c r="H51" i="18"/>
  <c r="F110" i="18"/>
  <c r="E110" i="18"/>
  <c r="F225" i="18"/>
  <c r="E225" i="18"/>
  <c r="F191" i="18"/>
  <c r="E191" i="18"/>
  <c r="F123" i="18"/>
  <c r="E123" i="18"/>
  <c r="F278" i="18"/>
  <c r="E278" i="18"/>
  <c r="F227" i="18"/>
  <c r="E227" i="18"/>
  <c r="F284" i="18"/>
  <c r="E284" i="18"/>
  <c r="F251" i="18"/>
  <c r="E251" i="18"/>
  <c r="F297" i="18"/>
  <c r="E297" i="18"/>
  <c r="I13" i="18"/>
  <c r="H13" i="18"/>
  <c r="F124" i="18"/>
  <c r="E124" i="18"/>
  <c r="F140" i="18"/>
  <c r="E140" i="18"/>
  <c r="F210" i="18"/>
  <c r="E210" i="18"/>
  <c r="F9" i="18"/>
  <c r="E9" i="18"/>
  <c r="F114" i="18"/>
  <c r="E114" i="18"/>
  <c r="F229" i="18"/>
  <c r="E229" i="18"/>
  <c r="F240" i="18"/>
  <c r="E240" i="18"/>
  <c r="F125" i="18"/>
  <c r="E125" i="18"/>
  <c r="I260" i="18"/>
  <c r="H260" i="18"/>
  <c r="F211" i="18"/>
  <c r="E211" i="18"/>
  <c r="F150" i="18"/>
  <c r="E150" i="18"/>
  <c r="H346" i="18"/>
  <c r="I346" i="18"/>
  <c r="F188" i="18"/>
  <c r="E188" i="18"/>
  <c r="F136" i="18"/>
  <c r="E136" i="18"/>
  <c r="F247" i="18"/>
  <c r="E247" i="18"/>
  <c r="F244" i="18"/>
  <c r="E244" i="18"/>
  <c r="F149" i="18"/>
  <c r="E149" i="18"/>
  <c r="N205" i="18"/>
  <c r="M205" i="18"/>
  <c r="N207" i="18"/>
  <c r="M207" i="18"/>
  <c r="F259" i="18"/>
  <c r="E259" i="18"/>
  <c r="F330" i="18"/>
  <c r="E330" i="18"/>
  <c r="F325" i="18"/>
  <c r="E325" i="18"/>
  <c r="I5" i="18"/>
  <c r="H5" i="18"/>
  <c r="F25" i="18"/>
  <c r="E25" i="18"/>
  <c r="I62" i="18"/>
  <c r="H62" i="18"/>
  <c r="N102" i="18"/>
  <c r="M102" i="18"/>
  <c r="F17" i="18"/>
  <c r="E17" i="18"/>
  <c r="I186" i="18"/>
  <c r="H186" i="18"/>
  <c r="F145" i="18"/>
  <c r="E145" i="18"/>
  <c r="F203" i="18"/>
  <c r="E203" i="18"/>
  <c r="F193" i="18"/>
  <c r="E193" i="18"/>
  <c r="F138" i="18"/>
  <c r="E138" i="18"/>
  <c r="I230" i="18"/>
  <c r="H230" i="18"/>
  <c r="F163" i="18"/>
  <c r="E163" i="18"/>
  <c r="F208" i="18"/>
  <c r="E208" i="18"/>
  <c r="F152" i="18"/>
  <c r="E152" i="18"/>
  <c r="I218" i="18"/>
  <c r="H218" i="18"/>
  <c r="F166" i="18"/>
  <c r="E166" i="18"/>
  <c r="I307" i="18"/>
  <c r="H307" i="18"/>
  <c r="I341" i="18"/>
  <c r="H341" i="18"/>
  <c r="F158" i="18"/>
  <c r="E158" i="18"/>
  <c r="F299" i="18"/>
  <c r="E299" i="18"/>
  <c r="F175" i="18"/>
  <c r="E175" i="18"/>
  <c r="F23" i="18"/>
  <c r="E23" i="18"/>
  <c r="F253" i="18"/>
  <c r="E253" i="18"/>
  <c r="F262" i="18"/>
  <c r="E262" i="18"/>
  <c r="I10" i="18"/>
  <c r="H10" i="18"/>
  <c r="F302" i="18"/>
  <c r="E302" i="18"/>
  <c r="F334" i="18"/>
  <c r="E334" i="18"/>
  <c r="F266" i="18"/>
  <c r="E266" i="18"/>
  <c r="F303" i="18"/>
  <c r="E303" i="18"/>
  <c r="F179" i="18"/>
  <c r="E179" i="18"/>
  <c r="F257" i="18"/>
  <c r="E257" i="18"/>
  <c r="F315" i="18"/>
  <c r="E315" i="18"/>
  <c r="F14" i="18"/>
  <c r="E14" i="18"/>
  <c r="F306" i="18"/>
  <c r="E306" i="18"/>
  <c r="F307" i="18"/>
  <c r="E307" i="18"/>
  <c r="F218" i="18"/>
  <c r="E218" i="18"/>
  <c r="F62" i="18"/>
  <c r="E62" i="18"/>
  <c r="F255" i="18"/>
  <c r="E255" i="18"/>
  <c r="F254" i="18"/>
  <c r="E254" i="18"/>
  <c r="M333" i="18"/>
  <c r="N333" i="18"/>
  <c r="F367" i="18"/>
  <c r="E367" i="18"/>
  <c r="F252" i="18"/>
  <c r="E252" i="18"/>
  <c r="E204" i="18"/>
  <c r="F183" i="18"/>
  <c r="E183" i="18"/>
  <c r="F261" i="18"/>
  <c r="E261" i="18"/>
  <c r="F148" i="18"/>
  <c r="E148" i="18"/>
  <c r="F319" i="18"/>
  <c r="E319" i="18"/>
  <c r="I18" i="18"/>
  <c r="H18" i="18"/>
  <c r="F162" i="18"/>
  <c r="E162" i="18"/>
  <c r="F310" i="18"/>
  <c r="E310" i="18"/>
  <c r="F4" i="16"/>
  <c r="G4" i="16" s="1"/>
  <c r="F2" i="16"/>
  <c r="G2" i="16" s="1"/>
  <c r="D3" i="16"/>
  <c r="F3" i="16"/>
  <c r="E2" i="15"/>
  <c r="F2" i="15" s="1"/>
  <c r="E4" i="15"/>
  <c r="F4" i="15" s="1"/>
  <c r="E3" i="15"/>
  <c r="F3" i="15" s="1"/>
  <c r="AE200" i="2"/>
  <c r="AO200" i="2" s="1"/>
  <c r="AP200" i="2" s="1"/>
  <c r="O202" i="2"/>
  <c r="U201" i="2"/>
  <c r="V201" i="2" s="1"/>
  <c r="AQ203" i="2"/>
  <c r="U202" i="2"/>
  <c r="V202" i="2" s="1"/>
  <c r="AI203" i="2"/>
  <c r="AJ203" i="2" s="1"/>
  <c r="AR203" i="2" s="1"/>
  <c r="K200" i="2"/>
  <c r="AH203" i="2"/>
  <c r="O201" i="2"/>
  <c r="AC203" i="2"/>
  <c r="AD203" i="2" s="1"/>
  <c r="AB203" i="2"/>
  <c r="K202" i="2"/>
  <c r="T202" i="2"/>
  <c r="AK202" i="2"/>
  <c r="AL202" i="2" s="1"/>
  <c r="AA202" i="2"/>
  <c r="L202" i="2"/>
  <c r="M202" i="2" s="1"/>
  <c r="P202" i="2"/>
  <c r="Q202" i="2" s="1"/>
  <c r="AE202" i="2"/>
  <c r="AO202" i="2" s="1"/>
  <c r="AP202" i="2" s="1"/>
  <c r="AA200" i="2"/>
  <c r="AB200" i="2" s="1"/>
  <c r="X201" i="2"/>
  <c r="K201" i="2"/>
  <c r="AE201" i="2"/>
  <c r="AH201" i="2" s="1"/>
  <c r="U200" i="2"/>
  <c r="V200" i="2" s="1"/>
  <c r="AK201" i="2"/>
  <c r="AL201" i="2" s="1"/>
  <c r="T201" i="2"/>
  <c r="Y202" i="2"/>
  <c r="Z202" i="2" s="1"/>
  <c r="Y201" i="2"/>
  <c r="Z201" i="2" s="1"/>
  <c r="AA201" i="2"/>
  <c r="P201" i="2"/>
  <c r="Q201" i="2" s="1"/>
  <c r="L201" i="2"/>
  <c r="M201" i="2" s="1"/>
  <c r="Y200" i="2"/>
  <c r="Z200" i="2" s="1"/>
  <c r="O200" i="2"/>
  <c r="T200" i="2"/>
  <c r="AH200" i="2"/>
  <c r="P200" i="2"/>
  <c r="Q200" i="2" s="1"/>
  <c r="L200" i="2"/>
  <c r="M200" i="2" s="1"/>
  <c r="AK200" i="2"/>
  <c r="AL200" i="2" s="1"/>
  <c r="O5" i="7"/>
  <c r="O6" i="7"/>
  <c r="O7" i="7"/>
  <c r="O4" i="7"/>
  <c r="C199" i="2"/>
  <c r="D199" i="2"/>
  <c r="E199" i="2"/>
  <c r="F199" i="2"/>
  <c r="J199" i="2"/>
  <c r="N199" i="2"/>
  <c r="S199" i="2"/>
  <c r="W199" i="2"/>
  <c r="Y199" i="2" s="1"/>
  <c r="Z199" i="2" s="1"/>
  <c r="AS199" i="2"/>
  <c r="AT199" i="2"/>
  <c r="C198" i="2"/>
  <c r="D198" i="2"/>
  <c r="E198" i="2"/>
  <c r="F198" i="2"/>
  <c r="J198" i="2"/>
  <c r="N198" i="2"/>
  <c r="S198" i="2"/>
  <c r="W198" i="2"/>
  <c r="AS198" i="2"/>
  <c r="AT198" i="2"/>
  <c r="T298" i="18" l="1"/>
  <c r="U298" i="18" s="1"/>
  <c r="T260" i="18"/>
  <c r="U260" i="18" s="1"/>
  <c r="T93" i="18"/>
  <c r="U93" i="18" s="1"/>
  <c r="T297" i="18"/>
  <c r="U297" i="18" s="1"/>
  <c r="T333" i="18"/>
  <c r="U333" i="18" s="1"/>
  <c r="T328" i="18"/>
  <c r="U328" i="18" s="1"/>
  <c r="T242" i="18"/>
  <c r="U242" i="18" s="1"/>
  <c r="K5" i="18"/>
  <c r="L5" i="18" s="1"/>
  <c r="K213" i="18"/>
  <c r="L213" i="18" s="1"/>
  <c r="K13" i="18"/>
  <c r="L13" i="18" s="1"/>
  <c r="K160" i="18"/>
  <c r="L160" i="18" s="1"/>
  <c r="K346" i="18"/>
  <c r="L346" i="18" s="1"/>
  <c r="K230" i="18"/>
  <c r="L230" i="18" s="1"/>
  <c r="K8" i="18"/>
  <c r="L8" i="18" s="1"/>
  <c r="K212" i="18"/>
  <c r="L212" i="18" s="1"/>
  <c r="K243" i="18"/>
  <c r="L243" i="18" s="1"/>
  <c r="K111" i="18"/>
  <c r="L111" i="18" s="1"/>
  <c r="O210" i="18"/>
  <c r="P210" i="18" s="1"/>
  <c r="K219" i="18"/>
  <c r="L219" i="18" s="1"/>
  <c r="K358" i="18"/>
  <c r="L358" i="18" s="1"/>
  <c r="K260" i="18"/>
  <c r="L260" i="18" s="1"/>
  <c r="O211" i="18"/>
  <c r="P211" i="18" s="1"/>
  <c r="K214" i="18"/>
  <c r="L214" i="18" s="1"/>
  <c r="K18" i="18"/>
  <c r="L18" i="18" s="1"/>
  <c r="K10" i="18"/>
  <c r="L10" i="18" s="1"/>
  <c r="K186" i="18"/>
  <c r="L186" i="18" s="1"/>
  <c r="K216" i="18"/>
  <c r="L216" i="18" s="1"/>
  <c r="K271" i="18"/>
  <c r="L271" i="18" s="1"/>
  <c r="O215" i="18"/>
  <c r="P215" i="18" s="1"/>
  <c r="K236" i="18"/>
  <c r="L236" i="18" s="1"/>
  <c r="K6" i="18"/>
  <c r="L6" i="18" s="1"/>
  <c r="K341" i="18"/>
  <c r="L341" i="18" s="1"/>
  <c r="O216" i="18"/>
  <c r="P216" i="18" s="1"/>
  <c r="O214" i="18"/>
  <c r="P214" i="18" s="1"/>
  <c r="O62" i="18"/>
  <c r="P62" i="18" s="1"/>
  <c r="O213" i="18"/>
  <c r="P213" i="18" s="1"/>
  <c r="O209" i="18"/>
  <c r="P209" i="18" s="1"/>
  <c r="O186" i="18"/>
  <c r="P186" i="18" s="1"/>
  <c r="O212" i="18"/>
  <c r="P212" i="18" s="1"/>
  <c r="O260" i="18"/>
  <c r="P260" i="18" s="1"/>
  <c r="O208" i="18"/>
  <c r="P208" i="18" s="1"/>
  <c r="K62" i="18"/>
  <c r="L62" i="18" s="1"/>
  <c r="K17" i="18"/>
  <c r="L17" i="18" s="1"/>
  <c r="K322" i="18"/>
  <c r="L322" i="18" s="1"/>
  <c r="K306" i="18"/>
  <c r="L306" i="18" s="1"/>
  <c r="K208" i="18"/>
  <c r="L208" i="18" s="1"/>
  <c r="K14" i="18"/>
  <c r="L14" i="18" s="1"/>
  <c r="K220" i="18"/>
  <c r="L220" i="18" s="1"/>
  <c r="K215" i="18"/>
  <c r="L215" i="18" s="1"/>
  <c r="K15" i="18"/>
  <c r="L15" i="18" s="1"/>
  <c r="K16" i="18"/>
  <c r="L16" i="18" s="1"/>
  <c r="K11" i="18"/>
  <c r="L11" i="18" s="1"/>
  <c r="K3" i="18"/>
  <c r="L3" i="18" s="1"/>
  <c r="K307" i="18"/>
  <c r="L307" i="18" s="1"/>
  <c r="K218" i="18"/>
  <c r="L218" i="18" s="1"/>
  <c r="K145" i="18"/>
  <c r="L145" i="18" s="1"/>
  <c r="K12" i="18"/>
  <c r="L12" i="18" s="1"/>
  <c r="K9" i="18"/>
  <c r="L9" i="18" s="1"/>
  <c r="K278" i="18"/>
  <c r="L278" i="18" s="1"/>
  <c r="K229" i="18"/>
  <c r="L229" i="18" s="1"/>
  <c r="K7" i="18"/>
  <c r="L7" i="18" s="1"/>
  <c r="K20" i="18"/>
  <c r="L20" i="18" s="1"/>
  <c r="K4" i="18"/>
  <c r="L4" i="18" s="1"/>
  <c r="K211" i="18"/>
  <c r="L211" i="18" s="1"/>
  <c r="K210" i="18"/>
  <c r="L210" i="18" s="1"/>
  <c r="K217" i="18"/>
  <c r="L217" i="18" s="1"/>
  <c r="K362" i="18"/>
  <c r="L362" i="18" s="1"/>
  <c r="V9" i="12"/>
  <c r="W8" i="12"/>
  <c r="X8" i="12" s="1"/>
  <c r="Z8" i="12"/>
  <c r="G3" i="16"/>
  <c r="AI202" i="2"/>
  <c r="AJ202" i="2" s="1"/>
  <c r="AR202" i="2" s="1"/>
  <c r="AI200" i="2"/>
  <c r="AJ200" i="2" s="1"/>
  <c r="AR200" i="2" s="1"/>
  <c r="AE198" i="2"/>
  <c r="AH198" i="2" s="1"/>
  <c r="P199" i="2"/>
  <c r="Q199" i="2" s="1"/>
  <c r="U198" i="2"/>
  <c r="V198" i="2" s="1"/>
  <c r="AQ201" i="2"/>
  <c r="AC200" i="2"/>
  <c r="AD200" i="2" s="1"/>
  <c r="AI201" i="2"/>
  <c r="AJ201" i="2" s="1"/>
  <c r="AR201" i="2" s="1"/>
  <c r="AH202" i="2"/>
  <c r="AO201" i="2"/>
  <c r="AP201" i="2" s="1"/>
  <c r="AQ200" i="2"/>
  <c r="AC202" i="2"/>
  <c r="AD202" i="2" s="1"/>
  <c r="AB202" i="2"/>
  <c r="AQ202" i="2"/>
  <c r="AK199" i="2"/>
  <c r="AL199" i="2" s="1"/>
  <c r="L199" i="2"/>
  <c r="M199" i="2" s="1"/>
  <c r="AB201" i="2"/>
  <c r="AC201" i="2"/>
  <c r="AD201" i="2" s="1"/>
  <c r="P198" i="2"/>
  <c r="Q198" i="2" s="1"/>
  <c r="T198" i="2"/>
  <c r="K198" i="2"/>
  <c r="U199" i="2"/>
  <c r="V199" i="2" s="1"/>
  <c r="Y198" i="2"/>
  <c r="Z198" i="2" s="1"/>
  <c r="AE199" i="2"/>
  <c r="AI199" i="2" s="1"/>
  <c r="AJ199" i="2" s="1"/>
  <c r="AR199" i="2" s="1"/>
  <c r="AA199" i="2"/>
  <c r="AQ199" i="2"/>
  <c r="O198" i="2"/>
  <c r="X199" i="2"/>
  <c r="T199" i="2"/>
  <c r="O199" i="2"/>
  <c r="K199" i="2"/>
  <c r="AK198" i="2"/>
  <c r="AL198" i="2" s="1"/>
  <c r="X198" i="2"/>
  <c r="AA198" i="2"/>
  <c r="L198" i="2"/>
  <c r="M198" i="2" s="1"/>
  <c r="V10" i="12" l="1"/>
  <c r="V11" i="12" s="1"/>
  <c r="V12" i="12" s="1"/>
  <c r="W9" i="12"/>
  <c r="X9" i="12" s="1"/>
  <c r="Z9" i="12"/>
  <c r="AI198" i="2"/>
  <c r="AJ198" i="2" s="1"/>
  <c r="AR198" i="2" s="1"/>
  <c r="AO198" i="2"/>
  <c r="AP198" i="2" s="1"/>
  <c r="AQ198" i="2"/>
  <c r="AH199" i="2"/>
  <c r="AO199" i="2"/>
  <c r="AP199" i="2" s="1"/>
  <c r="AB199" i="2"/>
  <c r="AC199" i="2"/>
  <c r="AD199" i="2" s="1"/>
  <c r="AC198" i="2"/>
  <c r="AD198" i="2" s="1"/>
  <c r="AB198" i="2"/>
  <c r="W12" i="12" l="1"/>
  <c r="X12" i="12" s="1"/>
  <c r="Z12" i="12"/>
  <c r="Z11" i="12"/>
  <c r="W11" i="12"/>
  <c r="X11" i="12" s="1"/>
  <c r="W10" i="12"/>
  <c r="X10" i="12" s="1"/>
  <c r="Z10" i="12"/>
  <c r="U5" i="7"/>
  <c r="U6" i="7"/>
  <c r="U7" i="7"/>
  <c r="U4" i="7"/>
  <c r="Q5" i="7"/>
  <c r="Q6" i="7"/>
  <c r="Q7" i="7"/>
  <c r="Q4" i="7"/>
  <c r="W8" i="7" l="1"/>
  <c r="W12" i="7"/>
  <c r="W16" i="7"/>
  <c r="W20" i="7"/>
  <c r="W9" i="7"/>
  <c r="W13" i="7"/>
  <c r="W17" i="7"/>
  <c r="W21" i="7"/>
  <c r="W10" i="7"/>
  <c r="W14" i="7"/>
  <c r="W18" i="7"/>
  <c r="W11" i="7"/>
  <c r="W15" i="7"/>
  <c r="W19" i="7"/>
  <c r="W7" i="7"/>
  <c r="S10" i="7"/>
  <c r="Y10" i="7" s="1"/>
  <c r="S14" i="7"/>
  <c r="S18" i="7"/>
  <c r="S11" i="7"/>
  <c r="Y11" i="7" s="1"/>
  <c r="S15" i="7"/>
  <c r="Y15" i="7" s="1"/>
  <c r="S19" i="7"/>
  <c r="Y19" i="7" s="1"/>
  <c r="S8" i="7"/>
  <c r="Y8" i="7" s="1"/>
  <c r="S12" i="7"/>
  <c r="Y12" i="7" s="1"/>
  <c r="S16" i="7"/>
  <c r="Y16" i="7" s="1"/>
  <c r="S20" i="7"/>
  <c r="Y20" i="7" s="1"/>
  <c r="S7" i="7"/>
  <c r="S9" i="7"/>
  <c r="Y9" i="7" s="1"/>
  <c r="S13" i="7"/>
  <c r="Y13" i="7" s="1"/>
  <c r="S17" i="7"/>
  <c r="Y17" i="7" s="1"/>
  <c r="S21" i="7"/>
  <c r="Y21" i="7" s="1"/>
  <c r="R235" i="18"/>
  <c r="J5" i="15"/>
  <c r="H5" i="16"/>
  <c r="H4" i="16"/>
  <c r="K4" i="16"/>
  <c r="S5" i="7"/>
  <c r="S6" i="7"/>
  <c r="S4" i="7"/>
  <c r="W6" i="7"/>
  <c r="H23" i="18"/>
  <c r="H54" i="18"/>
  <c r="H66" i="18"/>
  <c r="H142" i="18"/>
  <c r="E85" i="18"/>
  <c r="J3" i="15"/>
  <c r="H24" i="18"/>
  <c r="H165" i="18"/>
  <c r="E55" i="18"/>
  <c r="E78" i="18"/>
  <c r="E83" i="18"/>
  <c r="E113" i="18"/>
  <c r="H37" i="18"/>
  <c r="H64" i="18"/>
  <c r="H69" i="18"/>
  <c r="H73" i="18"/>
  <c r="H77" i="18"/>
  <c r="H85" i="18"/>
  <c r="H93" i="18"/>
  <c r="H98" i="18"/>
  <c r="H102" i="18"/>
  <c r="H110" i="18"/>
  <c r="H120" i="18"/>
  <c r="H128" i="18"/>
  <c r="H132" i="18"/>
  <c r="H136" i="18"/>
  <c r="H140" i="18"/>
  <c r="H144" i="18"/>
  <c r="H149" i="18"/>
  <c r="H153" i="18"/>
  <c r="H162" i="18"/>
  <c r="H166" i="18"/>
  <c r="H170" i="18"/>
  <c r="H178" i="18"/>
  <c r="H195" i="18"/>
  <c r="H22" i="18"/>
  <c r="H94" i="18"/>
  <c r="H163" i="18"/>
  <c r="H65" i="18"/>
  <c r="H133" i="18"/>
  <c r="H258" i="18"/>
  <c r="H285" i="18"/>
  <c r="H332" i="18"/>
  <c r="H345" i="18"/>
  <c r="H86" i="18"/>
  <c r="H224" i="18"/>
  <c r="H261" i="18"/>
  <c r="H295" i="18"/>
  <c r="H330" i="18"/>
  <c r="W4" i="7"/>
  <c r="H171" i="18"/>
  <c r="H290" i="18"/>
  <c r="H351" i="18"/>
  <c r="H228" i="18"/>
  <c r="W5" i="7"/>
  <c r="H199" i="18"/>
  <c r="R5" i="7"/>
  <c r="V7" i="7"/>
  <c r="V6" i="7"/>
  <c r="V4" i="7"/>
  <c r="V5" i="7"/>
  <c r="R4" i="7"/>
  <c r="X4" i="7"/>
  <c r="X5" i="7"/>
  <c r="R7" i="7"/>
  <c r="R6" i="7"/>
  <c r="X6" i="7"/>
  <c r="C31" i="23"/>
  <c r="C24" i="23"/>
  <c r="C18" i="23"/>
  <c r="X7" i="7"/>
  <c r="AA7" i="7" s="1"/>
  <c r="C197" i="2"/>
  <c r="D197" i="2"/>
  <c r="E197" i="2"/>
  <c r="F197" i="2"/>
  <c r="J197" i="2"/>
  <c r="N197" i="2"/>
  <c r="S197" i="2"/>
  <c r="W197" i="2"/>
  <c r="AS197" i="2"/>
  <c r="AT197" i="2"/>
  <c r="AC13" i="7" l="1"/>
  <c r="AD13" i="7"/>
  <c r="AE13" i="7" s="1"/>
  <c r="AC16" i="7"/>
  <c r="AD16" i="7"/>
  <c r="AE16" i="7" s="1"/>
  <c r="AD15" i="7"/>
  <c r="AE15" i="7" s="1"/>
  <c r="AC15" i="7"/>
  <c r="AD10" i="7"/>
  <c r="AE10" i="7" s="1"/>
  <c r="AC10" i="7"/>
  <c r="AC9" i="7"/>
  <c r="AD9" i="7"/>
  <c r="AE9" i="7" s="1"/>
  <c r="AC12" i="7"/>
  <c r="AD12" i="7"/>
  <c r="AE12" i="7" s="1"/>
  <c r="AD11" i="7"/>
  <c r="AE11" i="7" s="1"/>
  <c r="AC11" i="7"/>
  <c r="AC21" i="7"/>
  <c r="AD21" i="7"/>
  <c r="AE21" i="7" s="1"/>
  <c r="AC8" i="7"/>
  <c r="AD8" i="7"/>
  <c r="AE8" i="7" s="1"/>
  <c r="Y18" i="7"/>
  <c r="AC17" i="7"/>
  <c r="AD17" i="7"/>
  <c r="AE17" i="7" s="1"/>
  <c r="AC20" i="7"/>
  <c r="AD20" i="7"/>
  <c r="AE20" i="7" s="1"/>
  <c r="AD19" i="7"/>
  <c r="AE19" i="7" s="1"/>
  <c r="AC19" i="7"/>
  <c r="Y14" i="7"/>
  <c r="R238" i="18"/>
  <c r="R236" i="18"/>
  <c r="R234" i="18"/>
  <c r="R227" i="18"/>
  <c r="R225" i="18"/>
  <c r="R224" i="18"/>
  <c r="R221" i="18"/>
  <c r="R220" i="18"/>
  <c r="R217" i="18"/>
  <c r="R214" i="18"/>
  <c r="R213" i="18"/>
  <c r="R210" i="18"/>
  <c r="R209" i="18"/>
  <c r="R204" i="18"/>
  <c r="R198" i="18"/>
  <c r="R190" i="18"/>
  <c r="R188" i="18"/>
  <c r="R187" i="18"/>
  <c r="R186" i="18"/>
  <c r="R185" i="18"/>
  <c r="R184" i="18"/>
  <c r="R180" i="18"/>
  <c r="R179" i="18"/>
  <c r="R172" i="18"/>
  <c r="R170" i="18"/>
  <c r="R163" i="18"/>
  <c r="R161" i="18"/>
  <c r="R160" i="18"/>
  <c r="R157" i="18"/>
  <c r="R155" i="18"/>
  <c r="R154" i="18"/>
  <c r="R141" i="18"/>
  <c r="R140" i="18"/>
  <c r="R131" i="18"/>
  <c r="R129" i="18"/>
  <c r="R113" i="18"/>
  <c r="R110" i="18"/>
  <c r="R109" i="18"/>
  <c r="R106" i="18"/>
  <c r="R105" i="18"/>
  <c r="R104" i="18"/>
  <c r="R103" i="18"/>
  <c r="R102" i="18"/>
  <c r="C12" i="23"/>
  <c r="R91" i="18"/>
  <c r="R57" i="18"/>
  <c r="R54" i="18"/>
  <c r="L5" i="16"/>
  <c r="R44" i="18"/>
  <c r="E335" i="18"/>
  <c r="R34" i="18"/>
  <c r="K5" i="16"/>
  <c r="G5" i="15"/>
  <c r="H5" i="15"/>
  <c r="K5" i="15"/>
  <c r="L5" i="15" s="1"/>
  <c r="H233" i="18"/>
  <c r="I5" i="16"/>
  <c r="J5" i="16" s="1"/>
  <c r="M362" i="18"/>
  <c r="M301" i="18"/>
  <c r="M261" i="18"/>
  <c r="F10" i="27"/>
  <c r="F8" i="27"/>
  <c r="F11" i="27"/>
  <c r="AA6" i="7"/>
  <c r="C3" i="24" s="1"/>
  <c r="Z5" i="7"/>
  <c r="AA5" i="7"/>
  <c r="F6" i="27"/>
  <c r="AB4" i="7"/>
  <c r="M248" i="18"/>
  <c r="M226" i="18"/>
  <c r="M156" i="18"/>
  <c r="M117" i="18"/>
  <c r="E108" i="18"/>
  <c r="E86" i="18"/>
  <c r="H29" i="18"/>
  <c r="E97" i="18"/>
  <c r="E58" i="18"/>
  <c r="H25" i="18"/>
  <c r="E291" i="18"/>
  <c r="E93" i="18"/>
  <c r="E50" i="18"/>
  <c r="H21" i="18"/>
  <c r="E169" i="18"/>
  <c r="E105" i="18"/>
  <c r="E89" i="18"/>
  <c r="E95" i="18"/>
  <c r="M103" i="18"/>
  <c r="M100" i="18"/>
  <c r="M99" i="18"/>
  <c r="M98" i="18"/>
  <c r="M95" i="18"/>
  <c r="M94" i="18"/>
  <c r="M92" i="18"/>
  <c r="M91" i="18"/>
  <c r="M89" i="18"/>
  <c r="M88" i="18"/>
  <c r="M87" i="18"/>
  <c r="M86" i="18"/>
  <c r="M85" i="18"/>
  <c r="M84" i="18"/>
  <c r="M83" i="18"/>
  <c r="M82" i="18"/>
  <c r="M80" i="18"/>
  <c r="M79" i="18"/>
  <c r="M78" i="18"/>
  <c r="M77" i="18"/>
  <c r="H187" i="18"/>
  <c r="H45" i="18"/>
  <c r="H137" i="18"/>
  <c r="H303" i="18"/>
  <c r="H269" i="18"/>
  <c r="H241" i="18"/>
  <c r="H100" i="18"/>
  <c r="M75" i="18"/>
  <c r="M73" i="18"/>
  <c r="M72" i="18"/>
  <c r="M71" i="18"/>
  <c r="M70" i="18"/>
  <c r="M68" i="18"/>
  <c r="M66" i="18"/>
  <c r="M65" i="18"/>
  <c r="M64" i="18"/>
  <c r="M63" i="18"/>
  <c r="M61" i="18"/>
  <c r="M59" i="18"/>
  <c r="M58" i="18"/>
  <c r="M57" i="18"/>
  <c r="M56" i="18"/>
  <c r="H333" i="18"/>
  <c r="H305" i="18"/>
  <c r="H238" i="18"/>
  <c r="H244" i="18"/>
  <c r="H349" i="18"/>
  <c r="H262" i="18"/>
  <c r="H38" i="18"/>
  <c r="M55" i="18"/>
  <c r="M53" i="18"/>
  <c r="M52" i="18"/>
  <c r="M51" i="18"/>
  <c r="M50" i="18"/>
  <c r="M49" i="18"/>
  <c r="M48" i="18"/>
  <c r="M46" i="18"/>
  <c r="M45" i="18"/>
  <c r="M44" i="18"/>
  <c r="M42" i="18"/>
  <c r="M41" i="18"/>
  <c r="M40" i="18"/>
  <c r="M39" i="18"/>
  <c r="M38" i="18"/>
  <c r="M37" i="18"/>
  <c r="M36" i="18"/>
  <c r="M34" i="18"/>
  <c r="H226" i="18"/>
  <c r="H273" i="18"/>
  <c r="M32" i="18"/>
  <c r="M31" i="18"/>
  <c r="M30" i="18"/>
  <c r="M28" i="18"/>
  <c r="M27" i="18"/>
  <c r="M26" i="18"/>
  <c r="H88" i="18"/>
  <c r="M25" i="18"/>
  <c r="M23" i="18"/>
  <c r="M21" i="18"/>
  <c r="M20" i="18"/>
  <c r="M19" i="18"/>
  <c r="M18" i="18"/>
  <c r="M17" i="18"/>
  <c r="M16" i="18"/>
  <c r="L4" i="16"/>
  <c r="H202" i="18"/>
  <c r="H63" i="18"/>
  <c r="H311" i="18"/>
  <c r="M11" i="18"/>
  <c r="Y4" i="7"/>
  <c r="M10" i="18"/>
  <c r="M9" i="18"/>
  <c r="M8" i="18"/>
  <c r="M6" i="18"/>
  <c r="I4" i="16"/>
  <c r="J4" i="16" s="1"/>
  <c r="M5" i="18"/>
  <c r="Y6" i="7"/>
  <c r="M4" i="18"/>
  <c r="J4" i="15"/>
  <c r="K4" i="15"/>
  <c r="M3" i="18"/>
  <c r="G4" i="15"/>
  <c r="H4" i="15"/>
  <c r="M2" i="18"/>
  <c r="N2" i="18" s="1"/>
  <c r="H367" i="18"/>
  <c r="H366" i="18"/>
  <c r="H365" i="18"/>
  <c r="H364" i="18"/>
  <c r="H363" i="18"/>
  <c r="H361" i="18"/>
  <c r="E65" i="18"/>
  <c r="H325" i="18"/>
  <c r="H148" i="18"/>
  <c r="H302" i="18"/>
  <c r="H319" i="18"/>
  <c r="H151" i="18"/>
  <c r="E99" i="18"/>
  <c r="H207" i="18"/>
  <c r="E71" i="18"/>
  <c r="E56" i="18"/>
  <c r="H360" i="18"/>
  <c r="H33" i="18"/>
  <c r="E258" i="18"/>
  <c r="E359" i="18"/>
  <c r="E100" i="18"/>
  <c r="E70" i="18"/>
  <c r="H359" i="18"/>
  <c r="H355" i="18"/>
  <c r="H356" i="18"/>
  <c r="E126" i="18"/>
  <c r="E101" i="18"/>
  <c r="E84" i="18"/>
  <c r="E33" i="18"/>
  <c r="Y7" i="7"/>
  <c r="E53" i="18"/>
  <c r="H30" i="18"/>
  <c r="E80" i="18"/>
  <c r="E54" i="18"/>
  <c r="E94" i="18"/>
  <c r="E52" i="18"/>
  <c r="E106" i="18"/>
  <c r="H2" i="16"/>
  <c r="G2" i="15"/>
  <c r="Y5" i="7"/>
  <c r="E26" i="18" s="1"/>
  <c r="H354" i="18"/>
  <c r="I3" i="16"/>
  <c r="H3" i="15"/>
  <c r="I2" i="16"/>
  <c r="H3" i="16"/>
  <c r="H2" i="15"/>
  <c r="K2" i="16"/>
  <c r="J2" i="15"/>
  <c r="L3" i="16"/>
  <c r="K3" i="15"/>
  <c r="L3" i="15" s="1"/>
  <c r="G3" i="15"/>
  <c r="H19" i="18"/>
  <c r="L2" i="16"/>
  <c r="K3" i="16"/>
  <c r="K2" i="15"/>
  <c r="X197" i="2"/>
  <c r="Z6" i="7"/>
  <c r="AB7" i="7"/>
  <c r="Z7" i="7"/>
  <c r="O197" i="2"/>
  <c r="K197" i="2"/>
  <c r="T197" i="2"/>
  <c r="AE197" i="2"/>
  <c r="AO197" i="2" s="1"/>
  <c r="AP197" i="2" s="1"/>
  <c r="AA197" i="2"/>
  <c r="AB197" i="2" s="1"/>
  <c r="AK197" i="2"/>
  <c r="AL197" i="2" s="1"/>
  <c r="Y197" i="2"/>
  <c r="Z197" i="2" s="1"/>
  <c r="U197" i="2"/>
  <c r="V197" i="2" s="1"/>
  <c r="P197" i="2"/>
  <c r="Q197" i="2" s="1"/>
  <c r="L197" i="2"/>
  <c r="M197" i="2" s="1"/>
  <c r="AD18" i="7" l="1"/>
  <c r="AE18" i="7" s="1"/>
  <c r="AC18" i="7"/>
  <c r="AD14" i="7"/>
  <c r="AE14" i="7" s="1"/>
  <c r="AC14" i="7"/>
  <c r="F7" i="27"/>
  <c r="AC4" i="7"/>
  <c r="E121" i="18"/>
  <c r="F12" i="27"/>
  <c r="F2" i="27"/>
  <c r="F3" i="27"/>
  <c r="F5" i="27"/>
  <c r="F4" i="27"/>
  <c r="F13" i="27"/>
  <c r="R239" i="18"/>
  <c r="R237" i="18"/>
  <c r="R233" i="18"/>
  <c r="R232" i="18"/>
  <c r="R231" i="18"/>
  <c r="R230" i="18"/>
  <c r="R229" i="18"/>
  <c r="R228" i="18"/>
  <c r="R226" i="18"/>
  <c r="R222" i="18"/>
  <c r="R223" i="18"/>
  <c r="R219" i="18"/>
  <c r="R218" i="18"/>
  <c r="R216" i="18"/>
  <c r="R215" i="18"/>
  <c r="R212" i="18"/>
  <c r="R211" i="18"/>
  <c r="R206" i="18"/>
  <c r="R203" i="18"/>
  <c r="R208" i="18"/>
  <c r="R207" i="18"/>
  <c r="R201" i="18"/>
  <c r="Y2" i="7"/>
  <c r="AA1" i="7"/>
  <c r="R205" i="18"/>
  <c r="R202" i="18"/>
  <c r="R200" i="18"/>
  <c r="R199" i="18"/>
  <c r="R197" i="18"/>
  <c r="R193" i="18"/>
  <c r="R196" i="18"/>
  <c r="R195" i="18"/>
  <c r="R194" i="18"/>
  <c r="R192" i="18"/>
  <c r="R189" i="18"/>
  <c r="R191" i="18"/>
  <c r="R174" i="18"/>
  <c r="R181" i="18"/>
  <c r="R182" i="18"/>
  <c r="R183" i="18"/>
  <c r="R176" i="18"/>
  <c r="R178" i="18"/>
  <c r="R177" i="18"/>
  <c r="R175" i="18"/>
  <c r="R173" i="18"/>
  <c r="R171" i="18"/>
  <c r="R169" i="18"/>
  <c r="R168" i="18"/>
  <c r="R257" i="18"/>
  <c r="R165" i="18"/>
  <c r="R167" i="18"/>
  <c r="R166" i="18"/>
  <c r="R162" i="18"/>
  <c r="R164" i="18"/>
  <c r="R159" i="18"/>
  <c r="R158" i="18"/>
  <c r="R156" i="18"/>
  <c r="R152" i="18"/>
  <c r="R150" i="18"/>
  <c r="R153" i="18"/>
  <c r="R151" i="18"/>
  <c r="R148" i="18"/>
  <c r="R146" i="18"/>
  <c r="R147" i="18"/>
  <c r="R145" i="18"/>
  <c r="R144" i="18"/>
  <c r="R143" i="18"/>
  <c r="R137" i="18"/>
  <c r="R138" i="18"/>
  <c r="R139" i="18"/>
  <c r="R136" i="18"/>
  <c r="R135" i="18"/>
  <c r="R134" i="18"/>
  <c r="R118" i="18"/>
  <c r="R127" i="18"/>
  <c r="R133" i="18"/>
  <c r="R132" i="18"/>
  <c r="R130" i="18"/>
  <c r="R128" i="18"/>
  <c r="R126" i="18"/>
  <c r="R125" i="18"/>
  <c r="R124" i="18"/>
  <c r="R122" i="18"/>
  <c r="R121" i="18"/>
  <c r="R120" i="18"/>
  <c r="R119" i="18"/>
  <c r="R116" i="18"/>
  <c r="R117" i="18"/>
  <c r="R88" i="18"/>
  <c r="R115" i="18"/>
  <c r="R114" i="18"/>
  <c r="R112" i="18"/>
  <c r="R111" i="18"/>
  <c r="R98" i="18"/>
  <c r="R108" i="18"/>
  <c r="R107" i="18"/>
  <c r="R100" i="18"/>
  <c r="R101" i="18"/>
  <c r="R99" i="18"/>
  <c r="R97" i="18"/>
  <c r="R96" i="18"/>
  <c r="R95" i="18"/>
  <c r="C21" i="23"/>
  <c r="C2" i="24"/>
  <c r="C14" i="23"/>
  <c r="C10" i="23"/>
  <c r="B3" i="26"/>
  <c r="B5" i="26"/>
  <c r="B6" i="26"/>
  <c r="B7" i="26"/>
  <c r="B2" i="26"/>
  <c r="R81" i="18"/>
  <c r="R87" i="18"/>
  <c r="R94" i="18"/>
  <c r="AB6" i="7"/>
  <c r="B8" i="26"/>
  <c r="B4" i="26"/>
  <c r="R92" i="18"/>
  <c r="F2" i="25"/>
  <c r="R90" i="18"/>
  <c r="F3" i="25"/>
  <c r="R89" i="18"/>
  <c r="B3" i="24"/>
  <c r="B12" i="24"/>
  <c r="B5" i="24"/>
  <c r="B11" i="24"/>
  <c r="B4" i="24"/>
  <c r="R51" i="18"/>
  <c r="B6" i="24"/>
  <c r="B2" i="24"/>
  <c r="B13" i="24"/>
  <c r="B8" i="24"/>
  <c r="B7" i="24"/>
  <c r="B10" i="24"/>
  <c r="C11" i="23"/>
  <c r="C3" i="23"/>
  <c r="C16" i="23"/>
  <c r="C9" i="23"/>
  <c r="C32" i="23"/>
  <c r="C19" i="23"/>
  <c r="C13" i="23"/>
  <c r="C22" i="23"/>
  <c r="C4" i="23"/>
  <c r="R77" i="18"/>
  <c r="C7" i="23"/>
  <c r="C2" i="23"/>
  <c r="C26" i="23"/>
  <c r="C6" i="23"/>
  <c r="C23" i="23"/>
  <c r="C25" i="23"/>
  <c r="C15" i="23"/>
  <c r="C5" i="23"/>
  <c r="C29" i="23"/>
  <c r="C28" i="23"/>
  <c r="C17" i="23"/>
  <c r="C8" i="23"/>
  <c r="C30" i="23"/>
  <c r="C20" i="23"/>
  <c r="C27" i="23"/>
  <c r="R86" i="18"/>
  <c r="R85" i="18"/>
  <c r="R84" i="18"/>
  <c r="R83" i="18"/>
  <c r="R82" i="18"/>
  <c r="R80" i="18"/>
  <c r="R79" i="18"/>
  <c r="R78" i="18"/>
  <c r="R62" i="18"/>
  <c r="R67" i="18"/>
  <c r="R76" i="18"/>
  <c r="R75" i="18"/>
  <c r="R74" i="18"/>
  <c r="R73" i="18"/>
  <c r="R72" i="18"/>
  <c r="R71" i="18"/>
  <c r="R70" i="18"/>
  <c r="R69" i="18"/>
  <c r="R68" i="18"/>
  <c r="R63" i="18"/>
  <c r="R66" i="18"/>
  <c r="R65" i="18"/>
  <c r="R64" i="18"/>
  <c r="R61" i="18"/>
  <c r="R60" i="18"/>
  <c r="M5" i="16"/>
  <c r="N5" i="16" s="1"/>
  <c r="P5" i="16" s="1"/>
  <c r="Q5" i="16" s="1"/>
  <c r="R58" i="18"/>
  <c r="R59" i="18"/>
  <c r="R56" i="18"/>
  <c r="R55" i="18"/>
  <c r="R53" i="18"/>
  <c r="R52" i="18"/>
  <c r="R50" i="18"/>
  <c r="R49" i="18"/>
  <c r="R48" i="18"/>
  <c r="R47" i="18"/>
  <c r="R45" i="18"/>
  <c r="R46" i="18"/>
  <c r="R41" i="18"/>
  <c r="R42" i="18"/>
  <c r="R43" i="18"/>
  <c r="R27" i="18"/>
  <c r="R37" i="18"/>
  <c r="R31" i="18"/>
  <c r="R40" i="18"/>
  <c r="R39" i="18"/>
  <c r="R38" i="18"/>
  <c r="R36" i="18"/>
  <c r="R35" i="18"/>
  <c r="R33" i="18"/>
  <c r="R32" i="18"/>
  <c r="R30" i="18"/>
  <c r="R29" i="18"/>
  <c r="R28" i="18"/>
  <c r="R25" i="18"/>
  <c r="R26" i="18"/>
  <c r="R24" i="18"/>
  <c r="R23" i="18"/>
  <c r="R22" i="18"/>
  <c r="R21" i="18"/>
  <c r="R20" i="18"/>
  <c r="R19" i="18"/>
  <c r="R18" i="18"/>
  <c r="R17" i="18"/>
  <c r="R16" i="18"/>
  <c r="M352" i="18"/>
  <c r="R15" i="18"/>
  <c r="R14" i="18"/>
  <c r="R11" i="18"/>
  <c r="R13" i="18"/>
  <c r="M360" i="18"/>
  <c r="R12" i="18"/>
  <c r="R10" i="18"/>
  <c r="R9" i="18"/>
  <c r="R5" i="18"/>
  <c r="R8" i="18"/>
  <c r="R7" i="18"/>
  <c r="R6" i="18"/>
  <c r="I5" i="15"/>
  <c r="M5" i="15" s="1"/>
  <c r="M365" i="18"/>
  <c r="N365" i="18" s="1"/>
  <c r="R4" i="18"/>
  <c r="R3" i="18"/>
  <c r="M368" i="18"/>
  <c r="N368" i="18" s="1"/>
  <c r="M367" i="18"/>
  <c r="N367" i="18" s="1"/>
  <c r="M366" i="18"/>
  <c r="N366" i="18" s="1"/>
  <c r="AD1" i="7"/>
  <c r="AC1" i="7"/>
  <c r="AB1" i="7"/>
  <c r="AE1" i="7"/>
  <c r="R2" i="18"/>
  <c r="S235" i="18" s="1"/>
  <c r="M364" i="18"/>
  <c r="N364" i="18" s="1"/>
  <c r="M363" i="18"/>
  <c r="M361" i="18"/>
  <c r="M359" i="18"/>
  <c r="M358" i="18"/>
  <c r="M357" i="18"/>
  <c r="M356" i="18"/>
  <c r="M355" i="18"/>
  <c r="M354" i="18"/>
  <c r="M353" i="18"/>
  <c r="M351" i="18"/>
  <c r="M346" i="18"/>
  <c r="M350" i="18"/>
  <c r="M349" i="18"/>
  <c r="M348" i="18"/>
  <c r="M347" i="18"/>
  <c r="M345" i="18"/>
  <c r="M344" i="18"/>
  <c r="M343" i="18"/>
  <c r="M342" i="18"/>
  <c r="M341" i="18"/>
  <c r="M340" i="18"/>
  <c r="M339" i="18"/>
  <c r="M338" i="18"/>
  <c r="M309" i="18"/>
  <c r="M334" i="18"/>
  <c r="M337" i="18"/>
  <c r="M336" i="18"/>
  <c r="M335" i="18"/>
  <c r="M318" i="18"/>
  <c r="M330" i="18"/>
  <c r="M332" i="18"/>
  <c r="M331" i="18"/>
  <c r="M329" i="18"/>
  <c r="M327" i="18"/>
  <c r="M326" i="18"/>
  <c r="M325" i="18"/>
  <c r="M324" i="18"/>
  <c r="M323" i="18"/>
  <c r="M322" i="18"/>
  <c r="M321" i="18"/>
  <c r="M320" i="18"/>
  <c r="M319" i="18"/>
  <c r="M310" i="18"/>
  <c r="M317" i="18"/>
  <c r="M316" i="18"/>
  <c r="M314" i="18"/>
  <c r="M315" i="18"/>
  <c r="M313" i="18"/>
  <c r="M312" i="18"/>
  <c r="M307" i="18"/>
  <c r="M311" i="18"/>
  <c r="AB5" i="7"/>
  <c r="M305" i="18"/>
  <c r="M308" i="18"/>
  <c r="M299" i="18"/>
  <c r="M306" i="18"/>
  <c r="M304" i="18"/>
  <c r="M303" i="18"/>
  <c r="M295" i="18"/>
  <c r="M302" i="18"/>
  <c r="M245" i="18"/>
  <c r="M300" i="18"/>
  <c r="M296" i="18"/>
  <c r="M293" i="18"/>
  <c r="M294" i="18"/>
  <c r="M292" i="18"/>
  <c r="M291" i="18"/>
  <c r="M290" i="18"/>
  <c r="M289" i="18"/>
  <c r="M287" i="18"/>
  <c r="M288" i="18"/>
  <c r="M286" i="18"/>
  <c r="M285" i="18"/>
  <c r="M284" i="18"/>
  <c r="M283" i="18"/>
  <c r="M282" i="18"/>
  <c r="M281" i="18"/>
  <c r="M280" i="18"/>
  <c r="M279" i="18"/>
  <c r="M278" i="18"/>
  <c r="M277" i="18"/>
  <c r="M275" i="18"/>
  <c r="M276" i="18"/>
  <c r="M274" i="18"/>
  <c r="M273" i="18"/>
  <c r="M272" i="18"/>
  <c r="M271" i="18"/>
  <c r="M270" i="18"/>
  <c r="M269" i="18"/>
  <c r="M268" i="18"/>
  <c r="M267" i="18"/>
  <c r="M265" i="18"/>
  <c r="M266" i="18"/>
  <c r="M264" i="18"/>
  <c r="M263" i="18"/>
  <c r="M262" i="18"/>
  <c r="M247" i="18"/>
  <c r="M259" i="18"/>
  <c r="M258" i="18"/>
  <c r="M257" i="18"/>
  <c r="M256" i="18"/>
  <c r="M255" i="18"/>
  <c r="M253" i="18"/>
  <c r="M252" i="18"/>
  <c r="M251" i="18"/>
  <c r="M250" i="18"/>
  <c r="M249" i="18"/>
  <c r="M254" i="18"/>
  <c r="M246" i="18"/>
  <c r="M244" i="18"/>
  <c r="M243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5" i="18"/>
  <c r="M224" i="18"/>
  <c r="M223" i="18"/>
  <c r="M222" i="18"/>
  <c r="M220" i="18"/>
  <c r="M219" i="18"/>
  <c r="M218" i="18"/>
  <c r="M217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1" i="18"/>
  <c r="M170" i="18"/>
  <c r="M169" i="18"/>
  <c r="M168" i="18"/>
  <c r="M167" i="18"/>
  <c r="M166" i="18"/>
  <c r="M165" i="18"/>
  <c r="M164" i="18"/>
  <c r="M163" i="18"/>
  <c r="M162" i="18"/>
  <c r="M161" i="18"/>
  <c r="M157" i="18"/>
  <c r="M160" i="18"/>
  <c r="M159" i="18"/>
  <c r="M158" i="18"/>
  <c r="M155" i="18"/>
  <c r="M154" i="18"/>
  <c r="M153" i="18"/>
  <c r="M151" i="18"/>
  <c r="M152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6" i="18"/>
  <c r="M115" i="18"/>
  <c r="M114" i="18"/>
  <c r="M113" i="18"/>
  <c r="M112" i="18"/>
  <c r="M111" i="18"/>
  <c r="M110" i="18"/>
  <c r="M109" i="18"/>
  <c r="M108" i="18"/>
  <c r="M104" i="18"/>
  <c r="M107" i="18"/>
  <c r="M106" i="18"/>
  <c r="M105" i="18"/>
  <c r="H58" i="18"/>
  <c r="H185" i="18"/>
  <c r="H90" i="18"/>
  <c r="H275" i="18"/>
  <c r="H89" i="18"/>
  <c r="H326" i="18"/>
  <c r="H291" i="18"/>
  <c r="H71" i="18"/>
  <c r="H250" i="18"/>
  <c r="H74" i="18"/>
  <c r="H221" i="18"/>
  <c r="H310" i="18"/>
  <c r="H48" i="18"/>
  <c r="H281" i="18"/>
  <c r="H35" i="18"/>
  <c r="H242" i="18"/>
  <c r="E61" i="18"/>
  <c r="H350" i="18"/>
  <c r="E327" i="18"/>
  <c r="H368" i="18"/>
  <c r="H80" i="18"/>
  <c r="H194" i="18"/>
  <c r="H266" i="18"/>
  <c r="H335" i="18"/>
  <c r="H167" i="18"/>
  <c r="H299" i="18"/>
  <c r="H115" i="18"/>
  <c r="H91" i="18"/>
  <c r="H42" i="18"/>
  <c r="E73" i="18"/>
  <c r="H155" i="18"/>
  <c r="E69" i="18"/>
  <c r="H181" i="18"/>
  <c r="H119" i="18"/>
  <c r="H28" i="18"/>
  <c r="H169" i="18"/>
  <c r="H147" i="18"/>
  <c r="H177" i="18"/>
  <c r="E41" i="18"/>
  <c r="H113" i="18"/>
  <c r="H143" i="18"/>
  <c r="H324" i="18"/>
  <c r="H223" i="18"/>
  <c r="H287" i="18"/>
  <c r="H198" i="18"/>
  <c r="H222" i="18"/>
  <c r="E356" i="18"/>
  <c r="H188" i="18"/>
  <c r="H304" i="18"/>
  <c r="H286" i="18"/>
  <c r="H67" i="18"/>
  <c r="H320" i="18"/>
  <c r="H49" i="18"/>
  <c r="E357" i="18"/>
  <c r="E47" i="18"/>
  <c r="H150" i="18"/>
  <c r="E44" i="18"/>
  <c r="H81" i="18"/>
  <c r="E96" i="18"/>
  <c r="H197" i="18"/>
  <c r="E28" i="18"/>
  <c r="E31" i="18"/>
  <c r="E90" i="18"/>
  <c r="E35" i="18"/>
  <c r="H126" i="18"/>
  <c r="E75" i="18"/>
  <c r="H245" i="18"/>
  <c r="H331" i="18"/>
  <c r="H353" i="18"/>
  <c r="H348" i="18"/>
  <c r="E46" i="18"/>
  <c r="H78" i="18"/>
  <c r="H289" i="18"/>
  <c r="H247" i="18"/>
  <c r="H97" i="18"/>
  <c r="M60" i="18"/>
  <c r="M67" i="18"/>
  <c r="H253" i="18"/>
  <c r="H234" i="18"/>
  <c r="E117" i="18"/>
  <c r="M76" i="18"/>
  <c r="E363" i="18"/>
  <c r="H2" i="18"/>
  <c r="I25" i="18" s="1"/>
  <c r="K25" i="18" s="1"/>
  <c r="L25" i="18" s="1"/>
  <c r="H146" i="18"/>
  <c r="H339" i="18"/>
  <c r="H107" i="18"/>
  <c r="H344" i="18"/>
  <c r="H124" i="18"/>
  <c r="H92" i="18"/>
  <c r="H106" i="18"/>
  <c r="H95" i="18"/>
  <c r="H309" i="18"/>
  <c r="H108" i="18"/>
  <c r="H293" i="18"/>
  <c r="E87" i="18"/>
  <c r="H141" i="18"/>
  <c r="H240" i="18"/>
  <c r="H327" i="18"/>
  <c r="H134" i="18"/>
  <c r="H328" i="18"/>
  <c r="H138" i="18"/>
  <c r="H312" i="18"/>
  <c r="H72" i="18"/>
  <c r="E276" i="18"/>
  <c r="H156" i="18"/>
  <c r="H84" i="18"/>
  <c r="H256" i="18"/>
  <c r="H265" i="18"/>
  <c r="E104" i="18"/>
  <c r="H200" i="18"/>
  <c r="H284" i="18"/>
  <c r="H254" i="18"/>
  <c r="AC6" i="7"/>
  <c r="E27" i="18"/>
  <c r="H182" i="18"/>
  <c r="H172" i="18"/>
  <c r="H82" i="18"/>
  <c r="H27" i="18"/>
  <c r="H301" i="18"/>
  <c r="H277" i="18"/>
  <c r="H123" i="18"/>
  <c r="H255" i="18"/>
  <c r="H342" i="18"/>
  <c r="H135" i="18"/>
  <c r="H189" i="18"/>
  <c r="E49" i="18"/>
  <c r="E38" i="18"/>
  <c r="H340" i="18"/>
  <c r="H294" i="18"/>
  <c r="H321" i="18"/>
  <c r="H154" i="18"/>
  <c r="H122" i="18"/>
  <c r="H347" i="18"/>
  <c r="E344" i="18"/>
  <c r="H32" i="18"/>
  <c r="H31" i="18"/>
  <c r="M14" i="18"/>
  <c r="E102" i="18"/>
  <c r="E60" i="18"/>
  <c r="E74" i="18"/>
  <c r="E79" i="18"/>
  <c r="M33" i="18"/>
  <c r="E37" i="18"/>
  <c r="E66" i="18"/>
  <c r="E64" i="18"/>
  <c r="E59" i="18"/>
  <c r="E318" i="18"/>
  <c r="M90" i="18"/>
  <c r="H225" i="18"/>
  <c r="H103" i="18"/>
  <c r="H334" i="18"/>
  <c r="H125" i="18"/>
  <c r="H157" i="18"/>
  <c r="H298" i="18"/>
  <c r="H174" i="18"/>
  <c r="H237" i="18"/>
  <c r="H343" i="18"/>
  <c r="E29" i="18"/>
  <c r="E361" i="18"/>
  <c r="H175" i="18"/>
  <c r="H257" i="18"/>
  <c r="E51" i="18"/>
  <c r="H176" i="18"/>
  <c r="H206" i="18"/>
  <c r="H152" i="18"/>
  <c r="E57" i="18"/>
  <c r="H130" i="18"/>
  <c r="H55" i="18"/>
  <c r="H231" i="18"/>
  <c r="H300" i="18"/>
  <c r="H26" i="18"/>
  <c r="H272" i="18"/>
  <c r="H317" i="18"/>
  <c r="H315" i="18"/>
  <c r="H116" i="18"/>
  <c r="H75" i="18"/>
  <c r="H87" i="18"/>
  <c r="H337" i="18"/>
  <c r="E92" i="18"/>
  <c r="E36" i="18"/>
  <c r="E82" i="18"/>
  <c r="M7" i="18"/>
  <c r="H36" i="18"/>
  <c r="E91" i="18"/>
  <c r="E129" i="18"/>
  <c r="E98" i="18"/>
  <c r="H203" i="18"/>
  <c r="AD4" i="7"/>
  <c r="AE4" i="7" s="1"/>
  <c r="E2" i="18"/>
  <c r="F204" i="18" s="1"/>
  <c r="H235" i="18"/>
  <c r="H308" i="18"/>
  <c r="H297" i="18"/>
  <c r="H282" i="18"/>
  <c r="H204" i="18"/>
  <c r="H201" i="18"/>
  <c r="H173" i="18"/>
  <c r="H131" i="18"/>
  <c r="H105" i="18"/>
  <c r="H316" i="18"/>
  <c r="M15" i="18"/>
  <c r="M22" i="18"/>
  <c r="H159" i="18"/>
  <c r="M29" i="18"/>
  <c r="E68" i="18"/>
  <c r="H248" i="18"/>
  <c r="H283" i="18"/>
  <c r="H40" i="18"/>
  <c r="E30" i="18"/>
  <c r="H168" i="18"/>
  <c r="M54" i="18"/>
  <c r="H112" i="18"/>
  <c r="H246" i="18"/>
  <c r="E45" i="18"/>
  <c r="H129" i="18"/>
  <c r="H280" i="18"/>
  <c r="E42" i="18"/>
  <c r="H279" i="18"/>
  <c r="H164" i="18"/>
  <c r="E76" i="18"/>
  <c r="H259" i="18"/>
  <c r="E81" i="18"/>
  <c r="M69" i="18"/>
  <c r="E32" i="18"/>
  <c r="F32" i="18" s="1"/>
  <c r="M96" i="18"/>
  <c r="H296" i="18"/>
  <c r="H352" i="18"/>
  <c r="H270" i="18"/>
  <c r="H34" i="18"/>
  <c r="H158" i="18"/>
  <c r="H50" i="18"/>
  <c r="H191" i="18"/>
  <c r="H239" i="18"/>
  <c r="H161" i="18"/>
  <c r="H274" i="18"/>
  <c r="H193" i="18"/>
  <c r="H53" i="18"/>
  <c r="H192" i="18"/>
  <c r="H292" i="18"/>
  <c r="E88" i="18"/>
  <c r="H232" i="18"/>
  <c r="E40" i="18"/>
  <c r="H336" i="18"/>
  <c r="H227" i="18"/>
  <c r="H251" i="18"/>
  <c r="H180" i="18"/>
  <c r="H127" i="18"/>
  <c r="H249" i="18"/>
  <c r="H318" i="18"/>
  <c r="H99" i="18"/>
  <c r="H264" i="18"/>
  <c r="H41" i="18"/>
  <c r="E127" i="18"/>
  <c r="E309" i="18"/>
  <c r="H183" i="18"/>
  <c r="H117" i="18"/>
  <c r="H276" i="18"/>
  <c r="H268" i="18"/>
  <c r="H114" i="18"/>
  <c r="H44" i="18"/>
  <c r="E109" i="18"/>
  <c r="H101" i="18"/>
  <c r="H61" i="18"/>
  <c r="H109" i="18"/>
  <c r="E34" i="18"/>
  <c r="E63" i="18"/>
  <c r="H39" i="18"/>
  <c r="H76" i="18"/>
  <c r="H121" i="18"/>
  <c r="H252" i="18"/>
  <c r="H70" i="18"/>
  <c r="H323" i="18"/>
  <c r="E118" i="18"/>
  <c r="H47" i="18"/>
  <c r="H288" i="18"/>
  <c r="E48" i="18"/>
  <c r="H139" i="18"/>
  <c r="M12" i="18"/>
  <c r="H190" i="18"/>
  <c r="H79" i="18"/>
  <c r="E119" i="18"/>
  <c r="M13" i="18"/>
  <c r="E39" i="18"/>
  <c r="E77" i="18"/>
  <c r="H43" i="18"/>
  <c r="E43" i="18"/>
  <c r="M35" i="18"/>
  <c r="M43" i="18"/>
  <c r="M47" i="18"/>
  <c r="H104" i="18"/>
  <c r="H179" i="18"/>
  <c r="H263" i="18"/>
  <c r="H196" i="18"/>
  <c r="H314" i="18"/>
  <c r="E72" i="18"/>
  <c r="H313" i="18"/>
  <c r="E187" i="18"/>
  <c r="H205" i="18"/>
  <c r="H329" i="18"/>
  <c r="H57" i="18"/>
  <c r="H83" i="18"/>
  <c r="M74" i="18"/>
  <c r="H184" i="18"/>
  <c r="H338" i="18"/>
  <c r="E67" i="18"/>
  <c r="M81" i="18"/>
  <c r="H267" i="18"/>
  <c r="M97" i="18"/>
  <c r="M101" i="18"/>
  <c r="AD6" i="7"/>
  <c r="AE6" i="7" s="1"/>
  <c r="M4" i="16"/>
  <c r="I4" i="15"/>
  <c r="L4" i="15"/>
  <c r="M2" i="16"/>
  <c r="L2" i="15"/>
  <c r="I2" i="15"/>
  <c r="J2" i="16"/>
  <c r="AC7" i="7"/>
  <c r="AD7" i="7"/>
  <c r="AE7" i="7" s="1"/>
  <c r="I3" i="15"/>
  <c r="M3" i="15" s="1"/>
  <c r="J3" i="16"/>
  <c r="AD5" i="7"/>
  <c r="AE5" i="7" s="1"/>
  <c r="AC5" i="7"/>
  <c r="M3" i="16"/>
  <c r="AC197" i="2"/>
  <c r="AD197" i="2" s="1"/>
  <c r="AI197" i="2"/>
  <c r="AJ197" i="2" s="1"/>
  <c r="AR197" i="2" s="1"/>
  <c r="AH197" i="2"/>
  <c r="AQ197" i="2"/>
  <c r="F26" i="18" l="1"/>
  <c r="F171" i="18"/>
  <c r="S239" i="18"/>
  <c r="S238" i="18"/>
  <c r="S237" i="18"/>
  <c r="S225" i="18"/>
  <c r="S234" i="18"/>
  <c r="S236" i="18"/>
  <c r="S233" i="18"/>
  <c r="S232" i="18"/>
  <c r="S231" i="18"/>
  <c r="S230" i="18"/>
  <c r="S229" i="18"/>
  <c r="S228" i="18"/>
  <c r="S227" i="18"/>
  <c r="S226" i="18"/>
  <c r="S213" i="18"/>
  <c r="T213" i="18" s="1"/>
  <c r="U213" i="18" s="1"/>
  <c r="S224" i="18"/>
  <c r="S223" i="18"/>
  <c r="S222" i="18"/>
  <c r="S221" i="18"/>
  <c r="T221" i="18" s="1"/>
  <c r="U221" i="18" s="1"/>
  <c r="S220" i="18"/>
  <c r="S219" i="18"/>
  <c r="S218" i="18"/>
  <c r="S217" i="18"/>
  <c r="S216" i="18"/>
  <c r="T216" i="18" s="1"/>
  <c r="U216" i="18" s="1"/>
  <c r="S215" i="18"/>
  <c r="T215" i="18" s="1"/>
  <c r="U215" i="18" s="1"/>
  <c r="S214" i="18"/>
  <c r="T214" i="18" s="1"/>
  <c r="U214" i="18" s="1"/>
  <c r="S212" i="18"/>
  <c r="T212" i="18" s="1"/>
  <c r="U212" i="18" s="1"/>
  <c r="S210" i="18"/>
  <c r="T210" i="18" s="1"/>
  <c r="U210" i="18" s="1"/>
  <c r="S211" i="18"/>
  <c r="T211" i="18" s="1"/>
  <c r="U211" i="18" s="1"/>
  <c r="S203" i="18"/>
  <c r="T203" i="18" s="1"/>
  <c r="U203" i="18" s="1"/>
  <c r="S209" i="18"/>
  <c r="T209" i="18" s="1"/>
  <c r="U209" i="18" s="1"/>
  <c r="S208" i="18"/>
  <c r="T208" i="18" s="1"/>
  <c r="U208" i="18" s="1"/>
  <c r="S207" i="18"/>
  <c r="T207" i="18" s="1"/>
  <c r="U207" i="18" s="1"/>
  <c r="S2" i="7"/>
  <c r="W2" i="7"/>
  <c r="S206" i="18"/>
  <c r="T206" i="18" s="1"/>
  <c r="U206" i="18" s="1"/>
  <c r="S205" i="18"/>
  <c r="T205" i="18" s="1"/>
  <c r="U205" i="18" s="1"/>
  <c r="S204" i="18"/>
  <c r="T204" i="18" s="1"/>
  <c r="U204" i="18" s="1"/>
  <c r="S202" i="18"/>
  <c r="S193" i="18"/>
  <c r="S201" i="18"/>
  <c r="S200" i="18"/>
  <c r="S199" i="18"/>
  <c r="S198" i="18"/>
  <c r="S197" i="18"/>
  <c r="S196" i="18"/>
  <c r="S195" i="18"/>
  <c r="S194" i="18"/>
  <c r="S192" i="18"/>
  <c r="I156" i="18"/>
  <c r="K156" i="18" s="1"/>
  <c r="L156" i="18" s="1"/>
  <c r="I72" i="18"/>
  <c r="I138" i="18"/>
  <c r="K138" i="18" s="1"/>
  <c r="L138" i="18" s="1"/>
  <c r="S188" i="18"/>
  <c r="S190" i="18"/>
  <c r="S189" i="18"/>
  <c r="S191" i="18"/>
  <c r="S180" i="18"/>
  <c r="S187" i="18"/>
  <c r="S186" i="18"/>
  <c r="T186" i="18" s="1"/>
  <c r="U186" i="18" s="1"/>
  <c r="S185" i="18"/>
  <c r="S184" i="18"/>
  <c r="S183" i="18"/>
  <c r="S182" i="18"/>
  <c r="S181" i="18"/>
  <c r="S170" i="18"/>
  <c r="S179" i="18"/>
  <c r="S178" i="18"/>
  <c r="S177" i="18"/>
  <c r="S176" i="18"/>
  <c r="S175" i="18"/>
  <c r="S174" i="18"/>
  <c r="S173" i="18"/>
  <c r="S172" i="18"/>
  <c r="T172" i="18" s="1"/>
  <c r="U172" i="18" s="1"/>
  <c r="S171" i="18"/>
  <c r="S169" i="18"/>
  <c r="S168" i="18"/>
  <c r="S167" i="18"/>
  <c r="S157" i="18"/>
  <c r="S165" i="18"/>
  <c r="S166" i="18"/>
  <c r="S257" i="18"/>
  <c r="S164" i="18"/>
  <c r="S163" i="18"/>
  <c r="S162" i="18"/>
  <c r="S161" i="18"/>
  <c r="S160" i="18"/>
  <c r="S159" i="18"/>
  <c r="S158" i="18"/>
  <c r="S156" i="18"/>
  <c r="S106" i="18"/>
  <c r="S155" i="18"/>
  <c r="S154" i="18"/>
  <c r="S153" i="18"/>
  <c r="S152" i="18"/>
  <c r="S151" i="18"/>
  <c r="S150" i="18"/>
  <c r="S148" i="18"/>
  <c r="S147" i="18"/>
  <c r="S146" i="18"/>
  <c r="S145" i="18"/>
  <c r="S144" i="18"/>
  <c r="S143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4" i="18"/>
  <c r="S105" i="18"/>
  <c r="S100" i="18"/>
  <c r="S103" i="18"/>
  <c r="S102" i="18"/>
  <c r="T102" i="18" s="1"/>
  <c r="U102" i="18" s="1"/>
  <c r="S101" i="18"/>
  <c r="S62" i="18"/>
  <c r="T62" i="18" s="1"/>
  <c r="U62" i="18" s="1"/>
  <c r="S99" i="18"/>
  <c r="S98" i="18"/>
  <c r="S97" i="18"/>
  <c r="S96" i="18"/>
  <c r="S95" i="18"/>
  <c r="S94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1" i="18"/>
  <c r="S60" i="18"/>
  <c r="S59" i="18"/>
  <c r="S58" i="18"/>
  <c r="S57" i="18"/>
  <c r="S56" i="18"/>
  <c r="S55" i="18"/>
  <c r="S45" i="18"/>
  <c r="S54" i="18"/>
  <c r="S53" i="18"/>
  <c r="S52" i="18"/>
  <c r="S51" i="18"/>
  <c r="S50" i="18"/>
  <c r="S49" i="18"/>
  <c r="S48" i="18"/>
  <c r="S47" i="18"/>
  <c r="S46" i="18"/>
  <c r="S37" i="18"/>
  <c r="S44" i="18"/>
  <c r="S43" i="18"/>
  <c r="T368" i="18"/>
  <c r="U368" i="18" s="1"/>
  <c r="T366" i="18"/>
  <c r="U366" i="18" s="1"/>
  <c r="T367" i="18"/>
  <c r="U367" i="18" s="1"/>
  <c r="T365" i="18"/>
  <c r="U365" i="18" s="1"/>
  <c r="T364" i="18"/>
  <c r="U364" i="18" s="1"/>
  <c r="S42" i="18"/>
  <c r="S41" i="18"/>
  <c r="S40" i="18"/>
  <c r="S39" i="18"/>
  <c r="S38" i="18"/>
  <c r="S36" i="18"/>
  <c r="S35" i="18"/>
  <c r="S2" i="18"/>
  <c r="T2" i="18" s="1"/>
  <c r="U2" i="18" s="1"/>
  <c r="S34" i="18"/>
  <c r="S33" i="18"/>
  <c r="S32" i="18"/>
  <c r="S31" i="18"/>
  <c r="S30" i="18"/>
  <c r="S29" i="18"/>
  <c r="S28" i="18"/>
  <c r="S27" i="18"/>
  <c r="S26" i="18"/>
  <c r="S25" i="18"/>
  <c r="S24" i="18"/>
  <c r="T24" i="18" s="1"/>
  <c r="U24" i="18" s="1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N5" i="15"/>
  <c r="O5" i="15"/>
  <c r="P5" i="15" s="1"/>
  <c r="S4" i="18"/>
  <c r="S3" i="18"/>
  <c r="O5" i="16"/>
  <c r="N261" i="18"/>
  <c r="N362" i="18"/>
  <c r="N363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2" i="18"/>
  <c r="N331" i="18"/>
  <c r="N330" i="18"/>
  <c r="N329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59" i="18"/>
  <c r="N258" i="18"/>
  <c r="N257" i="18"/>
  <c r="N256" i="18"/>
  <c r="N255" i="18"/>
  <c r="N253" i="18"/>
  <c r="N252" i="18"/>
  <c r="N251" i="18"/>
  <c r="N250" i="18"/>
  <c r="N249" i="18"/>
  <c r="N226" i="18"/>
  <c r="N248" i="18"/>
  <c r="N254" i="18"/>
  <c r="N247" i="18"/>
  <c r="N246" i="18"/>
  <c r="N245" i="18"/>
  <c r="N244" i="18"/>
  <c r="N243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5" i="18"/>
  <c r="N224" i="18"/>
  <c r="N223" i="18"/>
  <c r="N222" i="18"/>
  <c r="N220" i="18"/>
  <c r="N219" i="18"/>
  <c r="N218" i="18"/>
  <c r="N217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0" i="18"/>
  <c r="N171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1" i="18"/>
  <c r="N156" i="18"/>
  <c r="N157" i="18"/>
  <c r="N155" i="18"/>
  <c r="N154" i="18"/>
  <c r="N153" i="18"/>
  <c r="N152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I240" i="18"/>
  <c r="K240" i="18" s="1"/>
  <c r="L240" i="18" s="1"/>
  <c r="I95" i="18"/>
  <c r="I134" i="18"/>
  <c r="K134" i="18" s="1"/>
  <c r="L134" i="18" s="1"/>
  <c r="I108" i="18"/>
  <c r="I92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I259" i="18"/>
  <c r="K259" i="18" s="1"/>
  <c r="L259" i="18" s="1"/>
  <c r="I164" i="18"/>
  <c r="K164" i="18" s="1"/>
  <c r="L164" i="18" s="1"/>
  <c r="I129" i="18"/>
  <c r="I246" i="18"/>
  <c r="K246" i="18" s="1"/>
  <c r="L246" i="18" s="1"/>
  <c r="I283" i="18"/>
  <c r="K283" i="18" s="1"/>
  <c r="L283" i="18" s="1"/>
  <c r="I159" i="18"/>
  <c r="K159" i="18" s="1"/>
  <c r="L159" i="18" s="1"/>
  <c r="I105" i="18"/>
  <c r="I173" i="18"/>
  <c r="K173" i="18" s="1"/>
  <c r="L173" i="18" s="1"/>
  <c r="I204" i="18"/>
  <c r="I297" i="18"/>
  <c r="I235" i="18"/>
  <c r="K235" i="18" s="1"/>
  <c r="L235" i="18" s="1"/>
  <c r="I203" i="18"/>
  <c r="I36" i="18"/>
  <c r="I87" i="18"/>
  <c r="I116" i="18"/>
  <c r="K116" i="18" s="1"/>
  <c r="L116" i="18" s="1"/>
  <c r="I317" i="18"/>
  <c r="K317" i="18" s="1"/>
  <c r="L317" i="18" s="1"/>
  <c r="I26" i="18"/>
  <c r="K26" i="18" s="1"/>
  <c r="L26" i="18" s="1"/>
  <c r="I231" i="18"/>
  <c r="K231" i="18" s="1"/>
  <c r="L231" i="18" s="1"/>
  <c r="I130" i="18"/>
  <c r="K130" i="18" s="1"/>
  <c r="L130" i="18" s="1"/>
  <c r="I364" i="18"/>
  <c r="N107" i="18"/>
  <c r="I202" i="18"/>
  <c r="K202" i="18" s="1"/>
  <c r="L202" i="18" s="1"/>
  <c r="I365" i="18"/>
  <c r="I175" i="18"/>
  <c r="K175" i="18" s="1"/>
  <c r="L175" i="18" s="1"/>
  <c r="I125" i="18"/>
  <c r="K125" i="18" s="1"/>
  <c r="L125" i="18" s="1"/>
  <c r="I103" i="18"/>
  <c r="K103" i="18" s="1"/>
  <c r="L103" i="18" s="1"/>
  <c r="I338" i="18"/>
  <c r="I57" i="18"/>
  <c r="I205" i="18"/>
  <c r="I313" i="18"/>
  <c r="K313" i="18" s="1"/>
  <c r="L313" i="18" s="1"/>
  <c r="I314" i="18"/>
  <c r="K314" i="18" s="1"/>
  <c r="L314" i="18" s="1"/>
  <c r="I263" i="18"/>
  <c r="K263" i="18" s="1"/>
  <c r="L263" i="18" s="1"/>
  <c r="I104" i="18"/>
  <c r="F43" i="18"/>
  <c r="F77" i="18"/>
  <c r="I79" i="18"/>
  <c r="F309" i="18"/>
  <c r="I303" i="18"/>
  <c r="K303" i="18" s="1"/>
  <c r="L303" i="18" s="1"/>
  <c r="I302" i="18"/>
  <c r="K302" i="18" s="1"/>
  <c r="L302" i="18" s="1"/>
  <c r="I347" i="18"/>
  <c r="I154" i="18"/>
  <c r="K154" i="18" s="1"/>
  <c r="L154" i="18" s="1"/>
  <c r="I294" i="18"/>
  <c r="K294" i="18" s="1"/>
  <c r="L294" i="18" s="1"/>
  <c r="I189" i="18"/>
  <c r="K189" i="18" s="1"/>
  <c r="L189" i="18" s="1"/>
  <c r="I342" i="18"/>
  <c r="I123" i="18"/>
  <c r="K123" i="18" s="1"/>
  <c r="L123" i="18" s="1"/>
  <c r="I301" i="18"/>
  <c r="K301" i="18" s="1"/>
  <c r="L301" i="18" s="1"/>
  <c r="I82" i="18"/>
  <c r="I182" i="18"/>
  <c r="K182" i="18" s="1"/>
  <c r="L182" i="18" s="1"/>
  <c r="I254" i="18"/>
  <c r="K254" i="18" s="1"/>
  <c r="L254" i="18" s="1"/>
  <c r="I200" i="18"/>
  <c r="K200" i="18" s="1"/>
  <c r="L200" i="18" s="1"/>
  <c r="I265" i="18"/>
  <c r="K265" i="18" s="1"/>
  <c r="L265" i="18" s="1"/>
  <c r="I367" i="18"/>
  <c r="I29" i="18"/>
  <c r="I21" i="18"/>
  <c r="K21" i="18" s="1"/>
  <c r="L21" i="18" s="1"/>
  <c r="I269" i="18"/>
  <c r="K269" i="18" s="1"/>
  <c r="L269" i="18" s="1"/>
  <c r="I190" i="18"/>
  <c r="K190" i="18" s="1"/>
  <c r="L190" i="18" s="1"/>
  <c r="I139" i="18"/>
  <c r="K139" i="18" s="1"/>
  <c r="L139" i="18" s="1"/>
  <c r="I288" i="18"/>
  <c r="K288" i="18" s="1"/>
  <c r="L288" i="18" s="1"/>
  <c r="I70" i="18"/>
  <c r="I121" i="18"/>
  <c r="I39" i="18"/>
  <c r="I61" i="18"/>
  <c r="I114" i="18"/>
  <c r="K114" i="18" s="1"/>
  <c r="L114" i="18" s="1"/>
  <c r="I276" i="18"/>
  <c r="I161" i="18"/>
  <c r="K161" i="18" s="1"/>
  <c r="L161" i="18" s="1"/>
  <c r="I191" i="18"/>
  <c r="K191" i="18" s="1"/>
  <c r="L191" i="18" s="1"/>
  <c r="I355" i="18"/>
  <c r="I238" i="18"/>
  <c r="K238" i="18" s="1"/>
  <c r="L238" i="18" s="1"/>
  <c r="N106" i="18"/>
  <c r="F67" i="18"/>
  <c r="I183" i="18"/>
  <c r="K183" i="18" s="1"/>
  <c r="L183" i="18" s="1"/>
  <c r="I264" i="18"/>
  <c r="K264" i="18" s="1"/>
  <c r="L264" i="18" s="1"/>
  <c r="I318" i="18"/>
  <c r="I127" i="18"/>
  <c r="I227" i="18"/>
  <c r="K227" i="18" s="1"/>
  <c r="L227" i="18" s="1"/>
  <c r="I192" i="18"/>
  <c r="K192" i="18" s="1"/>
  <c r="L192" i="18" s="1"/>
  <c r="I193" i="18"/>
  <c r="K193" i="18" s="1"/>
  <c r="L193" i="18" s="1"/>
  <c r="I360" i="18"/>
  <c r="I34" i="18"/>
  <c r="I352" i="18"/>
  <c r="F50" i="18"/>
  <c r="I187" i="18"/>
  <c r="I100" i="18"/>
  <c r="I325" i="18"/>
  <c r="K325" i="18" s="1"/>
  <c r="L325" i="18" s="1"/>
  <c r="I343" i="18"/>
  <c r="I174" i="18"/>
  <c r="K174" i="18" s="1"/>
  <c r="L174" i="18" s="1"/>
  <c r="I157" i="18"/>
  <c r="K157" i="18" s="1"/>
  <c r="L157" i="18" s="1"/>
  <c r="I137" i="18"/>
  <c r="K137" i="18" s="1"/>
  <c r="L137" i="18" s="1"/>
  <c r="I333" i="18"/>
  <c r="I262" i="18"/>
  <c r="K262" i="18" s="1"/>
  <c r="L262" i="18" s="1"/>
  <c r="I311" i="18"/>
  <c r="K311" i="18" s="1"/>
  <c r="L311" i="18" s="1"/>
  <c r="I363" i="18"/>
  <c r="F30" i="18"/>
  <c r="F68" i="18"/>
  <c r="K68" i="18" s="1"/>
  <c r="L68" i="18" s="1"/>
  <c r="I267" i="18"/>
  <c r="K267" i="18" s="1"/>
  <c r="L267" i="18" s="1"/>
  <c r="I184" i="18"/>
  <c r="K184" i="18" s="1"/>
  <c r="L184" i="18" s="1"/>
  <c r="N70" i="18"/>
  <c r="I47" i="18"/>
  <c r="I323" i="18"/>
  <c r="K323" i="18" s="1"/>
  <c r="L323" i="18" s="1"/>
  <c r="I252" i="18"/>
  <c r="K252" i="18" s="1"/>
  <c r="L252" i="18" s="1"/>
  <c r="I76" i="18"/>
  <c r="I109" i="18"/>
  <c r="I101" i="18"/>
  <c r="I44" i="18"/>
  <c r="I268" i="18"/>
  <c r="K268" i="18" s="1"/>
  <c r="L268" i="18" s="1"/>
  <c r="I117" i="18"/>
  <c r="I41" i="18"/>
  <c r="I99" i="18"/>
  <c r="I249" i="18"/>
  <c r="K249" i="18" s="1"/>
  <c r="L249" i="18" s="1"/>
  <c r="I180" i="18"/>
  <c r="K180" i="18" s="1"/>
  <c r="L180" i="18" s="1"/>
  <c r="I251" i="18"/>
  <c r="K251" i="18" s="1"/>
  <c r="L251" i="18" s="1"/>
  <c r="I336" i="18"/>
  <c r="I232" i="18"/>
  <c r="K232" i="18" s="1"/>
  <c r="L232" i="18" s="1"/>
  <c r="I292" i="18"/>
  <c r="K292" i="18" s="1"/>
  <c r="L292" i="18" s="1"/>
  <c r="I53" i="18"/>
  <c r="I274" i="18"/>
  <c r="K274" i="18" s="1"/>
  <c r="L274" i="18" s="1"/>
  <c r="I158" i="18"/>
  <c r="K158" i="18" s="1"/>
  <c r="L158" i="18" s="1"/>
  <c r="I270" i="18"/>
  <c r="K270" i="18" s="1"/>
  <c r="L270" i="18" s="1"/>
  <c r="I296" i="18"/>
  <c r="K296" i="18" s="1"/>
  <c r="L296" i="18" s="1"/>
  <c r="I361" i="18"/>
  <c r="I148" i="18"/>
  <c r="K148" i="18" s="1"/>
  <c r="L148" i="18" s="1"/>
  <c r="I319" i="18"/>
  <c r="K319" i="18" s="1"/>
  <c r="L319" i="18" s="1"/>
  <c r="I207" i="18"/>
  <c r="I334" i="18"/>
  <c r="I225" i="18"/>
  <c r="K225" i="18" s="1"/>
  <c r="L225" i="18" s="1"/>
  <c r="N86" i="18"/>
  <c r="I241" i="18"/>
  <c r="K241" i="18" s="1"/>
  <c r="L241" i="18" s="1"/>
  <c r="I305" i="18"/>
  <c r="K305" i="18" s="1"/>
  <c r="L305" i="18" s="1"/>
  <c r="I244" i="18"/>
  <c r="K244" i="18" s="1"/>
  <c r="L244" i="18" s="1"/>
  <c r="I226" i="18"/>
  <c r="K226" i="18" s="1"/>
  <c r="L226" i="18" s="1"/>
  <c r="I88" i="18"/>
  <c r="I63" i="18"/>
  <c r="I122" i="18"/>
  <c r="K122" i="18" s="1"/>
  <c r="L122" i="18" s="1"/>
  <c r="I321" i="18"/>
  <c r="K321" i="18" s="1"/>
  <c r="L321" i="18" s="1"/>
  <c r="I340" i="18"/>
  <c r="I135" i="18"/>
  <c r="K135" i="18" s="1"/>
  <c r="L135" i="18" s="1"/>
  <c r="I255" i="18"/>
  <c r="K255" i="18" s="1"/>
  <c r="L255" i="18" s="1"/>
  <c r="I277" i="18"/>
  <c r="K277" i="18" s="1"/>
  <c r="L277" i="18" s="1"/>
  <c r="I27" i="18"/>
  <c r="I172" i="18"/>
  <c r="I284" i="18"/>
  <c r="K284" i="18" s="1"/>
  <c r="L284" i="18" s="1"/>
  <c r="I256" i="18"/>
  <c r="K256" i="18" s="1"/>
  <c r="L256" i="18" s="1"/>
  <c r="I84" i="18"/>
  <c r="I312" i="18"/>
  <c r="K312" i="18" s="1"/>
  <c r="L312" i="18" s="1"/>
  <c r="I328" i="18"/>
  <c r="I327" i="18"/>
  <c r="I141" i="18"/>
  <c r="K141" i="18" s="1"/>
  <c r="L141" i="18" s="1"/>
  <c r="I293" i="18"/>
  <c r="K293" i="18" s="1"/>
  <c r="L293" i="18" s="1"/>
  <c r="I309" i="18"/>
  <c r="K309" i="18" s="1"/>
  <c r="L309" i="18" s="1"/>
  <c r="I106" i="18"/>
  <c r="I124" i="18"/>
  <c r="K124" i="18" s="1"/>
  <c r="L124" i="18" s="1"/>
  <c r="I107" i="18"/>
  <c r="K107" i="18" s="1"/>
  <c r="L107" i="18" s="1"/>
  <c r="I30" i="18"/>
  <c r="I83" i="18"/>
  <c r="I329" i="18"/>
  <c r="I196" i="18"/>
  <c r="K196" i="18" s="1"/>
  <c r="L196" i="18" s="1"/>
  <c r="I179" i="18"/>
  <c r="K179" i="18" s="1"/>
  <c r="L179" i="18" s="1"/>
  <c r="I43" i="18"/>
  <c r="K43" i="18" s="1"/>
  <c r="L43" i="18" s="1"/>
  <c r="N17" i="18"/>
  <c r="I239" i="18"/>
  <c r="K239" i="18" s="1"/>
  <c r="L239" i="18" s="1"/>
  <c r="I50" i="18"/>
  <c r="K50" i="18" s="1"/>
  <c r="L50" i="18" s="1"/>
  <c r="I279" i="18"/>
  <c r="K279" i="18" s="1"/>
  <c r="L279" i="18" s="1"/>
  <c r="I280" i="18"/>
  <c r="K280" i="18" s="1"/>
  <c r="L280" i="18" s="1"/>
  <c r="I112" i="18"/>
  <c r="K112" i="18" s="1"/>
  <c r="L112" i="18" s="1"/>
  <c r="I168" i="18"/>
  <c r="K168" i="18" s="1"/>
  <c r="L168" i="18" s="1"/>
  <c r="I40" i="18"/>
  <c r="I248" i="18"/>
  <c r="K248" i="18" s="1"/>
  <c r="L248" i="18" s="1"/>
  <c r="I316" i="18"/>
  <c r="K316" i="18" s="1"/>
  <c r="L316" i="18" s="1"/>
  <c r="I131" i="18"/>
  <c r="K131" i="18" s="1"/>
  <c r="L131" i="18" s="1"/>
  <c r="I201" i="18"/>
  <c r="K201" i="18" s="1"/>
  <c r="L201" i="18" s="1"/>
  <c r="I282" i="18"/>
  <c r="K282" i="18" s="1"/>
  <c r="L282" i="18" s="1"/>
  <c r="I308" i="18"/>
  <c r="K308" i="18" s="1"/>
  <c r="L308" i="18" s="1"/>
  <c r="I337" i="18"/>
  <c r="I75" i="18"/>
  <c r="I315" i="18"/>
  <c r="K315" i="18" s="1"/>
  <c r="L315" i="18" s="1"/>
  <c r="I272" i="18"/>
  <c r="K272" i="18" s="1"/>
  <c r="L272" i="18" s="1"/>
  <c r="I300" i="18"/>
  <c r="K300" i="18" s="1"/>
  <c r="L300" i="18" s="1"/>
  <c r="I55" i="18"/>
  <c r="I152" i="18"/>
  <c r="K152" i="18" s="1"/>
  <c r="L152" i="18" s="1"/>
  <c r="I206" i="18"/>
  <c r="I176" i="18"/>
  <c r="K176" i="18" s="1"/>
  <c r="L176" i="18" s="1"/>
  <c r="I257" i="18"/>
  <c r="K257" i="18" s="1"/>
  <c r="L257" i="18" s="1"/>
  <c r="I151" i="18"/>
  <c r="K151" i="18" s="1"/>
  <c r="L151" i="18" s="1"/>
  <c r="I237" i="18"/>
  <c r="K237" i="18" s="1"/>
  <c r="L237" i="18" s="1"/>
  <c r="I298" i="18"/>
  <c r="I356" i="18"/>
  <c r="I45" i="18"/>
  <c r="I349" i="18"/>
  <c r="I38" i="18"/>
  <c r="I273" i="18"/>
  <c r="K273" i="18" s="1"/>
  <c r="L273" i="18" s="1"/>
  <c r="I31" i="18"/>
  <c r="I32" i="18"/>
  <c r="K32" i="18" s="1"/>
  <c r="L32" i="18" s="1"/>
  <c r="I354" i="18"/>
  <c r="I81" i="18"/>
  <c r="I150" i="18"/>
  <c r="K150" i="18" s="1"/>
  <c r="L150" i="18" s="1"/>
  <c r="N105" i="18"/>
  <c r="I146" i="18"/>
  <c r="K146" i="18" s="1"/>
  <c r="L146" i="18" s="1"/>
  <c r="I344" i="18"/>
  <c r="I339" i="18"/>
  <c r="I198" i="18"/>
  <c r="K198" i="18" s="1"/>
  <c r="L198" i="18" s="1"/>
  <c r="I223" i="18"/>
  <c r="K223" i="18" s="1"/>
  <c r="L223" i="18" s="1"/>
  <c r="I143" i="18"/>
  <c r="K143" i="18" s="1"/>
  <c r="L143" i="18" s="1"/>
  <c r="N30" i="18"/>
  <c r="N84" i="18"/>
  <c r="N3" i="18"/>
  <c r="N99" i="18"/>
  <c r="N98" i="18"/>
  <c r="I253" i="18"/>
  <c r="K253" i="18" s="1"/>
  <c r="L253" i="18" s="1"/>
  <c r="N25" i="18"/>
  <c r="N51" i="18"/>
  <c r="N9" i="18"/>
  <c r="N32" i="18"/>
  <c r="N82" i="18"/>
  <c r="N31" i="18"/>
  <c r="N104" i="18"/>
  <c r="N59" i="18"/>
  <c r="N96" i="18"/>
  <c r="N69" i="18"/>
  <c r="N26" i="18"/>
  <c r="N61" i="18"/>
  <c r="N40" i="18"/>
  <c r="I234" i="18"/>
  <c r="K234" i="18" s="1"/>
  <c r="L234" i="18" s="1"/>
  <c r="N67" i="18"/>
  <c r="N39" i="18"/>
  <c r="N101" i="18"/>
  <c r="N92" i="18"/>
  <c r="N81" i="18"/>
  <c r="N66" i="18"/>
  <c r="N47" i="18"/>
  <c r="N41" i="18"/>
  <c r="N13" i="18"/>
  <c r="N23" i="18"/>
  <c r="F118" i="18"/>
  <c r="K118" i="18" s="1"/>
  <c r="L118" i="18" s="1"/>
  <c r="F34" i="18"/>
  <c r="N8" i="18"/>
  <c r="F99" i="18"/>
  <c r="F106" i="18"/>
  <c r="N80" i="18"/>
  <c r="N58" i="18"/>
  <c r="N50" i="18"/>
  <c r="N19" i="18"/>
  <c r="N7" i="18"/>
  <c r="N5" i="18"/>
  <c r="N95" i="18"/>
  <c r="N83" i="18"/>
  <c r="N72" i="18"/>
  <c r="N57" i="18"/>
  <c r="N53" i="18"/>
  <c r="N37" i="18"/>
  <c r="N28" i="18"/>
  <c r="N14" i="18"/>
  <c r="N18" i="18"/>
  <c r="N94" i="18"/>
  <c r="N78" i="18"/>
  <c r="N52" i="18"/>
  <c r="N36" i="18"/>
  <c r="N27" i="18"/>
  <c r="N21" i="18"/>
  <c r="N11" i="18"/>
  <c r="N88" i="18"/>
  <c r="N74" i="18"/>
  <c r="N35" i="18"/>
  <c r="F39" i="18"/>
  <c r="F109" i="18"/>
  <c r="F127" i="18"/>
  <c r="F65" i="18"/>
  <c r="F53" i="18"/>
  <c r="F58" i="18"/>
  <c r="F105" i="18"/>
  <c r="N91" i="18"/>
  <c r="N65" i="18"/>
  <c r="N56" i="18"/>
  <c r="N46" i="18"/>
  <c r="N38" i="18"/>
  <c r="N29" i="18"/>
  <c r="N15" i="18"/>
  <c r="F129" i="18"/>
  <c r="F36" i="18"/>
  <c r="F57" i="18"/>
  <c r="N90" i="18"/>
  <c r="N79" i="18"/>
  <c r="N68" i="18"/>
  <c r="N49" i="18"/>
  <c r="N33" i="18"/>
  <c r="N16" i="18"/>
  <c r="N10" i="18"/>
  <c r="N89" i="18"/>
  <c r="N76" i="18"/>
  <c r="N75" i="18"/>
  <c r="N63" i="18"/>
  <c r="N48" i="18"/>
  <c r="N20" i="18"/>
  <c r="N6" i="18"/>
  <c r="F97" i="18"/>
  <c r="N97" i="18"/>
  <c r="N77" i="18"/>
  <c r="F187" i="18"/>
  <c r="F72" i="18"/>
  <c r="K72" i="18" s="1"/>
  <c r="L72" i="18" s="1"/>
  <c r="N55" i="18"/>
  <c r="N43" i="18"/>
  <c r="F119" i="18"/>
  <c r="N12" i="18"/>
  <c r="F48" i="18"/>
  <c r="F63" i="18"/>
  <c r="F40" i="18"/>
  <c r="F88" i="18"/>
  <c r="F291" i="18"/>
  <c r="N100" i="18"/>
  <c r="N87" i="18"/>
  <c r="N73" i="18"/>
  <c r="N54" i="18"/>
  <c r="N42" i="18"/>
  <c r="N34" i="18"/>
  <c r="N22" i="18"/>
  <c r="N64" i="18"/>
  <c r="N45" i="18"/>
  <c r="N103" i="18"/>
  <c r="N85" i="18"/>
  <c r="N71" i="18"/>
  <c r="N60" i="18"/>
  <c r="N44" i="18"/>
  <c r="N4" i="18"/>
  <c r="F108" i="18"/>
  <c r="F76" i="18"/>
  <c r="F45" i="18"/>
  <c r="F51" i="18"/>
  <c r="K51" i="18" s="1"/>
  <c r="L51" i="18" s="1"/>
  <c r="F29" i="18"/>
  <c r="F54" i="18"/>
  <c r="F95" i="18"/>
  <c r="F318" i="18"/>
  <c r="F37" i="18"/>
  <c r="F102" i="18"/>
  <c r="F87" i="18"/>
  <c r="F71" i="18"/>
  <c r="I247" i="18"/>
  <c r="K247" i="18" s="1"/>
  <c r="L247" i="18" s="1"/>
  <c r="I78" i="18"/>
  <c r="I348" i="18"/>
  <c r="I331" i="18"/>
  <c r="F75" i="18"/>
  <c r="F35" i="18"/>
  <c r="F31" i="18"/>
  <c r="I49" i="18"/>
  <c r="I67" i="18"/>
  <c r="I304" i="18"/>
  <c r="K304" i="18" s="1"/>
  <c r="L304" i="18" s="1"/>
  <c r="I119" i="18"/>
  <c r="K119" i="18" s="1"/>
  <c r="L119" i="18" s="1"/>
  <c r="F69" i="18"/>
  <c r="F73" i="18"/>
  <c r="I91" i="18"/>
  <c r="F327" i="18"/>
  <c r="F61" i="18"/>
  <c r="I35" i="18"/>
  <c r="I48" i="18"/>
  <c r="I221" i="18"/>
  <c r="I250" i="18"/>
  <c r="K250" i="18" s="1"/>
  <c r="L250" i="18" s="1"/>
  <c r="I291" i="18"/>
  <c r="F258" i="18"/>
  <c r="I185" i="18"/>
  <c r="K185" i="18" s="1"/>
  <c r="L185" i="18" s="1"/>
  <c r="I58" i="18"/>
  <c r="F59" i="18"/>
  <c r="K59" i="18" s="1"/>
  <c r="L59" i="18" s="1"/>
  <c r="F74" i="18"/>
  <c r="F344" i="18"/>
  <c r="F49" i="18"/>
  <c r="F100" i="18"/>
  <c r="F93" i="18"/>
  <c r="F117" i="18"/>
  <c r="F28" i="18"/>
  <c r="F356" i="18"/>
  <c r="F41" i="18"/>
  <c r="I147" i="18"/>
  <c r="K147" i="18" s="1"/>
  <c r="L147" i="18" s="1"/>
  <c r="I28" i="18"/>
  <c r="I299" i="18"/>
  <c r="K299" i="18" s="1"/>
  <c r="L299" i="18" s="1"/>
  <c r="I335" i="18"/>
  <c r="I194" i="18"/>
  <c r="K194" i="18" s="1"/>
  <c r="L194" i="18" s="1"/>
  <c r="I326" i="18"/>
  <c r="K326" i="18" s="1"/>
  <c r="L326" i="18" s="1"/>
  <c r="F70" i="18"/>
  <c r="I90" i="18"/>
  <c r="F81" i="18"/>
  <c r="F42" i="18"/>
  <c r="F82" i="18"/>
  <c r="F361" i="18"/>
  <c r="F359" i="18"/>
  <c r="F126" i="18"/>
  <c r="F66" i="18"/>
  <c r="F27" i="18"/>
  <c r="F104" i="18"/>
  <c r="F276" i="18"/>
  <c r="F101" i="18"/>
  <c r="F94" i="18"/>
  <c r="I2" i="18"/>
  <c r="I290" i="18"/>
  <c r="K290" i="18" s="1"/>
  <c r="L290" i="18" s="1"/>
  <c r="I170" i="18"/>
  <c r="K170" i="18" s="1"/>
  <c r="L170" i="18" s="1"/>
  <c r="I102" i="18"/>
  <c r="I54" i="18"/>
  <c r="I65" i="18"/>
  <c r="I98" i="18"/>
  <c r="I224" i="18"/>
  <c r="K224" i="18" s="1"/>
  <c r="L224" i="18" s="1"/>
  <c r="I163" i="18"/>
  <c r="K163" i="18" s="1"/>
  <c r="L163" i="18" s="1"/>
  <c r="I178" i="18"/>
  <c r="K178" i="18" s="1"/>
  <c r="L178" i="18" s="1"/>
  <c r="I110" i="18"/>
  <c r="K110" i="18" s="1"/>
  <c r="L110" i="18" s="1"/>
  <c r="I66" i="18"/>
  <c r="I171" i="18"/>
  <c r="K171" i="18" s="1"/>
  <c r="L171" i="18" s="1"/>
  <c r="I153" i="18"/>
  <c r="K153" i="18" s="1"/>
  <c r="L153" i="18" s="1"/>
  <c r="I85" i="18"/>
  <c r="I199" i="18"/>
  <c r="K199" i="18" s="1"/>
  <c r="L199" i="18" s="1"/>
  <c r="I166" i="18"/>
  <c r="K166" i="18" s="1"/>
  <c r="L166" i="18" s="1"/>
  <c r="I64" i="18"/>
  <c r="I330" i="18"/>
  <c r="I233" i="18"/>
  <c r="K233" i="18" s="1"/>
  <c r="L233" i="18" s="1"/>
  <c r="I94" i="18"/>
  <c r="I162" i="18"/>
  <c r="K162" i="18" s="1"/>
  <c r="L162" i="18" s="1"/>
  <c r="I93" i="18"/>
  <c r="I140" i="18"/>
  <c r="K140" i="18" s="1"/>
  <c r="L140" i="18" s="1"/>
  <c r="I86" i="18"/>
  <c r="I136" i="18"/>
  <c r="K136" i="18" s="1"/>
  <c r="L136" i="18" s="1"/>
  <c r="I69" i="18"/>
  <c r="I228" i="18"/>
  <c r="K228" i="18" s="1"/>
  <c r="L228" i="18" s="1"/>
  <c r="I332" i="18"/>
  <c r="I149" i="18"/>
  <c r="K149" i="18" s="1"/>
  <c r="L149" i="18" s="1"/>
  <c r="I295" i="18"/>
  <c r="K295" i="18" s="1"/>
  <c r="L295" i="18" s="1"/>
  <c r="I345" i="18"/>
  <c r="I22" i="18"/>
  <c r="K22" i="18" s="1"/>
  <c r="L22" i="18" s="1"/>
  <c r="I144" i="18"/>
  <c r="K144" i="18" s="1"/>
  <c r="L144" i="18" s="1"/>
  <c r="I77" i="18"/>
  <c r="K77" i="18" s="1"/>
  <c r="L77" i="18" s="1"/>
  <c r="I165" i="18"/>
  <c r="K165" i="18" s="1"/>
  <c r="L165" i="18" s="1"/>
  <c r="I73" i="18"/>
  <c r="I23" i="18"/>
  <c r="K23" i="18" s="1"/>
  <c r="L23" i="18" s="1"/>
  <c r="I285" i="18"/>
  <c r="K285" i="18" s="1"/>
  <c r="L285" i="18" s="1"/>
  <c r="I120" i="18"/>
  <c r="K120" i="18" s="1"/>
  <c r="L120" i="18" s="1"/>
  <c r="I142" i="18"/>
  <c r="K142" i="18" s="1"/>
  <c r="L142" i="18" s="1"/>
  <c r="I351" i="18"/>
  <c r="I133" i="18"/>
  <c r="K133" i="18" s="1"/>
  <c r="L133" i="18" s="1"/>
  <c r="I132" i="18"/>
  <c r="K132" i="18" s="1"/>
  <c r="L132" i="18" s="1"/>
  <c r="I261" i="18"/>
  <c r="K261" i="18" s="1"/>
  <c r="L261" i="18" s="1"/>
  <c r="I258" i="18"/>
  <c r="I195" i="18"/>
  <c r="K195" i="18" s="1"/>
  <c r="L195" i="18" s="1"/>
  <c r="I128" i="18"/>
  <c r="K128" i="18" s="1"/>
  <c r="L128" i="18" s="1"/>
  <c r="I37" i="18"/>
  <c r="I24" i="18"/>
  <c r="F169" i="18"/>
  <c r="I97" i="18"/>
  <c r="I289" i="18"/>
  <c r="K289" i="18" s="1"/>
  <c r="L289" i="18" s="1"/>
  <c r="F46" i="18"/>
  <c r="K46" i="18" s="1"/>
  <c r="L46" i="18" s="1"/>
  <c r="I353" i="18"/>
  <c r="I245" i="18"/>
  <c r="K245" i="18" s="1"/>
  <c r="L245" i="18" s="1"/>
  <c r="I126" i="18"/>
  <c r="F90" i="18"/>
  <c r="I320" i="18"/>
  <c r="K320" i="18" s="1"/>
  <c r="L320" i="18" s="1"/>
  <c r="I286" i="18"/>
  <c r="K286" i="18" s="1"/>
  <c r="L286" i="18" s="1"/>
  <c r="I181" i="18"/>
  <c r="K181" i="18" s="1"/>
  <c r="L181" i="18" s="1"/>
  <c r="I155" i="18"/>
  <c r="K155" i="18" s="1"/>
  <c r="L155" i="18" s="1"/>
  <c r="I42" i="18"/>
  <c r="I115" i="18"/>
  <c r="K115" i="18" s="1"/>
  <c r="L115" i="18" s="1"/>
  <c r="I368" i="18"/>
  <c r="I350" i="18"/>
  <c r="I242" i="18"/>
  <c r="I281" i="18"/>
  <c r="K281" i="18" s="1"/>
  <c r="L281" i="18" s="1"/>
  <c r="I310" i="18"/>
  <c r="K310" i="18" s="1"/>
  <c r="L310" i="18" s="1"/>
  <c r="I74" i="18"/>
  <c r="I71" i="18"/>
  <c r="F56" i="18"/>
  <c r="K56" i="18" s="1"/>
  <c r="L56" i="18" s="1"/>
  <c r="I359" i="18"/>
  <c r="F80" i="18"/>
  <c r="F2" i="18"/>
  <c r="F121" i="18"/>
  <c r="F78" i="18"/>
  <c r="F335" i="18"/>
  <c r="F83" i="18"/>
  <c r="F55" i="18"/>
  <c r="F113" i="18"/>
  <c r="F85" i="18"/>
  <c r="F98" i="18"/>
  <c r="F91" i="18"/>
  <c r="F92" i="18"/>
  <c r="F33" i="18"/>
  <c r="F86" i="18"/>
  <c r="F64" i="18"/>
  <c r="F79" i="18"/>
  <c r="F60" i="18"/>
  <c r="K60" i="18" s="1"/>
  <c r="L60" i="18" s="1"/>
  <c r="F38" i="18"/>
  <c r="F363" i="18"/>
  <c r="F89" i="18"/>
  <c r="I197" i="18"/>
  <c r="K197" i="18" s="1"/>
  <c r="L197" i="18" s="1"/>
  <c r="F96" i="18"/>
  <c r="K96" i="18" s="1"/>
  <c r="L96" i="18" s="1"/>
  <c r="F44" i="18"/>
  <c r="F47" i="18"/>
  <c r="F357" i="18"/>
  <c r="K357" i="18" s="1"/>
  <c r="L357" i="18" s="1"/>
  <c r="I188" i="18"/>
  <c r="K188" i="18" s="1"/>
  <c r="L188" i="18" s="1"/>
  <c r="I222" i="18"/>
  <c r="K222" i="18" s="1"/>
  <c r="L222" i="18" s="1"/>
  <c r="I287" i="18"/>
  <c r="K287" i="18" s="1"/>
  <c r="L287" i="18" s="1"/>
  <c r="I324" i="18"/>
  <c r="K324" i="18" s="1"/>
  <c r="L324" i="18" s="1"/>
  <c r="I113" i="18"/>
  <c r="I177" i="18"/>
  <c r="K177" i="18" s="1"/>
  <c r="L177" i="18" s="1"/>
  <c r="I169" i="18"/>
  <c r="I167" i="18"/>
  <c r="K167" i="18" s="1"/>
  <c r="L167" i="18" s="1"/>
  <c r="I266" i="18"/>
  <c r="K266" i="18" s="1"/>
  <c r="L266" i="18" s="1"/>
  <c r="I80" i="18"/>
  <c r="I366" i="18"/>
  <c r="I33" i="18"/>
  <c r="I89" i="18"/>
  <c r="I275" i="18"/>
  <c r="K275" i="18" s="1"/>
  <c r="L275" i="18" s="1"/>
  <c r="F84" i="18"/>
  <c r="F52" i="18"/>
  <c r="K52" i="18" s="1"/>
  <c r="L52" i="18" s="1"/>
  <c r="I19" i="18"/>
  <c r="K19" i="18" s="1"/>
  <c r="L19" i="18" s="1"/>
  <c r="N2" i="16"/>
  <c r="O2" i="16" s="1"/>
  <c r="N4" i="16"/>
  <c r="P4" i="16" s="1"/>
  <c r="Q4" i="16" s="1"/>
  <c r="R5" i="16" s="1"/>
  <c r="M4" i="15"/>
  <c r="N4" i="15" s="1"/>
  <c r="M2" i="15"/>
  <c r="O2" i="15" s="1"/>
  <c r="P2" i="15" s="1"/>
  <c r="Q2" i="15" s="1"/>
  <c r="N3" i="16"/>
  <c r="O3" i="16" s="1"/>
  <c r="N3" i="15"/>
  <c r="O3" i="15"/>
  <c r="P3" i="15" s="1"/>
  <c r="C196" i="2"/>
  <c r="D196" i="2"/>
  <c r="E196" i="2"/>
  <c r="F196" i="2"/>
  <c r="J196" i="2"/>
  <c r="N196" i="2"/>
  <c r="S196" i="2"/>
  <c r="W196" i="2"/>
  <c r="AS196" i="2"/>
  <c r="AT196" i="2"/>
  <c r="K30" i="18" l="1"/>
  <c r="L30" i="18" s="1"/>
  <c r="K65" i="18"/>
  <c r="L65" i="18" s="1"/>
  <c r="O2" i="18"/>
  <c r="P2" i="18" s="1"/>
  <c r="T44" i="18"/>
  <c r="U44" i="18" s="1"/>
  <c r="T103" i="18"/>
  <c r="U103" i="18" s="1"/>
  <c r="T87" i="18"/>
  <c r="U87" i="18" s="1"/>
  <c r="T75" i="18"/>
  <c r="U75" i="18" s="1"/>
  <c r="T79" i="18"/>
  <c r="U79" i="18" s="1"/>
  <c r="T74" i="18"/>
  <c r="U74" i="18" s="1"/>
  <c r="T94" i="18"/>
  <c r="U94" i="18" s="1"/>
  <c r="T37" i="18"/>
  <c r="U37" i="18" s="1"/>
  <c r="T83" i="18"/>
  <c r="U83" i="18" s="1"/>
  <c r="T47" i="18"/>
  <c r="U47" i="18" s="1"/>
  <c r="T101" i="18"/>
  <c r="U101" i="18" s="1"/>
  <c r="T40" i="18"/>
  <c r="U40" i="18" s="1"/>
  <c r="T82" i="18"/>
  <c r="U82" i="18" s="1"/>
  <c r="T70" i="18"/>
  <c r="U70" i="18" s="1"/>
  <c r="T106" i="18"/>
  <c r="U106" i="18" s="1"/>
  <c r="T107" i="18"/>
  <c r="U107" i="18" s="1"/>
  <c r="T115" i="18"/>
  <c r="U115" i="18" s="1"/>
  <c r="T119" i="18"/>
  <c r="U119" i="18" s="1"/>
  <c r="T126" i="18"/>
  <c r="U126" i="18" s="1"/>
  <c r="T130" i="18"/>
  <c r="U130" i="18" s="1"/>
  <c r="T134" i="18"/>
  <c r="U134" i="18" s="1"/>
  <c r="T142" i="18"/>
  <c r="U142" i="18" s="1"/>
  <c r="T146" i="18"/>
  <c r="U146" i="18" s="1"/>
  <c r="T150" i="18"/>
  <c r="U150" i="18" s="1"/>
  <c r="T155" i="18"/>
  <c r="U155" i="18" s="1"/>
  <c r="T158" i="18"/>
  <c r="U158" i="18" s="1"/>
  <c r="T162" i="18"/>
  <c r="U162" i="18" s="1"/>
  <c r="T166" i="18"/>
  <c r="U166" i="18" s="1"/>
  <c r="T171" i="18"/>
  <c r="U171" i="18" s="1"/>
  <c r="T175" i="18"/>
  <c r="U175" i="18" s="1"/>
  <c r="T179" i="18"/>
  <c r="U179" i="18" s="1"/>
  <c r="T183" i="18"/>
  <c r="U183" i="18" s="1"/>
  <c r="T188" i="18"/>
  <c r="U188" i="18" s="1"/>
  <c r="T192" i="18"/>
  <c r="U192" i="18" s="1"/>
  <c r="T196" i="18"/>
  <c r="U196" i="18" s="1"/>
  <c r="T200" i="18"/>
  <c r="U200" i="18" s="1"/>
  <c r="T223" i="18"/>
  <c r="U223" i="18" s="1"/>
  <c r="T228" i="18"/>
  <c r="U228" i="18" s="1"/>
  <c r="T232" i="18"/>
  <c r="U232" i="18" s="1"/>
  <c r="T240" i="18"/>
  <c r="U240" i="18" s="1"/>
  <c r="T245" i="18"/>
  <c r="U245" i="18" s="1"/>
  <c r="T248" i="18"/>
  <c r="U248" i="18" s="1"/>
  <c r="T251" i="18"/>
  <c r="U251" i="18" s="1"/>
  <c r="T256" i="18"/>
  <c r="U256" i="18" s="1"/>
  <c r="T262" i="18"/>
  <c r="U262" i="18" s="1"/>
  <c r="T266" i="18"/>
  <c r="U266" i="18" s="1"/>
  <c r="T270" i="18"/>
  <c r="U270" i="18" s="1"/>
  <c r="T274" i="18"/>
  <c r="U274" i="18" s="1"/>
  <c r="T282" i="18"/>
  <c r="U282" i="18" s="1"/>
  <c r="T286" i="18"/>
  <c r="U286" i="18" s="1"/>
  <c r="T290" i="18"/>
  <c r="U290" i="18" s="1"/>
  <c r="T294" i="18"/>
  <c r="U294" i="18" s="1"/>
  <c r="T300" i="18"/>
  <c r="U300" i="18" s="1"/>
  <c r="T304" i="18"/>
  <c r="U304" i="18" s="1"/>
  <c r="T308" i="18"/>
  <c r="U308" i="18" s="1"/>
  <c r="T312" i="18"/>
  <c r="U312" i="18" s="1"/>
  <c r="T316" i="18"/>
  <c r="U316" i="18" s="1"/>
  <c r="T320" i="18"/>
  <c r="U320" i="18" s="1"/>
  <c r="T324" i="18"/>
  <c r="U324" i="18" s="1"/>
  <c r="T329" i="18"/>
  <c r="U329" i="18" s="1"/>
  <c r="T334" i="18"/>
  <c r="U334" i="18" s="1"/>
  <c r="T338" i="18"/>
  <c r="U338" i="18" s="1"/>
  <c r="T342" i="18"/>
  <c r="U342" i="18" s="1"/>
  <c r="T350" i="18"/>
  <c r="U350" i="18" s="1"/>
  <c r="T354" i="18"/>
  <c r="U354" i="18" s="1"/>
  <c r="T363" i="18"/>
  <c r="U363" i="18" s="1"/>
  <c r="T45" i="18"/>
  <c r="U45" i="18" s="1"/>
  <c r="T42" i="18"/>
  <c r="U42" i="18" s="1"/>
  <c r="T100" i="18"/>
  <c r="U100" i="18" s="1"/>
  <c r="T43" i="18"/>
  <c r="U43" i="18" s="1"/>
  <c r="T77" i="18"/>
  <c r="U77" i="18" s="1"/>
  <c r="T76" i="18"/>
  <c r="U76" i="18" s="1"/>
  <c r="T90" i="18"/>
  <c r="U90" i="18" s="1"/>
  <c r="T88" i="18"/>
  <c r="U88" i="18" s="1"/>
  <c r="T36" i="18"/>
  <c r="U36" i="18" s="1"/>
  <c r="T53" i="18"/>
  <c r="U53" i="18" s="1"/>
  <c r="T95" i="18"/>
  <c r="U95" i="18" s="1"/>
  <c r="T50" i="18"/>
  <c r="U50" i="18" s="1"/>
  <c r="T66" i="18"/>
  <c r="U66" i="18" s="1"/>
  <c r="T61" i="18"/>
  <c r="U61" i="18" s="1"/>
  <c r="T84" i="18"/>
  <c r="U84" i="18" s="1"/>
  <c r="T105" i="18"/>
  <c r="U105" i="18" s="1"/>
  <c r="T108" i="18"/>
  <c r="U108" i="18" s="1"/>
  <c r="T112" i="18"/>
  <c r="U112" i="18" s="1"/>
  <c r="T116" i="18"/>
  <c r="U116" i="18" s="1"/>
  <c r="T120" i="18"/>
  <c r="U120" i="18" s="1"/>
  <c r="T123" i="18"/>
  <c r="U123" i="18" s="1"/>
  <c r="T127" i="18"/>
  <c r="U127" i="18" s="1"/>
  <c r="T131" i="18"/>
  <c r="U131" i="18" s="1"/>
  <c r="T135" i="18"/>
  <c r="U135" i="18" s="1"/>
  <c r="T139" i="18"/>
  <c r="U139" i="18" s="1"/>
  <c r="T143" i="18"/>
  <c r="U143" i="18" s="1"/>
  <c r="T147" i="18"/>
  <c r="U147" i="18" s="1"/>
  <c r="T152" i="18"/>
  <c r="U152" i="18" s="1"/>
  <c r="T157" i="18"/>
  <c r="U157" i="18" s="1"/>
  <c r="T159" i="18"/>
  <c r="U159" i="18" s="1"/>
  <c r="T163" i="18"/>
  <c r="U163" i="18" s="1"/>
  <c r="T167" i="18"/>
  <c r="U167" i="18" s="1"/>
  <c r="T170" i="18"/>
  <c r="U170" i="18" s="1"/>
  <c r="T176" i="18"/>
  <c r="U176" i="18" s="1"/>
  <c r="T180" i="18"/>
  <c r="U180" i="18" s="1"/>
  <c r="T184" i="18"/>
  <c r="U184" i="18" s="1"/>
  <c r="T189" i="18"/>
  <c r="U189" i="18" s="1"/>
  <c r="T193" i="18"/>
  <c r="U193" i="18" s="1"/>
  <c r="T197" i="18"/>
  <c r="U197" i="18" s="1"/>
  <c r="T201" i="18"/>
  <c r="U201" i="18" s="1"/>
  <c r="T224" i="18"/>
  <c r="U224" i="18" s="1"/>
  <c r="T233" i="18"/>
  <c r="U233" i="18" s="1"/>
  <c r="T237" i="18"/>
  <c r="U237" i="18" s="1"/>
  <c r="T241" i="18"/>
  <c r="U241" i="18" s="1"/>
  <c r="T246" i="18"/>
  <c r="U246" i="18" s="1"/>
  <c r="T226" i="18"/>
  <c r="U226" i="18" s="1"/>
  <c r="T252" i="18"/>
  <c r="U252" i="18" s="1"/>
  <c r="T257" i="18"/>
  <c r="U257" i="18" s="1"/>
  <c r="T263" i="18"/>
  <c r="U263" i="18" s="1"/>
  <c r="T267" i="18"/>
  <c r="U267" i="18" s="1"/>
  <c r="T275" i="18"/>
  <c r="U275" i="18" s="1"/>
  <c r="T279" i="18"/>
  <c r="U279" i="18" s="1"/>
  <c r="T283" i="18"/>
  <c r="U283" i="18" s="1"/>
  <c r="T287" i="18"/>
  <c r="U287" i="18" s="1"/>
  <c r="T291" i="18"/>
  <c r="U291" i="18" s="1"/>
  <c r="T295" i="18"/>
  <c r="U295" i="18" s="1"/>
  <c r="T301" i="18"/>
  <c r="U301" i="18" s="1"/>
  <c r="T305" i="18"/>
  <c r="U305" i="18" s="1"/>
  <c r="T309" i="18"/>
  <c r="U309" i="18" s="1"/>
  <c r="T313" i="18"/>
  <c r="U313" i="18" s="1"/>
  <c r="T317" i="18"/>
  <c r="U317" i="18" s="1"/>
  <c r="T321" i="18"/>
  <c r="U321" i="18" s="1"/>
  <c r="T325" i="18"/>
  <c r="U325" i="18" s="1"/>
  <c r="T330" i="18"/>
  <c r="U330" i="18" s="1"/>
  <c r="T335" i="18"/>
  <c r="U335" i="18" s="1"/>
  <c r="T339" i="18"/>
  <c r="U339" i="18" s="1"/>
  <c r="T343" i="18"/>
  <c r="U343" i="18" s="1"/>
  <c r="T347" i="18"/>
  <c r="U347" i="18" s="1"/>
  <c r="T351" i="18"/>
  <c r="U351" i="18" s="1"/>
  <c r="T355" i="18"/>
  <c r="U355" i="18" s="1"/>
  <c r="T359" i="18"/>
  <c r="U359" i="18" s="1"/>
  <c r="T71" i="18"/>
  <c r="U71" i="18" s="1"/>
  <c r="T64" i="18"/>
  <c r="U64" i="18" s="1"/>
  <c r="T54" i="18"/>
  <c r="U54" i="18" s="1"/>
  <c r="T55" i="18"/>
  <c r="U55" i="18" s="1"/>
  <c r="T97" i="18"/>
  <c r="U97" i="18" s="1"/>
  <c r="T48" i="18"/>
  <c r="U48" i="18" s="1"/>
  <c r="T89" i="18"/>
  <c r="U89" i="18" s="1"/>
  <c r="T49" i="18"/>
  <c r="U49" i="18" s="1"/>
  <c r="T65" i="18"/>
  <c r="U65" i="18" s="1"/>
  <c r="T57" i="18"/>
  <c r="U57" i="18" s="1"/>
  <c r="T58" i="18"/>
  <c r="U58" i="18" s="1"/>
  <c r="T81" i="18"/>
  <c r="U81" i="18" s="1"/>
  <c r="T67" i="18"/>
  <c r="U67" i="18" s="1"/>
  <c r="T104" i="18"/>
  <c r="U104" i="18" s="1"/>
  <c r="T98" i="18"/>
  <c r="U98" i="18" s="1"/>
  <c r="T109" i="18"/>
  <c r="U109" i="18" s="1"/>
  <c r="T113" i="18"/>
  <c r="U113" i="18" s="1"/>
  <c r="T117" i="18"/>
  <c r="U117" i="18" s="1"/>
  <c r="T121" i="18"/>
  <c r="U121" i="18" s="1"/>
  <c r="T124" i="18"/>
  <c r="U124" i="18" s="1"/>
  <c r="T128" i="18"/>
  <c r="U128" i="18" s="1"/>
  <c r="T132" i="18"/>
  <c r="U132" i="18" s="1"/>
  <c r="T136" i="18"/>
  <c r="U136" i="18" s="1"/>
  <c r="T140" i="18"/>
  <c r="U140" i="18" s="1"/>
  <c r="T144" i="18"/>
  <c r="U144" i="18" s="1"/>
  <c r="T148" i="18"/>
  <c r="U148" i="18" s="1"/>
  <c r="T153" i="18"/>
  <c r="U153" i="18" s="1"/>
  <c r="T164" i="18"/>
  <c r="U164" i="18" s="1"/>
  <c r="T168" i="18"/>
  <c r="U168" i="18" s="1"/>
  <c r="T173" i="18"/>
  <c r="U173" i="18" s="1"/>
  <c r="T177" i="18"/>
  <c r="U177" i="18" s="1"/>
  <c r="T181" i="18"/>
  <c r="U181" i="18" s="1"/>
  <c r="T185" i="18"/>
  <c r="U185" i="18" s="1"/>
  <c r="T190" i="18"/>
  <c r="U190" i="18" s="1"/>
  <c r="T194" i="18"/>
  <c r="U194" i="18" s="1"/>
  <c r="T198" i="18"/>
  <c r="U198" i="18" s="1"/>
  <c r="T202" i="18"/>
  <c r="U202" i="18" s="1"/>
  <c r="T225" i="18"/>
  <c r="U225" i="18" s="1"/>
  <c r="T234" i="18"/>
  <c r="U234" i="18" s="1"/>
  <c r="T238" i="18"/>
  <c r="U238" i="18" s="1"/>
  <c r="T247" i="18"/>
  <c r="U247" i="18" s="1"/>
  <c r="T249" i="18"/>
  <c r="U249" i="18" s="1"/>
  <c r="T253" i="18"/>
  <c r="U253" i="18" s="1"/>
  <c r="T258" i="18"/>
  <c r="U258" i="18" s="1"/>
  <c r="T264" i="18"/>
  <c r="U264" i="18" s="1"/>
  <c r="T268" i="18"/>
  <c r="U268" i="18" s="1"/>
  <c r="T272" i="18"/>
  <c r="U272" i="18" s="1"/>
  <c r="T276" i="18"/>
  <c r="U276" i="18" s="1"/>
  <c r="T280" i="18"/>
  <c r="U280" i="18" s="1"/>
  <c r="T284" i="18"/>
  <c r="U284" i="18" s="1"/>
  <c r="T288" i="18"/>
  <c r="U288" i="18" s="1"/>
  <c r="T292" i="18"/>
  <c r="U292" i="18" s="1"/>
  <c r="T296" i="18"/>
  <c r="U296" i="18" s="1"/>
  <c r="T302" i="18"/>
  <c r="U302" i="18" s="1"/>
  <c r="T310" i="18"/>
  <c r="U310" i="18" s="1"/>
  <c r="T314" i="18"/>
  <c r="U314" i="18" s="1"/>
  <c r="T318" i="18"/>
  <c r="U318" i="18" s="1"/>
  <c r="T326" i="18"/>
  <c r="U326" i="18" s="1"/>
  <c r="T331" i="18"/>
  <c r="U331" i="18" s="1"/>
  <c r="T336" i="18"/>
  <c r="U336" i="18" s="1"/>
  <c r="T340" i="18"/>
  <c r="U340" i="18" s="1"/>
  <c r="T344" i="18"/>
  <c r="U344" i="18" s="1"/>
  <c r="T348" i="18"/>
  <c r="U348" i="18" s="1"/>
  <c r="T352" i="18"/>
  <c r="U352" i="18" s="1"/>
  <c r="T356" i="18"/>
  <c r="U356" i="18" s="1"/>
  <c r="T360" i="18"/>
  <c r="U360" i="18" s="1"/>
  <c r="T261" i="18"/>
  <c r="U261" i="18" s="1"/>
  <c r="T85" i="18"/>
  <c r="U85" i="18" s="1"/>
  <c r="T73" i="18"/>
  <c r="U73" i="18" s="1"/>
  <c r="T63" i="18"/>
  <c r="U63" i="18" s="1"/>
  <c r="T91" i="18"/>
  <c r="U91" i="18" s="1"/>
  <c r="T35" i="18"/>
  <c r="U35" i="18" s="1"/>
  <c r="T78" i="18"/>
  <c r="U78" i="18" s="1"/>
  <c r="T28" i="18"/>
  <c r="U28" i="18" s="1"/>
  <c r="T80" i="18"/>
  <c r="U80" i="18" s="1"/>
  <c r="T41" i="18"/>
  <c r="U41" i="18" s="1"/>
  <c r="T92" i="18"/>
  <c r="U92" i="18" s="1"/>
  <c r="T69" i="18"/>
  <c r="U69" i="18" s="1"/>
  <c r="T99" i="18"/>
  <c r="U99" i="18" s="1"/>
  <c r="T86" i="18"/>
  <c r="U86" i="18" s="1"/>
  <c r="T110" i="18"/>
  <c r="U110" i="18" s="1"/>
  <c r="T114" i="18"/>
  <c r="U114" i="18" s="1"/>
  <c r="T122" i="18"/>
  <c r="U122" i="18" s="1"/>
  <c r="T125" i="18"/>
  <c r="U125" i="18" s="1"/>
  <c r="T129" i="18"/>
  <c r="U129" i="18" s="1"/>
  <c r="T133" i="18"/>
  <c r="U133" i="18" s="1"/>
  <c r="T137" i="18"/>
  <c r="U137" i="18" s="1"/>
  <c r="T141" i="18"/>
  <c r="U141" i="18" s="1"/>
  <c r="T149" i="18"/>
  <c r="U149" i="18" s="1"/>
  <c r="T154" i="18"/>
  <c r="U154" i="18" s="1"/>
  <c r="T151" i="18"/>
  <c r="U151" i="18" s="1"/>
  <c r="T161" i="18"/>
  <c r="U161" i="18" s="1"/>
  <c r="T165" i="18"/>
  <c r="U165" i="18" s="1"/>
  <c r="T169" i="18"/>
  <c r="U169" i="18" s="1"/>
  <c r="T174" i="18"/>
  <c r="U174" i="18" s="1"/>
  <c r="T178" i="18"/>
  <c r="U178" i="18" s="1"/>
  <c r="T182" i="18"/>
  <c r="U182" i="18" s="1"/>
  <c r="T187" i="18"/>
  <c r="U187" i="18" s="1"/>
  <c r="T191" i="18"/>
  <c r="U191" i="18" s="1"/>
  <c r="T195" i="18"/>
  <c r="U195" i="18" s="1"/>
  <c r="T199" i="18"/>
  <c r="U199" i="18" s="1"/>
  <c r="T222" i="18"/>
  <c r="U222" i="18" s="1"/>
  <c r="T227" i="18"/>
  <c r="U227" i="18" s="1"/>
  <c r="T231" i="18"/>
  <c r="U231" i="18" s="1"/>
  <c r="T235" i="18"/>
  <c r="U235" i="18" s="1"/>
  <c r="T239" i="18"/>
  <c r="U239" i="18" s="1"/>
  <c r="T244" i="18"/>
  <c r="U244" i="18" s="1"/>
  <c r="T254" i="18"/>
  <c r="U254" i="18" s="1"/>
  <c r="T250" i="18"/>
  <c r="U250" i="18" s="1"/>
  <c r="T255" i="18"/>
  <c r="U255" i="18" s="1"/>
  <c r="T259" i="18"/>
  <c r="U259" i="18" s="1"/>
  <c r="T265" i="18"/>
  <c r="U265" i="18" s="1"/>
  <c r="T269" i="18"/>
  <c r="U269" i="18" s="1"/>
  <c r="T273" i="18"/>
  <c r="U273" i="18" s="1"/>
  <c r="T277" i="18"/>
  <c r="U277" i="18" s="1"/>
  <c r="T281" i="18"/>
  <c r="U281" i="18" s="1"/>
  <c r="T285" i="18"/>
  <c r="U285" i="18" s="1"/>
  <c r="T289" i="18"/>
  <c r="U289" i="18" s="1"/>
  <c r="T293" i="18"/>
  <c r="U293" i="18" s="1"/>
  <c r="T299" i="18"/>
  <c r="U299" i="18" s="1"/>
  <c r="T303" i="18"/>
  <c r="U303" i="18" s="1"/>
  <c r="T311" i="18"/>
  <c r="U311" i="18" s="1"/>
  <c r="T315" i="18"/>
  <c r="U315" i="18" s="1"/>
  <c r="T319" i="18"/>
  <c r="U319" i="18" s="1"/>
  <c r="T323" i="18"/>
  <c r="U323" i="18" s="1"/>
  <c r="T327" i="18"/>
  <c r="U327" i="18" s="1"/>
  <c r="T332" i="18"/>
  <c r="U332" i="18" s="1"/>
  <c r="T337" i="18"/>
  <c r="U337" i="18" s="1"/>
  <c r="T345" i="18"/>
  <c r="U345" i="18" s="1"/>
  <c r="T349" i="18"/>
  <c r="U349" i="18" s="1"/>
  <c r="T353" i="18"/>
  <c r="U353" i="18" s="1"/>
  <c r="T361" i="18"/>
  <c r="U361" i="18" s="1"/>
  <c r="T39" i="18"/>
  <c r="U39" i="18" s="1"/>
  <c r="T38" i="18"/>
  <c r="U38" i="18" s="1"/>
  <c r="K33" i="18"/>
  <c r="L33" i="18" s="1"/>
  <c r="T31" i="18"/>
  <c r="U31" i="18" s="1"/>
  <c r="T34" i="18"/>
  <c r="U34" i="18" s="1"/>
  <c r="T33" i="18"/>
  <c r="U33" i="18" s="1"/>
  <c r="K28" i="18"/>
  <c r="L28" i="18" s="1"/>
  <c r="T30" i="18"/>
  <c r="U30" i="18" s="1"/>
  <c r="T29" i="18"/>
  <c r="U29" i="18" s="1"/>
  <c r="T27" i="18"/>
  <c r="U27" i="18" s="1"/>
  <c r="T26" i="18"/>
  <c r="U26" i="18" s="1"/>
  <c r="T23" i="18"/>
  <c r="U23" i="18" s="1"/>
  <c r="T22" i="18"/>
  <c r="U22" i="18" s="1"/>
  <c r="T19" i="18"/>
  <c r="U19" i="18" s="1"/>
  <c r="K291" i="18"/>
  <c r="L291" i="18" s="1"/>
  <c r="O363" i="18"/>
  <c r="P363" i="18" s="1"/>
  <c r="O344" i="18"/>
  <c r="P344" i="18" s="1"/>
  <c r="O356" i="18"/>
  <c r="P356" i="18" s="1"/>
  <c r="O4" i="18"/>
  <c r="P4" i="18" s="1"/>
  <c r="T4" i="18"/>
  <c r="U4" i="18" s="1"/>
  <c r="O12" i="18"/>
  <c r="P12" i="18" s="1"/>
  <c r="T12" i="18"/>
  <c r="U12" i="18" s="1"/>
  <c r="O10" i="18"/>
  <c r="P10" i="18" s="1"/>
  <c r="T10" i="18"/>
  <c r="U10" i="18" s="1"/>
  <c r="O68" i="18"/>
  <c r="P68" i="18" s="1"/>
  <c r="T68" i="18"/>
  <c r="U68" i="18" s="1"/>
  <c r="O21" i="18"/>
  <c r="P21" i="18" s="1"/>
  <c r="T21" i="18"/>
  <c r="U21" i="18" s="1"/>
  <c r="O72" i="18"/>
  <c r="P72" i="18" s="1"/>
  <c r="T72" i="18"/>
  <c r="U72" i="18" s="1"/>
  <c r="O7" i="18"/>
  <c r="P7" i="18" s="1"/>
  <c r="T7" i="18"/>
  <c r="U7" i="18" s="1"/>
  <c r="O51" i="18"/>
  <c r="P51" i="18" s="1"/>
  <c r="T51" i="18"/>
  <c r="U51" i="18" s="1"/>
  <c r="O118" i="18"/>
  <c r="P118" i="18" s="1"/>
  <c r="T118" i="18"/>
  <c r="U118" i="18" s="1"/>
  <c r="O145" i="18"/>
  <c r="P145" i="18" s="1"/>
  <c r="T145" i="18"/>
  <c r="U145" i="18" s="1"/>
  <c r="O217" i="18"/>
  <c r="P217" i="18" s="1"/>
  <c r="T217" i="18"/>
  <c r="U217" i="18" s="1"/>
  <c r="O307" i="18"/>
  <c r="P307" i="18" s="1"/>
  <c r="T307" i="18"/>
  <c r="U307" i="18" s="1"/>
  <c r="O341" i="18"/>
  <c r="P341" i="18" s="1"/>
  <c r="T341" i="18"/>
  <c r="U341" i="18" s="1"/>
  <c r="O357" i="18"/>
  <c r="P357" i="18" s="1"/>
  <c r="T357" i="18"/>
  <c r="U357" i="18" s="1"/>
  <c r="O6" i="18"/>
  <c r="P6" i="18" s="1"/>
  <c r="T6" i="18"/>
  <c r="U6" i="18" s="1"/>
  <c r="O16" i="18"/>
  <c r="P16" i="18" s="1"/>
  <c r="T16" i="18"/>
  <c r="U16" i="18" s="1"/>
  <c r="O46" i="18"/>
  <c r="P46" i="18" s="1"/>
  <c r="T46" i="18"/>
  <c r="U46" i="18" s="1"/>
  <c r="O96" i="18"/>
  <c r="P96" i="18" s="1"/>
  <c r="T96" i="18"/>
  <c r="U96" i="18" s="1"/>
  <c r="O25" i="18"/>
  <c r="P25" i="18" s="1"/>
  <c r="T25" i="18"/>
  <c r="U25" i="18" s="1"/>
  <c r="O3" i="18"/>
  <c r="P3" i="18" s="1"/>
  <c r="T3" i="18"/>
  <c r="U3" i="18" s="1"/>
  <c r="O111" i="18"/>
  <c r="P111" i="18" s="1"/>
  <c r="T111" i="18"/>
  <c r="U111" i="18" s="1"/>
  <c r="O138" i="18"/>
  <c r="P138" i="18" s="1"/>
  <c r="T138" i="18"/>
  <c r="U138" i="18" s="1"/>
  <c r="O218" i="18"/>
  <c r="P218" i="18" s="1"/>
  <c r="T218" i="18"/>
  <c r="U218" i="18" s="1"/>
  <c r="O236" i="18"/>
  <c r="P236" i="18" s="1"/>
  <c r="T236" i="18"/>
  <c r="U236" i="18" s="1"/>
  <c r="O278" i="18"/>
  <c r="P278" i="18" s="1"/>
  <c r="T278" i="18"/>
  <c r="U278" i="18" s="1"/>
  <c r="O346" i="18"/>
  <c r="P346" i="18" s="1"/>
  <c r="T346" i="18"/>
  <c r="U346" i="18" s="1"/>
  <c r="O358" i="18"/>
  <c r="P358" i="18" s="1"/>
  <c r="T358" i="18"/>
  <c r="U358" i="18" s="1"/>
  <c r="O60" i="18"/>
  <c r="P60" i="18" s="1"/>
  <c r="T60" i="18"/>
  <c r="U60" i="18" s="1"/>
  <c r="O20" i="18"/>
  <c r="P20" i="18" s="1"/>
  <c r="T20" i="18"/>
  <c r="U20" i="18" s="1"/>
  <c r="O15" i="18"/>
  <c r="P15" i="18" s="1"/>
  <c r="T15" i="18"/>
  <c r="U15" i="18" s="1"/>
  <c r="O56" i="18"/>
  <c r="P56" i="18" s="1"/>
  <c r="T56" i="18"/>
  <c r="U56" i="18" s="1"/>
  <c r="O18" i="18"/>
  <c r="P18" i="18" s="1"/>
  <c r="T18" i="18"/>
  <c r="U18" i="18" s="1"/>
  <c r="O59" i="18"/>
  <c r="P59" i="18" s="1"/>
  <c r="T59" i="18"/>
  <c r="U59" i="18" s="1"/>
  <c r="O32" i="18"/>
  <c r="P32" i="18" s="1"/>
  <c r="T32" i="18"/>
  <c r="U32" i="18" s="1"/>
  <c r="O219" i="18"/>
  <c r="P219" i="18" s="1"/>
  <c r="T219" i="18"/>
  <c r="U219" i="18" s="1"/>
  <c r="O229" i="18"/>
  <c r="P229" i="18" s="1"/>
  <c r="T229" i="18"/>
  <c r="U229" i="18" s="1"/>
  <c r="O271" i="18"/>
  <c r="P271" i="18" s="1"/>
  <c r="T271" i="18"/>
  <c r="U271" i="18" s="1"/>
  <c r="O362" i="18"/>
  <c r="P362" i="18" s="1"/>
  <c r="T362" i="18"/>
  <c r="U362" i="18" s="1"/>
  <c r="O11" i="18"/>
  <c r="P11" i="18" s="1"/>
  <c r="T11" i="18"/>
  <c r="U11" i="18" s="1"/>
  <c r="O52" i="18"/>
  <c r="P52" i="18" s="1"/>
  <c r="T52" i="18"/>
  <c r="U52" i="18" s="1"/>
  <c r="O14" i="18"/>
  <c r="P14" i="18" s="1"/>
  <c r="T14" i="18"/>
  <c r="U14" i="18" s="1"/>
  <c r="O5" i="18"/>
  <c r="P5" i="18" s="1"/>
  <c r="T5" i="18"/>
  <c r="U5" i="18" s="1"/>
  <c r="O8" i="18"/>
  <c r="P8" i="18" s="1"/>
  <c r="T8" i="18"/>
  <c r="U8" i="18" s="1"/>
  <c r="O13" i="18"/>
  <c r="P13" i="18" s="1"/>
  <c r="T13" i="18"/>
  <c r="U13" i="18" s="1"/>
  <c r="O9" i="18"/>
  <c r="P9" i="18" s="1"/>
  <c r="T9" i="18"/>
  <c r="U9" i="18" s="1"/>
  <c r="O17" i="18"/>
  <c r="P17" i="18" s="1"/>
  <c r="T17" i="18"/>
  <c r="U17" i="18" s="1"/>
  <c r="O156" i="18"/>
  <c r="P156" i="18" s="1"/>
  <c r="T156" i="18"/>
  <c r="U156" i="18" s="1"/>
  <c r="O160" i="18"/>
  <c r="P160" i="18" s="1"/>
  <c r="T160" i="18"/>
  <c r="U160" i="18" s="1"/>
  <c r="O220" i="18"/>
  <c r="P220" i="18" s="1"/>
  <c r="T220" i="18"/>
  <c r="U220" i="18" s="1"/>
  <c r="O230" i="18"/>
  <c r="P230" i="18" s="1"/>
  <c r="T230" i="18"/>
  <c r="U230" i="18" s="1"/>
  <c r="O243" i="18"/>
  <c r="P243" i="18" s="1"/>
  <c r="T243" i="18"/>
  <c r="U243" i="18" s="1"/>
  <c r="O306" i="18"/>
  <c r="P306" i="18" s="1"/>
  <c r="T306" i="18"/>
  <c r="U306" i="18" s="1"/>
  <c r="O322" i="18"/>
  <c r="P322" i="18" s="1"/>
  <c r="T322" i="18"/>
  <c r="U322" i="18" s="1"/>
  <c r="O361" i="18"/>
  <c r="P361" i="18" s="1"/>
  <c r="O335" i="18"/>
  <c r="P335" i="18" s="1"/>
  <c r="O36" i="18"/>
  <c r="P36" i="18" s="1"/>
  <c r="O95" i="18"/>
  <c r="P95" i="18" s="1"/>
  <c r="O26" i="18"/>
  <c r="P26" i="18" s="1"/>
  <c r="O29" i="18"/>
  <c r="P29" i="18" s="1"/>
  <c r="O104" i="18"/>
  <c r="P104" i="18" s="1"/>
  <c r="O30" i="18"/>
  <c r="P30" i="18" s="1"/>
  <c r="O103" i="18"/>
  <c r="P103" i="18" s="1"/>
  <c r="O87" i="18"/>
  <c r="P87" i="18" s="1"/>
  <c r="O61" i="18"/>
  <c r="P61" i="18" s="1"/>
  <c r="K97" i="18"/>
  <c r="L97" i="18" s="1"/>
  <c r="O43" i="18"/>
  <c r="P43" i="18" s="1"/>
  <c r="O38" i="18"/>
  <c r="P38" i="18" s="1"/>
  <c r="O41" i="18"/>
  <c r="P41" i="18" s="1"/>
  <c r="O31" i="18"/>
  <c r="P31" i="18" s="1"/>
  <c r="K73" i="18"/>
  <c r="L73" i="18" s="1"/>
  <c r="O34" i="18"/>
  <c r="P34" i="18" s="1"/>
  <c r="O70" i="18"/>
  <c r="P70" i="18" s="1"/>
  <c r="K169" i="18"/>
  <c r="L169" i="18" s="1"/>
  <c r="K37" i="18"/>
  <c r="L37" i="18" s="1"/>
  <c r="O27" i="18"/>
  <c r="P27" i="18" s="1"/>
  <c r="O101" i="18"/>
  <c r="P101" i="18" s="1"/>
  <c r="O82" i="18"/>
  <c r="P82" i="18" s="1"/>
  <c r="K66" i="18"/>
  <c r="L66" i="18" s="1"/>
  <c r="K48" i="18"/>
  <c r="L48" i="18" s="1"/>
  <c r="O45" i="18"/>
  <c r="P45" i="18" s="1"/>
  <c r="O100" i="18"/>
  <c r="P100" i="18" s="1"/>
  <c r="O76" i="18"/>
  <c r="P76" i="18" s="1"/>
  <c r="O88" i="18"/>
  <c r="P88" i="18" s="1"/>
  <c r="O53" i="18"/>
  <c r="P53" i="18" s="1"/>
  <c r="O50" i="18"/>
  <c r="P50" i="18" s="1"/>
  <c r="O39" i="18"/>
  <c r="P39" i="18" s="1"/>
  <c r="O84" i="18"/>
  <c r="P84" i="18" s="1"/>
  <c r="O105" i="18"/>
  <c r="P105" i="18" s="1"/>
  <c r="O108" i="18"/>
  <c r="P108" i="18" s="1"/>
  <c r="K71" i="18"/>
  <c r="L71" i="18" s="1"/>
  <c r="K67" i="18"/>
  <c r="L67" i="18" s="1"/>
  <c r="O55" i="18"/>
  <c r="P55" i="18" s="1"/>
  <c r="O75" i="18"/>
  <c r="P75" i="18" s="1"/>
  <c r="O83" i="18"/>
  <c r="P83" i="18" s="1"/>
  <c r="O47" i="18"/>
  <c r="P47" i="18" s="1"/>
  <c r="K42" i="18"/>
  <c r="L42" i="18" s="1"/>
  <c r="K69" i="18"/>
  <c r="L69" i="18" s="1"/>
  <c r="K35" i="18"/>
  <c r="L35" i="18" s="1"/>
  <c r="O57" i="18"/>
  <c r="P57" i="18" s="1"/>
  <c r="O81" i="18"/>
  <c r="P81" i="18" s="1"/>
  <c r="K58" i="18"/>
  <c r="L58" i="18" s="1"/>
  <c r="O63" i="18"/>
  <c r="P63" i="18" s="1"/>
  <c r="O92" i="18"/>
  <c r="P92" i="18" s="1"/>
  <c r="O99" i="18"/>
  <c r="P99" i="18" s="1"/>
  <c r="K74" i="18"/>
  <c r="L74" i="18" s="1"/>
  <c r="K258" i="18"/>
  <c r="L258" i="18" s="1"/>
  <c r="K126" i="18"/>
  <c r="L126" i="18" s="1"/>
  <c r="K94" i="18"/>
  <c r="L94" i="18" s="1"/>
  <c r="K54" i="18"/>
  <c r="L54" i="18" s="1"/>
  <c r="O44" i="18"/>
  <c r="P44" i="18" s="1"/>
  <c r="O79" i="18"/>
  <c r="P79" i="18" s="1"/>
  <c r="O40" i="18"/>
  <c r="P40" i="18" s="1"/>
  <c r="K242" i="18"/>
  <c r="L242" i="18" s="1"/>
  <c r="O242" i="18"/>
  <c r="P242" i="18" s="1"/>
  <c r="K353" i="18"/>
  <c r="L353" i="18" s="1"/>
  <c r="O353" i="18"/>
  <c r="P353" i="18" s="1"/>
  <c r="K93" i="18"/>
  <c r="L93" i="18" s="1"/>
  <c r="O93" i="18"/>
  <c r="P93" i="18" s="1"/>
  <c r="K330" i="18"/>
  <c r="L330" i="18" s="1"/>
  <c r="O330" i="18"/>
  <c r="P330" i="18" s="1"/>
  <c r="O71" i="18"/>
  <c r="P71" i="18" s="1"/>
  <c r="O64" i="18"/>
  <c r="P64" i="18" s="1"/>
  <c r="O54" i="18"/>
  <c r="P54" i="18" s="1"/>
  <c r="O97" i="18"/>
  <c r="P97" i="18" s="1"/>
  <c r="O48" i="18"/>
  <c r="P48" i="18" s="1"/>
  <c r="O89" i="18"/>
  <c r="P89" i="18" s="1"/>
  <c r="O49" i="18"/>
  <c r="P49" i="18" s="1"/>
  <c r="O65" i="18"/>
  <c r="P65" i="18" s="1"/>
  <c r="O58" i="18"/>
  <c r="P58" i="18" s="1"/>
  <c r="O67" i="18"/>
  <c r="P67" i="18" s="1"/>
  <c r="O98" i="18"/>
  <c r="P98" i="18" s="1"/>
  <c r="K339" i="18"/>
  <c r="L339" i="18" s="1"/>
  <c r="O339" i="18"/>
  <c r="P339" i="18" s="1"/>
  <c r="K329" i="18"/>
  <c r="L329" i="18" s="1"/>
  <c r="O329" i="18"/>
  <c r="P329" i="18" s="1"/>
  <c r="K340" i="18"/>
  <c r="L340" i="18" s="1"/>
  <c r="O340" i="18"/>
  <c r="P340" i="18" s="1"/>
  <c r="K207" i="18"/>
  <c r="L207" i="18" s="1"/>
  <c r="O207" i="18"/>
  <c r="P207" i="18" s="1"/>
  <c r="K355" i="18"/>
  <c r="L355" i="18" s="1"/>
  <c r="O355" i="18"/>
  <c r="P355" i="18" s="1"/>
  <c r="K338" i="18"/>
  <c r="L338" i="18" s="1"/>
  <c r="O338" i="18"/>
  <c r="P338" i="18" s="1"/>
  <c r="K365" i="18"/>
  <c r="L365" i="18" s="1"/>
  <c r="O365" i="18"/>
  <c r="P365" i="18" s="1"/>
  <c r="O109" i="18"/>
  <c r="P109" i="18" s="1"/>
  <c r="O113" i="18"/>
  <c r="P113" i="18" s="1"/>
  <c r="O117" i="18"/>
  <c r="P117" i="18" s="1"/>
  <c r="O120" i="18"/>
  <c r="P120" i="18" s="1"/>
  <c r="O123" i="18"/>
  <c r="P123" i="18" s="1"/>
  <c r="O127" i="18"/>
  <c r="P127" i="18" s="1"/>
  <c r="O131" i="18"/>
  <c r="P131" i="18" s="1"/>
  <c r="O135" i="18"/>
  <c r="P135" i="18" s="1"/>
  <c r="O139" i="18"/>
  <c r="P139" i="18" s="1"/>
  <c r="O143" i="18"/>
  <c r="P143" i="18" s="1"/>
  <c r="O147" i="18"/>
  <c r="P147" i="18" s="1"/>
  <c r="O152" i="18"/>
  <c r="P152" i="18" s="1"/>
  <c r="O157" i="18"/>
  <c r="P157" i="18" s="1"/>
  <c r="O159" i="18"/>
  <c r="P159" i="18" s="1"/>
  <c r="O163" i="18"/>
  <c r="P163" i="18" s="1"/>
  <c r="O167" i="18"/>
  <c r="P167" i="18" s="1"/>
  <c r="O170" i="18"/>
  <c r="P170" i="18" s="1"/>
  <c r="O176" i="18"/>
  <c r="P176" i="18" s="1"/>
  <c r="O180" i="18"/>
  <c r="P180" i="18" s="1"/>
  <c r="O184" i="18"/>
  <c r="P184" i="18" s="1"/>
  <c r="O189" i="18"/>
  <c r="P189" i="18" s="1"/>
  <c r="O193" i="18"/>
  <c r="P193" i="18" s="1"/>
  <c r="O197" i="18"/>
  <c r="P197" i="18" s="1"/>
  <c r="O201" i="18"/>
  <c r="P201" i="18" s="1"/>
  <c r="O224" i="18"/>
  <c r="P224" i="18" s="1"/>
  <c r="O233" i="18"/>
  <c r="P233" i="18" s="1"/>
  <c r="O237" i="18"/>
  <c r="P237" i="18" s="1"/>
  <c r="O241" i="18"/>
  <c r="P241" i="18" s="1"/>
  <c r="O246" i="18"/>
  <c r="P246" i="18" s="1"/>
  <c r="O226" i="18"/>
  <c r="P226" i="18" s="1"/>
  <c r="O252" i="18"/>
  <c r="P252" i="18" s="1"/>
  <c r="O257" i="18"/>
  <c r="P257" i="18" s="1"/>
  <c r="O263" i="18"/>
  <c r="P263" i="18" s="1"/>
  <c r="O267" i="18"/>
  <c r="P267" i="18" s="1"/>
  <c r="O275" i="18"/>
  <c r="P275" i="18" s="1"/>
  <c r="O279" i="18"/>
  <c r="P279" i="18" s="1"/>
  <c r="O283" i="18"/>
  <c r="P283" i="18" s="1"/>
  <c r="O287" i="18"/>
  <c r="P287" i="18" s="1"/>
  <c r="O291" i="18"/>
  <c r="P291" i="18" s="1"/>
  <c r="O295" i="18"/>
  <c r="P295" i="18" s="1"/>
  <c r="O301" i="18"/>
  <c r="P301" i="18" s="1"/>
  <c r="O305" i="18"/>
  <c r="P305" i="18" s="1"/>
  <c r="O309" i="18"/>
  <c r="P309" i="18" s="1"/>
  <c r="O313" i="18"/>
  <c r="P313" i="18" s="1"/>
  <c r="O317" i="18"/>
  <c r="P317" i="18" s="1"/>
  <c r="O321" i="18"/>
  <c r="P321" i="18" s="1"/>
  <c r="O325" i="18"/>
  <c r="P325" i="18" s="1"/>
  <c r="K350" i="18"/>
  <c r="L350" i="18" s="1"/>
  <c r="O350" i="18"/>
  <c r="P350" i="18" s="1"/>
  <c r="K24" i="18"/>
  <c r="L24" i="18" s="1"/>
  <c r="O24" i="18"/>
  <c r="P24" i="18" s="1"/>
  <c r="K351" i="18"/>
  <c r="L351" i="18" s="1"/>
  <c r="O351" i="18"/>
  <c r="P351" i="18" s="1"/>
  <c r="K331" i="18"/>
  <c r="L331" i="18" s="1"/>
  <c r="O331" i="18"/>
  <c r="P331" i="18" s="1"/>
  <c r="O85" i="18"/>
  <c r="P85" i="18" s="1"/>
  <c r="O22" i="18"/>
  <c r="P22" i="18" s="1"/>
  <c r="O73" i="18"/>
  <c r="P73" i="18" s="1"/>
  <c r="O91" i="18"/>
  <c r="P91" i="18" s="1"/>
  <c r="O35" i="18"/>
  <c r="P35" i="18" s="1"/>
  <c r="O78" i="18"/>
  <c r="P78" i="18" s="1"/>
  <c r="O28" i="18"/>
  <c r="P28" i="18" s="1"/>
  <c r="O80" i="18"/>
  <c r="P80" i="18" s="1"/>
  <c r="O69" i="18"/>
  <c r="P69" i="18" s="1"/>
  <c r="O86" i="18"/>
  <c r="P86" i="18" s="1"/>
  <c r="K360" i="18"/>
  <c r="L360" i="18" s="1"/>
  <c r="O360" i="18"/>
  <c r="P360" i="18" s="1"/>
  <c r="K297" i="18"/>
  <c r="L297" i="18" s="1"/>
  <c r="O297" i="18"/>
  <c r="P297" i="18" s="1"/>
  <c r="O110" i="18"/>
  <c r="P110" i="18" s="1"/>
  <c r="O114" i="18"/>
  <c r="P114" i="18" s="1"/>
  <c r="O121" i="18"/>
  <c r="P121" i="18" s="1"/>
  <c r="O124" i="18"/>
  <c r="P124" i="18" s="1"/>
  <c r="O128" i="18"/>
  <c r="P128" i="18" s="1"/>
  <c r="O132" i="18"/>
  <c r="P132" i="18" s="1"/>
  <c r="O136" i="18"/>
  <c r="P136" i="18" s="1"/>
  <c r="O140" i="18"/>
  <c r="P140" i="18" s="1"/>
  <c r="O144" i="18"/>
  <c r="P144" i="18" s="1"/>
  <c r="O148" i="18"/>
  <c r="P148" i="18" s="1"/>
  <c r="O153" i="18"/>
  <c r="P153" i="18" s="1"/>
  <c r="O164" i="18"/>
  <c r="P164" i="18" s="1"/>
  <c r="O168" i="18"/>
  <c r="P168" i="18" s="1"/>
  <c r="O173" i="18"/>
  <c r="P173" i="18" s="1"/>
  <c r="O177" i="18"/>
  <c r="P177" i="18" s="1"/>
  <c r="O181" i="18"/>
  <c r="P181" i="18" s="1"/>
  <c r="O185" i="18"/>
  <c r="P185" i="18" s="1"/>
  <c r="O190" i="18"/>
  <c r="P190" i="18" s="1"/>
  <c r="O194" i="18"/>
  <c r="P194" i="18" s="1"/>
  <c r="O198" i="18"/>
  <c r="P198" i="18" s="1"/>
  <c r="O202" i="18"/>
  <c r="P202" i="18" s="1"/>
  <c r="O225" i="18"/>
  <c r="P225" i="18" s="1"/>
  <c r="O234" i="18"/>
  <c r="P234" i="18" s="1"/>
  <c r="O238" i="18"/>
  <c r="P238" i="18" s="1"/>
  <c r="O247" i="18"/>
  <c r="P247" i="18" s="1"/>
  <c r="O249" i="18"/>
  <c r="P249" i="18" s="1"/>
  <c r="O253" i="18"/>
  <c r="P253" i="18" s="1"/>
  <c r="O258" i="18"/>
  <c r="P258" i="18" s="1"/>
  <c r="O264" i="18"/>
  <c r="P264" i="18" s="1"/>
  <c r="O268" i="18"/>
  <c r="P268" i="18" s="1"/>
  <c r="O272" i="18"/>
  <c r="P272" i="18" s="1"/>
  <c r="O276" i="18"/>
  <c r="P276" i="18" s="1"/>
  <c r="O280" i="18"/>
  <c r="P280" i="18" s="1"/>
  <c r="O284" i="18"/>
  <c r="P284" i="18" s="1"/>
  <c r="O288" i="18"/>
  <c r="P288" i="18" s="1"/>
  <c r="O292" i="18"/>
  <c r="P292" i="18" s="1"/>
  <c r="O296" i="18"/>
  <c r="P296" i="18" s="1"/>
  <c r="O302" i="18"/>
  <c r="P302" i="18" s="1"/>
  <c r="O310" i="18"/>
  <c r="P310" i="18" s="1"/>
  <c r="O314" i="18"/>
  <c r="P314" i="18" s="1"/>
  <c r="O318" i="18"/>
  <c r="P318" i="18" s="1"/>
  <c r="O326" i="18"/>
  <c r="P326" i="18" s="1"/>
  <c r="K366" i="18"/>
  <c r="L366" i="18" s="1"/>
  <c r="O366" i="18"/>
  <c r="P366" i="18" s="1"/>
  <c r="K359" i="18"/>
  <c r="L359" i="18" s="1"/>
  <c r="O359" i="18"/>
  <c r="P359" i="18" s="1"/>
  <c r="K368" i="18"/>
  <c r="L368" i="18" s="1"/>
  <c r="O368" i="18"/>
  <c r="P368" i="18" s="1"/>
  <c r="K332" i="18"/>
  <c r="L332" i="18" s="1"/>
  <c r="O332" i="18"/>
  <c r="P332" i="18" s="1"/>
  <c r="K221" i="18"/>
  <c r="L221" i="18" s="1"/>
  <c r="O221" i="18"/>
  <c r="P221" i="18" s="1"/>
  <c r="K348" i="18"/>
  <c r="L348" i="18" s="1"/>
  <c r="O348" i="18"/>
  <c r="P348" i="18" s="1"/>
  <c r="O74" i="18"/>
  <c r="P74" i="18" s="1"/>
  <c r="O94" i="18"/>
  <c r="P94" i="18" s="1"/>
  <c r="O37" i="18"/>
  <c r="P37" i="18" s="1"/>
  <c r="O19" i="18"/>
  <c r="P19" i="18" s="1"/>
  <c r="K354" i="18"/>
  <c r="L354" i="18" s="1"/>
  <c r="O354" i="18"/>
  <c r="P354" i="18" s="1"/>
  <c r="K298" i="18"/>
  <c r="L298" i="18" s="1"/>
  <c r="O298" i="18"/>
  <c r="P298" i="18" s="1"/>
  <c r="K337" i="18"/>
  <c r="L337" i="18" s="1"/>
  <c r="O337" i="18"/>
  <c r="P337" i="18" s="1"/>
  <c r="K328" i="18"/>
  <c r="L328" i="18" s="1"/>
  <c r="O328" i="18"/>
  <c r="P328" i="18" s="1"/>
  <c r="K333" i="18"/>
  <c r="L333" i="18" s="1"/>
  <c r="O333" i="18"/>
  <c r="P333" i="18" s="1"/>
  <c r="K343" i="18"/>
  <c r="L343" i="18" s="1"/>
  <c r="O343" i="18"/>
  <c r="P343" i="18" s="1"/>
  <c r="O106" i="18"/>
  <c r="P106" i="18" s="1"/>
  <c r="K205" i="18"/>
  <c r="L205" i="18" s="1"/>
  <c r="O205" i="18"/>
  <c r="P205" i="18" s="1"/>
  <c r="O107" i="18"/>
  <c r="P107" i="18" s="1"/>
  <c r="K204" i="18"/>
  <c r="L204" i="18" s="1"/>
  <c r="O204" i="18"/>
  <c r="P204" i="18" s="1"/>
  <c r="O115" i="18"/>
  <c r="P115" i="18" s="1"/>
  <c r="O122" i="18"/>
  <c r="P122" i="18" s="1"/>
  <c r="O125" i="18"/>
  <c r="P125" i="18" s="1"/>
  <c r="O129" i="18"/>
  <c r="P129" i="18" s="1"/>
  <c r="O133" i="18"/>
  <c r="P133" i="18" s="1"/>
  <c r="O137" i="18"/>
  <c r="P137" i="18" s="1"/>
  <c r="O141" i="18"/>
  <c r="P141" i="18" s="1"/>
  <c r="O149" i="18"/>
  <c r="P149" i="18" s="1"/>
  <c r="O154" i="18"/>
  <c r="P154" i="18" s="1"/>
  <c r="O151" i="18"/>
  <c r="P151" i="18" s="1"/>
  <c r="O161" i="18"/>
  <c r="P161" i="18" s="1"/>
  <c r="O165" i="18"/>
  <c r="P165" i="18" s="1"/>
  <c r="O169" i="18"/>
  <c r="P169" i="18" s="1"/>
  <c r="O174" i="18"/>
  <c r="P174" i="18" s="1"/>
  <c r="O178" i="18"/>
  <c r="P178" i="18" s="1"/>
  <c r="O182" i="18"/>
  <c r="P182" i="18" s="1"/>
  <c r="O187" i="18"/>
  <c r="P187" i="18" s="1"/>
  <c r="O191" i="18"/>
  <c r="P191" i="18" s="1"/>
  <c r="O195" i="18"/>
  <c r="P195" i="18" s="1"/>
  <c r="O199" i="18"/>
  <c r="P199" i="18" s="1"/>
  <c r="O222" i="18"/>
  <c r="P222" i="18" s="1"/>
  <c r="O227" i="18"/>
  <c r="P227" i="18" s="1"/>
  <c r="O231" i="18"/>
  <c r="P231" i="18" s="1"/>
  <c r="O235" i="18"/>
  <c r="P235" i="18" s="1"/>
  <c r="O239" i="18"/>
  <c r="P239" i="18" s="1"/>
  <c r="O244" i="18"/>
  <c r="P244" i="18" s="1"/>
  <c r="O254" i="18"/>
  <c r="P254" i="18" s="1"/>
  <c r="O250" i="18"/>
  <c r="P250" i="18" s="1"/>
  <c r="O255" i="18"/>
  <c r="P255" i="18" s="1"/>
  <c r="O259" i="18"/>
  <c r="P259" i="18" s="1"/>
  <c r="O265" i="18"/>
  <c r="P265" i="18" s="1"/>
  <c r="O269" i="18"/>
  <c r="P269" i="18" s="1"/>
  <c r="O273" i="18"/>
  <c r="P273" i="18" s="1"/>
  <c r="O277" i="18"/>
  <c r="P277" i="18" s="1"/>
  <c r="O281" i="18"/>
  <c r="P281" i="18" s="1"/>
  <c r="O285" i="18"/>
  <c r="P285" i="18" s="1"/>
  <c r="O289" i="18"/>
  <c r="P289" i="18" s="1"/>
  <c r="O293" i="18"/>
  <c r="P293" i="18" s="1"/>
  <c r="O299" i="18"/>
  <c r="P299" i="18" s="1"/>
  <c r="O303" i="18"/>
  <c r="P303" i="18" s="1"/>
  <c r="O311" i="18"/>
  <c r="P311" i="18" s="1"/>
  <c r="O315" i="18"/>
  <c r="P315" i="18" s="1"/>
  <c r="O319" i="18"/>
  <c r="P319" i="18" s="1"/>
  <c r="O323" i="18"/>
  <c r="P323" i="18" s="1"/>
  <c r="O261" i="18"/>
  <c r="P261" i="18" s="1"/>
  <c r="K345" i="18"/>
  <c r="L345" i="18" s="1"/>
  <c r="O345" i="18"/>
  <c r="P345" i="18" s="1"/>
  <c r="K102" i="18"/>
  <c r="L102" i="18" s="1"/>
  <c r="O102" i="18"/>
  <c r="P102" i="18" s="1"/>
  <c r="O42" i="18"/>
  <c r="P42" i="18" s="1"/>
  <c r="O77" i="18"/>
  <c r="P77" i="18" s="1"/>
  <c r="O33" i="18"/>
  <c r="P33" i="18" s="1"/>
  <c r="O90" i="18"/>
  <c r="P90" i="18" s="1"/>
  <c r="O23" i="18"/>
  <c r="P23" i="18" s="1"/>
  <c r="O66" i="18"/>
  <c r="P66" i="18" s="1"/>
  <c r="K349" i="18"/>
  <c r="L349" i="18" s="1"/>
  <c r="O349" i="18"/>
  <c r="P349" i="18" s="1"/>
  <c r="K206" i="18"/>
  <c r="L206" i="18" s="1"/>
  <c r="O206" i="18"/>
  <c r="P206" i="18" s="1"/>
  <c r="K172" i="18"/>
  <c r="L172" i="18" s="1"/>
  <c r="O172" i="18"/>
  <c r="P172" i="18" s="1"/>
  <c r="K334" i="18"/>
  <c r="L334" i="18" s="1"/>
  <c r="O334" i="18"/>
  <c r="P334" i="18" s="1"/>
  <c r="K336" i="18"/>
  <c r="L336" i="18" s="1"/>
  <c r="O336" i="18"/>
  <c r="P336" i="18" s="1"/>
  <c r="K352" i="18"/>
  <c r="L352" i="18" s="1"/>
  <c r="O352" i="18"/>
  <c r="P352" i="18" s="1"/>
  <c r="K367" i="18"/>
  <c r="L367" i="18" s="1"/>
  <c r="O367" i="18"/>
  <c r="P367" i="18" s="1"/>
  <c r="K342" i="18"/>
  <c r="L342" i="18" s="1"/>
  <c r="O342" i="18"/>
  <c r="P342" i="18" s="1"/>
  <c r="K347" i="18"/>
  <c r="L347" i="18" s="1"/>
  <c r="O347" i="18"/>
  <c r="P347" i="18" s="1"/>
  <c r="K364" i="18"/>
  <c r="L364" i="18" s="1"/>
  <c r="O364" i="18"/>
  <c r="P364" i="18" s="1"/>
  <c r="K203" i="18"/>
  <c r="L203" i="18" s="1"/>
  <c r="O203" i="18"/>
  <c r="P203" i="18" s="1"/>
  <c r="O112" i="18"/>
  <c r="P112" i="18" s="1"/>
  <c r="O116" i="18"/>
  <c r="P116" i="18" s="1"/>
  <c r="O119" i="18"/>
  <c r="P119" i="18" s="1"/>
  <c r="O126" i="18"/>
  <c r="P126" i="18" s="1"/>
  <c r="O130" i="18"/>
  <c r="P130" i="18" s="1"/>
  <c r="O134" i="18"/>
  <c r="P134" i="18" s="1"/>
  <c r="O142" i="18"/>
  <c r="P142" i="18" s="1"/>
  <c r="O146" i="18"/>
  <c r="P146" i="18" s="1"/>
  <c r="O150" i="18"/>
  <c r="P150" i="18" s="1"/>
  <c r="O155" i="18"/>
  <c r="P155" i="18" s="1"/>
  <c r="O158" i="18"/>
  <c r="P158" i="18" s="1"/>
  <c r="O162" i="18"/>
  <c r="P162" i="18" s="1"/>
  <c r="O166" i="18"/>
  <c r="P166" i="18" s="1"/>
  <c r="O171" i="18"/>
  <c r="P171" i="18" s="1"/>
  <c r="O175" i="18"/>
  <c r="P175" i="18" s="1"/>
  <c r="O179" i="18"/>
  <c r="P179" i="18" s="1"/>
  <c r="O183" i="18"/>
  <c r="P183" i="18" s="1"/>
  <c r="O188" i="18"/>
  <c r="P188" i="18" s="1"/>
  <c r="O192" i="18"/>
  <c r="P192" i="18" s="1"/>
  <c r="O196" i="18"/>
  <c r="P196" i="18" s="1"/>
  <c r="O200" i="18"/>
  <c r="P200" i="18" s="1"/>
  <c r="O223" i="18"/>
  <c r="P223" i="18" s="1"/>
  <c r="O228" i="18"/>
  <c r="P228" i="18" s="1"/>
  <c r="O232" i="18"/>
  <c r="P232" i="18" s="1"/>
  <c r="O240" i="18"/>
  <c r="P240" i="18" s="1"/>
  <c r="O245" i="18"/>
  <c r="P245" i="18" s="1"/>
  <c r="O248" i="18"/>
  <c r="P248" i="18" s="1"/>
  <c r="O251" i="18"/>
  <c r="P251" i="18" s="1"/>
  <c r="O256" i="18"/>
  <c r="P256" i="18" s="1"/>
  <c r="O262" i="18"/>
  <c r="P262" i="18" s="1"/>
  <c r="O266" i="18"/>
  <c r="P266" i="18" s="1"/>
  <c r="O270" i="18"/>
  <c r="P270" i="18" s="1"/>
  <c r="O274" i="18"/>
  <c r="P274" i="18" s="1"/>
  <c r="O282" i="18"/>
  <c r="P282" i="18" s="1"/>
  <c r="O286" i="18"/>
  <c r="P286" i="18" s="1"/>
  <c r="O290" i="18"/>
  <c r="P290" i="18" s="1"/>
  <c r="O294" i="18"/>
  <c r="P294" i="18" s="1"/>
  <c r="O300" i="18"/>
  <c r="P300" i="18" s="1"/>
  <c r="O304" i="18"/>
  <c r="P304" i="18" s="1"/>
  <c r="O308" i="18"/>
  <c r="P308" i="18" s="1"/>
  <c r="O312" i="18"/>
  <c r="P312" i="18" s="1"/>
  <c r="O316" i="18"/>
  <c r="P316" i="18" s="1"/>
  <c r="O320" i="18"/>
  <c r="P320" i="18" s="1"/>
  <c r="O324" i="18"/>
  <c r="P324" i="18" s="1"/>
  <c r="O327" i="18"/>
  <c r="P327" i="18" s="1"/>
  <c r="K80" i="18"/>
  <c r="L80" i="18" s="1"/>
  <c r="K90" i="18"/>
  <c r="L90" i="18" s="1"/>
  <c r="K335" i="18"/>
  <c r="L335" i="18" s="1"/>
  <c r="K91" i="18"/>
  <c r="L91" i="18" s="1"/>
  <c r="K78" i="18"/>
  <c r="L78" i="18" s="1"/>
  <c r="K63" i="18"/>
  <c r="L63" i="18" s="1"/>
  <c r="K361" i="18"/>
  <c r="L361" i="18" s="1"/>
  <c r="K99" i="18"/>
  <c r="L99" i="18" s="1"/>
  <c r="K44" i="18"/>
  <c r="L44" i="18" s="1"/>
  <c r="K363" i="18"/>
  <c r="L363" i="18" s="1"/>
  <c r="K276" i="18"/>
  <c r="L276" i="18" s="1"/>
  <c r="K121" i="18"/>
  <c r="L121" i="18" s="1"/>
  <c r="K79" i="18"/>
  <c r="L79" i="18" s="1"/>
  <c r="K57" i="18"/>
  <c r="L57" i="18" s="1"/>
  <c r="K92" i="18"/>
  <c r="L92" i="18" s="1"/>
  <c r="K89" i="18"/>
  <c r="L89" i="18" s="1"/>
  <c r="K113" i="18"/>
  <c r="L113" i="18" s="1"/>
  <c r="K85" i="18"/>
  <c r="L85" i="18" s="1"/>
  <c r="K98" i="18"/>
  <c r="L98" i="18" s="1"/>
  <c r="K31" i="18"/>
  <c r="L31" i="18" s="1"/>
  <c r="K45" i="18"/>
  <c r="L45" i="18" s="1"/>
  <c r="K84" i="18"/>
  <c r="L84" i="18" s="1"/>
  <c r="K27" i="18"/>
  <c r="L27" i="18" s="1"/>
  <c r="K88" i="18"/>
  <c r="L88" i="18" s="1"/>
  <c r="K53" i="18"/>
  <c r="L53" i="18" s="1"/>
  <c r="K41" i="18"/>
  <c r="L41" i="18" s="1"/>
  <c r="K101" i="18"/>
  <c r="L101" i="18" s="1"/>
  <c r="K100" i="18"/>
  <c r="L100" i="18" s="1"/>
  <c r="K34" i="18"/>
  <c r="L34" i="18" s="1"/>
  <c r="K70" i="18"/>
  <c r="L70" i="18" s="1"/>
  <c r="K82" i="18"/>
  <c r="L82" i="18" s="1"/>
  <c r="K105" i="18"/>
  <c r="L105" i="18" s="1"/>
  <c r="K129" i="18"/>
  <c r="L129" i="18" s="1"/>
  <c r="K108" i="18"/>
  <c r="L108" i="18" s="1"/>
  <c r="K64" i="18"/>
  <c r="L64" i="18" s="1"/>
  <c r="K49" i="18"/>
  <c r="L49" i="18" s="1"/>
  <c r="K344" i="18"/>
  <c r="L344" i="18" s="1"/>
  <c r="K81" i="18"/>
  <c r="L81" i="18" s="1"/>
  <c r="K356" i="18"/>
  <c r="L356" i="18" s="1"/>
  <c r="K55" i="18"/>
  <c r="L55" i="18" s="1"/>
  <c r="K75" i="18"/>
  <c r="L75" i="18" s="1"/>
  <c r="K40" i="18"/>
  <c r="L40" i="18" s="1"/>
  <c r="K83" i="18"/>
  <c r="L83" i="18" s="1"/>
  <c r="K106" i="18"/>
  <c r="L106" i="18" s="1"/>
  <c r="K327" i="18"/>
  <c r="L327" i="18" s="1"/>
  <c r="K117" i="18"/>
  <c r="L117" i="18" s="1"/>
  <c r="K109" i="18"/>
  <c r="L109" i="18" s="1"/>
  <c r="K47" i="18"/>
  <c r="L47" i="18" s="1"/>
  <c r="K187" i="18"/>
  <c r="L187" i="18" s="1"/>
  <c r="K127" i="18"/>
  <c r="L127" i="18" s="1"/>
  <c r="K61" i="18"/>
  <c r="L61" i="18" s="1"/>
  <c r="K87" i="18"/>
  <c r="L87" i="18" s="1"/>
  <c r="K86" i="18"/>
  <c r="L86" i="18" s="1"/>
  <c r="K2" i="18"/>
  <c r="L2" i="18" s="1"/>
  <c r="K38" i="18"/>
  <c r="L38" i="18" s="1"/>
  <c r="K76" i="18"/>
  <c r="L76" i="18" s="1"/>
  <c r="K318" i="18"/>
  <c r="L318" i="18" s="1"/>
  <c r="K39" i="18"/>
  <c r="L39" i="18" s="1"/>
  <c r="K29" i="18"/>
  <c r="L29" i="18" s="1"/>
  <c r="K104" i="18"/>
  <c r="L104" i="18" s="1"/>
  <c r="K36" i="18"/>
  <c r="L36" i="18" s="1"/>
  <c r="K95" i="18"/>
  <c r="L95" i="18" s="1"/>
  <c r="P2" i="16"/>
  <c r="Q2" i="16" s="1"/>
  <c r="R2" i="16" s="1"/>
  <c r="O4" i="15"/>
  <c r="P4" i="15" s="1"/>
  <c r="O4" i="16"/>
  <c r="N2" i="15"/>
  <c r="P3" i="16"/>
  <c r="Q3" i="16" s="1"/>
  <c r="R4" i="16" s="1"/>
  <c r="Q3" i="15"/>
  <c r="X196" i="2"/>
  <c r="K196" i="2"/>
  <c r="T196" i="2"/>
  <c r="AK196" i="2"/>
  <c r="AL196" i="2" s="1"/>
  <c r="AE196" i="2"/>
  <c r="AO196" i="2" s="1"/>
  <c r="AP196" i="2" s="1"/>
  <c r="AA196" i="2"/>
  <c r="AB196" i="2" s="1"/>
  <c r="Y196" i="2"/>
  <c r="Z196" i="2" s="1"/>
  <c r="U196" i="2"/>
  <c r="V196" i="2" s="1"/>
  <c r="P196" i="2"/>
  <c r="Q196" i="2" s="1"/>
  <c r="L196" i="2"/>
  <c r="M196" i="2" s="1"/>
  <c r="O196" i="2"/>
  <c r="C195" i="2"/>
  <c r="D195" i="2"/>
  <c r="E195" i="2"/>
  <c r="F195" i="2"/>
  <c r="J195" i="2"/>
  <c r="N195" i="2"/>
  <c r="S195" i="2"/>
  <c r="W195" i="2"/>
  <c r="AS195" i="2"/>
  <c r="AT195" i="2"/>
  <c r="C194" i="2"/>
  <c r="D194" i="2"/>
  <c r="E194" i="2"/>
  <c r="F194" i="2"/>
  <c r="J194" i="2"/>
  <c r="N194" i="2"/>
  <c r="S194" i="2"/>
  <c r="W194" i="2"/>
  <c r="AS194" i="2"/>
  <c r="AT194" i="2"/>
  <c r="Q4" i="15" l="1"/>
  <c r="Q5" i="15"/>
  <c r="R3" i="16"/>
  <c r="P195" i="2"/>
  <c r="Q195" i="2" s="1"/>
  <c r="K195" i="2"/>
  <c r="T195" i="2"/>
  <c r="AH196" i="2"/>
  <c r="P194" i="2"/>
  <c r="Q194" i="2" s="1"/>
  <c r="O195" i="2"/>
  <c r="AC196" i="2"/>
  <c r="AD196" i="2" s="1"/>
  <c r="X195" i="2"/>
  <c r="AQ196" i="2"/>
  <c r="AI196" i="2"/>
  <c r="AJ196" i="2" s="1"/>
  <c r="AR196" i="2" s="1"/>
  <c r="K194" i="2"/>
  <c r="X194" i="2"/>
  <c r="T194" i="2"/>
  <c r="AE195" i="2"/>
  <c r="AH195" i="2" s="1"/>
  <c r="Y195" i="2"/>
  <c r="Z195" i="2" s="1"/>
  <c r="AQ195" i="2" s="1"/>
  <c r="AK195" i="2"/>
  <c r="AL195" i="2" s="1"/>
  <c r="U195" i="2"/>
  <c r="V195" i="2" s="1"/>
  <c r="AA195" i="2"/>
  <c r="L195" i="2"/>
  <c r="M195" i="2" s="1"/>
  <c r="AE194" i="2"/>
  <c r="AH194" i="2" s="1"/>
  <c r="AA194" i="2"/>
  <c r="AB194" i="2" s="1"/>
  <c r="O194" i="2"/>
  <c r="Y194" i="2"/>
  <c r="Z194" i="2" s="1"/>
  <c r="AK194" i="2"/>
  <c r="AL194" i="2" s="1"/>
  <c r="U194" i="2"/>
  <c r="V194" i="2" s="1"/>
  <c r="L194" i="2"/>
  <c r="M194" i="2" s="1"/>
  <c r="C193" i="2"/>
  <c r="D193" i="2"/>
  <c r="E193" i="2"/>
  <c r="F193" i="2"/>
  <c r="J193" i="2"/>
  <c r="N193" i="2"/>
  <c r="S193" i="2"/>
  <c r="W193" i="2"/>
  <c r="AS193" i="2"/>
  <c r="AT193" i="2"/>
  <c r="Y193" i="2" l="1"/>
  <c r="Z193" i="2" s="1"/>
  <c r="AI195" i="2"/>
  <c r="AJ195" i="2" s="1"/>
  <c r="AR195" i="2" s="1"/>
  <c r="AC194" i="2"/>
  <c r="AD194" i="2" s="1"/>
  <c r="AO194" i="2"/>
  <c r="AP194" i="2" s="1"/>
  <c r="AQ194" i="2"/>
  <c r="K193" i="2"/>
  <c r="AI194" i="2"/>
  <c r="AJ194" i="2" s="1"/>
  <c r="AR194" i="2" s="1"/>
  <c r="AO195" i="2"/>
  <c r="AP195" i="2" s="1"/>
  <c r="AB195" i="2"/>
  <c r="AC195" i="2"/>
  <c r="AD195" i="2" s="1"/>
  <c r="T193" i="2"/>
  <c r="O193" i="2"/>
  <c r="P193" i="2"/>
  <c r="Q193" i="2" s="1"/>
  <c r="AQ193" i="2" s="1"/>
  <c r="X193" i="2"/>
  <c r="AE193" i="2"/>
  <c r="U193" i="2"/>
  <c r="V193" i="2" s="1"/>
  <c r="AK193" i="2"/>
  <c r="AL193" i="2" s="1"/>
  <c r="AA193" i="2"/>
  <c r="L193" i="2"/>
  <c r="M193" i="2" s="1"/>
  <c r="C192" i="2"/>
  <c r="D192" i="2"/>
  <c r="E192" i="2"/>
  <c r="F192" i="2"/>
  <c r="J192" i="2"/>
  <c r="N192" i="2"/>
  <c r="S192" i="2"/>
  <c r="W192" i="2"/>
  <c r="AS192" i="2"/>
  <c r="AT192" i="2"/>
  <c r="X192" i="2" l="1"/>
  <c r="P192" i="2"/>
  <c r="Q192" i="2" s="1"/>
  <c r="U192" i="2"/>
  <c r="V192" i="2" s="1"/>
  <c r="AE192" i="2"/>
  <c r="AH192" i="2" s="1"/>
  <c r="O192" i="2"/>
  <c r="T192" i="2"/>
  <c r="K192" i="2"/>
  <c r="AH193" i="2"/>
  <c r="AO193" i="2"/>
  <c r="AP193" i="2" s="1"/>
  <c r="AI193" i="2"/>
  <c r="AJ193" i="2" s="1"/>
  <c r="AR193" i="2" s="1"/>
  <c r="AC193" i="2"/>
  <c r="AD193" i="2" s="1"/>
  <c r="AB193" i="2"/>
  <c r="Y192" i="2"/>
  <c r="Z192" i="2" s="1"/>
  <c r="AK192" i="2"/>
  <c r="AL192" i="2" s="1"/>
  <c r="AA192" i="2"/>
  <c r="L192" i="2"/>
  <c r="M192" i="2" s="1"/>
  <c r="C191" i="2"/>
  <c r="D191" i="2"/>
  <c r="E191" i="2"/>
  <c r="F191" i="2"/>
  <c r="J191" i="2"/>
  <c r="N191" i="2"/>
  <c r="S191" i="2"/>
  <c r="W191" i="2"/>
  <c r="AS191" i="2"/>
  <c r="AT191" i="2"/>
  <c r="AQ192" i="2" l="1"/>
  <c r="AO192" i="2"/>
  <c r="AP192" i="2" s="1"/>
  <c r="AI192" i="2"/>
  <c r="AJ192" i="2" s="1"/>
  <c r="AR192" i="2" s="1"/>
  <c r="T191" i="2"/>
  <c r="P191" i="2"/>
  <c r="Q191" i="2" s="1"/>
  <c r="AK191" i="2"/>
  <c r="AL191" i="2" s="1"/>
  <c r="K191" i="2"/>
  <c r="AC192" i="2"/>
  <c r="AD192" i="2" s="1"/>
  <c r="AB192" i="2"/>
  <c r="O191" i="2"/>
  <c r="Y191" i="2"/>
  <c r="Z191" i="2" s="1"/>
  <c r="X191" i="2"/>
  <c r="AE191" i="2"/>
  <c r="U191" i="2"/>
  <c r="V191" i="2" s="1"/>
  <c r="AA191" i="2"/>
  <c r="L191" i="2"/>
  <c r="M191" i="2" s="1"/>
  <c r="C190" i="2"/>
  <c r="D190" i="2"/>
  <c r="E190" i="2"/>
  <c r="F190" i="2"/>
  <c r="J190" i="2"/>
  <c r="N190" i="2"/>
  <c r="S190" i="2"/>
  <c r="W190" i="2"/>
  <c r="AS190" i="2"/>
  <c r="AT190" i="2"/>
  <c r="X190" i="2" l="1"/>
  <c r="AQ191" i="2"/>
  <c r="U190" i="2"/>
  <c r="V190" i="2" s="1"/>
  <c r="AH191" i="2"/>
  <c r="AO191" i="2"/>
  <c r="AP191" i="2" s="1"/>
  <c r="AI191" i="2"/>
  <c r="AJ191" i="2" s="1"/>
  <c r="AR191" i="2" s="1"/>
  <c r="AC191" i="2"/>
  <c r="AD191" i="2" s="1"/>
  <c r="AB191" i="2"/>
  <c r="Y190" i="2"/>
  <c r="Z190" i="2" s="1"/>
  <c r="P190" i="2"/>
  <c r="Q190" i="2" s="1"/>
  <c r="K190" i="2"/>
  <c r="T190" i="2"/>
  <c r="AA190" i="2"/>
  <c r="O190" i="2"/>
  <c r="AK190" i="2"/>
  <c r="AL190" i="2" s="1"/>
  <c r="AE190" i="2"/>
  <c r="L190" i="2"/>
  <c r="M190" i="2" s="1"/>
  <c r="C189" i="2"/>
  <c r="D189" i="2"/>
  <c r="E189" i="2"/>
  <c r="F189" i="2"/>
  <c r="J189" i="2"/>
  <c r="N189" i="2"/>
  <c r="S189" i="2"/>
  <c r="W189" i="2"/>
  <c r="Y189" i="2" s="1"/>
  <c r="Z189" i="2" s="1"/>
  <c r="AS189" i="2"/>
  <c r="AT189" i="2"/>
  <c r="AQ190" i="2" l="1"/>
  <c r="AH190" i="2"/>
  <c r="AO190" i="2"/>
  <c r="AP190" i="2" s="1"/>
  <c r="AI190" i="2"/>
  <c r="AJ190" i="2" s="1"/>
  <c r="AR190" i="2" s="1"/>
  <c r="AC190" i="2"/>
  <c r="AD190" i="2" s="1"/>
  <c r="AB190" i="2"/>
  <c r="L189" i="2"/>
  <c r="M189" i="2" s="1"/>
  <c r="U189" i="2"/>
  <c r="V189" i="2" s="1"/>
  <c r="P189" i="2"/>
  <c r="Q189" i="2" s="1"/>
  <c r="AQ189" i="2" s="1"/>
  <c r="AE189" i="2"/>
  <c r="AO189" i="2" s="1"/>
  <c r="AP189" i="2" s="1"/>
  <c r="AA189" i="2"/>
  <c r="AC189" i="2" s="1"/>
  <c r="AD189" i="2" s="1"/>
  <c r="X189" i="2"/>
  <c r="T189" i="2"/>
  <c r="O189" i="2"/>
  <c r="K189" i="2"/>
  <c r="AK189" i="2"/>
  <c r="AL189" i="2" s="1"/>
  <c r="AH189" i="2" l="1"/>
  <c r="AI189" i="2"/>
  <c r="AJ189" i="2" s="1"/>
  <c r="AR189" i="2" s="1"/>
  <c r="AB189" i="2"/>
  <c r="C188" i="2" l="1"/>
  <c r="D188" i="2"/>
  <c r="E188" i="2"/>
  <c r="F188" i="2"/>
  <c r="J188" i="2"/>
  <c r="N188" i="2"/>
  <c r="S188" i="2"/>
  <c r="W188" i="2"/>
  <c r="AS188" i="2"/>
  <c r="AT188" i="2"/>
  <c r="U188" i="2" l="1"/>
  <c r="V188" i="2" s="1"/>
  <c r="K188" i="2"/>
  <c r="T188" i="2"/>
  <c r="O188" i="2"/>
  <c r="X188" i="2"/>
  <c r="AK188" i="2"/>
  <c r="AL188" i="2" s="1"/>
  <c r="P188" i="2"/>
  <c r="Q188" i="2" s="1"/>
  <c r="Y188" i="2"/>
  <c r="Z188" i="2" s="1"/>
  <c r="AE188" i="2"/>
  <c r="AH188" i="2" s="1"/>
  <c r="AA188" i="2"/>
  <c r="L188" i="2"/>
  <c r="M188" i="2" s="1"/>
  <c r="C187" i="2"/>
  <c r="D187" i="2"/>
  <c r="E187" i="2"/>
  <c r="F187" i="2"/>
  <c r="J187" i="2"/>
  <c r="N187" i="2"/>
  <c r="S187" i="2"/>
  <c r="W187" i="2"/>
  <c r="AS187" i="2"/>
  <c r="AT187" i="2"/>
  <c r="AQ188" i="2" l="1"/>
  <c r="K187" i="2"/>
  <c r="U187" i="2"/>
  <c r="V187" i="2" s="1"/>
  <c r="AE187" i="2"/>
  <c r="AO187" i="2" s="1"/>
  <c r="AP187" i="2" s="1"/>
  <c r="T187" i="2"/>
  <c r="AO188" i="2"/>
  <c r="AP188" i="2" s="1"/>
  <c r="AI188" i="2"/>
  <c r="AJ188" i="2" s="1"/>
  <c r="AR188" i="2" s="1"/>
  <c r="AB188" i="2"/>
  <c r="AC188" i="2"/>
  <c r="AD188" i="2" s="1"/>
  <c r="O187" i="2"/>
  <c r="L187" i="2"/>
  <c r="M187" i="2" s="1"/>
  <c r="Y187" i="2"/>
  <c r="Z187" i="2" s="1"/>
  <c r="X187" i="2"/>
  <c r="AK187" i="2"/>
  <c r="AL187" i="2" s="1"/>
  <c r="P187" i="2"/>
  <c r="Q187" i="2" s="1"/>
  <c r="AA187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5" i="2"/>
  <c r="AS5" i="2"/>
  <c r="C186" i="2"/>
  <c r="D186" i="2"/>
  <c r="E186" i="2"/>
  <c r="F186" i="2"/>
  <c r="J186" i="2"/>
  <c r="N186" i="2"/>
  <c r="S186" i="2"/>
  <c r="W186" i="2"/>
  <c r="AS186" i="2"/>
  <c r="AH187" i="2" l="1"/>
  <c r="AI187" i="2"/>
  <c r="AJ187" i="2" s="1"/>
  <c r="AR187" i="2" s="1"/>
  <c r="AQ187" i="2"/>
  <c r="AC187" i="2"/>
  <c r="AD187" i="2" s="1"/>
  <c r="AB187" i="2"/>
  <c r="P186" i="2"/>
  <c r="Q186" i="2" s="1"/>
  <c r="K186" i="2"/>
  <c r="O186" i="2"/>
  <c r="X186" i="2"/>
  <c r="T186" i="2"/>
  <c r="Y186" i="2"/>
  <c r="Z186" i="2" s="1"/>
  <c r="AE186" i="2"/>
  <c r="AA186" i="2"/>
  <c r="AB186" i="2" s="1"/>
  <c r="AK186" i="2"/>
  <c r="AL186" i="2" s="1"/>
  <c r="U186" i="2"/>
  <c r="V186" i="2" s="1"/>
  <c r="L186" i="2"/>
  <c r="M186" i="2" s="1"/>
  <c r="C185" i="2"/>
  <c r="D185" i="2"/>
  <c r="E185" i="2"/>
  <c r="F185" i="2"/>
  <c r="J185" i="2"/>
  <c r="N185" i="2"/>
  <c r="S185" i="2"/>
  <c r="W185" i="2"/>
  <c r="AS185" i="2"/>
  <c r="K185" i="2" l="1"/>
  <c r="U185" i="2"/>
  <c r="V185" i="2" s="1"/>
  <c r="AQ186" i="2"/>
  <c r="AE185" i="2"/>
  <c r="AO185" i="2" s="1"/>
  <c r="AP185" i="2" s="1"/>
  <c r="AC186" i="2"/>
  <c r="AD186" i="2" s="1"/>
  <c r="AI186" i="2"/>
  <c r="AJ186" i="2" s="1"/>
  <c r="AR186" i="2" s="1"/>
  <c r="AH186" i="2"/>
  <c r="AO186" i="2"/>
  <c r="AP186" i="2" s="1"/>
  <c r="O185" i="2"/>
  <c r="AK185" i="2"/>
  <c r="AL185" i="2" s="1"/>
  <c r="Y185" i="2"/>
  <c r="Z185" i="2" s="1"/>
  <c r="X185" i="2"/>
  <c r="T185" i="2"/>
  <c r="AA185" i="2"/>
  <c r="P185" i="2"/>
  <c r="Q185" i="2" s="1"/>
  <c r="L185" i="2"/>
  <c r="M185" i="2" s="1"/>
  <c r="AC5" i="2"/>
  <c r="C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C184" i="2"/>
  <c r="D184" i="2"/>
  <c r="E184" i="2"/>
  <c r="F184" i="2"/>
  <c r="J184" i="2"/>
  <c r="N184" i="2"/>
  <c r="S184" i="2"/>
  <c r="W184" i="2"/>
  <c r="AE184" i="2" l="1"/>
  <c r="AO184" i="2" s="1"/>
  <c r="AP184" i="2" s="1"/>
  <c r="AH185" i="2"/>
  <c r="AI185" i="2"/>
  <c r="AJ185" i="2" s="1"/>
  <c r="AR185" i="2" s="1"/>
  <c r="U184" i="2"/>
  <c r="V184" i="2" s="1"/>
  <c r="L184" i="2"/>
  <c r="M184" i="2" s="1"/>
  <c r="AQ185" i="2"/>
  <c r="AK184" i="2"/>
  <c r="AL184" i="2" s="1"/>
  <c r="AC185" i="2"/>
  <c r="AD185" i="2" s="1"/>
  <c r="AB185" i="2"/>
  <c r="O184" i="2"/>
  <c r="Y184" i="2"/>
  <c r="Z184" i="2" s="1"/>
  <c r="P184" i="2"/>
  <c r="Q184" i="2" s="1"/>
  <c r="T184" i="2"/>
  <c r="AA184" i="2"/>
  <c r="AC184" i="2" s="1"/>
  <c r="X184" i="2"/>
  <c r="K184" i="2"/>
  <c r="AH184" i="2" l="1"/>
  <c r="AI184" i="2"/>
  <c r="AJ184" i="2" s="1"/>
  <c r="AR184" i="2" s="1"/>
  <c r="AQ184" i="2"/>
  <c r="AD184" i="2"/>
  <c r="AB184" i="2"/>
  <c r="C183" i="2" l="1"/>
  <c r="D183" i="2"/>
  <c r="E183" i="2"/>
  <c r="F183" i="2"/>
  <c r="J183" i="2"/>
  <c r="N183" i="2"/>
  <c r="S183" i="2"/>
  <c r="W183" i="2"/>
  <c r="Y183" i="2" s="1"/>
  <c r="Z183" i="2" s="1"/>
  <c r="C182" i="2"/>
  <c r="D182" i="2"/>
  <c r="E182" i="2"/>
  <c r="F182" i="2"/>
  <c r="J182" i="2"/>
  <c r="N182" i="2"/>
  <c r="S182" i="2"/>
  <c r="W182" i="2"/>
  <c r="X182" i="2" s="1"/>
  <c r="T182" i="2" l="1"/>
  <c r="K183" i="2"/>
  <c r="T183" i="2"/>
  <c r="P182" i="2"/>
  <c r="Q182" i="2" s="1"/>
  <c r="AA183" i="2"/>
  <c r="AK183" i="2"/>
  <c r="AL183" i="2" s="1"/>
  <c r="AE183" i="2"/>
  <c r="AI183" i="2" s="1"/>
  <c r="AJ183" i="2" s="1"/>
  <c r="AR183" i="2" s="1"/>
  <c r="P183" i="2"/>
  <c r="Q183" i="2" s="1"/>
  <c r="AQ183" i="2" s="1"/>
  <c r="L182" i="2"/>
  <c r="M182" i="2" s="1"/>
  <c r="U182" i="2"/>
  <c r="V182" i="2" s="1"/>
  <c r="X183" i="2"/>
  <c r="O183" i="2"/>
  <c r="Y182" i="2"/>
  <c r="Z182" i="2" s="1"/>
  <c r="O182" i="2"/>
  <c r="U183" i="2"/>
  <c r="V183" i="2" s="1"/>
  <c r="L183" i="2"/>
  <c r="M183" i="2" s="1"/>
  <c r="AK182" i="2"/>
  <c r="AL182" i="2" s="1"/>
  <c r="AE182" i="2"/>
  <c r="AA182" i="2"/>
  <c r="AC182" i="2" s="1"/>
  <c r="K182" i="2"/>
  <c r="C181" i="2"/>
  <c r="D181" i="2"/>
  <c r="E181" i="2"/>
  <c r="F181" i="2"/>
  <c r="J181" i="2"/>
  <c r="N181" i="2"/>
  <c r="S181" i="2"/>
  <c r="W181" i="2"/>
  <c r="AH183" i="2" l="1"/>
  <c r="AQ182" i="2"/>
  <c r="AB183" i="2"/>
  <c r="AC183" i="2"/>
  <c r="AD183" i="2" s="1"/>
  <c r="AE181" i="2"/>
  <c r="AH181" i="2" s="1"/>
  <c r="AO183" i="2"/>
  <c r="AP183" i="2" s="1"/>
  <c r="K181" i="2"/>
  <c r="AK181" i="2"/>
  <c r="AL181" i="2" s="1"/>
  <c r="AH182" i="2"/>
  <c r="AO182" i="2"/>
  <c r="AP182" i="2" s="1"/>
  <c r="AI182" i="2"/>
  <c r="AJ182" i="2" s="1"/>
  <c r="AR182" i="2" s="1"/>
  <c r="O181" i="2"/>
  <c r="T181" i="2"/>
  <c r="AB182" i="2"/>
  <c r="AD182" i="2"/>
  <c r="P181" i="2"/>
  <c r="Q181" i="2" s="1"/>
  <c r="X181" i="2"/>
  <c r="Y181" i="2"/>
  <c r="Z181" i="2" s="1"/>
  <c r="U181" i="2"/>
  <c r="V181" i="2" s="1"/>
  <c r="AA181" i="2"/>
  <c r="AC181" i="2" s="1"/>
  <c r="L181" i="2"/>
  <c r="M181" i="2" s="1"/>
  <c r="C180" i="2"/>
  <c r="D180" i="2"/>
  <c r="E180" i="2"/>
  <c r="F180" i="2"/>
  <c r="J180" i="2"/>
  <c r="N180" i="2"/>
  <c r="S180" i="2"/>
  <c r="W180" i="2"/>
  <c r="X180" i="2" s="1"/>
  <c r="Y180" i="2" l="1"/>
  <c r="Z180" i="2" s="1"/>
  <c r="AI181" i="2"/>
  <c r="AJ181" i="2" s="1"/>
  <c r="AR181" i="2" s="1"/>
  <c r="AO181" i="2"/>
  <c r="AP181" i="2" s="1"/>
  <c r="AQ181" i="2"/>
  <c r="O180" i="2"/>
  <c r="AD181" i="2"/>
  <c r="AB181" i="2"/>
  <c r="K180" i="2"/>
  <c r="AK180" i="2"/>
  <c r="AL180" i="2" s="1"/>
  <c r="AE180" i="2"/>
  <c r="AI180" i="2" s="1"/>
  <c r="AJ180" i="2" s="1"/>
  <c r="AR180" i="2" s="1"/>
  <c r="T180" i="2"/>
  <c r="U180" i="2"/>
  <c r="V180" i="2" s="1"/>
  <c r="P180" i="2"/>
  <c r="Q180" i="2" s="1"/>
  <c r="AQ180" i="2" s="1"/>
  <c r="AA180" i="2"/>
  <c r="L180" i="2"/>
  <c r="M180" i="2" s="1"/>
  <c r="AB180" i="2" l="1"/>
  <c r="AC180" i="2"/>
  <c r="AD180" i="2" s="1"/>
  <c r="AH180" i="2"/>
  <c r="AO180" i="2"/>
  <c r="AP180" i="2" s="1"/>
  <c r="C179" i="2" l="1"/>
  <c r="D179" i="2"/>
  <c r="E179" i="2"/>
  <c r="F179" i="2"/>
  <c r="J179" i="2"/>
  <c r="N179" i="2"/>
  <c r="S179" i="2"/>
  <c r="W179" i="2"/>
  <c r="X179" i="2" s="1"/>
  <c r="K179" i="2" l="1"/>
  <c r="P179" i="2"/>
  <c r="Q179" i="2" s="1"/>
  <c r="T179" i="2"/>
  <c r="AE179" i="2"/>
  <c r="AO179" i="2" s="1"/>
  <c r="AP179" i="2" s="1"/>
  <c r="Y179" i="2"/>
  <c r="Z179" i="2" s="1"/>
  <c r="O179" i="2"/>
  <c r="AA179" i="2"/>
  <c r="AK179" i="2"/>
  <c r="AL179" i="2" s="1"/>
  <c r="U179" i="2"/>
  <c r="V179" i="2" s="1"/>
  <c r="L179" i="2"/>
  <c r="M179" i="2" s="1"/>
  <c r="C178" i="2"/>
  <c r="D178" i="2"/>
  <c r="E178" i="2"/>
  <c r="F178" i="2"/>
  <c r="J178" i="2"/>
  <c r="N178" i="2"/>
  <c r="S178" i="2"/>
  <c r="W178" i="2"/>
  <c r="Y178" i="2" s="1"/>
  <c r="Z178" i="2" s="1"/>
  <c r="AB179" i="2" l="1"/>
  <c r="AC179" i="2"/>
  <c r="AD179" i="2" s="1"/>
  <c r="O178" i="2"/>
  <c r="AQ179" i="2"/>
  <c r="L178" i="2"/>
  <c r="M178" i="2" s="1"/>
  <c r="AE178" i="2"/>
  <c r="AH178" i="2" s="1"/>
  <c r="T178" i="2"/>
  <c r="AI179" i="2"/>
  <c r="AJ179" i="2" s="1"/>
  <c r="AR179" i="2" s="1"/>
  <c r="AH179" i="2"/>
  <c r="AA178" i="2"/>
  <c r="AK178" i="2"/>
  <c r="AL178" i="2" s="1"/>
  <c r="U178" i="2"/>
  <c r="V178" i="2" s="1"/>
  <c r="P178" i="2"/>
  <c r="Q178" i="2" s="1"/>
  <c r="AQ178" i="2" s="1"/>
  <c r="X178" i="2"/>
  <c r="K178" i="2"/>
  <c r="AB178" i="2" l="1"/>
  <c r="AC178" i="2"/>
  <c r="AD178" i="2" s="1"/>
  <c r="AO178" i="2"/>
  <c r="AP178" i="2" s="1"/>
  <c r="AI178" i="2"/>
  <c r="AJ178" i="2" s="1"/>
  <c r="AR178" i="2" s="1"/>
  <c r="C177" i="2"/>
  <c r="D177" i="2"/>
  <c r="E177" i="2"/>
  <c r="F177" i="2"/>
  <c r="J177" i="2"/>
  <c r="N177" i="2"/>
  <c r="S177" i="2"/>
  <c r="W177" i="2"/>
  <c r="X177" i="2" s="1"/>
  <c r="O177" i="2" l="1"/>
  <c r="AK177" i="2"/>
  <c r="AL177" i="2" s="1"/>
  <c r="AA177" i="2"/>
  <c r="T177" i="2"/>
  <c r="K177" i="2"/>
  <c r="P177" i="2"/>
  <c r="Q177" i="2" s="1"/>
  <c r="U177" i="2"/>
  <c r="V177" i="2" s="1"/>
  <c r="Y177" i="2"/>
  <c r="Z177" i="2" s="1"/>
  <c r="AE177" i="2"/>
  <c r="L177" i="2"/>
  <c r="M177" i="2" s="1"/>
  <c r="C176" i="2"/>
  <c r="D176" i="2"/>
  <c r="E176" i="2"/>
  <c r="F176" i="2"/>
  <c r="J176" i="2"/>
  <c r="N176" i="2"/>
  <c r="S176" i="2"/>
  <c r="W176" i="2"/>
  <c r="Y176" i="2" l="1"/>
  <c r="Z176" i="2" s="1"/>
  <c r="AC177" i="2"/>
  <c r="AD177" i="2" s="1"/>
  <c r="AB177" i="2"/>
  <c r="AQ177" i="2"/>
  <c r="K176" i="2"/>
  <c r="AO177" i="2"/>
  <c r="AP177" i="2" s="1"/>
  <c r="AI177" i="2"/>
  <c r="AJ177" i="2" s="1"/>
  <c r="AR177" i="2" s="1"/>
  <c r="AH177" i="2"/>
  <c r="U176" i="2"/>
  <c r="V176" i="2" s="1"/>
  <c r="X176" i="2"/>
  <c r="T176" i="2"/>
  <c r="AE176" i="2"/>
  <c r="AO176" i="2" s="1"/>
  <c r="AP176" i="2" s="1"/>
  <c r="P176" i="2"/>
  <c r="Q176" i="2" s="1"/>
  <c r="AQ176" i="2" s="1"/>
  <c r="AA176" i="2"/>
  <c r="AC176" i="2" s="1"/>
  <c r="O176" i="2"/>
  <c r="AK176" i="2"/>
  <c r="AL176" i="2" s="1"/>
  <c r="L176" i="2"/>
  <c r="M176" i="2" s="1"/>
  <c r="C175" i="2"/>
  <c r="D175" i="2"/>
  <c r="E175" i="2"/>
  <c r="F175" i="2"/>
  <c r="J175" i="2"/>
  <c r="N175" i="2"/>
  <c r="S175" i="2"/>
  <c r="W175" i="2"/>
  <c r="K175" i="2" l="1"/>
  <c r="AE175" i="2"/>
  <c r="AH175" i="2" s="1"/>
  <c r="O175" i="2"/>
  <c r="U175" i="2"/>
  <c r="V175" i="2" s="1"/>
  <c r="AH176" i="2"/>
  <c r="AI176" i="2"/>
  <c r="AJ176" i="2" s="1"/>
  <c r="AR176" i="2" s="1"/>
  <c r="AD176" i="2"/>
  <c r="AB176" i="2"/>
  <c r="P175" i="2"/>
  <c r="Q175" i="2" s="1"/>
  <c r="T175" i="2"/>
  <c r="Y175" i="2"/>
  <c r="Z175" i="2" s="1"/>
  <c r="X175" i="2"/>
  <c r="AK175" i="2"/>
  <c r="AL175" i="2" s="1"/>
  <c r="AI175" i="2"/>
  <c r="AJ175" i="2" s="1"/>
  <c r="AR175" i="2" s="1"/>
  <c r="AA175" i="2"/>
  <c r="AC175" i="2" s="1"/>
  <c r="L175" i="2"/>
  <c r="M175" i="2" s="1"/>
  <c r="AQ175" i="2" l="1"/>
  <c r="AO175" i="2"/>
  <c r="AP175" i="2" s="1"/>
  <c r="AB175" i="2"/>
  <c r="AD175" i="2"/>
  <c r="C174" i="2" l="1"/>
  <c r="D174" i="2"/>
  <c r="E174" i="2"/>
  <c r="F174" i="2"/>
  <c r="J174" i="2"/>
  <c r="N174" i="2"/>
  <c r="S174" i="2"/>
  <c r="W174" i="2"/>
  <c r="Y174" i="2" l="1"/>
  <c r="Z174" i="2" s="1"/>
  <c r="U174" i="2"/>
  <c r="V174" i="2" s="1"/>
  <c r="P174" i="2"/>
  <c r="Q174" i="2" s="1"/>
  <c r="AE174" i="2"/>
  <c r="AO174" i="2" s="1"/>
  <c r="AP174" i="2" s="1"/>
  <c r="L174" i="2"/>
  <c r="M174" i="2" s="1"/>
  <c r="AK174" i="2"/>
  <c r="AL174" i="2" s="1"/>
  <c r="AA174" i="2"/>
  <c r="X174" i="2"/>
  <c r="T174" i="2"/>
  <c r="O174" i="2"/>
  <c r="K174" i="2"/>
  <c r="C173" i="2"/>
  <c r="D173" i="2"/>
  <c r="E173" i="2"/>
  <c r="F173" i="2"/>
  <c r="J173" i="2"/>
  <c r="N173" i="2"/>
  <c r="S173" i="2"/>
  <c r="W173" i="2"/>
  <c r="AQ174" i="2" l="1"/>
  <c r="AI174" i="2"/>
  <c r="AJ174" i="2" s="1"/>
  <c r="AR174" i="2" s="1"/>
  <c r="X173" i="2"/>
  <c r="AH174" i="2"/>
  <c r="AB174" i="2"/>
  <c r="AC174" i="2"/>
  <c r="AD174" i="2" s="1"/>
  <c r="P173" i="2"/>
  <c r="Q173" i="2" s="1"/>
  <c r="K173" i="2"/>
  <c r="T173" i="2"/>
  <c r="AE173" i="2"/>
  <c r="AO173" i="2" s="1"/>
  <c r="AP173" i="2" s="1"/>
  <c r="AA173" i="2"/>
  <c r="AK173" i="2"/>
  <c r="AL173" i="2" s="1"/>
  <c r="Y173" i="2"/>
  <c r="Z173" i="2" s="1"/>
  <c r="U173" i="2"/>
  <c r="V173" i="2" s="1"/>
  <c r="L173" i="2"/>
  <c r="M173" i="2" s="1"/>
  <c r="O173" i="2"/>
  <c r="AC173" i="2" l="1"/>
  <c r="AD173" i="2" s="1"/>
  <c r="AQ173" i="2"/>
  <c r="AB173" i="2"/>
  <c r="AH173" i="2"/>
  <c r="AI173" i="2"/>
  <c r="AJ173" i="2" s="1"/>
  <c r="AR173" i="2" s="1"/>
  <c r="C172" i="2" l="1"/>
  <c r="D172" i="2"/>
  <c r="E172" i="2"/>
  <c r="F172" i="2"/>
  <c r="J172" i="2"/>
  <c r="N172" i="2"/>
  <c r="S172" i="2"/>
  <c r="W172" i="2"/>
  <c r="X172" i="2" s="1"/>
  <c r="O172" i="2" l="1"/>
  <c r="K172" i="2"/>
  <c r="T172" i="2"/>
  <c r="U172" i="2"/>
  <c r="V172" i="2" s="1"/>
  <c r="Y172" i="2"/>
  <c r="Z172" i="2" s="1"/>
  <c r="AK172" i="2"/>
  <c r="AL172" i="2" s="1"/>
  <c r="AA172" i="2"/>
  <c r="AC172" i="2" s="1"/>
  <c r="P172" i="2"/>
  <c r="Q172" i="2" s="1"/>
  <c r="AE172" i="2"/>
  <c r="L172" i="2"/>
  <c r="M172" i="2" s="1"/>
  <c r="C171" i="2"/>
  <c r="D171" i="2"/>
  <c r="E171" i="2"/>
  <c r="F171" i="2"/>
  <c r="J171" i="2"/>
  <c r="N171" i="2"/>
  <c r="S171" i="2"/>
  <c r="W171" i="2"/>
  <c r="Y171" i="2" s="1"/>
  <c r="Z171" i="2" s="1"/>
  <c r="T171" i="2" l="1"/>
  <c r="K171" i="2"/>
  <c r="AQ172" i="2"/>
  <c r="AB172" i="2"/>
  <c r="AD172" i="2"/>
  <c r="AH172" i="2"/>
  <c r="AO172" i="2"/>
  <c r="AP172" i="2" s="1"/>
  <c r="AI172" i="2"/>
  <c r="AJ172" i="2" s="1"/>
  <c r="AR172" i="2" s="1"/>
  <c r="AK171" i="2"/>
  <c r="AL171" i="2" s="1"/>
  <c r="O171" i="2"/>
  <c r="AE171" i="2"/>
  <c r="AO171" i="2" s="1"/>
  <c r="AP171" i="2" s="1"/>
  <c r="AA171" i="2"/>
  <c r="L171" i="2"/>
  <c r="M171" i="2" s="1"/>
  <c r="U171" i="2"/>
  <c r="V171" i="2" s="1"/>
  <c r="P171" i="2"/>
  <c r="Q171" i="2" s="1"/>
  <c r="AQ171" i="2" s="1"/>
  <c r="X171" i="2"/>
  <c r="C170" i="2"/>
  <c r="D170" i="2"/>
  <c r="E170" i="2"/>
  <c r="F170" i="2"/>
  <c r="J170" i="2"/>
  <c r="N170" i="2"/>
  <c r="S170" i="2"/>
  <c r="W170" i="2"/>
  <c r="X170" i="2" l="1"/>
  <c r="AB171" i="2"/>
  <c r="AC171" i="2"/>
  <c r="AD171" i="2" s="1"/>
  <c r="AI171" i="2"/>
  <c r="AJ171" i="2" s="1"/>
  <c r="AR171" i="2" s="1"/>
  <c r="AH171" i="2"/>
  <c r="K170" i="2"/>
  <c r="T170" i="2"/>
  <c r="P170" i="2"/>
  <c r="Q170" i="2" s="1"/>
  <c r="U170" i="2"/>
  <c r="V170" i="2" s="1"/>
  <c r="AE170" i="2"/>
  <c r="AO170" i="2" s="1"/>
  <c r="AP170" i="2" s="1"/>
  <c r="AA170" i="2"/>
  <c r="AK170" i="2"/>
  <c r="AL170" i="2" s="1"/>
  <c r="L170" i="2"/>
  <c r="M170" i="2" s="1"/>
  <c r="Y170" i="2"/>
  <c r="Z170" i="2" s="1"/>
  <c r="O170" i="2"/>
  <c r="C169" i="2"/>
  <c r="D169" i="2"/>
  <c r="E169" i="2"/>
  <c r="F169" i="2"/>
  <c r="J169" i="2"/>
  <c r="N169" i="2"/>
  <c r="S169" i="2"/>
  <c r="W169" i="2"/>
  <c r="AC170" i="2" l="1"/>
  <c r="AD170" i="2" s="1"/>
  <c r="AI170" i="2"/>
  <c r="AJ170" i="2" s="1"/>
  <c r="AR170" i="2" s="1"/>
  <c r="U169" i="2"/>
  <c r="V169" i="2" s="1"/>
  <c r="AH170" i="2"/>
  <c r="AQ170" i="2"/>
  <c r="AB170" i="2"/>
  <c r="O169" i="2"/>
  <c r="K169" i="2"/>
  <c r="AE169" i="2"/>
  <c r="AH169" i="2" s="1"/>
  <c r="T169" i="2"/>
  <c r="X169" i="2"/>
  <c r="P169" i="2"/>
  <c r="Q169" i="2" s="1"/>
  <c r="L169" i="2"/>
  <c r="M169" i="2" s="1"/>
  <c r="AA169" i="2"/>
  <c r="AC169" i="2" s="1"/>
  <c r="AK169" i="2"/>
  <c r="AL169" i="2" s="1"/>
  <c r="Y169" i="2"/>
  <c r="Z169" i="2" s="1"/>
  <c r="C168" i="2"/>
  <c r="D168" i="2"/>
  <c r="E168" i="2"/>
  <c r="F168" i="2"/>
  <c r="J168" i="2"/>
  <c r="N168" i="2"/>
  <c r="S168" i="2"/>
  <c r="W168" i="2"/>
  <c r="X168" i="2" l="1"/>
  <c r="AI169" i="2"/>
  <c r="AJ169" i="2" s="1"/>
  <c r="AR169" i="2" s="1"/>
  <c r="AO169" i="2"/>
  <c r="AP169" i="2" s="1"/>
  <c r="O168" i="2"/>
  <c r="K168" i="2"/>
  <c r="AQ169" i="2"/>
  <c r="AK168" i="2"/>
  <c r="AL168" i="2" s="1"/>
  <c r="AE168" i="2"/>
  <c r="AH168" i="2" s="1"/>
  <c r="AB169" i="2"/>
  <c r="AD169" i="2"/>
  <c r="T168" i="2"/>
  <c r="U168" i="2"/>
  <c r="V168" i="2" s="1"/>
  <c r="Y168" i="2"/>
  <c r="Z168" i="2" s="1"/>
  <c r="AA168" i="2"/>
  <c r="AC168" i="2" s="1"/>
  <c r="P168" i="2"/>
  <c r="Q168" i="2" s="1"/>
  <c r="L168" i="2"/>
  <c r="M168" i="2" s="1"/>
  <c r="AI168" i="2" l="1"/>
  <c r="AJ168" i="2" s="1"/>
  <c r="AR168" i="2" s="1"/>
  <c r="AO168" i="2"/>
  <c r="AP168" i="2" s="1"/>
  <c r="AQ168" i="2"/>
  <c r="AB168" i="2"/>
  <c r="AD168" i="2"/>
  <c r="C167" i="2" l="1"/>
  <c r="D167" i="2"/>
  <c r="E167" i="2"/>
  <c r="F167" i="2"/>
  <c r="J167" i="2"/>
  <c r="N167" i="2"/>
  <c r="S167" i="2"/>
  <c r="W167" i="2"/>
  <c r="X167" i="2" s="1"/>
  <c r="K167" i="2" l="1"/>
  <c r="O167" i="2"/>
  <c r="P167" i="2"/>
  <c r="Q167" i="2" s="1"/>
  <c r="AK167" i="2"/>
  <c r="AL167" i="2" s="1"/>
  <c r="AE167" i="2"/>
  <c r="T167" i="2"/>
  <c r="AA167" i="2"/>
  <c r="Y167" i="2"/>
  <c r="Z167" i="2" s="1"/>
  <c r="U167" i="2"/>
  <c r="V167" i="2" s="1"/>
  <c r="L167" i="2"/>
  <c r="M167" i="2" s="1"/>
  <c r="C166" i="2"/>
  <c r="D166" i="2"/>
  <c r="E166" i="2"/>
  <c r="F166" i="2"/>
  <c r="J166" i="2"/>
  <c r="N166" i="2"/>
  <c r="S166" i="2"/>
  <c r="W166" i="2"/>
  <c r="AQ167" i="2" l="1"/>
  <c r="AB167" i="2"/>
  <c r="AC167" i="2"/>
  <c r="AD167" i="2" s="1"/>
  <c r="AE166" i="2"/>
  <c r="AH166" i="2" s="1"/>
  <c r="K166" i="2"/>
  <c r="T166" i="2"/>
  <c r="AA166" i="2"/>
  <c r="AI167" i="2"/>
  <c r="AJ167" i="2" s="1"/>
  <c r="AR167" i="2" s="1"/>
  <c r="AH167" i="2"/>
  <c r="AO167" i="2"/>
  <c r="AP167" i="2" s="1"/>
  <c r="P166" i="2"/>
  <c r="Q166" i="2" s="1"/>
  <c r="Y166" i="2"/>
  <c r="Z166" i="2" s="1"/>
  <c r="U166" i="2"/>
  <c r="V166" i="2" s="1"/>
  <c r="L166" i="2"/>
  <c r="M166" i="2" s="1"/>
  <c r="X166" i="2"/>
  <c r="O166" i="2"/>
  <c r="AK166" i="2"/>
  <c r="AL166" i="2" s="1"/>
  <c r="C165" i="2"/>
  <c r="D165" i="2"/>
  <c r="E165" i="2"/>
  <c r="F165" i="2"/>
  <c r="J165" i="2"/>
  <c r="N165" i="2"/>
  <c r="S165" i="2"/>
  <c r="W165" i="2"/>
  <c r="AC166" i="2" l="1"/>
  <c r="AD166" i="2" s="1"/>
  <c r="X165" i="2"/>
  <c r="AO166" i="2"/>
  <c r="AP166" i="2" s="1"/>
  <c r="AQ166" i="2"/>
  <c r="AB166" i="2"/>
  <c r="AI166" i="2"/>
  <c r="AJ166" i="2" s="1"/>
  <c r="AR166" i="2" s="1"/>
  <c r="K165" i="2"/>
  <c r="T165" i="2"/>
  <c r="O165" i="2"/>
  <c r="U165" i="2"/>
  <c r="V165" i="2" s="1"/>
  <c r="Y165" i="2"/>
  <c r="Z165" i="2" s="1"/>
  <c r="AA165" i="2"/>
  <c r="AC165" i="2" s="1"/>
  <c r="P165" i="2"/>
  <c r="Q165" i="2" s="1"/>
  <c r="AE165" i="2"/>
  <c r="AK165" i="2"/>
  <c r="AL165" i="2" s="1"/>
  <c r="L165" i="2"/>
  <c r="M165" i="2" s="1"/>
  <c r="C164" i="2"/>
  <c r="D164" i="2"/>
  <c r="E164" i="2"/>
  <c r="F164" i="2"/>
  <c r="J164" i="2"/>
  <c r="N164" i="2"/>
  <c r="S164" i="2"/>
  <c r="W164" i="2"/>
  <c r="Y164" i="2" s="1"/>
  <c r="Z164" i="2" s="1"/>
  <c r="AE164" i="2" l="1"/>
  <c r="AO164" i="2" s="1"/>
  <c r="AP164" i="2" s="1"/>
  <c r="K164" i="2"/>
  <c r="T164" i="2"/>
  <c r="AQ165" i="2"/>
  <c r="AO165" i="2"/>
  <c r="AP165" i="2" s="1"/>
  <c r="AH165" i="2"/>
  <c r="AI165" i="2"/>
  <c r="AJ165" i="2" s="1"/>
  <c r="AR165" i="2" s="1"/>
  <c r="AB165" i="2"/>
  <c r="AD165" i="2"/>
  <c r="P164" i="2"/>
  <c r="Q164" i="2" s="1"/>
  <c r="AQ164" i="2" s="1"/>
  <c r="AA164" i="2"/>
  <c r="AK164" i="2"/>
  <c r="AL164" i="2" s="1"/>
  <c r="L164" i="2"/>
  <c r="M164" i="2" s="1"/>
  <c r="U164" i="2"/>
  <c r="V164" i="2" s="1"/>
  <c r="X164" i="2"/>
  <c r="O164" i="2"/>
  <c r="C163" i="2"/>
  <c r="D163" i="2"/>
  <c r="E163" i="2"/>
  <c r="F163" i="2"/>
  <c r="J163" i="2"/>
  <c r="N163" i="2"/>
  <c r="S163" i="2"/>
  <c r="W163" i="2"/>
  <c r="X163" i="2" s="1"/>
  <c r="AI164" i="2" l="1"/>
  <c r="AJ164" i="2" s="1"/>
  <c r="AR164" i="2" s="1"/>
  <c r="AH164" i="2"/>
  <c r="AB164" i="2"/>
  <c r="AC164" i="2"/>
  <c r="AD164" i="2" s="1"/>
  <c r="K163" i="2"/>
  <c r="O163" i="2"/>
  <c r="T163" i="2"/>
  <c r="AK163" i="2"/>
  <c r="AL163" i="2" s="1"/>
  <c r="U163" i="2"/>
  <c r="V163" i="2" s="1"/>
  <c r="Y163" i="2"/>
  <c r="Z163" i="2" s="1"/>
  <c r="AE163" i="2"/>
  <c r="P163" i="2"/>
  <c r="Q163" i="2" s="1"/>
  <c r="AA163" i="2"/>
  <c r="AC163" i="2" s="1"/>
  <c r="L163" i="2"/>
  <c r="M163" i="2" s="1"/>
  <c r="AQ163" i="2" l="1"/>
  <c r="AB163" i="2"/>
  <c r="AD163" i="2"/>
  <c r="AH163" i="2"/>
  <c r="AI163" i="2"/>
  <c r="AJ163" i="2" s="1"/>
  <c r="AR163" i="2" s="1"/>
  <c r="AO163" i="2"/>
  <c r="AP163" i="2" s="1"/>
  <c r="C162" i="2" l="1"/>
  <c r="D162" i="2"/>
  <c r="E162" i="2"/>
  <c r="F162" i="2"/>
  <c r="J162" i="2"/>
  <c r="N162" i="2"/>
  <c r="S162" i="2"/>
  <c r="W162" i="2"/>
  <c r="X162" i="2" l="1"/>
  <c r="AA162" i="2"/>
  <c r="AK162" i="2"/>
  <c r="AL162" i="2" s="1"/>
  <c r="O162" i="2"/>
  <c r="K162" i="2"/>
  <c r="T162" i="2"/>
  <c r="P162" i="2"/>
  <c r="Q162" i="2" s="1"/>
  <c r="AE162" i="2"/>
  <c r="AI162" i="2" s="1"/>
  <c r="AJ162" i="2" s="1"/>
  <c r="AR162" i="2" s="1"/>
  <c r="Y162" i="2"/>
  <c r="Z162" i="2" s="1"/>
  <c r="L162" i="2"/>
  <c r="M162" i="2" s="1"/>
  <c r="U162" i="2"/>
  <c r="V162" i="2" s="1"/>
  <c r="C161" i="2"/>
  <c r="D161" i="2"/>
  <c r="E161" i="2"/>
  <c r="F161" i="2"/>
  <c r="J161" i="2"/>
  <c r="N161" i="2"/>
  <c r="S161" i="2"/>
  <c r="W161" i="2"/>
  <c r="X161" i="2" l="1"/>
  <c r="AB162" i="2"/>
  <c r="AC162" i="2"/>
  <c r="AD162" i="2" s="1"/>
  <c r="K161" i="2"/>
  <c r="U161" i="2"/>
  <c r="V161" i="2" s="1"/>
  <c r="AQ162" i="2"/>
  <c r="O161" i="2"/>
  <c r="AH162" i="2"/>
  <c r="AO162" i="2"/>
  <c r="AP162" i="2" s="1"/>
  <c r="T161" i="2"/>
  <c r="AE161" i="2"/>
  <c r="AO161" i="2" s="1"/>
  <c r="AP161" i="2" s="1"/>
  <c r="P161" i="2"/>
  <c r="Q161" i="2" s="1"/>
  <c r="AK161" i="2"/>
  <c r="AL161" i="2" s="1"/>
  <c r="AA161" i="2"/>
  <c r="L161" i="2"/>
  <c r="M161" i="2" s="1"/>
  <c r="Y161" i="2"/>
  <c r="Z161" i="2" s="1"/>
  <c r="C160" i="2"/>
  <c r="D160" i="2"/>
  <c r="E160" i="2"/>
  <c r="F160" i="2"/>
  <c r="J160" i="2"/>
  <c r="N160" i="2"/>
  <c r="S160" i="2"/>
  <c r="W160" i="2"/>
  <c r="X160" i="2" s="1"/>
  <c r="C159" i="2"/>
  <c r="D159" i="2"/>
  <c r="E159" i="2"/>
  <c r="F159" i="2"/>
  <c r="J159" i="2"/>
  <c r="N159" i="2"/>
  <c r="S159" i="2"/>
  <c r="W159" i="2"/>
  <c r="AC161" i="2" l="1"/>
  <c r="AD161" i="2" s="1"/>
  <c r="O160" i="2"/>
  <c r="AK160" i="2"/>
  <c r="AL160" i="2" s="1"/>
  <c r="AE159" i="2"/>
  <c r="AH159" i="2" s="1"/>
  <c r="T159" i="2"/>
  <c r="Y160" i="2"/>
  <c r="Z160" i="2" s="1"/>
  <c r="AH161" i="2"/>
  <c r="L159" i="2"/>
  <c r="M159" i="2" s="1"/>
  <c r="Y159" i="2"/>
  <c r="Z159" i="2" s="1"/>
  <c r="AI161" i="2"/>
  <c r="AJ161" i="2" s="1"/>
  <c r="AR161" i="2" s="1"/>
  <c r="AQ161" i="2"/>
  <c r="AB161" i="2"/>
  <c r="K160" i="2"/>
  <c r="O159" i="2"/>
  <c r="X159" i="2"/>
  <c r="T160" i="2"/>
  <c r="U160" i="2"/>
  <c r="V160" i="2" s="1"/>
  <c r="AA160" i="2"/>
  <c r="AC160" i="2" s="1"/>
  <c r="P160" i="2"/>
  <c r="Q160" i="2" s="1"/>
  <c r="AE160" i="2"/>
  <c r="L160" i="2"/>
  <c r="M160" i="2" s="1"/>
  <c r="P159" i="2"/>
  <c r="Q159" i="2" s="1"/>
  <c r="AK159" i="2"/>
  <c r="AL159" i="2" s="1"/>
  <c r="AI159" i="2"/>
  <c r="AJ159" i="2" s="1"/>
  <c r="AR159" i="2" s="1"/>
  <c r="U159" i="2"/>
  <c r="V159" i="2" s="1"/>
  <c r="AA159" i="2"/>
  <c r="AC159" i="2" s="1"/>
  <c r="K159" i="2"/>
  <c r="C158" i="2"/>
  <c r="D158" i="2"/>
  <c r="E158" i="2"/>
  <c r="F158" i="2"/>
  <c r="J158" i="2"/>
  <c r="N158" i="2"/>
  <c r="S158" i="2"/>
  <c r="W158" i="2"/>
  <c r="X158" i="2" s="1"/>
  <c r="C157" i="2"/>
  <c r="D157" i="2"/>
  <c r="E157" i="2"/>
  <c r="F157" i="2"/>
  <c r="J157" i="2"/>
  <c r="N157" i="2"/>
  <c r="S157" i="2"/>
  <c r="W157" i="2"/>
  <c r="C156" i="2"/>
  <c r="D156" i="2"/>
  <c r="E156" i="2"/>
  <c r="F156" i="2"/>
  <c r="J156" i="2"/>
  <c r="N156" i="2"/>
  <c r="S156" i="2"/>
  <c r="W156" i="2"/>
  <c r="Y156" i="2" s="1"/>
  <c r="Z156" i="2" s="1"/>
  <c r="C155" i="2"/>
  <c r="D155" i="2"/>
  <c r="E155" i="2"/>
  <c r="F155" i="2"/>
  <c r="J155" i="2"/>
  <c r="N155" i="2"/>
  <c r="S155" i="2"/>
  <c r="W155" i="2"/>
  <c r="AO159" i="2" l="1"/>
  <c r="AP159" i="2" s="1"/>
  <c r="AQ160" i="2"/>
  <c r="X155" i="2"/>
  <c r="X157" i="2"/>
  <c r="O157" i="2"/>
  <c r="AQ159" i="2"/>
  <c r="K157" i="2"/>
  <c r="U157" i="2"/>
  <c r="V157" i="2" s="1"/>
  <c r="T158" i="2"/>
  <c r="AO160" i="2"/>
  <c r="AP160" i="2" s="1"/>
  <c r="AH160" i="2"/>
  <c r="AI160" i="2"/>
  <c r="AJ160" i="2" s="1"/>
  <c r="AR160" i="2" s="1"/>
  <c r="AB160" i="2"/>
  <c r="AD160" i="2"/>
  <c r="O158" i="2"/>
  <c r="Y158" i="2"/>
  <c r="Z158" i="2" s="1"/>
  <c r="AD159" i="2"/>
  <c r="AB159" i="2"/>
  <c r="AK157" i="2"/>
  <c r="AL157" i="2" s="1"/>
  <c r="O155" i="2"/>
  <c r="P156" i="2"/>
  <c r="Q156" i="2" s="1"/>
  <c r="AQ156" i="2" s="1"/>
  <c r="K158" i="2"/>
  <c r="U158" i="2"/>
  <c r="V158" i="2" s="1"/>
  <c r="AA158" i="2"/>
  <c r="AC158" i="2" s="1"/>
  <c r="P158" i="2"/>
  <c r="Q158" i="2" s="1"/>
  <c r="AE158" i="2"/>
  <c r="AK158" i="2"/>
  <c r="AL158" i="2" s="1"/>
  <c r="L158" i="2"/>
  <c r="M158" i="2" s="1"/>
  <c r="K155" i="2"/>
  <c r="L156" i="2"/>
  <c r="M156" i="2" s="1"/>
  <c r="T157" i="2"/>
  <c r="T155" i="2"/>
  <c r="U156" i="2"/>
  <c r="V156" i="2" s="1"/>
  <c r="L157" i="2"/>
  <c r="M157" i="2" s="1"/>
  <c r="Y157" i="2"/>
  <c r="Z157" i="2" s="1"/>
  <c r="AE157" i="2"/>
  <c r="AH157" i="2" s="1"/>
  <c r="AA157" i="2"/>
  <c r="AC157" i="2" s="1"/>
  <c r="P157" i="2"/>
  <c r="Q157" i="2" s="1"/>
  <c r="AK155" i="2"/>
  <c r="AL155" i="2" s="1"/>
  <c r="AK156" i="2"/>
  <c r="AL156" i="2" s="1"/>
  <c r="AE156" i="2"/>
  <c r="AI156" i="2" s="1"/>
  <c r="AJ156" i="2" s="1"/>
  <c r="AR156" i="2" s="1"/>
  <c r="AA156" i="2"/>
  <c r="U155" i="2"/>
  <c r="V155" i="2" s="1"/>
  <c r="X156" i="2"/>
  <c r="T156" i="2"/>
  <c r="O156" i="2"/>
  <c r="K156" i="2"/>
  <c r="Y155" i="2"/>
  <c r="Z155" i="2" s="1"/>
  <c r="AE155" i="2"/>
  <c r="AH155" i="2" s="1"/>
  <c r="P155" i="2"/>
  <c r="Q155" i="2" s="1"/>
  <c r="AA155" i="2"/>
  <c r="AC155" i="2" s="1"/>
  <c r="L155" i="2"/>
  <c r="M155" i="2" s="1"/>
  <c r="C154" i="2"/>
  <c r="D154" i="2"/>
  <c r="E154" i="2"/>
  <c r="F154" i="2"/>
  <c r="J154" i="2"/>
  <c r="N154" i="2"/>
  <c r="S154" i="2"/>
  <c r="W154" i="2"/>
  <c r="X154" i="2" s="1"/>
  <c r="AC156" i="2" l="1"/>
  <c r="AD156" i="2" s="1"/>
  <c r="AQ157" i="2"/>
  <c r="AO157" i="2"/>
  <c r="AP157" i="2" s="1"/>
  <c r="AQ158" i="2"/>
  <c r="AI155" i="2"/>
  <c r="AJ155" i="2" s="1"/>
  <c r="AR155" i="2" s="1"/>
  <c r="AO155" i="2"/>
  <c r="AP155" i="2" s="1"/>
  <c r="AO158" i="2"/>
  <c r="AP158" i="2" s="1"/>
  <c r="AH158" i="2"/>
  <c r="AI158" i="2"/>
  <c r="AJ158" i="2" s="1"/>
  <c r="AR158" i="2" s="1"/>
  <c r="AB158" i="2"/>
  <c r="AD158" i="2"/>
  <c r="AI157" i="2"/>
  <c r="AJ157" i="2" s="1"/>
  <c r="AR157" i="2" s="1"/>
  <c r="AB157" i="2"/>
  <c r="AD157" i="2"/>
  <c r="AB156" i="2"/>
  <c r="AH156" i="2"/>
  <c r="AO156" i="2"/>
  <c r="AP156" i="2" s="1"/>
  <c r="AQ155" i="2"/>
  <c r="K154" i="2"/>
  <c r="T154" i="2"/>
  <c r="AD155" i="2"/>
  <c r="AB155" i="2"/>
  <c r="O154" i="2"/>
  <c r="AE154" i="2"/>
  <c r="AH154" i="2" s="1"/>
  <c r="AA154" i="2"/>
  <c r="AC154" i="2" s="1"/>
  <c r="AK154" i="2"/>
  <c r="AL154" i="2" s="1"/>
  <c r="Y154" i="2"/>
  <c r="Z154" i="2" s="1"/>
  <c r="U154" i="2"/>
  <c r="V154" i="2" s="1"/>
  <c r="P154" i="2"/>
  <c r="Q154" i="2" s="1"/>
  <c r="L154" i="2"/>
  <c r="M154" i="2" s="1"/>
  <c r="C153" i="2"/>
  <c r="D153" i="2"/>
  <c r="E153" i="2"/>
  <c r="F153" i="2"/>
  <c r="J153" i="2"/>
  <c r="N153" i="2"/>
  <c r="S153" i="2"/>
  <c r="W153" i="2"/>
  <c r="X153" i="2" s="1"/>
  <c r="T153" i="2" l="1"/>
  <c r="K153" i="2"/>
  <c r="O153" i="2"/>
  <c r="AO154" i="2"/>
  <c r="AP154" i="2" s="1"/>
  <c r="AI154" i="2"/>
  <c r="AJ154" i="2" s="1"/>
  <c r="AR154" i="2" s="1"/>
  <c r="AQ154" i="2"/>
  <c r="AB154" i="2"/>
  <c r="AD154" i="2"/>
  <c r="AK153" i="2"/>
  <c r="AL153" i="2" s="1"/>
  <c r="U153" i="2"/>
  <c r="V153" i="2" s="1"/>
  <c r="AA153" i="2"/>
  <c r="Y153" i="2"/>
  <c r="Z153" i="2" s="1"/>
  <c r="P153" i="2"/>
  <c r="Q153" i="2" s="1"/>
  <c r="AE153" i="2"/>
  <c r="L153" i="2"/>
  <c r="M153" i="2" s="1"/>
  <c r="C152" i="2"/>
  <c r="D152" i="2"/>
  <c r="E152" i="2"/>
  <c r="F152" i="2"/>
  <c r="J152" i="2"/>
  <c r="N152" i="2"/>
  <c r="S152" i="2"/>
  <c r="W152" i="2"/>
  <c r="Y152" i="2" s="1"/>
  <c r="Z152" i="2" s="1"/>
  <c r="AC153" i="2" l="1"/>
  <c r="AD153" i="2" s="1"/>
  <c r="AB153" i="2"/>
  <c r="O152" i="2"/>
  <c r="AQ153" i="2"/>
  <c r="AH153" i="2"/>
  <c r="AI153" i="2"/>
  <c r="AJ153" i="2" s="1"/>
  <c r="AR153" i="2" s="1"/>
  <c r="AO153" i="2"/>
  <c r="AP153" i="2" s="1"/>
  <c r="T152" i="2"/>
  <c r="K152" i="2"/>
  <c r="P152" i="2"/>
  <c r="Q152" i="2" s="1"/>
  <c r="AQ152" i="2" s="1"/>
  <c r="AE152" i="2"/>
  <c r="U152" i="2"/>
  <c r="V152" i="2" s="1"/>
  <c r="X152" i="2"/>
  <c r="AK152" i="2"/>
  <c r="AL152" i="2" s="1"/>
  <c r="AA152" i="2"/>
  <c r="AC152" i="2" s="1"/>
  <c r="L152" i="2"/>
  <c r="M152" i="2" s="1"/>
  <c r="C151" i="2"/>
  <c r="D151" i="2"/>
  <c r="E151" i="2"/>
  <c r="F151" i="2"/>
  <c r="J151" i="2"/>
  <c r="N151" i="2"/>
  <c r="S151" i="2"/>
  <c r="W151" i="2"/>
  <c r="X151" i="2" s="1"/>
  <c r="AE151" i="2" l="1"/>
  <c r="AH151" i="2" s="1"/>
  <c r="O151" i="2"/>
  <c r="T151" i="2"/>
  <c r="K151" i="2"/>
  <c r="AK151" i="2"/>
  <c r="AL151" i="2" s="1"/>
  <c r="P151" i="2"/>
  <c r="Q151" i="2" s="1"/>
  <c r="AO152" i="2"/>
  <c r="AP152" i="2" s="1"/>
  <c r="AH152" i="2"/>
  <c r="AI152" i="2"/>
  <c r="AJ152" i="2" s="1"/>
  <c r="AR152" i="2" s="1"/>
  <c r="AD152" i="2"/>
  <c r="AB152" i="2"/>
  <c r="Y151" i="2"/>
  <c r="Z151" i="2" s="1"/>
  <c r="AA151" i="2"/>
  <c r="AC151" i="2" s="1"/>
  <c r="U151" i="2"/>
  <c r="V151" i="2" s="1"/>
  <c r="L151" i="2"/>
  <c r="M151" i="2" s="1"/>
  <c r="C150" i="2"/>
  <c r="D150" i="2"/>
  <c r="E150" i="2"/>
  <c r="F150" i="2"/>
  <c r="J150" i="2"/>
  <c r="N150" i="2"/>
  <c r="S150" i="2"/>
  <c r="W150" i="2"/>
  <c r="AO151" i="2" l="1"/>
  <c r="AP151" i="2" s="1"/>
  <c r="Y150" i="2"/>
  <c r="Z150" i="2" s="1"/>
  <c r="AI151" i="2"/>
  <c r="AJ151" i="2" s="1"/>
  <c r="AR151" i="2" s="1"/>
  <c r="L150" i="2"/>
  <c r="M150" i="2" s="1"/>
  <c r="AQ151" i="2"/>
  <c r="U150" i="2"/>
  <c r="V150" i="2" s="1"/>
  <c r="AD151" i="2"/>
  <c r="AB151" i="2"/>
  <c r="P150" i="2"/>
  <c r="Q150" i="2" s="1"/>
  <c r="AE150" i="2"/>
  <c r="AO150" i="2" s="1"/>
  <c r="AP150" i="2" s="1"/>
  <c r="X150" i="2"/>
  <c r="T150" i="2"/>
  <c r="O150" i="2"/>
  <c r="K150" i="2"/>
  <c r="AA150" i="2"/>
  <c r="AC150" i="2" s="1"/>
  <c r="AK150" i="2"/>
  <c r="AL150" i="2" s="1"/>
  <c r="C149" i="2"/>
  <c r="D149" i="2"/>
  <c r="E149" i="2"/>
  <c r="F149" i="2"/>
  <c r="J149" i="2"/>
  <c r="N149" i="2"/>
  <c r="S149" i="2"/>
  <c r="W149" i="2"/>
  <c r="X149" i="2" s="1"/>
  <c r="AQ150" i="2" l="1"/>
  <c r="AH150" i="2"/>
  <c r="K149" i="2"/>
  <c r="T149" i="2"/>
  <c r="AI150" i="2"/>
  <c r="AJ150" i="2" s="1"/>
  <c r="AR150" i="2" s="1"/>
  <c r="AD150" i="2"/>
  <c r="AB150" i="2"/>
  <c r="O149" i="2"/>
  <c r="AE149" i="2"/>
  <c r="AH149" i="2" s="1"/>
  <c r="AA149" i="2"/>
  <c r="AC149" i="2" s="1"/>
  <c r="AK149" i="2"/>
  <c r="AL149" i="2" s="1"/>
  <c r="Y149" i="2"/>
  <c r="Z149" i="2" s="1"/>
  <c r="U149" i="2"/>
  <c r="V149" i="2" s="1"/>
  <c r="P149" i="2"/>
  <c r="Q149" i="2" s="1"/>
  <c r="L149" i="2"/>
  <c r="M149" i="2" s="1"/>
  <c r="C148" i="2"/>
  <c r="D148" i="2"/>
  <c r="E148" i="2"/>
  <c r="F148" i="2"/>
  <c r="J148" i="2"/>
  <c r="N148" i="2"/>
  <c r="S148" i="2"/>
  <c r="W148" i="2"/>
  <c r="X148" i="2" s="1"/>
  <c r="K148" i="2" l="1"/>
  <c r="O148" i="2"/>
  <c r="AO149" i="2"/>
  <c r="AP149" i="2" s="1"/>
  <c r="AI149" i="2"/>
  <c r="AJ149" i="2" s="1"/>
  <c r="AR149" i="2" s="1"/>
  <c r="AQ149" i="2"/>
  <c r="AB149" i="2"/>
  <c r="AD149" i="2"/>
  <c r="AE148" i="2"/>
  <c r="AO148" i="2" s="1"/>
  <c r="AP148" i="2" s="1"/>
  <c r="T148" i="2"/>
  <c r="AA148" i="2"/>
  <c r="AC148" i="2" s="1"/>
  <c r="AK148" i="2"/>
  <c r="AL148" i="2" s="1"/>
  <c r="Y148" i="2"/>
  <c r="Z148" i="2" s="1"/>
  <c r="U148" i="2"/>
  <c r="V148" i="2" s="1"/>
  <c r="P148" i="2"/>
  <c r="Q148" i="2" s="1"/>
  <c r="L148" i="2"/>
  <c r="M148" i="2" s="1"/>
  <c r="C147" i="2"/>
  <c r="D147" i="2"/>
  <c r="E147" i="2"/>
  <c r="F147" i="2"/>
  <c r="J147" i="2"/>
  <c r="N147" i="2"/>
  <c r="S147" i="2"/>
  <c r="W147" i="2"/>
  <c r="X147" i="2" s="1"/>
  <c r="AH148" i="2" l="1"/>
  <c r="AI148" i="2"/>
  <c r="AJ148" i="2" s="1"/>
  <c r="AR148" i="2" s="1"/>
  <c r="K147" i="2"/>
  <c r="AQ148" i="2"/>
  <c r="AB148" i="2"/>
  <c r="AD148" i="2"/>
  <c r="O147" i="2"/>
  <c r="P147" i="2"/>
  <c r="Q147" i="2" s="1"/>
  <c r="T147" i="2"/>
  <c r="AE147" i="2"/>
  <c r="U147" i="2"/>
  <c r="V147" i="2" s="1"/>
  <c r="AK147" i="2"/>
  <c r="AL147" i="2" s="1"/>
  <c r="Y147" i="2"/>
  <c r="Z147" i="2" s="1"/>
  <c r="AA147" i="2"/>
  <c r="AC147" i="2" s="1"/>
  <c r="L147" i="2"/>
  <c r="M147" i="2" s="1"/>
  <c r="C146" i="2"/>
  <c r="D146" i="2"/>
  <c r="E146" i="2"/>
  <c r="F146" i="2"/>
  <c r="J146" i="2"/>
  <c r="N146" i="2"/>
  <c r="S146" i="2"/>
  <c r="W146" i="2"/>
  <c r="X146" i="2" l="1"/>
  <c r="AQ147" i="2"/>
  <c r="T146" i="2"/>
  <c r="O146" i="2"/>
  <c r="AI147" i="2"/>
  <c r="AJ147" i="2" s="1"/>
  <c r="AR147" i="2" s="1"/>
  <c r="AO147" i="2"/>
  <c r="AP147" i="2" s="1"/>
  <c r="AH147" i="2"/>
  <c r="AD147" i="2"/>
  <c r="AB147" i="2"/>
  <c r="AE146" i="2"/>
  <c r="AH146" i="2" s="1"/>
  <c r="K146" i="2"/>
  <c r="Y146" i="2"/>
  <c r="Z146" i="2" s="1"/>
  <c r="U146" i="2"/>
  <c r="V146" i="2" s="1"/>
  <c r="L146" i="2"/>
  <c r="M146" i="2" s="1"/>
  <c r="AA146" i="2"/>
  <c r="AC146" i="2" s="1"/>
  <c r="AK146" i="2"/>
  <c r="AL146" i="2" s="1"/>
  <c r="P146" i="2"/>
  <c r="Q146" i="2" s="1"/>
  <c r="C145" i="2"/>
  <c r="D145" i="2"/>
  <c r="E145" i="2"/>
  <c r="F145" i="2"/>
  <c r="J145" i="2"/>
  <c r="N145" i="2"/>
  <c r="S145" i="2"/>
  <c r="W145" i="2"/>
  <c r="Y145" i="2" s="1"/>
  <c r="Z145" i="2" s="1"/>
  <c r="C144" i="2"/>
  <c r="D144" i="2"/>
  <c r="E144" i="2"/>
  <c r="F144" i="2"/>
  <c r="J144" i="2"/>
  <c r="N144" i="2"/>
  <c r="S144" i="2"/>
  <c r="W144" i="2"/>
  <c r="Y144" i="2" s="1"/>
  <c r="Z144" i="2" s="1"/>
  <c r="C143" i="2"/>
  <c r="D143" i="2"/>
  <c r="E143" i="2"/>
  <c r="F143" i="2"/>
  <c r="J143" i="2"/>
  <c r="N143" i="2"/>
  <c r="S143" i="2"/>
  <c r="W143" i="2"/>
  <c r="AQ146" i="2" l="1"/>
  <c r="AI146" i="2"/>
  <c r="AJ146" i="2" s="1"/>
  <c r="AR146" i="2" s="1"/>
  <c r="L144" i="2"/>
  <c r="M144" i="2" s="1"/>
  <c r="L145" i="2"/>
  <c r="M145" i="2" s="1"/>
  <c r="AO146" i="2"/>
  <c r="AP146" i="2" s="1"/>
  <c r="AB146" i="2"/>
  <c r="AD146" i="2"/>
  <c r="P143" i="2"/>
  <c r="Q143" i="2" s="1"/>
  <c r="P144" i="2"/>
  <c r="Q144" i="2" s="1"/>
  <c r="AQ144" i="2" s="1"/>
  <c r="P145" i="2"/>
  <c r="Q145" i="2" s="1"/>
  <c r="AQ145" i="2" s="1"/>
  <c r="U143" i="2"/>
  <c r="V143" i="2" s="1"/>
  <c r="T143" i="2"/>
  <c r="U144" i="2"/>
  <c r="V144" i="2" s="1"/>
  <c r="U145" i="2"/>
  <c r="V145" i="2" s="1"/>
  <c r="AK145" i="2"/>
  <c r="AL145" i="2" s="1"/>
  <c r="AE145" i="2"/>
  <c r="AH145" i="2" s="1"/>
  <c r="AE144" i="2"/>
  <c r="AO144" i="2" s="1"/>
  <c r="AP144" i="2" s="1"/>
  <c r="AA145" i="2"/>
  <c r="AA143" i="2"/>
  <c r="Y143" i="2"/>
  <c r="Z143" i="2" s="1"/>
  <c r="AA144" i="2"/>
  <c r="AE143" i="2"/>
  <c r="K143" i="2"/>
  <c r="X144" i="2"/>
  <c r="O144" i="2"/>
  <c r="X145" i="2"/>
  <c r="T145" i="2"/>
  <c r="O145" i="2"/>
  <c r="K145" i="2"/>
  <c r="AK143" i="2"/>
  <c r="AL143" i="2" s="1"/>
  <c r="X143" i="2"/>
  <c r="O143" i="2"/>
  <c r="T144" i="2"/>
  <c r="K144" i="2"/>
  <c r="L143" i="2"/>
  <c r="M143" i="2" s="1"/>
  <c r="AK144" i="2"/>
  <c r="AL144" i="2" s="1"/>
  <c r="C142" i="2"/>
  <c r="D142" i="2"/>
  <c r="E142" i="2"/>
  <c r="F142" i="2"/>
  <c r="J142" i="2"/>
  <c r="N142" i="2"/>
  <c r="S142" i="2"/>
  <c r="W142" i="2"/>
  <c r="X142" i="2" s="1"/>
  <c r="AB143" i="2" l="1"/>
  <c r="AC143" i="2"/>
  <c r="AD143" i="2" s="1"/>
  <c r="AC145" i="2"/>
  <c r="AD145" i="2" s="1"/>
  <c r="AC144" i="2"/>
  <c r="AD144" i="2" s="1"/>
  <c r="AQ143" i="2"/>
  <c r="AO145" i="2"/>
  <c r="AP145" i="2" s="1"/>
  <c r="AI145" i="2"/>
  <c r="AJ145" i="2" s="1"/>
  <c r="AR145" i="2" s="1"/>
  <c r="K142" i="2"/>
  <c r="AB144" i="2"/>
  <c r="AI144" i="2"/>
  <c r="AJ144" i="2" s="1"/>
  <c r="AR144" i="2" s="1"/>
  <c r="T142" i="2"/>
  <c r="AH144" i="2"/>
  <c r="AB145" i="2"/>
  <c r="AI143" i="2"/>
  <c r="AJ143" i="2" s="1"/>
  <c r="AR143" i="2" s="1"/>
  <c r="AH143" i="2"/>
  <c r="AO143" i="2"/>
  <c r="AP143" i="2" s="1"/>
  <c r="O142" i="2"/>
  <c r="AE142" i="2"/>
  <c r="AO142" i="2" s="1"/>
  <c r="AP142" i="2" s="1"/>
  <c r="AA142" i="2"/>
  <c r="AC142" i="2" s="1"/>
  <c r="AK142" i="2"/>
  <c r="AL142" i="2" s="1"/>
  <c r="Y142" i="2"/>
  <c r="Z142" i="2" s="1"/>
  <c r="U142" i="2"/>
  <c r="V142" i="2" s="1"/>
  <c r="P142" i="2"/>
  <c r="Q142" i="2" s="1"/>
  <c r="L142" i="2"/>
  <c r="M142" i="2" s="1"/>
  <c r="C141" i="2"/>
  <c r="D141" i="2"/>
  <c r="E141" i="2"/>
  <c r="F141" i="2"/>
  <c r="J141" i="2"/>
  <c r="N141" i="2"/>
  <c r="S141" i="2"/>
  <c r="W141" i="2"/>
  <c r="X141" i="2" l="1"/>
  <c r="O141" i="2"/>
  <c r="AI142" i="2"/>
  <c r="AJ142" i="2" s="1"/>
  <c r="AR142" i="2" s="1"/>
  <c r="AH142" i="2"/>
  <c r="K141" i="2"/>
  <c r="AK141" i="2"/>
  <c r="AL141" i="2" s="1"/>
  <c r="T141" i="2"/>
  <c r="AA141" i="2"/>
  <c r="AC141" i="2" s="1"/>
  <c r="P141" i="2"/>
  <c r="Q141" i="2" s="1"/>
  <c r="AQ142" i="2"/>
  <c r="U141" i="2"/>
  <c r="V141" i="2" s="1"/>
  <c r="L141" i="2"/>
  <c r="M141" i="2" s="1"/>
  <c r="AB142" i="2"/>
  <c r="AD142" i="2"/>
  <c r="AE141" i="2"/>
  <c r="AO141" i="2" s="1"/>
  <c r="AP141" i="2" s="1"/>
  <c r="Y141" i="2"/>
  <c r="Z141" i="2" s="1"/>
  <c r="C140" i="2"/>
  <c r="D140" i="2"/>
  <c r="E140" i="2"/>
  <c r="F140" i="2"/>
  <c r="J140" i="2"/>
  <c r="N140" i="2"/>
  <c r="S140" i="2"/>
  <c r="W140" i="2"/>
  <c r="X140" i="2" l="1"/>
  <c r="AQ141" i="2"/>
  <c r="O140" i="2"/>
  <c r="K140" i="2"/>
  <c r="AD141" i="2"/>
  <c r="AB141" i="2"/>
  <c r="AH141" i="2"/>
  <c r="AI141" i="2"/>
  <c r="AJ141" i="2" s="1"/>
  <c r="AR141" i="2" s="1"/>
  <c r="T140" i="2"/>
  <c r="AE140" i="2"/>
  <c r="AH140" i="2" s="1"/>
  <c r="AA140" i="2"/>
  <c r="AC140" i="2" s="1"/>
  <c r="AK140" i="2"/>
  <c r="AL140" i="2" s="1"/>
  <c r="Y140" i="2"/>
  <c r="Z140" i="2" s="1"/>
  <c r="U140" i="2"/>
  <c r="V140" i="2" s="1"/>
  <c r="P140" i="2"/>
  <c r="Q140" i="2" s="1"/>
  <c r="L140" i="2"/>
  <c r="M140" i="2" s="1"/>
  <c r="C139" i="2"/>
  <c r="D139" i="2"/>
  <c r="E139" i="2"/>
  <c r="F139" i="2"/>
  <c r="J139" i="2"/>
  <c r="N139" i="2"/>
  <c r="S139" i="2"/>
  <c r="W139" i="2"/>
  <c r="Y139" i="2" l="1"/>
  <c r="Z139" i="2" s="1"/>
  <c r="P139" i="2"/>
  <c r="Q139" i="2" s="1"/>
  <c r="T139" i="2"/>
  <c r="K139" i="2"/>
  <c r="AO140" i="2"/>
  <c r="AP140" i="2" s="1"/>
  <c r="AI140" i="2"/>
  <c r="AJ140" i="2" s="1"/>
  <c r="AR140" i="2" s="1"/>
  <c r="AK139" i="2"/>
  <c r="AL139" i="2" s="1"/>
  <c r="AQ140" i="2"/>
  <c r="X139" i="2"/>
  <c r="O139" i="2"/>
  <c r="AB140" i="2"/>
  <c r="AD140" i="2"/>
  <c r="AE139" i="2"/>
  <c r="U139" i="2"/>
  <c r="V139" i="2" s="1"/>
  <c r="AA139" i="2"/>
  <c r="AC139" i="2" s="1"/>
  <c r="L139" i="2"/>
  <c r="M139" i="2" s="1"/>
  <c r="C138" i="2"/>
  <c r="D138" i="2"/>
  <c r="E138" i="2"/>
  <c r="F138" i="2"/>
  <c r="J138" i="2"/>
  <c r="N138" i="2"/>
  <c r="S138" i="2"/>
  <c r="W138" i="2"/>
  <c r="C137" i="2"/>
  <c r="D137" i="2"/>
  <c r="E137" i="2"/>
  <c r="F137" i="2"/>
  <c r="J137" i="2"/>
  <c r="N137" i="2"/>
  <c r="S137" i="2"/>
  <c r="W137" i="2"/>
  <c r="Y138" i="2" l="1"/>
  <c r="Z138" i="2" s="1"/>
  <c r="AQ139" i="2"/>
  <c r="T138" i="2"/>
  <c r="K138" i="2"/>
  <c r="AE138" i="2"/>
  <c r="AI138" i="2" s="1"/>
  <c r="AJ138" i="2" s="1"/>
  <c r="AR138" i="2" s="1"/>
  <c r="O137" i="2"/>
  <c r="P138" i="2"/>
  <c r="Q138" i="2" s="1"/>
  <c r="AQ138" i="2" s="1"/>
  <c r="K137" i="2"/>
  <c r="AK138" i="2"/>
  <c r="AL138" i="2" s="1"/>
  <c r="AI139" i="2"/>
  <c r="AJ139" i="2" s="1"/>
  <c r="AR139" i="2" s="1"/>
  <c r="AO139" i="2"/>
  <c r="AP139" i="2" s="1"/>
  <c r="AH139" i="2"/>
  <c r="AD139" i="2"/>
  <c r="AB139" i="2"/>
  <c r="AA138" i="2"/>
  <c r="U137" i="2"/>
  <c r="V137" i="2" s="1"/>
  <c r="O138" i="2"/>
  <c r="X138" i="2"/>
  <c r="U138" i="2"/>
  <c r="V138" i="2" s="1"/>
  <c r="L138" i="2"/>
  <c r="M138" i="2" s="1"/>
  <c r="AE137" i="2"/>
  <c r="AH137" i="2" s="1"/>
  <c r="Y137" i="2"/>
  <c r="Z137" i="2" s="1"/>
  <c r="T137" i="2"/>
  <c r="X137" i="2"/>
  <c r="AK137" i="2"/>
  <c r="AL137" i="2" s="1"/>
  <c r="P137" i="2"/>
  <c r="Q137" i="2" s="1"/>
  <c r="AA137" i="2"/>
  <c r="AC137" i="2" s="1"/>
  <c r="L137" i="2"/>
  <c r="M137" i="2" s="1"/>
  <c r="C136" i="2"/>
  <c r="D136" i="2"/>
  <c r="E136" i="2"/>
  <c r="F136" i="2"/>
  <c r="J136" i="2"/>
  <c r="N136" i="2"/>
  <c r="S136" i="2"/>
  <c r="W136" i="2"/>
  <c r="Y136" i="2" s="1"/>
  <c r="Z136" i="2" s="1"/>
  <c r="AB138" i="2" l="1"/>
  <c r="AC138" i="2"/>
  <c r="AD138" i="2" s="1"/>
  <c r="AO138" i="2"/>
  <c r="AP138" i="2" s="1"/>
  <c r="AH138" i="2"/>
  <c r="AO137" i="2"/>
  <c r="AP137" i="2" s="1"/>
  <c r="AQ137" i="2"/>
  <c r="AA136" i="2"/>
  <c r="AI137" i="2"/>
  <c r="AJ137" i="2" s="1"/>
  <c r="AR137" i="2" s="1"/>
  <c r="L136" i="2"/>
  <c r="M136" i="2" s="1"/>
  <c r="U136" i="2"/>
  <c r="V136" i="2" s="1"/>
  <c r="AD137" i="2"/>
  <c r="AB137" i="2"/>
  <c r="P136" i="2"/>
  <c r="Q136" i="2" s="1"/>
  <c r="AQ136" i="2" s="1"/>
  <c r="X136" i="2"/>
  <c r="T136" i="2"/>
  <c r="O136" i="2"/>
  <c r="K136" i="2"/>
  <c r="AE136" i="2"/>
  <c r="AK136" i="2"/>
  <c r="AL136" i="2" s="1"/>
  <c r="C135" i="2"/>
  <c r="D135" i="2"/>
  <c r="E135" i="2"/>
  <c r="F135" i="2"/>
  <c r="J135" i="2"/>
  <c r="N135" i="2"/>
  <c r="S135" i="2"/>
  <c r="W135" i="2"/>
  <c r="AC136" i="2" l="1"/>
  <c r="AD136" i="2" s="1"/>
  <c r="X135" i="2"/>
  <c r="AB136" i="2"/>
  <c r="K135" i="2"/>
  <c r="T135" i="2"/>
  <c r="AO136" i="2"/>
  <c r="AP136" i="2" s="1"/>
  <c r="AI136" i="2"/>
  <c r="AJ136" i="2" s="1"/>
  <c r="AR136" i="2" s="1"/>
  <c r="AH136" i="2"/>
  <c r="O135" i="2"/>
  <c r="AE135" i="2"/>
  <c r="AH135" i="2" s="1"/>
  <c r="AA135" i="2"/>
  <c r="AC135" i="2" s="1"/>
  <c r="AK135" i="2"/>
  <c r="AL135" i="2" s="1"/>
  <c r="Y135" i="2"/>
  <c r="Z135" i="2" s="1"/>
  <c r="U135" i="2"/>
  <c r="V135" i="2" s="1"/>
  <c r="P135" i="2"/>
  <c r="Q135" i="2" s="1"/>
  <c r="L135" i="2"/>
  <c r="M135" i="2" s="1"/>
  <c r="C134" i="2"/>
  <c r="D134" i="2"/>
  <c r="E134" i="2"/>
  <c r="F134" i="2"/>
  <c r="J134" i="2"/>
  <c r="N134" i="2"/>
  <c r="S134" i="2"/>
  <c r="W134" i="2"/>
  <c r="P134" i="2" l="1"/>
  <c r="Q134" i="2" s="1"/>
  <c r="AE134" i="2"/>
  <c r="AI134" i="2" s="1"/>
  <c r="AJ134" i="2" s="1"/>
  <c r="AR134" i="2" s="1"/>
  <c r="K134" i="2"/>
  <c r="T134" i="2"/>
  <c r="O134" i="2"/>
  <c r="AO134" i="2"/>
  <c r="AP134" i="2" s="1"/>
  <c r="AK134" i="2"/>
  <c r="AL134" i="2" s="1"/>
  <c r="AO135" i="2"/>
  <c r="AP135" i="2" s="1"/>
  <c r="AI135" i="2"/>
  <c r="AJ135" i="2" s="1"/>
  <c r="AR135" i="2" s="1"/>
  <c r="X134" i="2"/>
  <c r="AQ135" i="2"/>
  <c r="AA134" i="2"/>
  <c r="L134" i="2"/>
  <c r="M134" i="2" s="1"/>
  <c r="AB135" i="2"/>
  <c r="AD135" i="2"/>
  <c r="Y134" i="2"/>
  <c r="Z134" i="2" s="1"/>
  <c r="U134" i="2"/>
  <c r="V134" i="2" s="1"/>
  <c r="C133" i="2"/>
  <c r="D133" i="2"/>
  <c r="E133" i="2"/>
  <c r="F133" i="2"/>
  <c r="J133" i="2"/>
  <c r="N133" i="2"/>
  <c r="S133" i="2"/>
  <c r="W133" i="2"/>
  <c r="X133" i="2" s="1"/>
  <c r="AB134" i="2" l="1"/>
  <c r="AC134" i="2"/>
  <c r="AD134" i="2" s="1"/>
  <c r="AQ134" i="2"/>
  <c r="AH134" i="2"/>
  <c r="K133" i="2"/>
  <c r="T133" i="2"/>
  <c r="O133" i="2"/>
  <c r="AE133" i="2"/>
  <c r="AA133" i="2"/>
  <c r="AC133" i="2" s="1"/>
  <c r="AK133" i="2"/>
  <c r="AL133" i="2" s="1"/>
  <c r="Y133" i="2"/>
  <c r="Z133" i="2" s="1"/>
  <c r="U133" i="2"/>
  <c r="V133" i="2" s="1"/>
  <c r="P133" i="2"/>
  <c r="Q133" i="2" s="1"/>
  <c r="L133" i="2"/>
  <c r="M133" i="2" s="1"/>
  <c r="C132" i="2"/>
  <c r="D132" i="2"/>
  <c r="E132" i="2"/>
  <c r="F132" i="2"/>
  <c r="J132" i="2"/>
  <c r="N132" i="2"/>
  <c r="S132" i="2"/>
  <c r="W132" i="2"/>
  <c r="X132" i="2" s="1"/>
  <c r="T132" i="2" l="1"/>
  <c r="K132" i="2"/>
  <c r="O132" i="2"/>
  <c r="AH133" i="2"/>
  <c r="AI133" i="2"/>
  <c r="AJ133" i="2" s="1"/>
  <c r="AR133" i="2" s="1"/>
  <c r="AO133" i="2"/>
  <c r="AP133" i="2" s="1"/>
  <c r="AQ133" i="2"/>
  <c r="AB133" i="2"/>
  <c r="AD133" i="2"/>
  <c r="AE132" i="2"/>
  <c r="AH132" i="2" s="1"/>
  <c r="AA132" i="2"/>
  <c r="AC132" i="2" s="1"/>
  <c r="AK132" i="2"/>
  <c r="AL132" i="2" s="1"/>
  <c r="Y132" i="2"/>
  <c r="Z132" i="2" s="1"/>
  <c r="U132" i="2"/>
  <c r="V132" i="2" s="1"/>
  <c r="P132" i="2"/>
  <c r="Q132" i="2" s="1"/>
  <c r="L132" i="2"/>
  <c r="M132" i="2" s="1"/>
  <c r="C131" i="2"/>
  <c r="D131" i="2"/>
  <c r="E131" i="2"/>
  <c r="F131" i="2"/>
  <c r="J131" i="2"/>
  <c r="N131" i="2"/>
  <c r="S131" i="2"/>
  <c r="W131" i="2"/>
  <c r="X131" i="2" s="1"/>
  <c r="O131" i="2" l="1"/>
  <c r="K131" i="2"/>
  <c r="AO132" i="2"/>
  <c r="AP132" i="2" s="1"/>
  <c r="AI132" i="2"/>
  <c r="AJ132" i="2" s="1"/>
  <c r="AR132" i="2" s="1"/>
  <c r="AQ132" i="2"/>
  <c r="AB132" i="2"/>
  <c r="AD132" i="2"/>
  <c r="T131" i="2"/>
  <c r="AE131" i="2"/>
  <c r="AO131" i="2" s="1"/>
  <c r="AP131" i="2" s="1"/>
  <c r="AA131" i="2"/>
  <c r="AC131" i="2" s="1"/>
  <c r="AK131" i="2"/>
  <c r="AL131" i="2" s="1"/>
  <c r="Y131" i="2"/>
  <c r="Z131" i="2" s="1"/>
  <c r="U131" i="2"/>
  <c r="V131" i="2" s="1"/>
  <c r="P131" i="2"/>
  <c r="Q131" i="2" s="1"/>
  <c r="L131" i="2"/>
  <c r="M131" i="2" s="1"/>
  <c r="C130" i="2"/>
  <c r="D130" i="2"/>
  <c r="E130" i="2"/>
  <c r="F130" i="2"/>
  <c r="J130" i="2"/>
  <c r="N130" i="2"/>
  <c r="S130" i="2"/>
  <c r="W130" i="2"/>
  <c r="X130" i="2" l="1"/>
  <c r="AK130" i="2"/>
  <c r="AL130" i="2" s="1"/>
  <c r="AE130" i="2"/>
  <c r="AI130" i="2" s="1"/>
  <c r="AJ130" i="2" s="1"/>
  <c r="AR130" i="2" s="1"/>
  <c r="Y130" i="2"/>
  <c r="Z130" i="2" s="1"/>
  <c r="K130" i="2"/>
  <c r="AI131" i="2"/>
  <c r="AJ131" i="2" s="1"/>
  <c r="AR131" i="2" s="1"/>
  <c r="T130" i="2"/>
  <c r="AH131" i="2"/>
  <c r="AQ131" i="2"/>
  <c r="O130" i="2"/>
  <c r="AB131" i="2"/>
  <c r="AD131" i="2"/>
  <c r="U130" i="2"/>
  <c r="V130" i="2" s="1"/>
  <c r="AA130" i="2"/>
  <c r="AC130" i="2" s="1"/>
  <c r="P130" i="2"/>
  <c r="Q130" i="2" s="1"/>
  <c r="L130" i="2"/>
  <c r="M130" i="2" s="1"/>
  <c r="C129" i="2"/>
  <c r="D129" i="2"/>
  <c r="E129" i="2"/>
  <c r="F129" i="2"/>
  <c r="J129" i="2"/>
  <c r="N129" i="2"/>
  <c r="S129" i="2"/>
  <c r="W129" i="2"/>
  <c r="X129" i="2" s="1"/>
  <c r="C128" i="2"/>
  <c r="D128" i="2"/>
  <c r="E128" i="2"/>
  <c r="F128" i="2"/>
  <c r="J128" i="2"/>
  <c r="N128" i="2"/>
  <c r="S128" i="2"/>
  <c r="W128" i="2"/>
  <c r="X128" i="2" s="1"/>
  <c r="AQ130" i="2" l="1"/>
  <c r="AH130" i="2"/>
  <c r="AO130" i="2"/>
  <c r="AP130" i="2" s="1"/>
  <c r="O128" i="2"/>
  <c r="K129" i="2"/>
  <c r="T129" i="2"/>
  <c r="AB130" i="2"/>
  <c r="AD130" i="2"/>
  <c r="AK129" i="2"/>
  <c r="AL129" i="2" s="1"/>
  <c r="AE129" i="2"/>
  <c r="AI129" i="2" s="1"/>
  <c r="AJ129" i="2" s="1"/>
  <c r="AR129" i="2" s="1"/>
  <c r="O129" i="2"/>
  <c r="Y129" i="2"/>
  <c r="Z129" i="2" s="1"/>
  <c r="K128" i="2"/>
  <c r="U129" i="2"/>
  <c r="V129" i="2" s="1"/>
  <c r="AA129" i="2"/>
  <c r="AC129" i="2" s="1"/>
  <c r="P129" i="2"/>
  <c r="Q129" i="2" s="1"/>
  <c r="L129" i="2"/>
  <c r="M129" i="2" s="1"/>
  <c r="T128" i="2"/>
  <c r="AE128" i="2"/>
  <c r="AH128" i="2" s="1"/>
  <c r="AA128" i="2"/>
  <c r="AC128" i="2" s="1"/>
  <c r="AK128" i="2"/>
  <c r="AL128" i="2" s="1"/>
  <c r="Y128" i="2"/>
  <c r="Z128" i="2" s="1"/>
  <c r="U128" i="2"/>
  <c r="V128" i="2" s="1"/>
  <c r="P128" i="2"/>
  <c r="Q128" i="2" s="1"/>
  <c r="L128" i="2"/>
  <c r="M128" i="2" s="1"/>
  <c r="C127" i="2"/>
  <c r="D127" i="2"/>
  <c r="E127" i="2"/>
  <c r="F127" i="2"/>
  <c r="J127" i="2"/>
  <c r="N127" i="2"/>
  <c r="S127" i="2"/>
  <c r="W127" i="2"/>
  <c r="X127" i="2" l="1"/>
  <c r="AO129" i="2"/>
  <c r="AP129" i="2" s="1"/>
  <c r="AH129" i="2"/>
  <c r="K127" i="2"/>
  <c r="T127" i="2"/>
  <c r="AQ129" i="2"/>
  <c r="AK127" i="2"/>
  <c r="AL127" i="2" s="1"/>
  <c r="AB129" i="2"/>
  <c r="AD129" i="2"/>
  <c r="O127" i="2"/>
  <c r="AE127" i="2"/>
  <c r="AH127" i="2" s="1"/>
  <c r="AO128" i="2"/>
  <c r="AP128" i="2" s="1"/>
  <c r="AI128" i="2"/>
  <c r="AJ128" i="2" s="1"/>
  <c r="AR128" i="2" s="1"/>
  <c r="AQ128" i="2"/>
  <c r="AB128" i="2"/>
  <c r="AD128" i="2"/>
  <c r="U127" i="2"/>
  <c r="V127" i="2" s="1"/>
  <c r="Y127" i="2"/>
  <c r="Z127" i="2" s="1"/>
  <c r="AA127" i="2"/>
  <c r="AC127" i="2" s="1"/>
  <c r="P127" i="2"/>
  <c r="Q127" i="2" s="1"/>
  <c r="L127" i="2"/>
  <c r="M127" i="2" s="1"/>
  <c r="C126" i="2"/>
  <c r="D126" i="2"/>
  <c r="E126" i="2"/>
  <c r="F126" i="2"/>
  <c r="J126" i="2"/>
  <c r="N126" i="2"/>
  <c r="S126" i="2"/>
  <c r="W126" i="2"/>
  <c r="Y126" i="2" l="1"/>
  <c r="Z126" i="2" s="1"/>
  <c r="AO127" i="2"/>
  <c r="AP127" i="2" s="1"/>
  <c r="O126" i="2"/>
  <c r="AI127" i="2"/>
  <c r="AJ127" i="2" s="1"/>
  <c r="AR127" i="2" s="1"/>
  <c r="AQ127" i="2"/>
  <c r="AB127" i="2"/>
  <c r="AD127" i="2"/>
  <c r="K126" i="2"/>
  <c r="P126" i="2"/>
  <c r="Q126" i="2" s="1"/>
  <c r="AQ126" i="2" s="1"/>
  <c r="T126" i="2"/>
  <c r="AK126" i="2"/>
  <c r="AL126" i="2" s="1"/>
  <c r="X126" i="2"/>
  <c r="AE126" i="2"/>
  <c r="U126" i="2"/>
  <c r="V126" i="2" s="1"/>
  <c r="AA126" i="2"/>
  <c r="AC126" i="2" s="1"/>
  <c r="L126" i="2"/>
  <c r="M126" i="2" s="1"/>
  <c r="C125" i="2"/>
  <c r="D125" i="2"/>
  <c r="E125" i="2"/>
  <c r="F125" i="2"/>
  <c r="J125" i="2"/>
  <c r="N125" i="2"/>
  <c r="S125" i="2"/>
  <c r="W125" i="2"/>
  <c r="Y125" i="2" l="1"/>
  <c r="Z125" i="2" s="1"/>
  <c r="AK125" i="2"/>
  <c r="AL125" i="2" s="1"/>
  <c r="T125" i="2"/>
  <c r="K125" i="2"/>
  <c r="AO126" i="2"/>
  <c r="AP126" i="2" s="1"/>
  <c r="AH126" i="2"/>
  <c r="AI126" i="2"/>
  <c r="AJ126" i="2" s="1"/>
  <c r="AR126" i="2" s="1"/>
  <c r="AD126" i="2"/>
  <c r="AB126" i="2"/>
  <c r="O125" i="2"/>
  <c r="AE125" i="2"/>
  <c r="AO125" i="2" s="1"/>
  <c r="AP125" i="2" s="1"/>
  <c r="AA125" i="2"/>
  <c r="U125" i="2"/>
  <c r="V125" i="2" s="1"/>
  <c r="P125" i="2"/>
  <c r="Q125" i="2" s="1"/>
  <c r="L125" i="2"/>
  <c r="M125" i="2" s="1"/>
  <c r="X125" i="2"/>
  <c r="C124" i="2"/>
  <c r="D124" i="2"/>
  <c r="E124" i="2"/>
  <c r="F124" i="2"/>
  <c r="J124" i="2"/>
  <c r="N124" i="2"/>
  <c r="S124" i="2"/>
  <c r="W124" i="2"/>
  <c r="Y124" i="2" s="1"/>
  <c r="Z124" i="2" s="1"/>
  <c r="AB125" i="2" l="1"/>
  <c r="AC125" i="2"/>
  <c r="AD125" i="2" s="1"/>
  <c r="AQ125" i="2"/>
  <c r="AH125" i="2"/>
  <c r="P124" i="2"/>
  <c r="Q124" i="2" s="1"/>
  <c r="AQ124" i="2" s="1"/>
  <c r="X124" i="2"/>
  <c r="U124" i="2"/>
  <c r="V124" i="2" s="1"/>
  <c r="L124" i="2"/>
  <c r="M124" i="2" s="1"/>
  <c r="AI125" i="2"/>
  <c r="AJ125" i="2" s="1"/>
  <c r="AR125" i="2" s="1"/>
  <c r="AA124" i="2"/>
  <c r="AE124" i="2"/>
  <c r="AO124" i="2" s="1"/>
  <c r="AP124" i="2" s="1"/>
  <c r="T124" i="2"/>
  <c r="O124" i="2"/>
  <c r="K124" i="2"/>
  <c r="AK124" i="2"/>
  <c r="AL124" i="2" s="1"/>
  <c r="C123" i="2"/>
  <c r="D123" i="2"/>
  <c r="E123" i="2"/>
  <c r="F123" i="2"/>
  <c r="J123" i="2"/>
  <c r="N123" i="2"/>
  <c r="S123" i="2"/>
  <c r="W123" i="2"/>
  <c r="X123" i="2" s="1"/>
  <c r="C122" i="2"/>
  <c r="D122" i="2"/>
  <c r="E122" i="2"/>
  <c r="F122" i="2"/>
  <c r="J122" i="2"/>
  <c r="N122" i="2"/>
  <c r="S122" i="2"/>
  <c r="W122" i="2"/>
  <c r="X122" i="2" s="1"/>
  <c r="AC124" i="2" l="1"/>
  <c r="AD124" i="2" s="1"/>
  <c r="O123" i="2"/>
  <c r="AI124" i="2"/>
  <c r="AJ124" i="2" s="1"/>
  <c r="AR124" i="2" s="1"/>
  <c r="AH124" i="2"/>
  <c r="AB124" i="2"/>
  <c r="AE123" i="2"/>
  <c r="AH123" i="2" s="1"/>
  <c r="O122" i="2"/>
  <c r="K122" i="2"/>
  <c r="K123" i="2"/>
  <c r="AK123" i="2"/>
  <c r="AL123" i="2" s="1"/>
  <c r="T123" i="2"/>
  <c r="T122" i="2"/>
  <c r="P123" i="2"/>
  <c r="Q123" i="2" s="1"/>
  <c r="AA123" i="2"/>
  <c r="Y123" i="2"/>
  <c r="Z123" i="2" s="1"/>
  <c r="U123" i="2"/>
  <c r="V123" i="2" s="1"/>
  <c r="L123" i="2"/>
  <c r="M123" i="2" s="1"/>
  <c r="AE122" i="2"/>
  <c r="AH122" i="2" s="1"/>
  <c r="AA122" i="2"/>
  <c r="AC122" i="2" s="1"/>
  <c r="AK122" i="2"/>
  <c r="AL122" i="2" s="1"/>
  <c r="Y122" i="2"/>
  <c r="Z122" i="2" s="1"/>
  <c r="U122" i="2"/>
  <c r="V122" i="2" s="1"/>
  <c r="P122" i="2"/>
  <c r="Q122" i="2" s="1"/>
  <c r="L122" i="2"/>
  <c r="M122" i="2" s="1"/>
  <c r="C121" i="2"/>
  <c r="D121" i="2"/>
  <c r="E121" i="2"/>
  <c r="F121" i="2"/>
  <c r="J121" i="2"/>
  <c r="N121" i="2"/>
  <c r="S121" i="2"/>
  <c r="W121" i="2"/>
  <c r="AB123" i="2" l="1"/>
  <c r="AC123" i="2"/>
  <c r="AD123" i="2" s="1"/>
  <c r="AO123" i="2"/>
  <c r="AP123" i="2" s="1"/>
  <c r="AI123" i="2"/>
  <c r="AJ123" i="2" s="1"/>
  <c r="AR123" i="2" s="1"/>
  <c r="P121" i="2"/>
  <c r="Q121" i="2" s="1"/>
  <c r="K121" i="2"/>
  <c r="U121" i="2"/>
  <c r="V121" i="2" s="1"/>
  <c r="AK121" i="2"/>
  <c r="AL121" i="2" s="1"/>
  <c r="AQ123" i="2"/>
  <c r="O121" i="2"/>
  <c r="T121" i="2"/>
  <c r="AO122" i="2"/>
  <c r="AP122" i="2" s="1"/>
  <c r="AI122" i="2"/>
  <c r="AJ122" i="2" s="1"/>
  <c r="AR122" i="2" s="1"/>
  <c r="AQ122" i="2"/>
  <c r="AB122" i="2"/>
  <c r="AD122" i="2"/>
  <c r="Y121" i="2"/>
  <c r="Z121" i="2" s="1"/>
  <c r="AE121" i="2"/>
  <c r="X121" i="2"/>
  <c r="AA121" i="2"/>
  <c r="AC121" i="2" s="1"/>
  <c r="L121" i="2"/>
  <c r="M121" i="2" s="1"/>
  <c r="C120" i="2"/>
  <c r="D120" i="2"/>
  <c r="E120" i="2"/>
  <c r="F120" i="2"/>
  <c r="J120" i="2"/>
  <c r="N120" i="2"/>
  <c r="S120" i="2"/>
  <c r="W120" i="2"/>
  <c r="AQ121" i="2" l="1"/>
  <c r="L120" i="2"/>
  <c r="M120" i="2" s="1"/>
  <c r="T120" i="2"/>
  <c r="O120" i="2"/>
  <c r="AE120" i="2"/>
  <c r="AH120" i="2" s="1"/>
  <c r="AA120" i="2"/>
  <c r="AD121" i="2"/>
  <c r="AB121" i="2"/>
  <c r="AI121" i="2"/>
  <c r="AJ121" i="2" s="1"/>
  <c r="AR121" i="2" s="1"/>
  <c r="AH121" i="2"/>
  <c r="AO121" i="2"/>
  <c r="AP121" i="2" s="1"/>
  <c r="X120" i="2"/>
  <c r="K120" i="2"/>
  <c r="AK120" i="2"/>
  <c r="AL120" i="2" s="1"/>
  <c r="Y120" i="2"/>
  <c r="Z120" i="2" s="1"/>
  <c r="U120" i="2"/>
  <c r="V120" i="2" s="1"/>
  <c r="P120" i="2"/>
  <c r="Q120" i="2" s="1"/>
  <c r="C119" i="2"/>
  <c r="D119" i="2"/>
  <c r="E119" i="2"/>
  <c r="F119" i="2"/>
  <c r="J119" i="2"/>
  <c r="N119" i="2"/>
  <c r="S119" i="2"/>
  <c r="W119" i="2"/>
  <c r="AB120" i="2" l="1"/>
  <c r="AC120" i="2"/>
  <c r="AD120" i="2" s="1"/>
  <c r="AI120" i="2"/>
  <c r="AJ120" i="2" s="1"/>
  <c r="AR120" i="2" s="1"/>
  <c r="AO120" i="2"/>
  <c r="AP120" i="2" s="1"/>
  <c r="T119" i="2"/>
  <c r="P119" i="2"/>
  <c r="Q119" i="2" s="1"/>
  <c r="L119" i="2"/>
  <c r="M119" i="2" s="1"/>
  <c r="AE119" i="2"/>
  <c r="AH119" i="2" s="1"/>
  <c r="AK119" i="2"/>
  <c r="AL119" i="2" s="1"/>
  <c r="AQ120" i="2"/>
  <c r="O119" i="2"/>
  <c r="X119" i="2"/>
  <c r="Y119" i="2"/>
  <c r="Z119" i="2" s="1"/>
  <c r="U119" i="2"/>
  <c r="V119" i="2" s="1"/>
  <c r="K119" i="2"/>
  <c r="AA119" i="2"/>
  <c r="AC119" i="2" s="1"/>
  <c r="C118" i="2"/>
  <c r="D118" i="2"/>
  <c r="E118" i="2"/>
  <c r="F118" i="2"/>
  <c r="J118" i="2"/>
  <c r="N118" i="2"/>
  <c r="S118" i="2"/>
  <c r="W118" i="2"/>
  <c r="X118" i="2" l="1"/>
  <c r="Y118" i="2"/>
  <c r="Z118" i="2" s="1"/>
  <c r="AQ119" i="2"/>
  <c r="O118" i="2"/>
  <c r="AI119" i="2"/>
  <c r="AJ119" i="2" s="1"/>
  <c r="AR119" i="2" s="1"/>
  <c r="AO119" i="2"/>
  <c r="AP119" i="2" s="1"/>
  <c r="AE118" i="2"/>
  <c r="AH118" i="2" s="1"/>
  <c r="K118" i="2"/>
  <c r="AB119" i="2"/>
  <c r="AD119" i="2"/>
  <c r="AK118" i="2"/>
  <c r="AL118" i="2" s="1"/>
  <c r="T118" i="2"/>
  <c r="U118" i="2"/>
  <c r="V118" i="2" s="1"/>
  <c r="AA118" i="2"/>
  <c r="AC118" i="2" s="1"/>
  <c r="P118" i="2"/>
  <c r="Q118" i="2" s="1"/>
  <c r="L118" i="2"/>
  <c r="M118" i="2" s="1"/>
  <c r="C117" i="2"/>
  <c r="D117" i="2"/>
  <c r="E117" i="2"/>
  <c r="F117" i="2"/>
  <c r="J117" i="2"/>
  <c r="N117" i="2"/>
  <c r="S117" i="2"/>
  <c r="W117" i="2"/>
  <c r="AQ118" i="2" l="1"/>
  <c r="AO118" i="2"/>
  <c r="AP118" i="2" s="1"/>
  <c r="AI118" i="2"/>
  <c r="AJ118" i="2" s="1"/>
  <c r="AR118" i="2" s="1"/>
  <c r="T117" i="2"/>
  <c r="P117" i="2"/>
  <c r="Q117" i="2" s="1"/>
  <c r="AK117" i="2"/>
  <c r="AL117" i="2" s="1"/>
  <c r="K117" i="2"/>
  <c r="AB118" i="2"/>
  <c r="AD118" i="2"/>
  <c r="AA117" i="2"/>
  <c r="O117" i="2"/>
  <c r="X117" i="2"/>
  <c r="Y117" i="2"/>
  <c r="Z117" i="2" s="1"/>
  <c r="AE117" i="2"/>
  <c r="U117" i="2"/>
  <c r="V117" i="2" s="1"/>
  <c r="L117" i="2"/>
  <c r="M117" i="2" s="1"/>
  <c r="C116" i="2"/>
  <c r="D116" i="2"/>
  <c r="E116" i="2"/>
  <c r="F116" i="2"/>
  <c r="J116" i="2"/>
  <c r="N116" i="2"/>
  <c r="S116" i="2"/>
  <c r="W116" i="2"/>
  <c r="X116" i="2" l="1"/>
  <c r="AB117" i="2"/>
  <c r="AC117" i="2"/>
  <c r="AD117" i="2" s="1"/>
  <c r="Y116" i="2"/>
  <c r="Z116" i="2" s="1"/>
  <c r="AQ117" i="2"/>
  <c r="O116" i="2"/>
  <c r="K116" i="2"/>
  <c r="AK116" i="2"/>
  <c r="AL116" i="2" s="1"/>
  <c r="T116" i="2"/>
  <c r="AE116" i="2"/>
  <c r="AO116" i="2" s="1"/>
  <c r="AP116" i="2" s="1"/>
  <c r="AA116" i="2"/>
  <c r="P116" i="2"/>
  <c r="Q116" i="2" s="1"/>
  <c r="AO117" i="2"/>
  <c r="AP117" i="2" s="1"/>
  <c r="AH117" i="2"/>
  <c r="AI117" i="2"/>
  <c r="AJ117" i="2" s="1"/>
  <c r="AR117" i="2" s="1"/>
  <c r="U116" i="2"/>
  <c r="V116" i="2" s="1"/>
  <c r="L116" i="2"/>
  <c r="M116" i="2" s="1"/>
  <c r="C115" i="2"/>
  <c r="D115" i="2"/>
  <c r="E115" i="2"/>
  <c r="F115" i="2"/>
  <c r="J115" i="2"/>
  <c r="N115" i="2"/>
  <c r="S115" i="2"/>
  <c r="W115" i="2"/>
  <c r="AB116" i="2" l="1"/>
  <c r="AC116" i="2"/>
  <c r="AD116" i="2" s="1"/>
  <c r="Y115" i="2"/>
  <c r="Z115" i="2" s="1"/>
  <c r="AQ116" i="2"/>
  <c r="K115" i="2"/>
  <c r="T115" i="2"/>
  <c r="AH116" i="2"/>
  <c r="P115" i="2"/>
  <c r="Q115" i="2" s="1"/>
  <c r="AI116" i="2"/>
  <c r="AJ116" i="2" s="1"/>
  <c r="AR116" i="2" s="1"/>
  <c r="O115" i="2"/>
  <c r="AE115" i="2"/>
  <c r="AH115" i="2" s="1"/>
  <c r="X115" i="2"/>
  <c r="U115" i="2"/>
  <c r="V115" i="2" s="1"/>
  <c r="AK115" i="2"/>
  <c r="AL115" i="2" s="1"/>
  <c r="AA115" i="2"/>
  <c r="AC115" i="2" s="1"/>
  <c r="L115" i="2"/>
  <c r="M115" i="2" s="1"/>
  <c r="C114" i="2"/>
  <c r="D114" i="2"/>
  <c r="E114" i="2"/>
  <c r="F114" i="2"/>
  <c r="J114" i="2"/>
  <c r="N114" i="2"/>
  <c r="S114" i="2"/>
  <c r="W114" i="2"/>
  <c r="X114" i="2" s="1"/>
  <c r="C113" i="2"/>
  <c r="D113" i="2"/>
  <c r="E113" i="2"/>
  <c r="F113" i="2"/>
  <c r="J113" i="2"/>
  <c r="N113" i="2"/>
  <c r="S113" i="2"/>
  <c r="W113" i="2"/>
  <c r="X113" i="2" s="1"/>
  <c r="AQ115" i="2" l="1"/>
  <c r="AO115" i="2"/>
  <c r="AP115" i="2" s="1"/>
  <c r="AI115" i="2"/>
  <c r="AJ115" i="2" s="1"/>
  <c r="AR115" i="2" s="1"/>
  <c r="T114" i="2"/>
  <c r="O113" i="2"/>
  <c r="AD115" i="2"/>
  <c r="AB115" i="2"/>
  <c r="K113" i="2"/>
  <c r="AK114" i="2"/>
  <c r="AL114" i="2" s="1"/>
  <c r="O114" i="2"/>
  <c r="AE114" i="2"/>
  <c r="AH114" i="2" s="1"/>
  <c r="K114" i="2"/>
  <c r="U114" i="2"/>
  <c r="V114" i="2" s="1"/>
  <c r="Y114" i="2"/>
  <c r="Z114" i="2" s="1"/>
  <c r="AA114" i="2"/>
  <c r="AC114" i="2" s="1"/>
  <c r="P114" i="2"/>
  <c r="Q114" i="2" s="1"/>
  <c r="L114" i="2"/>
  <c r="M114" i="2" s="1"/>
  <c r="T113" i="2"/>
  <c r="U113" i="2"/>
  <c r="V113" i="2" s="1"/>
  <c r="Y113" i="2"/>
  <c r="Z113" i="2" s="1"/>
  <c r="AK113" i="2"/>
  <c r="AL113" i="2" s="1"/>
  <c r="AA113" i="2"/>
  <c r="AC113" i="2" s="1"/>
  <c r="P113" i="2"/>
  <c r="Q113" i="2" s="1"/>
  <c r="AE113" i="2"/>
  <c r="L113" i="2"/>
  <c r="M113" i="2" s="1"/>
  <c r="AO114" i="2" l="1"/>
  <c r="AP114" i="2" s="1"/>
  <c r="AQ114" i="2"/>
  <c r="AI114" i="2"/>
  <c r="AJ114" i="2" s="1"/>
  <c r="AR114" i="2" s="1"/>
  <c r="AB114" i="2"/>
  <c r="AD114" i="2"/>
  <c r="AQ113" i="2"/>
  <c r="AB113" i="2"/>
  <c r="AD113" i="2"/>
  <c r="AH113" i="2"/>
  <c r="AO113" i="2"/>
  <c r="AP113" i="2" s="1"/>
  <c r="AI113" i="2"/>
  <c r="AJ113" i="2" s="1"/>
  <c r="AR113" i="2" s="1"/>
  <c r="C112" i="2" l="1"/>
  <c r="D112" i="2"/>
  <c r="E112" i="2"/>
  <c r="F112" i="2"/>
  <c r="J112" i="2"/>
  <c r="N112" i="2"/>
  <c r="S112" i="2"/>
  <c r="W112" i="2"/>
  <c r="U112" i="2" l="1"/>
  <c r="V112" i="2" s="1"/>
  <c r="X112" i="2"/>
  <c r="K112" i="2"/>
  <c r="AE112" i="2"/>
  <c r="AH112" i="2" s="1"/>
  <c r="T112" i="2"/>
  <c r="Y112" i="2"/>
  <c r="Z112" i="2" s="1"/>
  <c r="O112" i="2"/>
  <c r="AK112" i="2"/>
  <c r="AL112" i="2" s="1"/>
  <c r="P112" i="2"/>
  <c r="Q112" i="2" s="1"/>
  <c r="AA112" i="2"/>
  <c r="AC112" i="2" s="1"/>
  <c r="L112" i="2"/>
  <c r="M112" i="2" s="1"/>
  <c r="C111" i="2"/>
  <c r="D111" i="2"/>
  <c r="E111" i="2"/>
  <c r="F111" i="2"/>
  <c r="J111" i="2"/>
  <c r="N111" i="2"/>
  <c r="S111" i="2"/>
  <c r="W111" i="2"/>
  <c r="X111" i="2" s="1"/>
  <c r="AQ112" i="2" l="1"/>
  <c r="AO112" i="2"/>
  <c r="AP112" i="2" s="1"/>
  <c r="O111" i="2"/>
  <c r="AI112" i="2"/>
  <c r="AJ112" i="2" s="1"/>
  <c r="AR112" i="2" s="1"/>
  <c r="T111" i="2"/>
  <c r="K111" i="2"/>
  <c r="AB112" i="2"/>
  <c r="AD112" i="2"/>
  <c r="AE111" i="2"/>
  <c r="AI111" i="2" s="1"/>
  <c r="AJ111" i="2" s="1"/>
  <c r="AR111" i="2" s="1"/>
  <c r="L111" i="2"/>
  <c r="M111" i="2" s="1"/>
  <c r="Y111" i="2"/>
  <c r="Z111" i="2" s="1"/>
  <c r="U111" i="2"/>
  <c r="V111" i="2" s="1"/>
  <c r="AA111" i="2"/>
  <c r="P111" i="2"/>
  <c r="Q111" i="2" s="1"/>
  <c r="AK111" i="2"/>
  <c r="AL111" i="2" s="1"/>
  <c r="C110" i="2"/>
  <c r="D110" i="2"/>
  <c r="E110" i="2"/>
  <c r="F110" i="2"/>
  <c r="J110" i="2"/>
  <c r="N110" i="2"/>
  <c r="S110" i="2"/>
  <c r="W110" i="2"/>
  <c r="X110" i="2" s="1"/>
  <c r="C109" i="2"/>
  <c r="D109" i="2"/>
  <c r="E109" i="2"/>
  <c r="F109" i="2"/>
  <c r="J109" i="2"/>
  <c r="N109" i="2"/>
  <c r="S109" i="2"/>
  <c r="W109" i="2"/>
  <c r="X109" i="2" s="1"/>
  <c r="AB111" i="2" l="1"/>
  <c r="AC111" i="2"/>
  <c r="AQ111" i="2"/>
  <c r="T110" i="2"/>
  <c r="O110" i="2"/>
  <c r="AD111" i="2"/>
  <c r="AK110" i="2"/>
  <c r="AL110" i="2" s="1"/>
  <c r="K109" i="2"/>
  <c r="AA109" i="2"/>
  <c r="AO111" i="2"/>
  <c r="AP111" i="2" s="1"/>
  <c r="AH111" i="2"/>
  <c r="AE110" i="2"/>
  <c r="AH110" i="2" s="1"/>
  <c r="K110" i="2"/>
  <c r="AE109" i="2"/>
  <c r="AH109" i="2" s="1"/>
  <c r="O109" i="2"/>
  <c r="U110" i="2"/>
  <c r="V110" i="2" s="1"/>
  <c r="Y110" i="2"/>
  <c r="Z110" i="2" s="1"/>
  <c r="AA110" i="2"/>
  <c r="AC110" i="2" s="1"/>
  <c r="P110" i="2"/>
  <c r="Q110" i="2" s="1"/>
  <c r="L110" i="2"/>
  <c r="M110" i="2" s="1"/>
  <c r="AK109" i="2"/>
  <c r="AL109" i="2" s="1"/>
  <c r="T109" i="2"/>
  <c r="U109" i="2"/>
  <c r="V109" i="2" s="1"/>
  <c r="Y109" i="2"/>
  <c r="Z109" i="2" s="1"/>
  <c r="P109" i="2"/>
  <c r="Q109" i="2" s="1"/>
  <c r="L109" i="2"/>
  <c r="M109" i="2" s="1"/>
  <c r="C108" i="2"/>
  <c r="D108" i="2"/>
  <c r="E108" i="2"/>
  <c r="F108" i="2"/>
  <c r="J108" i="2"/>
  <c r="N108" i="2"/>
  <c r="S108" i="2"/>
  <c r="W108" i="2"/>
  <c r="C107" i="2"/>
  <c r="D107" i="2"/>
  <c r="E107" i="2"/>
  <c r="F107" i="2"/>
  <c r="J107" i="2"/>
  <c r="N107" i="2"/>
  <c r="S107" i="2"/>
  <c r="W107" i="2"/>
  <c r="X107" i="2" s="1"/>
  <c r="X108" i="2" l="1"/>
  <c r="AB109" i="2"/>
  <c r="AC109" i="2"/>
  <c r="AD109" i="2" s="1"/>
  <c r="AI110" i="2"/>
  <c r="AJ110" i="2" s="1"/>
  <c r="AR110" i="2" s="1"/>
  <c r="AO109" i="2"/>
  <c r="AP109" i="2" s="1"/>
  <c r="AQ110" i="2"/>
  <c r="AO110" i="2"/>
  <c r="AP110" i="2" s="1"/>
  <c r="O107" i="2"/>
  <c r="AQ109" i="2"/>
  <c r="AI109" i="2"/>
  <c r="AJ109" i="2" s="1"/>
  <c r="AR109" i="2" s="1"/>
  <c r="AB110" i="2"/>
  <c r="AD110" i="2"/>
  <c r="K107" i="2"/>
  <c r="K108" i="2"/>
  <c r="O108" i="2"/>
  <c r="T108" i="2"/>
  <c r="AK107" i="2"/>
  <c r="AL107" i="2" s="1"/>
  <c r="T107" i="2"/>
  <c r="AK108" i="2"/>
  <c r="AL108" i="2" s="1"/>
  <c r="AE108" i="2"/>
  <c r="AH108" i="2" s="1"/>
  <c r="U108" i="2"/>
  <c r="V108" i="2" s="1"/>
  <c r="AA108" i="2"/>
  <c r="Y108" i="2"/>
  <c r="Z108" i="2" s="1"/>
  <c r="P108" i="2"/>
  <c r="Q108" i="2" s="1"/>
  <c r="L108" i="2"/>
  <c r="M108" i="2" s="1"/>
  <c r="AA107" i="2"/>
  <c r="AC107" i="2" s="1"/>
  <c r="P107" i="2"/>
  <c r="Q107" i="2" s="1"/>
  <c r="U107" i="2"/>
  <c r="V107" i="2" s="1"/>
  <c r="AE107" i="2"/>
  <c r="AO107" i="2" s="1"/>
  <c r="AP107" i="2" s="1"/>
  <c r="Y107" i="2"/>
  <c r="Z107" i="2" s="1"/>
  <c r="L107" i="2"/>
  <c r="M107" i="2" s="1"/>
  <c r="C106" i="2"/>
  <c r="D106" i="2"/>
  <c r="E106" i="2"/>
  <c r="F106" i="2"/>
  <c r="J106" i="2"/>
  <c r="N106" i="2"/>
  <c r="S106" i="2"/>
  <c r="W106" i="2"/>
  <c r="X106" i="2" l="1"/>
  <c r="AB108" i="2"/>
  <c r="AC108" i="2"/>
  <c r="AD108" i="2" s="1"/>
  <c r="AQ107" i="2"/>
  <c r="AQ108" i="2"/>
  <c r="AK106" i="2"/>
  <c r="AL106" i="2" s="1"/>
  <c r="AI108" i="2"/>
  <c r="AJ108" i="2" s="1"/>
  <c r="AR108" i="2" s="1"/>
  <c r="AO108" i="2"/>
  <c r="AP108" i="2" s="1"/>
  <c r="AH107" i="2"/>
  <c r="AI107" i="2"/>
  <c r="AJ107" i="2" s="1"/>
  <c r="AR107" i="2" s="1"/>
  <c r="AD107" i="2"/>
  <c r="AB107" i="2"/>
  <c r="K106" i="2"/>
  <c r="O106" i="2"/>
  <c r="U106" i="2"/>
  <c r="V106" i="2" s="1"/>
  <c r="AA106" i="2"/>
  <c r="T106" i="2"/>
  <c r="L106" i="2"/>
  <c r="M106" i="2" s="1"/>
  <c r="AE106" i="2"/>
  <c r="AI106" i="2" s="1"/>
  <c r="AJ106" i="2" s="1"/>
  <c r="AR106" i="2" s="1"/>
  <c r="Y106" i="2"/>
  <c r="Z106" i="2" s="1"/>
  <c r="P106" i="2"/>
  <c r="Q106" i="2" s="1"/>
  <c r="C105" i="2"/>
  <c r="D105" i="2"/>
  <c r="E105" i="2"/>
  <c r="F105" i="2"/>
  <c r="J105" i="2"/>
  <c r="N105" i="2"/>
  <c r="S105" i="2"/>
  <c r="W105" i="2"/>
  <c r="X105" i="2" s="1"/>
  <c r="C104" i="2"/>
  <c r="D104" i="2"/>
  <c r="E104" i="2"/>
  <c r="F104" i="2"/>
  <c r="J104" i="2"/>
  <c r="N104" i="2"/>
  <c r="S104" i="2"/>
  <c r="W104" i="2"/>
  <c r="X104" i="2" s="1"/>
  <c r="AB106" i="2" l="1"/>
  <c r="AC106" i="2"/>
  <c r="AD106" i="2" s="1"/>
  <c r="P104" i="2"/>
  <c r="Q104" i="2" s="1"/>
  <c r="T105" i="2"/>
  <c r="AQ106" i="2"/>
  <c r="K105" i="2"/>
  <c r="AE104" i="2"/>
  <c r="AI104" i="2" s="1"/>
  <c r="AJ104" i="2" s="1"/>
  <c r="AR104" i="2" s="1"/>
  <c r="AH106" i="2"/>
  <c r="AA105" i="2"/>
  <c r="AO106" i="2"/>
  <c r="AP106" i="2" s="1"/>
  <c r="AK104" i="2"/>
  <c r="AL104" i="2" s="1"/>
  <c r="O104" i="2"/>
  <c r="K104" i="2"/>
  <c r="AE105" i="2"/>
  <c r="AO105" i="2" s="1"/>
  <c r="AP105" i="2" s="1"/>
  <c r="O105" i="2"/>
  <c r="U105" i="2"/>
  <c r="V105" i="2" s="1"/>
  <c r="Y105" i="2"/>
  <c r="Z105" i="2" s="1"/>
  <c r="P105" i="2"/>
  <c r="Q105" i="2" s="1"/>
  <c r="AK105" i="2"/>
  <c r="AL105" i="2" s="1"/>
  <c r="L105" i="2"/>
  <c r="M105" i="2" s="1"/>
  <c r="T104" i="2"/>
  <c r="Y104" i="2"/>
  <c r="Z104" i="2" s="1"/>
  <c r="U104" i="2"/>
  <c r="V104" i="2" s="1"/>
  <c r="AA104" i="2"/>
  <c r="AC104" i="2" s="1"/>
  <c r="L104" i="2"/>
  <c r="M104" i="2" s="1"/>
  <c r="C103" i="2"/>
  <c r="D103" i="2"/>
  <c r="E103" i="2"/>
  <c r="F103" i="2"/>
  <c r="J103" i="2"/>
  <c r="N103" i="2"/>
  <c r="S103" i="2"/>
  <c r="W103" i="2"/>
  <c r="Y103" i="2" s="1"/>
  <c r="Z103" i="2" s="1"/>
  <c r="AQ104" i="2" l="1"/>
  <c r="AB105" i="2"/>
  <c r="AC105" i="2"/>
  <c r="AD105" i="2" s="1"/>
  <c r="AH105" i="2"/>
  <c r="X103" i="2"/>
  <c r="AH104" i="2"/>
  <c r="AO104" i="2"/>
  <c r="AP104" i="2" s="1"/>
  <c r="AQ105" i="2"/>
  <c r="AI105" i="2"/>
  <c r="AJ105" i="2" s="1"/>
  <c r="AR105" i="2" s="1"/>
  <c r="K103" i="2"/>
  <c r="AB104" i="2"/>
  <c r="AD104" i="2"/>
  <c r="T103" i="2"/>
  <c r="U103" i="2"/>
  <c r="V103" i="2" s="1"/>
  <c r="AE103" i="2"/>
  <c r="AI103" i="2" s="1"/>
  <c r="AJ103" i="2" s="1"/>
  <c r="AR103" i="2" s="1"/>
  <c r="P103" i="2"/>
  <c r="Q103" i="2" s="1"/>
  <c r="AQ103" i="2" s="1"/>
  <c r="AA103" i="2"/>
  <c r="AC103" i="2" s="1"/>
  <c r="O103" i="2"/>
  <c r="AK103" i="2"/>
  <c r="AL103" i="2" s="1"/>
  <c r="L103" i="2"/>
  <c r="M103" i="2" s="1"/>
  <c r="C102" i="2"/>
  <c r="D102" i="2"/>
  <c r="E102" i="2"/>
  <c r="F102" i="2"/>
  <c r="J102" i="2"/>
  <c r="N102" i="2"/>
  <c r="S102" i="2"/>
  <c r="W102" i="2"/>
  <c r="C101" i="2"/>
  <c r="D101" i="2"/>
  <c r="E101" i="2"/>
  <c r="F101" i="2"/>
  <c r="J101" i="2"/>
  <c r="N101" i="2"/>
  <c r="S101" i="2"/>
  <c r="W101" i="2"/>
  <c r="X101" i="2" l="1"/>
  <c r="X102" i="2"/>
  <c r="U101" i="2"/>
  <c r="V101" i="2" s="1"/>
  <c r="T102" i="2"/>
  <c r="AO103" i="2"/>
  <c r="AP103" i="2" s="1"/>
  <c r="K101" i="2"/>
  <c r="K102" i="2"/>
  <c r="AH103" i="2"/>
  <c r="AD103" i="2"/>
  <c r="AB103" i="2"/>
  <c r="P101" i="2"/>
  <c r="Q101" i="2" s="1"/>
  <c r="O102" i="2"/>
  <c r="Y102" i="2"/>
  <c r="Z102" i="2" s="1"/>
  <c r="U102" i="2"/>
  <c r="V102" i="2" s="1"/>
  <c r="AA102" i="2"/>
  <c r="AC102" i="2" s="1"/>
  <c r="P102" i="2"/>
  <c r="Q102" i="2" s="1"/>
  <c r="AE102" i="2"/>
  <c r="AK102" i="2"/>
  <c r="AL102" i="2" s="1"/>
  <c r="L102" i="2"/>
  <c r="M102" i="2" s="1"/>
  <c r="AE101" i="2"/>
  <c r="AI101" i="2" s="1"/>
  <c r="AJ101" i="2" s="1"/>
  <c r="AR101" i="2" s="1"/>
  <c r="T101" i="2"/>
  <c r="AK101" i="2"/>
  <c r="AL101" i="2" s="1"/>
  <c r="Y101" i="2"/>
  <c r="Z101" i="2" s="1"/>
  <c r="O101" i="2"/>
  <c r="AA101" i="2"/>
  <c r="AC101" i="2" s="1"/>
  <c r="L101" i="2"/>
  <c r="M101" i="2" s="1"/>
  <c r="C100" i="2"/>
  <c r="D100" i="2"/>
  <c r="E100" i="2"/>
  <c r="F100" i="2"/>
  <c r="J100" i="2"/>
  <c r="N100" i="2"/>
  <c r="S100" i="2"/>
  <c r="W100" i="2"/>
  <c r="X100" i="2" s="1"/>
  <c r="AQ101" i="2" l="1"/>
  <c r="AH101" i="2"/>
  <c r="AO101" i="2"/>
  <c r="AP101" i="2" s="1"/>
  <c r="AQ102" i="2"/>
  <c r="AH102" i="2"/>
  <c r="AO102" i="2"/>
  <c r="AP102" i="2" s="1"/>
  <c r="AI102" i="2"/>
  <c r="AJ102" i="2" s="1"/>
  <c r="AR102" i="2" s="1"/>
  <c r="AB102" i="2"/>
  <c r="AD102" i="2"/>
  <c r="K100" i="2"/>
  <c r="U100" i="2"/>
  <c r="V100" i="2" s="1"/>
  <c r="AD101" i="2"/>
  <c r="AB101" i="2"/>
  <c r="O100" i="2"/>
  <c r="Y100" i="2"/>
  <c r="Z100" i="2" s="1"/>
  <c r="T100" i="2"/>
  <c r="AE100" i="2"/>
  <c r="P100" i="2"/>
  <c r="Q100" i="2" s="1"/>
  <c r="AK100" i="2"/>
  <c r="AL100" i="2" s="1"/>
  <c r="AA100" i="2"/>
  <c r="AC100" i="2" s="1"/>
  <c r="L100" i="2"/>
  <c r="M100" i="2" s="1"/>
  <c r="C99" i="2"/>
  <c r="D99" i="2"/>
  <c r="E99" i="2"/>
  <c r="F99" i="2"/>
  <c r="J99" i="2"/>
  <c r="N99" i="2"/>
  <c r="S99" i="2"/>
  <c r="W99" i="2"/>
  <c r="X99" i="2" l="1"/>
  <c r="K99" i="2"/>
  <c r="T99" i="2"/>
  <c r="AQ100" i="2"/>
  <c r="AB100" i="2"/>
  <c r="AD100" i="2"/>
  <c r="AH100" i="2"/>
  <c r="AI100" i="2"/>
  <c r="AJ100" i="2" s="1"/>
  <c r="AR100" i="2" s="1"/>
  <c r="AO100" i="2"/>
  <c r="AP100" i="2" s="1"/>
  <c r="O99" i="2"/>
  <c r="AE99" i="2"/>
  <c r="AO99" i="2" s="1"/>
  <c r="AP99" i="2" s="1"/>
  <c r="AA99" i="2"/>
  <c r="AC99" i="2" s="1"/>
  <c r="AK99" i="2"/>
  <c r="AL99" i="2" s="1"/>
  <c r="Y99" i="2"/>
  <c r="Z99" i="2" s="1"/>
  <c r="U99" i="2"/>
  <c r="V99" i="2" s="1"/>
  <c r="P99" i="2"/>
  <c r="Q99" i="2" s="1"/>
  <c r="L99" i="2"/>
  <c r="M99" i="2" s="1"/>
  <c r="C98" i="2"/>
  <c r="D98" i="2"/>
  <c r="E98" i="2"/>
  <c r="F98" i="2"/>
  <c r="J98" i="2"/>
  <c r="N98" i="2"/>
  <c r="S98" i="2"/>
  <c r="W98" i="2"/>
  <c r="X98" i="2" s="1"/>
  <c r="P98" i="2" l="1"/>
  <c r="Q98" i="2" s="1"/>
  <c r="AI99" i="2"/>
  <c r="AJ99" i="2" s="1"/>
  <c r="AR99" i="2" s="1"/>
  <c r="K98" i="2"/>
  <c r="T98" i="2"/>
  <c r="AH99" i="2"/>
  <c r="AQ99" i="2"/>
  <c r="AB99" i="2"/>
  <c r="AD99" i="2"/>
  <c r="AK98" i="2"/>
  <c r="AL98" i="2" s="1"/>
  <c r="AE98" i="2"/>
  <c r="AO98" i="2" s="1"/>
  <c r="AP98" i="2" s="1"/>
  <c r="AA98" i="2"/>
  <c r="Y98" i="2"/>
  <c r="Z98" i="2" s="1"/>
  <c r="U98" i="2"/>
  <c r="V98" i="2" s="1"/>
  <c r="L98" i="2"/>
  <c r="M98" i="2" s="1"/>
  <c r="O98" i="2"/>
  <c r="C97" i="2"/>
  <c r="D97" i="2"/>
  <c r="E97" i="2"/>
  <c r="F97" i="2"/>
  <c r="J97" i="2"/>
  <c r="N97" i="2"/>
  <c r="S97" i="2"/>
  <c r="W97" i="2"/>
  <c r="X97" i="2" s="1"/>
  <c r="C96" i="2"/>
  <c r="D96" i="2"/>
  <c r="E96" i="2"/>
  <c r="F96" i="2"/>
  <c r="J96" i="2"/>
  <c r="N96" i="2"/>
  <c r="S96" i="2"/>
  <c r="W96" i="2"/>
  <c r="AB98" i="2" l="1"/>
  <c r="AC98" i="2"/>
  <c r="AD98" i="2" s="1"/>
  <c r="AQ98" i="2"/>
  <c r="U97" i="2"/>
  <c r="V97" i="2" s="1"/>
  <c r="X96" i="2"/>
  <c r="AH98" i="2"/>
  <c r="O97" i="2"/>
  <c r="AI98" i="2"/>
  <c r="AJ98" i="2" s="1"/>
  <c r="AR98" i="2" s="1"/>
  <c r="T97" i="2"/>
  <c r="T96" i="2"/>
  <c r="K97" i="2"/>
  <c r="K96" i="2"/>
  <c r="AK97" i="2"/>
  <c r="AL97" i="2" s="1"/>
  <c r="AE97" i="2"/>
  <c r="AO97" i="2" s="1"/>
  <c r="AP97" i="2" s="1"/>
  <c r="P97" i="2"/>
  <c r="Q97" i="2" s="1"/>
  <c r="L97" i="2"/>
  <c r="M97" i="2" s="1"/>
  <c r="AA97" i="2"/>
  <c r="AC97" i="2" s="1"/>
  <c r="O96" i="2"/>
  <c r="AE96" i="2"/>
  <c r="AO96" i="2" s="1"/>
  <c r="AP96" i="2" s="1"/>
  <c r="Y97" i="2"/>
  <c r="Z97" i="2" s="1"/>
  <c r="AA96" i="2"/>
  <c r="AC96" i="2" s="1"/>
  <c r="AK96" i="2"/>
  <c r="AL96" i="2" s="1"/>
  <c r="Y96" i="2"/>
  <c r="Z96" i="2" s="1"/>
  <c r="U96" i="2"/>
  <c r="V96" i="2" s="1"/>
  <c r="P96" i="2"/>
  <c r="Q96" i="2" s="1"/>
  <c r="L96" i="2"/>
  <c r="M96" i="2" s="1"/>
  <c r="C95" i="2"/>
  <c r="D95" i="2"/>
  <c r="E95" i="2"/>
  <c r="F95" i="2"/>
  <c r="J95" i="2"/>
  <c r="N95" i="2"/>
  <c r="S95" i="2"/>
  <c r="W95" i="2"/>
  <c r="T95" i="2" l="1"/>
  <c r="AQ97" i="2"/>
  <c r="AE95" i="2"/>
  <c r="AH95" i="2" s="1"/>
  <c r="AH96" i="2"/>
  <c r="AI96" i="2"/>
  <c r="AJ96" i="2" s="1"/>
  <c r="AR96" i="2" s="1"/>
  <c r="AI97" i="2"/>
  <c r="AJ97" i="2" s="1"/>
  <c r="AR97" i="2" s="1"/>
  <c r="P95" i="2"/>
  <c r="Q95" i="2" s="1"/>
  <c r="AH97" i="2"/>
  <c r="AD97" i="2"/>
  <c r="AB97" i="2"/>
  <c r="K95" i="2"/>
  <c r="O95" i="2"/>
  <c r="AK95" i="2"/>
  <c r="AL95" i="2" s="1"/>
  <c r="AQ96" i="2"/>
  <c r="X95" i="2"/>
  <c r="AB96" i="2"/>
  <c r="AD96" i="2"/>
  <c r="U95" i="2"/>
  <c r="V95" i="2" s="1"/>
  <c r="Y95" i="2"/>
  <c r="Z95" i="2" s="1"/>
  <c r="AA95" i="2"/>
  <c r="AC95" i="2" s="1"/>
  <c r="L95" i="2"/>
  <c r="M95" i="2" s="1"/>
  <c r="C94" i="2"/>
  <c r="D94" i="2"/>
  <c r="E94" i="2"/>
  <c r="F94" i="2"/>
  <c r="J94" i="2"/>
  <c r="N94" i="2"/>
  <c r="S94" i="2"/>
  <c r="W94" i="2"/>
  <c r="C93" i="2"/>
  <c r="D93" i="2"/>
  <c r="E93" i="2"/>
  <c r="F93" i="2"/>
  <c r="J93" i="2"/>
  <c r="N93" i="2"/>
  <c r="S93" i="2"/>
  <c r="W93" i="2"/>
  <c r="AI95" i="2" l="1"/>
  <c r="AJ95" i="2" s="1"/>
  <c r="AR95" i="2" s="1"/>
  <c r="AO95" i="2"/>
  <c r="AP95" i="2" s="1"/>
  <c r="AQ95" i="2"/>
  <c r="K93" i="2"/>
  <c r="O94" i="2"/>
  <c r="T93" i="2"/>
  <c r="T94" i="2"/>
  <c r="AD95" i="2"/>
  <c r="AB95" i="2"/>
  <c r="U94" i="2"/>
  <c r="V94" i="2" s="1"/>
  <c r="X94" i="2"/>
  <c r="P93" i="2"/>
  <c r="Q93" i="2" s="1"/>
  <c r="K94" i="2"/>
  <c r="AK94" i="2"/>
  <c r="AL94" i="2" s="1"/>
  <c r="AE94" i="2"/>
  <c r="AO94" i="2" s="1"/>
  <c r="AP94" i="2" s="1"/>
  <c r="P94" i="2"/>
  <c r="Q94" i="2" s="1"/>
  <c r="L94" i="2"/>
  <c r="M94" i="2" s="1"/>
  <c r="AA94" i="2"/>
  <c r="AC94" i="2" s="1"/>
  <c r="AK93" i="2"/>
  <c r="AL93" i="2" s="1"/>
  <c r="AA93" i="2"/>
  <c r="O93" i="2"/>
  <c r="X93" i="2"/>
  <c r="Y94" i="2"/>
  <c r="Z94" i="2" s="1"/>
  <c r="AE93" i="2"/>
  <c r="AO93" i="2" s="1"/>
  <c r="AP93" i="2" s="1"/>
  <c r="Y93" i="2"/>
  <c r="Z93" i="2" s="1"/>
  <c r="U93" i="2"/>
  <c r="V93" i="2" s="1"/>
  <c r="L93" i="2"/>
  <c r="M93" i="2" s="1"/>
  <c r="C92" i="2"/>
  <c r="D92" i="2"/>
  <c r="E92" i="2"/>
  <c r="F92" i="2"/>
  <c r="J92" i="2"/>
  <c r="N92" i="2"/>
  <c r="S92" i="2"/>
  <c r="W92" i="2"/>
  <c r="X92" i="2" l="1"/>
  <c r="AB93" i="2"/>
  <c r="AC93" i="2"/>
  <c r="AD93" i="2" s="1"/>
  <c r="O92" i="2"/>
  <c r="AQ94" i="2"/>
  <c r="AQ93" i="2"/>
  <c r="AH94" i="2"/>
  <c r="AI94" i="2"/>
  <c r="AJ94" i="2" s="1"/>
  <c r="AR94" i="2" s="1"/>
  <c r="AB94" i="2"/>
  <c r="AD94" i="2"/>
  <c r="K92" i="2"/>
  <c r="AH93" i="2"/>
  <c r="AI93" i="2"/>
  <c r="AJ93" i="2" s="1"/>
  <c r="AR93" i="2" s="1"/>
  <c r="AE92" i="2"/>
  <c r="AO92" i="2" s="1"/>
  <c r="AP92" i="2" s="1"/>
  <c r="T92" i="2"/>
  <c r="AA92" i="2"/>
  <c r="AC92" i="2" s="1"/>
  <c r="AK92" i="2"/>
  <c r="AL92" i="2" s="1"/>
  <c r="Y92" i="2"/>
  <c r="Z92" i="2" s="1"/>
  <c r="U92" i="2"/>
  <c r="V92" i="2" s="1"/>
  <c r="P92" i="2"/>
  <c r="Q92" i="2" s="1"/>
  <c r="L92" i="2"/>
  <c r="M92" i="2" s="1"/>
  <c r="C91" i="2"/>
  <c r="D91" i="2"/>
  <c r="E91" i="2"/>
  <c r="F91" i="2"/>
  <c r="J91" i="2"/>
  <c r="N91" i="2"/>
  <c r="S91" i="2"/>
  <c r="W91" i="2"/>
  <c r="C90" i="2"/>
  <c r="D90" i="2"/>
  <c r="E90" i="2"/>
  <c r="F90" i="2"/>
  <c r="J90" i="2"/>
  <c r="N90" i="2"/>
  <c r="S90" i="2"/>
  <c r="W90" i="2"/>
  <c r="X90" i="2" l="1"/>
  <c r="X91" i="2"/>
  <c r="AH92" i="2"/>
  <c r="O90" i="2"/>
  <c r="O91" i="2"/>
  <c r="AA90" i="2"/>
  <c r="AI92" i="2"/>
  <c r="AJ92" i="2" s="1"/>
  <c r="AR92" i="2" s="1"/>
  <c r="T91" i="2"/>
  <c r="K91" i="2"/>
  <c r="K90" i="2"/>
  <c r="AA91" i="2"/>
  <c r="P91" i="2"/>
  <c r="Q91" i="2" s="1"/>
  <c r="AQ92" i="2"/>
  <c r="T90" i="2"/>
  <c r="Y91" i="2"/>
  <c r="Z91" i="2" s="1"/>
  <c r="AB92" i="2"/>
  <c r="AD92" i="2"/>
  <c r="AE91" i="2"/>
  <c r="AO91" i="2" s="1"/>
  <c r="AP91" i="2" s="1"/>
  <c r="AK91" i="2"/>
  <c r="AL91" i="2" s="1"/>
  <c r="U91" i="2"/>
  <c r="V91" i="2" s="1"/>
  <c r="L91" i="2"/>
  <c r="M91" i="2" s="1"/>
  <c r="P90" i="2"/>
  <c r="Q90" i="2" s="1"/>
  <c r="L90" i="2"/>
  <c r="M90" i="2" s="1"/>
  <c r="AK90" i="2"/>
  <c r="AL90" i="2" s="1"/>
  <c r="AE90" i="2"/>
  <c r="AO90" i="2" s="1"/>
  <c r="AP90" i="2" s="1"/>
  <c r="U90" i="2"/>
  <c r="V90" i="2" s="1"/>
  <c r="Y90" i="2"/>
  <c r="Z90" i="2" s="1"/>
  <c r="C89" i="2"/>
  <c r="D89" i="2"/>
  <c r="E89" i="2"/>
  <c r="F89" i="2"/>
  <c r="J89" i="2"/>
  <c r="N89" i="2"/>
  <c r="S89" i="2"/>
  <c r="W89" i="2"/>
  <c r="C88" i="2"/>
  <c r="D88" i="2"/>
  <c r="E88" i="2"/>
  <c r="F88" i="2"/>
  <c r="J88" i="2"/>
  <c r="N88" i="2"/>
  <c r="S88" i="2"/>
  <c r="W88" i="2"/>
  <c r="AB91" i="2" l="1"/>
  <c r="AC91" i="2"/>
  <c r="AD91" i="2" s="1"/>
  <c r="AB90" i="2"/>
  <c r="AC90" i="2"/>
  <c r="AD90" i="2" s="1"/>
  <c r="Y88" i="2"/>
  <c r="Z88" i="2" s="1"/>
  <c r="T89" i="2"/>
  <c r="K89" i="2"/>
  <c r="AQ90" i="2"/>
  <c r="AK89" i="2"/>
  <c r="AL89" i="2" s="1"/>
  <c r="AQ91" i="2"/>
  <c r="P89" i="2"/>
  <c r="Q89" i="2" s="1"/>
  <c r="AH91" i="2"/>
  <c r="AI91" i="2"/>
  <c r="AJ91" i="2" s="1"/>
  <c r="AR91" i="2" s="1"/>
  <c r="AA89" i="2"/>
  <c r="AH90" i="2"/>
  <c r="U88" i="2"/>
  <c r="V88" i="2" s="1"/>
  <c r="X89" i="2"/>
  <c r="O89" i="2"/>
  <c r="O88" i="2"/>
  <c r="U89" i="2"/>
  <c r="V89" i="2" s="1"/>
  <c r="AI90" i="2"/>
  <c r="AJ90" i="2" s="1"/>
  <c r="AR90" i="2" s="1"/>
  <c r="K88" i="2"/>
  <c r="AE89" i="2"/>
  <c r="AI89" i="2" s="1"/>
  <c r="AJ89" i="2" s="1"/>
  <c r="AR89" i="2" s="1"/>
  <c r="Y89" i="2"/>
  <c r="Z89" i="2" s="1"/>
  <c r="L89" i="2"/>
  <c r="M89" i="2" s="1"/>
  <c r="T88" i="2"/>
  <c r="P88" i="2"/>
  <c r="Q88" i="2" s="1"/>
  <c r="AQ88" i="2" s="1"/>
  <c r="AE88" i="2"/>
  <c r="AI88" i="2" s="1"/>
  <c r="AJ88" i="2" s="1"/>
  <c r="AR88" i="2" s="1"/>
  <c r="AK88" i="2"/>
  <c r="AL88" i="2" s="1"/>
  <c r="AA88" i="2"/>
  <c r="L88" i="2"/>
  <c r="M88" i="2" s="1"/>
  <c r="X88" i="2"/>
  <c r="C87" i="2"/>
  <c r="D87" i="2"/>
  <c r="E87" i="2"/>
  <c r="F87" i="2"/>
  <c r="J87" i="2"/>
  <c r="N87" i="2"/>
  <c r="S87" i="2"/>
  <c r="W87" i="2"/>
  <c r="X87" i="2" s="1"/>
  <c r="C86" i="2"/>
  <c r="D86" i="2"/>
  <c r="E86" i="2"/>
  <c r="F86" i="2"/>
  <c r="J86" i="2"/>
  <c r="N86" i="2"/>
  <c r="S86" i="2"/>
  <c r="W86" i="2"/>
  <c r="Y86" i="2" l="1"/>
  <c r="Z86" i="2" s="1"/>
  <c r="AB88" i="2"/>
  <c r="AC88" i="2"/>
  <c r="AD88" i="2" s="1"/>
  <c r="AB89" i="2"/>
  <c r="AC89" i="2"/>
  <c r="AD89" i="2" s="1"/>
  <c r="AQ89" i="2"/>
  <c r="AH89" i="2"/>
  <c r="AA87" i="2"/>
  <c r="AC87" i="2" s="1"/>
  <c r="AD87" i="2" s="1"/>
  <c r="O86" i="2"/>
  <c r="O87" i="2"/>
  <c r="AO89" i="2"/>
  <c r="AP89" i="2" s="1"/>
  <c r="U87" i="2"/>
  <c r="V87" i="2" s="1"/>
  <c r="K86" i="2"/>
  <c r="AO88" i="2"/>
  <c r="AP88" i="2" s="1"/>
  <c r="AH88" i="2"/>
  <c r="AE87" i="2"/>
  <c r="AH87" i="2" s="1"/>
  <c r="AK87" i="2"/>
  <c r="AL87" i="2" s="1"/>
  <c r="T87" i="2"/>
  <c r="K87" i="2"/>
  <c r="Y87" i="2"/>
  <c r="Z87" i="2" s="1"/>
  <c r="P87" i="2"/>
  <c r="Q87" i="2" s="1"/>
  <c r="L87" i="2"/>
  <c r="M87" i="2" s="1"/>
  <c r="T86" i="2"/>
  <c r="AK86" i="2"/>
  <c r="AL86" i="2" s="1"/>
  <c r="P86" i="2"/>
  <c r="Q86" i="2" s="1"/>
  <c r="AQ86" i="2" s="1"/>
  <c r="X86" i="2"/>
  <c r="AE86" i="2"/>
  <c r="U86" i="2"/>
  <c r="V86" i="2" s="1"/>
  <c r="AA86" i="2"/>
  <c r="AC86" i="2" s="1"/>
  <c r="L86" i="2"/>
  <c r="M86" i="2" s="1"/>
  <c r="C85" i="2"/>
  <c r="D85" i="2"/>
  <c r="E85" i="2"/>
  <c r="F85" i="2"/>
  <c r="J85" i="2"/>
  <c r="N85" i="2"/>
  <c r="S85" i="2"/>
  <c r="W85" i="2"/>
  <c r="X85" i="2" s="1"/>
  <c r="C84" i="2"/>
  <c r="D84" i="2"/>
  <c r="E84" i="2"/>
  <c r="F84" i="2"/>
  <c r="J84" i="2"/>
  <c r="N84" i="2"/>
  <c r="S84" i="2"/>
  <c r="W84" i="2"/>
  <c r="Y84" i="2" s="1"/>
  <c r="Z84" i="2" s="1"/>
  <c r="AB87" i="2" l="1"/>
  <c r="L84" i="2"/>
  <c r="M84" i="2" s="1"/>
  <c r="K85" i="2"/>
  <c r="T85" i="2"/>
  <c r="AO87" i="2"/>
  <c r="AP87" i="2" s="1"/>
  <c r="AI87" i="2"/>
  <c r="AJ87" i="2" s="1"/>
  <c r="AR87" i="2" s="1"/>
  <c r="P84" i="2"/>
  <c r="Q84" i="2" s="1"/>
  <c r="AQ84" i="2" s="1"/>
  <c r="AQ87" i="2"/>
  <c r="AH86" i="2"/>
  <c r="AO86" i="2"/>
  <c r="AP86" i="2" s="1"/>
  <c r="AI86" i="2"/>
  <c r="AJ86" i="2" s="1"/>
  <c r="AR86" i="2" s="1"/>
  <c r="AD86" i="2"/>
  <c r="AB86" i="2"/>
  <c r="AK85" i="2"/>
  <c r="AL85" i="2" s="1"/>
  <c r="U84" i="2"/>
  <c r="V84" i="2" s="1"/>
  <c r="AE85" i="2"/>
  <c r="AH85" i="2" s="1"/>
  <c r="O85" i="2"/>
  <c r="Y85" i="2"/>
  <c r="Z85" i="2" s="1"/>
  <c r="U85" i="2"/>
  <c r="V85" i="2" s="1"/>
  <c r="AA85" i="2"/>
  <c r="AC85" i="2" s="1"/>
  <c r="P85" i="2"/>
  <c r="Q85" i="2" s="1"/>
  <c r="L85" i="2"/>
  <c r="M85" i="2" s="1"/>
  <c r="AE84" i="2"/>
  <c r="AI84" i="2" s="1"/>
  <c r="AJ84" i="2" s="1"/>
  <c r="AR84" i="2" s="1"/>
  <c r="AK84" i="2"/>
  <c r="AL84" i="2" s="1"/>
  <c r="AA84" i="2"/>
  <c r="X84" i="2"/>
  <c r="T84" i="2"/>
  <c r="O84" i="2"/>
  <c r="K84" i="2"/>
  <c r="C83" i="2"/>
  <c r="D83" i="2"/>
  <c r="E83" i="2"/>
  <c r="F83" i="2"/>
  <c r="J83" i="2"/>
  <c r="N83" i="2"/>
  <c r="S83" i="2"/>
  <c r="W83" i="2"/>
  <c r="X83" i="2" s="1"/>
  <c r="AC84" i="2" l="1"/>
  <c r="AD84" i="2" s="1"/>
  <c r="AQ85" i="2"/>
  <c r="AO85" i="2"/>
  <c r="AP85" i="2" s="1"/>
  <c r="AI85" i="2"/>
  <c r="AJ85" i="2" s="1"/>
  <c r="AR85" i="2" s="1"/>
  <c r="O83" i="2"/>
  <c r="AA83" i="2"/>
  <c r="AB85" i="2"/>
  <c r="AD85" i="2"/>
  <c r="AB84" i="2"/>
  <c r="AH84" i="2"/>
  <c r="AO84" i="2"/>
  <c r="AP84" i="2" s="1"/>
  <c r="AK83" i="2"/>
  <c r="AL83" i="2" s="1"/>
  <c r="T83" i="2"/>
  <c r="K83" i="2"/>
  <c r="AE83" i="2"/>
  <c r="AO83" i="2" s="1"/>
  <c r="AP83" i="2" s="1"/>
  <c r="P83" i="2"/>
  <c r="Q83" i="2" s="1"/>
  <c r="Y83" i="2"/>
  <c r="Z83" i="2" s="1"/>
  <c r="U83" i="2"/>
  <c r="V83" i="2" s="1"/>
  <c r="L83" i="2"/>
  <c r="M83" i="2" s="1"/>
  <c r="C82" i="2"/>
  <c r="D82" i="2"/>
  <c r="E82" i="2"/>
  <c r="F82" i="2"/>
  <c r="J82" i="2"/>
  <c r="N82" i="2"/>
  <c r="S82" i="2"/>
  <c r="W82" i="2"/>
  <c r="X82" i="2" s="1"/>
  <c r="C81" i="2"/>
  <c r="D81" i="2"/>
  <c r="E81" i="2"/>
  <c r="F81" i="2"/>
  <c r="J81" i="2"/>
  <c r="N81" i="2"/>
  <c r="S81" i="2"/>
  <c r="W81" i="2"/>
  <c r="X81" i="2" l="1"/>
  <c r="AB83" i="2"/>
  <c r="AC83" i="2"/>
  <c r="AD83" i="2" s="1"/>
  <c r="AK82" i="2"/>
  <c r="AL82" i="2" s="1"/>
  <c r="Y82" i="2"/>
  <c r="Z82" i="2" s="1"/>
  <c r="T81" i="2"/>
  <c r="AQ83" i="2"/>
  <c r="K82" i="2"/>
  <c r="K81" i="2"/>
  <c r="AH83" i="2"/>
  <c r="AI83" i="2"/>
  <c r="AJ83" i="2" s="1"/>
  <c r="AR83" i="2" s="1"/>
  <c r="T82" i="2"/>
  <c r="AK81" i="2"/>
  <c r="AL81" i="2" s="1"/>
  <c r="O81" i="2"/>
  <c r="AE81" i="2"/>
  <c r="AH81" i="2" s="1"/>
  <c r="AE82" i="2"/>
  <c r="O82" i="2"/>
  <c r="U82" i="2"/>
  <c r="V82" i="2" s="1"/>
  <c r="AA82" i="2"/>
  <c r="AC82" i="2" s="1"/>
  <c r="P82" i="2"/>
  <c r="Q82" i="2" s="1"/>
  <c r="L82" i="2"/>
  <c r="M82" i="2" s="1"/>
  <c r="P81" i="2"/>
  <c r="Q81" i="2" s="1"/>
  <c r="AA81" i="2"/>
  <c r="AC81" i="2" s="1"/>
  <c r="U81" i="2"/>
  <c r="V81" i="2" s="1"/>
  <c r="Y81" i="2"/>
  <c r="Z81" i="2" s="1"/>
  <c r="L81" i="2"/>
  <c r="M81" i="2" s="1"/>
  <c r="C80" i="2"/>
  <c r="D80" i="2"/>
  <c r="E80" i="2"/>
  <c r="F80" i="2"/>
  <c r="J80" i="2"/>
  <c r="N80" i="2"/>
  <c r="S80" i="2"/>
  <c r="W80" i="2"/>
  <c r="X80" i="2" l="1"/>
  <c r="AO81" i="2"/>
  <c r="AP81" i="2" s="1"/>
  <c r="AQ82" i="2"/>
  <c r="AQ81" i="2"/>
  <c r="T80" i="2"/>
  <c r="AI82" i="2"/>
  <c r="AJ82" i="2" s="1"/>
  <c r="AR82" i="2" s="1"/>
  <c r="AH82" i="2"/>
  <c r="AO82" i="2"/>
  <c r="AP82" i="2" s="1"/>
  <c r="AI81" i="2"/>
  <c r="AJ81" i="2" s="1"/>
  <c r="AR81" i="2" s="1"/>
  <c r="K80" i="2"/>
  <c r="AB82" i="2"/>
  <c r="AD82" i="2"/>
  <c r="U80" i="2"/>
  <c r="V80" i="2" s="1"/>
  <c r="AD81" i="2"/>
  <c r="AB81" i="2"/>
  <c r="AK80" i="2"/>
  <c r="AL80" i="2" s="1"/>
  <c r="AE80" i="2"/>
  <c r="AH80" i="2" s="1"/>
  <c r="O80" i="2"/>
  <c r="Y80" i="2"/>
  <c r="Z80" i="2" s="1"/>
  <c r="AA80" i="2"/>
  <c r="AC80" i="2" s="1"/>
  <c r="P80" i="2"/>
  <c r="Q80" i="2" s="1"/>
  <c r="L80" i="2"/>
  <c r="M80" i="2" s="1"/>
  <c r="C79" i="2"/>
  <c r="D79" i="2"/>
  <c r="E79" i="2"/>
  <c r="F79" i="2"/>
  <c r="J79" i="2"/>
  <c r="N79" i="2"/>
  <c r="S79" i="2"/>
  <c r="W79" i="2"/>
  <c r="Y79" i="2" l="1"/>
  <c r="Z79" i="2" s="1"/>
  <c r="AI80" i="2"/>
  <c r="AJ80" i="2" s="1"/>
  <c r="AR80" i="2" s="1"/>
  <c r="AO80" i="2"/>
  <c r="AP80" i="2" s="1"/>
  <c r="AQ80" i="2"/>
  <c r="P79" i="2"/>
  <c r="Q79" i="2" s="1"/>
  <c r="K79" i="2"/>
  <c r="AE79" i="2"/>
  <c r="AH79" i="2" s="1"/>
  <c r="T79" i="2"/>
  <c r="AK79" i="2"/>
  <c r="AL79" i="2" s="1"/>
  <c r="O79" i="2"/>
  <c r="AB80" i="2"/>
  <c r="AD80" i="2"/>
  <c r="X79" i="2"/>
  <c r="U79" i="2"/>
  <c r="V79" i="2" s="1"/>
  <c r="AA79" i="2"/>
  <c r="AC79" i="2" s="1"/>
  <c r="L79" i="2"/>
  <c r="M79" i="2" s="1"/>
  <c r="AQ79" i="2"/>
  <c r="C78" i="2"/>
  <c r="D78" i="2"/>
  <c r="E78" i="2"/>
  <c r="F78" i="2"/>
  <c r="J78" i="2"/>
  <c r="N78" i="2"/>
  <c r="S78" i="2"/>
  <c r="W78" i="2"/>
  <c r="X78" i="2" l="1"/>
  <c r="AI79" i="2"/>
  <c r="AJ79" i="2" s="1"/>
  <c r="AR79" i="2" s="1"/>
  <c r="AO79" i="2"/>
  <c r="AP79" i="2" s="1"/>
  <c r="AB79" i="2"/>
  <c r="AD79" i="2"/>
  <c r="O78" i="2"/>
  <c r="K78" i="2"/>
  <c r="AE78" i="2"/>
  <c r="AI78" i="2" s="1"/>
  <c r="AJ78" i="2" s="1"/>
  <c r="AR78" i="2" s="1"/>
  <c r="T78" i="2"/>
  <c r="AA78" i="2"/>
  <c r="Y78" i="2"/>
  <c r="Z78" i="2" s="1"/>
  <c r="U78" i="2"/>
  <c r="V78" i="2" s="1"/>
  <c r="P78" i="2"/>
  <c r="Q78" i="2" s="1"/>
  <c r="L78" i="2"/>
  <c r="M78" i="2" s="1"/>
  <c r="AK78" i="2"/>
  <c r="AL78" i="2" s="1"/>
  <c r="C77" i="2"/>
  <c r="D77" i="2"/>
  <c r="E77" i="2"/>
  <c r="F77" i="2"/>
  <c r="J77" i="2"/>
  <c r="N77" i="2"/>
  <c r="S77" i="2"/>
  <c r="W77" i="2"/>
  <c r="AB78" i="2" l="1"/>
  <c r="AC78" i="2"/>
  <c r="AD78" i="2" s="1"/>
  <c r="X77" i="2"/>
  <c r="AH78" i="2"/>
  <c r="AO78" i="2"/>
  <c r="AP78" i="2" s="1"/>
  <c r="P77" i="2"/>
  <c r="Q77" i="2" s="1"/>
  <c r="AQ78" i="2"/>
  <c r="AE77" i="2"/>
  <c r="AH77" i="2" s="1"/>
  <c r="T77" i="2"/>
  <c r="Y77" i="2"/>
  <c r="Z77" i="2" s="1"/>
  <c r="AQ77" i="2" s="1"/>
  <c r="O77" i="2"/>
  <c r="AK77" i="2"/>
  <c r="AL77" i="2" s="1"/>
  <c r="U77" i="2"/>
  <c r="V77" i="2" s="1"/>
  <c r="K77" i="2"/>
  <c r="AA77" i="2"/>
  <c r="AC77" i="2" s="1"/>
  <c r="L77" i="2"/>
  <c r="M77" i="2" s="1"/>
  <c r="C76" i="2"/>
  <c r="D76" i="2"/>
  <c r="E76" i="2"/>
  <c r="F76" i="2"/>
  <c r="J76" i="2"/>
  <c r="N76" i="2"/>
  <c r="S76" i="2"/>
  <c r="W76" i="2"/>
  <c r="X76" i="2" s="1"/>
  <c r="C75" i="2"/>
  <c r="D75" i="2"/>
  <c r="E75" i="2"/>
  <c r="F75" i="2"/>
  <c r="J75" i="2"/>
  <c r="N75" i="2"/>
  <c r="S75" i="2"/>
  <c r="W75" i="2"/>
  <c r="X75" i="2" s="1"/>
  <c r="AI77" i="2" l="1"/>
  <c r="AJ77" i="2" s="1"/>
  <c r="AR77" i="2" s="1"/>
  <c r="K76" i="2"/>
  <c r="AO77" i="2"/>
  <c r="AP77" i="2" s="1"/>
  <c r="AB77" i="2"/>
  <c r="AD77" i="2"/>
  <c r="K75" i="2"/>
  <c r="AE76" i="2"/>
  <c r="O75" i="2"/>
  <c r="T76" i="2"/>
  <c r="O76" i="2"/>
  <c r="AA76" i="2"/>
  <c r="AK76" i="2"/>
  <c r="AL76" i="2" s="1"/>
  <c r="T75" i="2"/>
  <c r="Y76" i="2"/>
  <c r="Z76" i="2" s="1"/>
  <c r="U76" i="2"/>
  <c r="V76" i="2" s="1"/>
  <c r="P76" i="2"/>
  <c r="Q76" i="2" s="1"/>
  <c r="L76" i="2"/>
  <c r="M76" i="2" s="1"/>
  <c r="AE75" i="2"/>
  <c r="Y75" i="2"/>
  <c r="Z75" i="2" s="1"/>
  <c r="U75" i="2"/>
  <c r="V75" i="2" s="1"/>
  <c r="P75" i="2"/>
  <c r="Q75" i="2" s="1"/>
  <c r="L75" i="2"/>
  <c r="M75" i="2" s="1"/>
  <c r="AA75" i="2"/>
  <c r="AC75" i="2" s="1"/>
  <c r="AK75" i="2"/>
  <c r="AL75" i="2" s="1"/>
  <c r="C74" i="2"/>
  <c r="D74" i="2"/>
  <c r="E74" i="2"/>
  <c r="F74" i="2"/>
  <c r="J74" i="2"/>
  <c r="N74" i="2"/>
  <c r="S74" i="2"/>
  <c r="W74" i="2"/>
  <c r="Y74" i="2" s="1"/>
  <c r="Z74" i="2" s="1"/>
  <c r="AB76" i="2" l="1"/>
  <c r="AC76" i="2"/>
  <c r="AD76" i="2" s="1"/>
  <c r="AH75" i="2"/>
  <c r="AI76" i="2"/>
  <c r="AJ76" i="2" s="1"/>
  <c r="AR76" i="2" s="1"/>
  <c r="AH76" i="2"/>
  <c r="AO76" i="2"/>
  <c r="AP76" i="2" s="1"/>
  <c r="O74" i="2"/>
  <c r="K74" i="2"/>
  <c r="AQ75" i="2"/>
  <c r="AQ76" i="2"/>
  <c r="U74" i="2"/>
  <c r="V74" i="2" s="1"/>
  <c r="AI75" i="2"/>
  <c r="AJ75" i="2" s="1"/>
  <c r="AR75" i="2" s="1"/>
  <c r="AO75" i="2"/>
  <c r="AP75" i="2" s="1"/>
  <c r="AB75" i="2"/>
  <c r="AD75" i="2"/>
  <c r="AK74" i="2"/>
  <c r="AL74" i="2" s="1"/>
  <c r="X74" i="2"/>
  <c r="T74" i="2"/>
  <c r="AE74" i="2"/>
  <c r="P74" i="2"/>
  <c r="Q74" i="2" s="1"/>
  <c r="AQ74" i="2" s="1"/>
  <c r="AA74" i="2"/>
  <c r="AC74" i="2" s="1"/>
  <c r="L74" i="2"/>
  <c r="M74" i="2" s="1"/>
  <c r="C73" i="2"/>
  <c r="D73" i="2"/>
  <c r="E73" i="2"/>
  <c r="F73" i="2"/>
  <c r="J73" i="2"/>
  <c r="N73" i="2"/>
  <c r="S73" i="2"/>
  <c r="W73" i="2"/>
  <c r="X73" i="2" l="1"/>
  <c r="O73" i="2"/>
  <c r="AH74" i="2"/>
  <c r="K73" i="2"/>
  <c r="T73" i="2"/>
  <c r="AO74" i="2"/>
  <c r="AP74" i="2" s="1"/>
  <c r="AI74" i="2"/>
  <c r="AJ74" i="2" s="1"/>
  <c r="AR74" i="2" s="1"/>
  <c r="AB74" i="2"/>
  <c r="AD74" i="2"/>
  <c r="AE73" i="2"/>
  <c r="AO73" i="2" s="1"/>
  <c r="AP73" i="2" s="1"/>
  <c r="AA73" i="2"/>
  <c r="AC73" i="2" s="1"/>
  <c r="Y73" i="2"/>
  <c r="Z73" i="2" s="1"/>
  <c r="U73" i="2"/>
  <c r="V73" i="2" s="1"/>
  <c r="P73" i="2"/>
  <c r="Q73" i="2" s="1"/>
  <c r="L73" i="2"/>
  <c r="M73" i="2" s="1"/>
  <c r="AK73" i="2"/>
  <c r="AL73" i="2" s="1"/>
  <c r="C72" i="2"/>
  <c r="D72" i="2"/>
  <c r="E72" i="2"/>
  <c r="F72" i="2"/>
  <c r="J72" i="2"/>
  <c r="N72" i="2"/>
  <c r="S72" i="2"/>
  <c r="W72" i="2"/>
  <c r="C71" i="2"/>
  <c r="D71" i="2"/>
  <c r="E71" i="2"/>
  <c r="F71" i="2"/>
  <c r="J71" i="2"/>
  <c r="N71" i="2"/>
  <c r="S71" i="2"/>
  <c r="W71" i="2"/>
  <c r="X71" i="2" s="1"/>
  <c r="X72" i="2" l="1"/>
  <c r="O71" i="2"/>
  <c r="AI73" i="2"/>
  <c r="AJ73" i="2" s="1"/>
  <c r="AR73" i="2" s="1"/>
  <c r="AA72" i="2"/>
  <c r="AH73" i="2"/>
  <c r="K71" i="2"/>
  <c r="AK71" i="2"/>
  <c r="AL71" i="2" s="1"/>
  <c r="AK72" i="2"/>
  <c r="AL72" i="2" s="1"/>
  <c r="O72" i="2"/>
  <c r="AQ73" i="2"/>
  <c r="AB73" i="2"/>
  <c r="AD73" i="2"/>
  <c r="AE72" i="2"/>
  <c r="AH72" i="2" s="1"/>
  <c r="K72" i="2"/>
  <c r="T72" i="2"/>
  <c r="T71" i="2"/>
  <c r="Y72" i="2"/>
  <c r="Z72" i="2" s="1"/>
  <c r="U72" i="2"/>
  <c r="V72" i="2" s="1"/>
  <c r="P72" i="2"/>
  <c r="Q72" i="2" s="1"/>
  <c r="L72" i="2"/>
  <c r="M72" i="2" s="1"/>
  <c r="AA71" i="2"/>
  <c r="AE71" i="2"/>
  <c r="Y71" i="2"/>
  <c r="Z71" i="2" s="1"/>
  <c r="U71" i="2"/>
  <c r="V71" i="2" s="1"/>
  <c r="P71" i="2"/>
  <c r="Q71" i="2" s="1"/>
  <c r="L71" i="2"/>
  <c r="M71" i="2" s="1"/>
  <c r="C70" i="2"/>
  <c r="D70" i="2"/>
  <c r="E70" i="2"/>
  <c r="F70" i="2"/>
  <c r="J70" i="2"/>
  <c r="N70" i="2"/>
  <c r="S70" i="2"/>
  <c r="W70" i="2"/>
  <c r="X70" i="2" l="1"/>
  <c r="AB71" i="2"/>
  <c r="AC71" i="2"/>
  <c r="AD71" i="2" s="1"/>
  <c r="AB72" i="2"/>
  <c r="AC72" i="2"/>
  <c r="AD72" i="2" s="1"/>
  <c r="AI72" i="2"/>
  <c r="AJ72" i="2" s="1"/>
  <c r="AR72" i="2" s="1"/>
  <c r="AH71" i="2"/>
  <c r="O70" i="2"/>
  <c r="AO72" i="2"/>
  <c r="AP72" i="2" s="1"/>
  <c r="AI71" i="2"/>
  <c r="AJ71" i="2" s="1"/>
  <c r="AR71" i="2" s="1"/>
  <c r="AQ71" i="2"/>
  <c r="AQ72" i="2"/>
  <c r="AO71" i="2"/>
  <c r="AP71" i="2" s="1"/>
  <c r="K70" i="2"/>
  <c r="T70" i="2"/>
  <c r="AE70" i="2"/>
  <c r="AA70" i="2"/>
  <c r="Y70" i="2"/>
  <c r="Z70" i="2" s="1"/>
  <c r="U70" i="2"/>
  <c r="V70" i="2" s="1"/>
  <c r="P70" i="2"/>
  <c r="Q70" i="2" s="1"/>
  <c r="L70" i="2"/>
  <c r="M70" i="2" s="1"/>
  <c r="AK70" i="2"/>
  <c r="AL70" i="2" s="1"/>
  <c r="C69" i="2"/>
  <c r="D69" i="2"/>
  <c r="E69" i="2"/>
  <c r="F69" i="2"/>
  <c r="J69" i="2"/>
  <c r="N69" i="2"/>
  <c r="S69" i="2"/>
  <c r="W69" i="2"/>
  <c r="C68" i="2"/>
  <c r="D68" i="2"/>
  <c r="E68" i="2"/>
  <c r="F68" i="2"/>
  <c r="J68" i="2"/>
  <c r="N68" i="2"/>
  <c r="S68" i="2"/>
  <c r="W68" i="2"/>
  <c r="AB70" i="2" l="1"/>
  <c r="AC70" i="2"/>
  <c r="AD70" i="2" s="1"/>
  <c r="X69" i="2"/>
  <c r="AI70" i="2"/>
  <c r="AJ70" i="2" s="1"/>
  <c r="AR70" i="2" s="1"/>
  <c r="AQ70" i="2"/>
  <c r="O69" i="2"/>
  <c r="AA68" i="2"/>
  <c r="AE68" i="2"/>
  <c r="AO68" i="2" s="1"/>
  <c r="AP68" i="2" s="1"/>
  <c r="T68" i="2"/>
  <c r="AE69" i="2"/>
  <c r="AO69" i="2" s="1"/>
  <c r="AP69" i="2" s="1"/>
  <c r="K69" i="2"/>
  <c r="T69" i="2"/>
  <c r="AH70" i="2"/>
  <c r="AO70" i="2"/>
  <c r="AP70" i="2" s="1"/>
  <c r="P68" i="2"/>
  <c r="Q68" i="2" s="1"/>
  <c r="AK68" i="2"/>
  <c r="AL68" i="2" s="1"/>
  <c r="AA69" i="2"/>
  <c r="Y68" i="2"/>
  <c r="Z68" i="2" s="1"/>
  <c r="L68" i="2"/>
  <c r="M68" i="2" s="1"/>
  <c r="Y69" i="2"/>
  <c r="Z69" i="2" s="1"/>
  <c r="U69" i="2"/>
  <c r="V69" i="2" s="1"/>
  <c r="P69" i="2"/>
  <c r="Q69" i="2" s="1"/>
  <c r="L69" i="2"/>
  <c r="M69" i="2" s="1"/>
  <c r="K68" i="2"/>
  <c r="AK69" i="2"/>
  <c r="AL69" i="2" s="1"/>
  <c r="U68" i="2"/>
  <c r="V68" i="2" s="1"/>
  <c r="X68" i="2"/>
  <c r="O68" i="2"/>
  <c r="C67" i="2"/>
  <c r="D67" i="2"/>
  <c r="E67" i="2"/>
  <c r="F67" i="2"/>
  <c r="J67" i="2"/>
  <c r="N67" i="2"/>
  <c r="S67" i="2"/>
  <c r="W67" i="2"/>
  <c r="AB68" i="2" l="1"/>
  <c r="AC68" i="2"/>
  <c r="AD68" i="2" s="1"/>
  <c r="AB69" i="2"/>
  <c r="AC69" i="2"/>
  <c r="AD69" i="2" s="1"/>
  <c r="AH69" i="2"/>
  <c r="AI68" i="2"/>
  <c r="AJ68" i="2" s="1"/>
  <c r="AR68" i="2" s="1"/>
  <c r="AH68" i="2"/>
  <c r="AQ68" i="2"/>
  <c r="AI69" i="2"/>
  <c r="AJ69" i="2" s="1"/>
  <c r="AR69" i="2" s="1"/>
  <c r="O67" i="2"/>
  <c r="K67" i="2"/>
  <c r="T67" i="2"/>
  <c r="P67" i="2"/>
  <c r="Q67" i="2" s="1"/>
  <c r="AQ69" i="2"/>
  <c r="AE67" i="2"/>
  <c r="AI67" i="2" s="1"/>
  <c r="AJ67" i="2" s="1"/>
  <c r="AR67" i="2" s="1"/>
  <c r="X67" i="2"/>
  <c r="AK67" i="2"/>
  <c r="AL67" i="2" s="1"/>
  <c r="U67" i="2"/>
  <c r="V67" i="2" s="1"/>
  <c r="Y67" i="2"/>
  <c r="Z67" i="2" s="1"/>
  <c r="AA67" i="2"/>
  <c r="AC67" i="2" s="1"/>
  <c r="L67" i="2"/>
  <c r="M67" i="2" s="1"/>
  <c r="C66" i="2"/>
  <c r="D66" i="2"/>
  <c r="E66" i="2"/>
  <c r="F66" i="2"/>
  <c r="J66" i="2"/>
  <c r="N66" i="2"/>
  <c r="S66" i="2"/>
  <c r="W66" i="2"/>
  <c r="X66" i="2" l="1"/>
  <c r="P66" i="2"/>
  <c r="Q66" i="2" s="1"/>
  <c r="AH67" i="2"/>
  <c r="AQ67" i="2"/>
  <c r="AO67" i="2"/>
  <c r="AP67" i="2" s="1"/>
  <c r="K66" i="2"/>
  <c r="AD67" i="2"/>
  <c r="AB67" i="2"/>
  <c r="O66" i="2"/>
  <c r="T66" i="2"/>
  <c r="AK66" i="2"/>
  <c r="AL66" i="2" s="1"/>
  <c r="AA66" i="2"/>
  <c r="AE66" i="2"/>
  <c r="Y66" i="2"/>
  <c r="Z66" i="2" s="1"/>
  <c r="AQ66" i="2" s="1"/>
  <c r="U66" i="2"/>
  <c r="V66" i="2" s="1"/>
  <c r="L66" i="2"/>
  <c r="M66" i="2" s="1"/>
  <c r="C65" i="2"/>
  <c r="D65" i="2"/>
  <c r="E65" i="2"/>
  <c r="F65" i="2"/>
  <c r="J65" i="2"/>
  <c r="N65" i="2"/>
  <c r="S65" i="2"/>
  <c r="W65" i="2"/>
  <c r="AC66" i="2" l="1"/>
  <c r="AD66" i="2" s="1"/>
  <c r="AK65" i="2"/>
  <c r="AL65" i="2" s="1"/>
  <c r="K65" i="2"/>
  <c r="T65" i="2"/>
  <c r="AB66" i="2"/>
  <c r="P65" i="2"/>
  <c r="Q65" i="2" s="1"/>
  <c r="AI66" i="2"/>
  <c r="AJ66" i="2" s="1"/>
  <c r="AR66" i="2" s="1"/>
  <c r="AO66" i="2"/>
  <c r="AP66" i="2" s="1"/>
  <c r="AH66" i="2"/>
  <c r="U65" i="2"/>
  <c r="V65" i="2" s="1"/>
  <c r="AE65" i="2"/>
  <c r="Y65" i="2"/>
  <c r="Z65" i="2" s="1"/>
  <c r="X65" i="2"/>
  <c r="AA65" i="2"/>
  <c r="AC65" i="2" s="1"/>
  <c r="L65" i="2"/>
  <c r="M65" i="2" s="1"/>
  <c r="O65" i="2"/>
  <c r="AQ65" i="2" l="1"/>
  <c r="AI65" i="2"/>
  <c r="AJ65" i="2" s="1"/>
  <c r="AR65" i="2" s="1"/>
  <c r="AH65" i="2"/>
  <c r="AO65" i="2"/>
  <c r="AP65" i="2" s="1"/>
  <c r="AD65" i="2"/>
  <c r="AB65" i="2"/>
  <c r="C64" i="2"/>
  <c r="D64" i="2"/>
  <c r="E64" i="2"/>
  <c r="F64" i="2"/>
  <c r="J64" i="2"/>
  <c r="N64" i="2"/>
  <c r="S64" i="2"/>
  <c r="W64" i="2"/>
  <c r="X64" i="2" l="1"/>
  <c r="O64" i="2"/>
  <c r="K64" i="2"/>
  <c r="T64" i="2"/>
  <c r="AA64" i="2"/>
  <c r="AE64" i="2"/>
  <c r="AK64" i="2"/>
  <c r="AL64" i="2" s="1"/>
  <c r="Y64" i="2"/>
  <c r="Z64" i="2" s="1"/>
  <c r="U64" i="2"/>
  <c r="V64" i="2" s="1"/>
  <c r="P64" i="2"/>
  <c r="Q64" i="2" s="1"/>
  <c r="L64" i="2"/>
  <c r="M64" i="2" s="1"/>
  <c r="C63" i="2"/>
  <c r="D63" i="2"/>
  <c r="E63" i="2"/>
  <c r="F63" i="2"/>
  <c r="J63" i="2"/>
  <c r="N63" i="2"/>
  <c r="S63" i="2"/>
  <c r="W63" i="2"/>
  <c r="X63" i="2" s="1"/>
  <c r="C62" i="2"/>
  <c r="D62" i="2"/>
  <c r="E62" i="2"/>
  <c r="F62" i="2"/>
  <c r="J62" i="2"/>
  <c r="N62" i="2"/>
  <c r="S62" i="2"/>
  <c r="W62" i="2"/>
  <c r="X62" i="2" l="1"/>
  <c r="AB64" i="2"/>
  <c r="AC64" i="2"/>
  <c r="AD64" i="2" s="1"/>
  <c r="AH64" i="2"/>
  <c r="AI64" i="2"/>
  <c r="AJ64" i="2" s="1"/>
  <c r="AR64" i="2" s="1"/>
  <c r="O63" i="2"/>
  <c r="AO64" i="2"/>
  <c r="AP64" i="2" s="1"/>
  <c r="K63" i="2"/>
  <c r="K62" i="2"/>
  <c r="AQ64" i="2"/>
  <c r="O62" i="2"/>
  <c r="T63" i="2"/>
  <c r="AE63" i="2"/>
  <c r="AA63" i="2"/>
  <c r="T62" i="2"/>
  <c r="Y63" i="2"/>
  <c r="Z63" i="2" s="1"/>
  <c r="U63" i="2"/>
  <c r="V63" i="2" s="1"/>
  <c r="P63" i="2"/>
  <c r="Q63" i="2" s="1"/>
  <c r="L63" i="2"/>
  <c r="M63" i="2" s="1"/>
  <c r="AK63" i="2"/>
  <c r="AL63" i="2" s="1"/>
  <c r="AE62" i="2"/>
  <c r="AA62" i="2"/>
  <c r="Y62" i="2"/>
  <c r="Z62" i="2" s="1"/>
  <c r="U62" i="2"/>
  <c r="V62" i="2" s="1"/>
  <c r="P62" i="2"/>
  <c r="Q62" i="2" s="1"/>
  <c r="L62" i="2"/>
  <c r="M62" i="2" s="1"/>
  <c r="AK62" i="2"/>
  <c r="AL62" i="2" s="1"/>
  <c r="C61" i="2"/>
  <c r="D61" i="2"/>
  <c r="E61" i="2"/>
  <c r="F61" i="2"/>
  <c r="J61" i="2"/>
  <c r="N61" i="2"/>
  <c r="S61" i="2"/>
  <c r="W61" i="2"/>
  <c r="AB62" i="2" l="1"/>
  <c r="AC62" i="2"/>
  <c r="AD62" i="2" s="1"/>
  <c r="AB63" i="2"/>
  <c r="AC63" i="2"/>
  <c r="AD63" i="2" s="1"/>
  <c r="AO62" i="2"/>
  <c r="AP62" i="2" s="1"/>
  <c r="AI63" i="2"/>
  <c r="AJ63" i="2" s="1"/>
  <c r="AR63" i="2" s="1"/>
  <c r="AH63" i="2"/>
  <c r="P61" i="2"/>
  <c r="Q61" i="2" s="1"/>
  <c r="AH62" i="2"/>
  <c r="AO63" i="2"/>
  <c r="AP63" i="2" s="1"/>
  <c r="AI62" i="2"/>
  <c r="AJ62" i="2" s="1"/>
  <c r="AR62" i="2" s="1"/>
  <c r="AQ63" i="2"/>
  <c r="T61" i="2"/>
  <c r="AQ62" i="2"/>
  <c r="AK61" i="2"/>
  <c r="AL61" i="2" s="1"/>
  <c r="K61" i="2"/>
  <c r="Y61" i="2"/>
  <c r="Z61" i="2" s="1"/>
  <c r="U61" i="2"/>
  <c r="V61" i="2" s="1"/>
  <c r="AE61" i="2"/>
  <c r="AA61" i="2"/>
  <c r="AC61" i="2" s="1"/>
  <c r="L61" i="2"/>
  <c r="M61" i="2" s="1"/>
  <c r="X61" i="2"/>
  <c r="O61" i="2"/>
  <c r="C60" i="2"/>
  <c r="D60" i="2"/>
  <c r="E60" i="2"/>
  <c r="F60" i="2"/>
  <c r="J60" i="2"/>
  <c r="N60" i="2"/>
  <c r="S60" i="2"/>
  <c r="W60" i="2"/>
  <c r="X60" i="2" s="1"/>
  <c r="AO61" i="2" l="1"/>
  <c r="AP61" i="2" s="1"/>
  <c r="AQ61" i="2"/>
  <c r="K60" i="2"/>
  <c r="T60" i="2"/>
  <c r="AE60" i="2"/>
  <c r="AI61" i="2"/>
  <c r="AJ61" i="2" s="1"/>
  <c r="AR61" i="2" s="1"/>
  <c r="AH61" i="2"/>
  <c r="AB61" i="2"/>
  <c r="AD61" i="2"/>
  <c r="O60" i="2"/>
  <c r="AA60" i="2"/>
  <c r="AC60" i="2" s="1"/>
  <c r="Y60" i="2"/>
  <c r="Z60" i="2" s="1"/>
  <c r="U60" i="2"/>
  <c r="V60" i="2" s="1"/>
  <c r="P60" i="2"/>
  <c r="Q60" i="2" s="1"/>
  <c r="L60" i="2"/>
  <c r="M60" i="2" s="1"/>
  <c r="AK60" i="2"/>
  <c r="AL60" i="2" s="1"/>
  <c r="C59" i="2"/>
  <c r="D59" i="2"/>
  <c r="E59" i="2"/>
  <c r="F59" i="2"/>
  <c r="J59" i="2"/>
  <c r="N59" i="2"/>
  <c r="S59" i="2"/>
  <c r="W59" i="2"/>
  <c r="X59" i="2" s="1"/>
  <c r="H450" i="2" l="1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453" i="2"/>
  <c r="H461" i="2"/>
  <c r="H469" i="2"/>
  <c r="H477" i="2"/>
  <c r="H485" i="2"/>
  <c r="H493" i="2"/>
  <c r="H501" i="2"/>
  <c r="H509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455" i="2"/>
  <c r="H463" i="2"/>
  <c r="H471" i="2"/>
  <c r="H479" i="2"/>
  <c r="H487" i="2"/>
  <c r="H495" i="2"/>
  <c r="H503" i="2"/>
  <c r="H511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459" i="2"/>
  <c r="H475" i="2"/>
  <c r="H491" i="2"/>
  <c r="H507" i="2"/>
  <c r="H518" i="2"/>
  <c r="H526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678" i="2"/>
  <c r="H685" i="2"/>
  <c r="H690" i="2"/>
  <c r="H695" i="2"/>
  <c r="H701" i="2"/>
  <c r="H706" i="2"/>
  <c r="H711" i="2"/>
  <c r="H717" i="2"/>
  <c r="H722" i="2"/>
  <c r="H449" i="2"/>
  <c r="H465" i="2"/>
  <c r="H481" i="2"/>
  <c r="H497" i="2"/>
  <c r="H513" i="2"/>
  <c r="H521" i="2"/>
  <c r="H529" i="2"/>
  <c r="H537" i="2"/>
  <c r="H545" i="2"/>
  <c r="H553" i="2"/>
  <c r="H561" i="2"/>
  <c r="H569" i="2"/>
  <c r="H577" i="2"/>
  <c r="H585" i="2"/>
  <c r="H593" i="2"/>
  <c r="H601" i="2"/>
  <c r="H609" i="2"/>
  <c r="H617" i="2"/>
  <c r="H625" i="2"/>
  <c r="H633" i="2"/>
  <c r="H641" i="2"/>
  <c r="H649" i="2"/>
  <c r="H657" i="2"/>
  <c r="H665" i="2"/>
  <c r="H673" i="2"/>
  <c r="H681" i="2"/>
  <c r="H686" i="2"/>
  <c r="H691" i="2"/>
  <c r="H697" i="2"/>
  <c r="H702" i="2"/>
  <c r="H707" i="2"/>
  <c r="H713" i="2"/>
  <c r="H718" i="2"/>
  <c r="H723" i="2"/>
  <c r="H451" i="2"/>
  <c r="H467" i="2"/>
  <c r="H483" i="2"/>
  <c r="H499" i="2"/>
  <c r="H514" i="2"/>
  <c r="H522" i="2"/>
  <c r="H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674" i="2"/>
  <c r="H682" i="2"/>
  <c r="H687" i="2"/>
  <c r="H693" i="2"/>
  <c r="H698" i="2"/>
  <c r="H703" i="2"/>
  <c r="H709" i="2"/>
  <c r="H714" i="2"/>
  <c r="H719" i="2"/>
  <c r="H457" i="2"/>
  <c r="H473" i="2"/>
  <c r="H489" i="2"/>
  <c r="H505" i="2"/>
  <c r="H517" i="2"/>
  <c r="H525" i="2"/>
  <c r="H533" i="2"/>
  <c r="H541" i="2"/>
  <c r="H549" i="2"/>
  <c r="H557" i="2"/>
  <c r="H565" i="2"/>
  <c r="H573" i="2"/>
  <c r="H581" i="2"/>
  <c r="H589" i="2"/>
  <c r="H597" i="2"/>
  <c r="H605" i="2"/>
  <c r="H613" i="2"/>
  <c r="H621" i="2"/>
  <c r="H629" i="2"/>
  <c r="H637" i="2"/>
  <c r="H645" i="2"/>
  <c r="H653" i="2"/>
  <c r="H661" i="2"/>
  <c r="H669" i="2"/>
  <c r="H677" i="2"/>
  <c r="H683" i="2"/>
  <c r="H689" i="2"/>
  <c r="H694" i="2"/>
  <c r="H699" i="2"/>
  <c r="H705" i="2"/>
  <c r="H710" i="2"/>
  <c r="H715" i="2"/>
  <c r="H721" i="2"/>
  <c r="H443" i="2"/>
  <c r="H447" i="2"/>
  <c r="H440" i="2"/>
  <c r="H444" i="2"/>
  <c r="H448" i="2"/>
  <c r="H441" i="2"/>
  <c r="H445" i="2"/>
  <c r="H442" i="2"/>
  <c r="H446" i="2"/>
  <c r="H430" i="2"/>
  <c r="H434" i="2"/>
  <c r="H438" i="2"/>
  <c r="H431" i="2"/>
  <c r="H435" i="2"/>
  <c r="H439" i="2"/>
  <c r="H432" i="2"/>
  <c r="H436" i="2"/>
  <c r="H429" i="2"/>
  <c r="H433" i="2"/>
  <c r="H437" i="2"/>
  <c r="H421" i="2"/>
  <c r="H425" i="2"/>
  <c r="H422" i="2"/>
  <c r="H426" i="2"/>
  <c r="H423" i="2"/>
  <c r="H427" i="2"/>
  <c r="H424" i="2"/>
  <c r="H428" i="2"/>
  <c r="H413" i="2"/>
  <c r="H417" i="2"/>
  <c r="H414" i="2"/>
  <c r="H418" i="2"/>
  <c r="H415" i="2"/>
  <c r="H419" i="2"/>
  <c r="H416" i="2"/>
  <c r="H420" i="2"/>
  <c r="H409" i="2"/>
  <c r="H410" i="2"/>
  <c r="H411" i="2"/>
  <c r="H412" i="2"/>
  <c r="H403" i="2"/>
  <c r="H407" i="2"/>
  <c r="H404" i="2"/>
  <c r="H408" i="2"/>
  <c r="H405" i="2"/>
  <c r="H406" i="2"/>
  <c r="H401" i="2"/>
  <c r="H402" i="2"/>
  <c r="H400" i="2"/>
  <c r="H398" i="2"/>
  <c r="H399" i="2"/>
  <c r="H397" i="2"/>
  <c r="H393" i="2"/>
  <c r="H396" i="2"/>
  <c r="H394" i="2"/>
  <c r="H395" i="2"/>
  <c r="H389" i="2"/>
  <c r="H390" i="2"/>
  <c r="H391" i="2"/>
  <c r="H392" i="2"/>
  <c r="H385" i="2"/>
  <c r="H386" i="2"/>
  <c r="H383" i="2"/>
  <c r="H387" i="2"/>
  <c r="H384" i="2"/>
  <c r="H388" i="2"/>
  <c r="H375" i="2"/>
  <c r="H379" i="2"/>
  <c r="H376" i="2"/>
  <c r="H380" i="2"/>
  <c r="H377" i="2"/>
  <c r="H381" i="2"/>
  <c r="H378" i="2"/>
  <c r="H382" i="2"/>
  <c r="H371" i="2"/>
  <c r="H373" i="2"/>
  <c r="H374" i="2"/>
  <c r="H372" i="2"/>
  <c r="H369" i="2"/>
  <c r="H370" i="2"/>
  <c r="H368" i="2"/>
  <c r="H366" i="2"/>
  <c r="H367" i="2"/>
  <c r="H362" i="2"/>
  <c r="H361" i="2"/>
  <c r="H363" i="2"/>
  <c r="H360" i="2"/>
  <c r="H364" i="2"/>
  <c r="H365" i="2"/>
  <c r="H358" i="2"/>
  <c r="H359" i="2"/>
  <c r="H357" i="2"/>
  <c r="H355" i="2"/>
  <c r="H356" i="2"/>
  <c r="H353" i="2"/>
  <c r="H354" i="2"/>
  <c r="H351" i="2"/>
  <c r="H352" i="2"/>
  <c r="H350" i="2"/>
  <c r="H349" i="2"/>
  <c r="H347" i="2"/>
  <c r="H344" i="2"/>
  <c r="H348" i="2"/>
  <c r="H345" i="2"/>
  <c r="H346" i="2"/>
  <c r="H342" i="2"/>
  <c r="H341" i="2"/>
  <c r="H343" i="2"/>
  <c r="H339" i="2"/>
  <c r="H340" i="2"/>
  <c r="H338" i="2"/>
  <c r="H336" i="2"/>
  <c r="H337" i="2"/>
  <c r="H334" i="2"/>
  <c r="H335" i="2"/>
  <c r="H332" i="2"/>
  <c r="H333" i="2"/>
  <c r="H330" i="2"/>
  <c r="H327" i="2"/>
  <c r="H331" i="2"/>
  <c r="H328" i="2"/>
  <c r="H329" i="2"/>
  <c r="H324" i="2"/>
  <c r="H325" i="2"/>
  <c r="H326" i="2"/>
  <c r="H322" i="2"/>
  <c r="H319" i="2"/>
  <c r="H323" i="2"/>
  <c r="H320" i="2"/>
  <c r="H321" i="2"/>
  <c r="H317" i="2"/>
  <c r="H318" i="2"/>
  <c r="H315" i="2"/>
  <c r="H316" i="2"/>
  <c r="H314" i="2"/>
  <c r="H312" i="2"/>
  <c r="H313" i="2"/>
  <c r="H310" i="2"/>
  <c r="H311" i="2"/>
  <c r="H308" i="2"/>
  <c r="H309" i="2"/>
  <c r="H304" i="2"/>
  <c r="H306" i="2"/>
  <c r="H307" i="2"/>
  <c r="H305" i="2"/>
  <c r="H302" i="2"/>
  <c r="H303" i="2"/>
  <c r="H298" i="2"/>
  <c r="H301" i="2"/>
  <c r="H299" i="2"/>
  <c r="H300" i="2"/>
  <c r="H294" i="2"/>
  <c r="H295" i="2"/>
  <c r="H292" i="2"/>
  <c r="H296" i="2"/>
  <c r="H293" i="2"/>
  <c r="H297" i="2"/>
  <c r="H290" i="2"/>
  <c r="H291" i="2"/>
  <c r="H286" i="2"/>
  <c r="H288" i="2"/>
  <c r="H289" i="2"/>
  <c r="H287" i="2"/>
  <c r="H284" i="2"/>
  <c r="H285" i="2"/>
  <c r="H282" i="2"/>
  <c r="H283" i="2"/>
  <c r="H280" i="2"/>
  <c r="H281" i="2"/>
  <c r="H278" i="2"/>
  <c r="H279" i="2"/>
  <c r="H276" i="2"/>
  <c r="H277" i="2"/>
  <c r="H274" i="2"/>
  <c r="H275" i="2"/>
  <c r="H272" i="2"/>
  <c r="H273" i="2"/>
  <c r="H270" i="2"/>
  <c r="H271" i="2"/>
  <c r="H269" i="2"/>
  <c r="H265" i="2"/>
  <c r="H267" i="2"/>
  <c r="H268" i="2"/>
  <c r="H266" i="2"/>
  <c r="H261" i="2"/>
  <c r="H263" i="2"/>
  <c r="H264" i="2"/>
  <c r="H262" i="2"/>
  <c r="H258" i="2"/>
  <c r="H259" i="2"/>
  <c r="H260" i="2"/>
  <c r="H256" i="2"/>
  <c r="H257" i="2"/>
  <c r="H254" i="2"/>
  <c r="H255" i="2"/>
  <c r="H252" i="2"/>
  <c r="H253" i="2"/>
  <c r="H250" i="2"/>
  <c r="H251" i="2"/>
  <c r="H247" i="2"/>
  <c r="H248" i="2"/>
  <c r="H249" i="2"/>
  <c r="H245" i="2"/>
  <c r="H246" i="2"/>
  <c r="H240" i="2"/>
  <c r="H241" i="2"/>
  <c r="H242" i="2"/>
  <c r="H243" i="2"/>
  <c r="H244" i="2"/>
  <c r="H238" i="2"/>
  <c r="H239" i="2"/>
  <c r="H236" i="2"/>
  <c r="H237" i="2"/>
  <c r="H234" i="2"/>
  <c r="H235" i="2"/>
  <c r="H232" i="2"/>
  <c r="H233" i="2"/>
  <c r="H230" i="2"/>
  <c r="H231" i="2"/>
  <c r="H228" i="2"/>
  <c r="H229" i="2"/>
  <c r="H225" i="2"/>
  <c r="H226" i="2"/>
  <c r="H227" i="2"/>
  <c r="H223" i="2"/>
  <c r="H224" i="2"/>
  <c r="H221" i="2"/>
  <c r="H222" i="2"/>
  <c r="H219" i="2"/>
  <c r="H220" i="2"/>
  <c r="H217" i="2"/>
  <c r="H218" i="2"/>
  <c r="H216" i="2"/>
  <c r="H214" i="2"/>
  <c r="H212" i="2"/>
  <c r="H215" i="2"/>
  <c r="H213" i="2"/>
  <c r="H210" i="2"/>
  <c r="H211" i="2"/>
  <c r="H208" i="2"/>
  <c r="H209" i="2"/>
  <c r="H206" i="2"/>
  <c r="H207" i="2"/>
  <c r="H204" i="2"/>
  <c r="H205" i="2"/>
  <c r="H202" i="2"/>
  <c r="H203" i="2"/>
  <c r="H200" i="2"/>
  <c r="H201" i="2"/>
  <c r="H198" i="2"/>
  <c r="H199" i="2"/>
  <c r="H196" i="2"/>
  <c r="H197" i="2"/>
  <c r="H194" i="2"/>
  <c r="H195" i="2"/>
  <c r="H192" i="2"/>
  <c r="H193" i="2"/>
  <c r="H190" i="2"/>
  <c r="H191" i="2"/>
  <c r="H188" i="2"/>
  <c r="H189" i="2"/>
  <c r="H186" i="2"/>
  <c r="H187" i="2"/>
  <c r="H184" i="2"/>
  <c r="H185" i="2"/>
  <c r="H182" i="2"/>
  <c r="H183" i="2"/>
  <c r="H180" i="2"/>
  <c r="H181" i="2"/>
  <c r="H178" i="2"/>
  <c r="H179" i="2"/>
  <c r="H176" i="2"/>
  <c r="H177" i="2"/>
  <c r="H174" i="2"/>
  <c r="H175" i="2"/>
  <c r="H172" i="2"/>
  <c r="H173" i="2"/>
  <c r="H170" i="2"/>
  <c r="H171" i="2"/>
  <c r="H168" i="2"/>
  <c r="H169" i="2"/>
  <c r="H166" i="2"/>
  <c r="H167" i="2"/>
  <c r="H164" i="2"/>
  <c r="H165" i="2"/>
  <c r="H162" i="2"/>
  <c r="H163" i="2"/>
  <c r="H160" i="2"/>
  <c r="H161" i="2"/>
  <c r="H158" i="2"/>
  <c r="H159" i="2"/>
  <c r="H156" i="2"/>
  <c r="H157" i="2"/>
  <c r="H154" i="2"/>
  <c r="H155" i="2"/>
  <c r="H152" i="2"/>
  <c r="H153" i="2"/>
  <c r="H150" i="2"/>
  <c r="H151" i="2"/>
  <c r="H148" i="2"/>
  <c r="H149" i="2"/>
  <c r="H146" i="2"/>
  <c r="H147" i="2"/>
  <c r="H144" i="2"/>
  <c r="H145" i="2"/>
  <c r="H142" i="2"/>
  <c r="H143" i="2"/>
  <c r="H140" i="2"/>
  <c r="H141" i="2"/>
  <c r="H138" i="2"/>
  <c r="H139" i="2"/>
  <c r="H136" i="2"/>
  <c r="H137" i="2"/>
  <c r="H134" i="2"/>
  <c r="H135" i="2"/>
  <c r="H132" i="2"/>
  <c r="H133" i="2"/>
  <c r="H130" i="2"/>
  <c r="H131" i="2"/>
  <c r="H128" i="2"/>
  <c r="H129" i="2"/>
  <c r="H126" i="2"/>
  <c r="H127" i="2"/>
  <c r="H124" i="2"/>
  <c r="H125" i="2"/>
  <c r="H122" i="2"/>
  <c r="H123" i="2"/>
  <c r="H120" i="2"/>
  <c r="H121" i="2"/>
  <c r="H118" i="2"/>
  <c r="H119" i="2"/>
  <c r="H116" i="2"/>
  <c r="H117" i="2"/>
  <c r="H114" i="2"/>
  <c r="H115" i="2"/>
  <c r="H112" i="2"/>
  <c r="H113" i="2"/>
  <c r="H110" i="2"/>
  <c r="H111" i="2"/>
  <c r="H108" i="2"/>
  <c r="H109" i="2"/>
  <c r="H106" i="2"/>
  <c r="H107" i="2"/>
  <c r="H104" i="2"/>
  <c r="H105" i="2"/>
  <c r="H102" i="2"/>
  <c r="H103" i="2"/>
  <c r="H100" i="2"/>
  <c r="H101" i="2"/>
  <c r="H98" i="2"/>
  <c r="H99" i="2"/>
  <c r="H96" i="2"/>
  <c r="H97" i="2"/>
  <c r="H94" i="2"/>
  <c r="H95" i="2"/>
  <c r="H92" i="2"/>
  <c r="H93" i="2"/>
  <c r="H90" i="2"/>
  <c r="H91" i="2"/>
  <c r="H88" i="2"/>
  <c r="H89" i="2"/>
  <c r="H86" i="2"/>
  <c r="H87" i="2"/>
  <c r="H84" i="2"/>
  <c r="H85" i="2"/>
  <c r="H82" i="2"/>
  <c r="H83" i="2"/>
  <c r="H80" i="2"/>
  <c r="H81" i="2"/>
  <c r="H60" i="2"/>
  <c r="H79" i="2"/>
  <c r="AH60" i="2"/>
  <c r="H59" i="2"/>
  <c r="H78" i="2"/>
  <c r="H77" i="2"/>
  <c r="H75" i="2"/>
  <c r="H76" i="2"/>
  <c r="H74" i="2"/>
  <c r="H73" i="2"/>
  <c r="H72" i="2"/>
  <c r="H71" i="2"/>
  <c r="H70" i="2"/>
  <c r="H69" i="2"/>
  <c r="H68" i="2"/>
  <c r="H67" i="2"/>
  <c r="H66" i="2"/>
  <c r="H65" i="2"/>
  <c r="H64" i="2"/>
  <c r="H62" i="2"/>
  <c r="H63" i="2"/>
  <c r="H61" i="2"/>
  <c r="AI60" i="2"/>
  <c r="AJ60" i="2" s="1"/>
  <c r="AR60" i="2" s="1"/>
  <c r="AO60" i="2"/>
  <c r="AP60" i="2" s="1"/>
  <c r="T59" i="2"/>
  <c r="O59" i="2"/>
  <c r="K59" i="2"/>
  <c r="AQ60" i="2"/>
  <c r="AB60" i="2"/>
  <c r="AD60" i="2"/>
  <c r="AE59" i="2"/>
  <c r="Y59" i="2"/>
  <c r="Z59" i="2" s="1"/>
  <c r="U59" i="2"/>
  <c r="V59" i="2" s="1"/>
  <c r="P59" i="2"/>
  <c r="Q59" i="2" s="1"/>
  <c r="L59" i="2"/>
  <c r="M59" i="2" s="1"/>
  <c r="AA59" i="2"/>
  <c r="AC59" i="2" s="1"/>
  <c r="AK59" i="2"/>
  <c r="C58" i="2"/>
  <c r="D58" i="2"/>
  <c r="E58" i="2"/>
  <c r="F58" i="2"/>
  <c r="H58" i="2" s="1"/>
  <c r="J58" i="2"/>
  <c r="N58" i="2"/>
  <c r="S58" i="2"/>
  <c r="W58" i="2"/>
  <c r="AG452" i="2" l="1"/>
  <c r="AG456" i="2"/>
  <c r="AG460" i="2"/>
  <c r="AG464" i="2"/>
  <c r="AG468" i="2"/>
  <c r="AG472" i="2"/>
  <c r="AG476" i="2"/>
  <c r="AG480" i="2"/>
  <c r="AG484" i="2"/>
  <c r="AG488" i="2"/>
  <c r="AG492" i="2"/>
  <c r="AG496" i="2"/>
  <c r="AG500" i="2"/>
  <c r="AG504" i="2"/>
  <c r="AG508" i="2"/>
  <c r="AG512" i="2"/>
  <c r="AG516" i="2"/>
  <c r="AG520" i="2"/>
  <c r="AG524" i="2"/>
  <c r="AG528" i="2"/>
  <c r="AG532" i="2"/>
  <c r="AG536" i="2"/>
  <c r="AG540" i="2"/>
  <c r="AG544" i="2"/>
  <c r="AG548" i="2"/>
  <c r="AG552" i="2"/>
  <c r="AG556" i="2"/>
  <c r="AG560" i="2"/>
  <c r="AG564" i="2"/>
  <c r="AG568" i="2"/>
  <c r="AG572" i="2"/>
  <c r="AG576" i="2"/>
  <c r="AG580" i="2"/>
  <c r="AG584" i="2"/>
  <c r="AG588" i="2"/>
  <c r="AG592" i="2"/>
  <c r="AG596" i="2"/>
  <c r="AG600" i="2"/>
  <c r="AG604" i="2"/>
  <c r="AG608" i="2"/>
  <c r="AG612" i="2"/>
  <c r="AG451" i="2"/>
  <c r="AG455" i="2"/>
  <c r="AG459" i="2"/>
  <c r="AG463" i="2"/>
  <c r="AG467" i="2"/>
  <c r="AG471" i="2"/>
  <c r="AG475" i="2"/>
  <c r="AG479" i="2"/>
  <c r="AG483" i="2"/>
  <c r="AG487" i="2"/>
  <c r="AG491" i="2"/>
  <c r="AG495" i="2"/>
  <c r="AG499" i="2"/>
  <c r="AG503" i="2"/>
  <c r="AG507" i="2"/>
  <c r="AG511" i="2"/>
  <c r="AG515" i="2"/>
  <c r="AG519" i="2"/>
  <c r="AG523" i="2"/>
  <c r="AG527" i="2"/>
  <c r="AG531" i="2"/>
  <c r="AG535" i="2"/>
  <c r="AG539" i="2"/>
  <c r="AG543" i="2"/>
  <c r="AG547" i="2"/>
  <c r="AG551" i="2"/>
  <c r="AG555" i="2"/>
  <c r="AG559" i="2"/>
  <c r="AG563" i="2"/>
  <c r="AG567" i="2"/>
  <c r="AG571" i="2"/>
  <c r="AG449" i="2"/>
  <c r="AG457" i="2"/>
  <c r="AG465" i="2"/>
  <c r="AG473" i="2"/>
  <c r="AG481" i="2"/>
  <c r="AG489" i="2"/>
  <c r="AG497" i="2"/>
  <c r="AG505" i="2"/>
  <c r="AG513" i="2"/>
  <c r="AG521" i="2"/>
  <c r="AG529" i="2"/>
  <c r="AG537" i="2"/>
  <c r="AG545" i="2"/>
  <c r="AG553" i="2"/>
  <c r="AG561" i="2"/>
  <c r="AG569" i="2"/>
  <c r="AG575" i="2"/>
  <c r="AG581" i="2"/>
  <c r="AG586" i="2"/>
  <c r="AG591" i="2"/>
  <c r="AG597" i="2"/>
  <c r="AG602" i="2"/>
  <c r="AG607" i="2"/>
  <c r="AG613" i="2"/>
  <c r="AG617" i="2"/>
  <c r="AG621" i="2"/>
  <c r="AG625" i="2"/>
  <c r="AG629" i="2"/>
  <c r="AG633" i="2"/>
  <c r="AG637" i="2"/>
  <c r="AG641" i="2"/>
  <c r="AG645" i="2"/>
  <c r="AG649" i="2"/>
  <c r="AG653" i="2"/>
  <c r="AG657" i="2"/>
  <c r="AG661" i="2"/>
  <c r="AG665" i="2"/>
  <c r="AG669" i="2"/>
  <c r="AG673" i="2"/>
  <c r="AG677" i="2"/>
  <c r="AG681" i="2"/>
  <c r="AG685" i="2"/>
  <c r="AG689" i="2"/>
  <c r="AG693" i="2"/>
  <c r="AG697" i="2"/>
  <c r="AG701" i="2"/>
  <c r="AG705" i="2"/>
  <c r="AG709" i="2"/>
  <c r="AG713" i="2"/>
  <c r="AG717" i="2"/>
  <c r="AG721" i="2"/>
  <c r="AG454" i="2"/>
  <c r="AG462" i="2"/>
  <c r="AG470" i="2"/>
  <c r="AG478" i="2"/>
  <c r="AG486" i="2"/>
  <c r="AG494" i="2"/>
  <c r="AG502" i="2"/>
  <c r="AG510" i="2"/>
  <c r="AG518" i="2"/>
  <c r="AG526" i="2"/>
  <c r="AG534" i="2"/>
  <c r="AG542" i="2"/>
  <c r="AG550" i="2"/>
  <c r="AG558" i="2"/>
  <c r="AG566" i="2"/>
  <c r="AG574" i="2"/>
  <c r="AG579" i="2"/>
  <c r="AG585" i="2"/>
  <c r="AG590" i="2"/>
  <c r="AG595" i="2"/>
  <c r="AG601" i="2"/>
  <c r="AG606" i="2"/>
  <c r="AG611" i="2"/>
  <c r="AG616" i="2"/>
  <c r="AG620" i="2"/>
  <c r="AG624" i="2"/>
  <c r="AG628" i="2"/>
  <c r="AG632" i="2"/>
  <c r="AG636" i="2"/>
  <c r="AG640" i="2"/>
  <c r="AG644" i="2"/>
  <c r="AG648" i="2"/>
  <c r="AG652" i="2"/>
  <c r="AG656" i="2"/>
  <c r="AG660" i="2"/>
  <c r="AG664" i="2"/>
  <c r="AG668" i="2"/>
  <c r="AG672" i="2"/>
  <c r="AG676" i="2"/>
  <c r="AG680" i="2"/>
  <c r="AG684" i="2"/>
  <c r="AG688" i="2"/>
  <c r="AG692" i="2"/>
  <c r="AG696" i="2"/>
  <c r="AG700" i="2"/>
  <c r="AG704" i="2"/>
  <c r="AG708" i="2"/>
  <c r="AG712" i="2"/>
  <c r="AG716" i="2"/>
  <c r="AG720" i="2"/>
  <c r="AG724" i="2"/>
  <c r="AG458" i="2"/>
  <c r="AG474" i="2"/>
  <c r="AG490" i="2"/>
  <c r="AG506" i="2"/>
  <c r="AG522" i="2"/>
  <c r="AG538" i="2"/>
  <c r="AG554" i="2"/>
  <c r="AG570" i="2"/>
  <c r="AG582" i="2"/>
  <c r="AG593" i="2"/>
  <c r="AG603" i="2"/>
  <c r="AG614" i="2"/>
  <c r="AG622" i="2"/>
  <c r="AG630" i="2"/>
  <c r="AG638" i="2"/>
  <c r="AG646" i="2"/>
  <c r="AG654" i="2"/>
  <c r="AG662" i="2"/>
  <c r="AG670" i="2"/>
  <c r="AG678" i="2"/>
  <c r="AG686" i="2"/>
  <c r="AG694" i="2"/>
  <c r="AG702" i="2"/>
  <c r="AG710" i="2"/>
  <c r="AG718" i="2"/>
  <c r="AG477" i="2"/>
  <c r="AG509" i="2"/>
  <c r="AG541" i="2"/>
  <c r="AG573" i="2"/>
  <c r="AG594" i="2"/>
  <c r="AG615" i="2"/>
  <c r="AG631" i="2"/>
  <c r="AG647" i="2"/>
  <c r="AG663" i="2"/>
  <c r="AG679" i="2"/>
  <c r="AG687" i="2"/>
  <c r="AG703" i="2"/>
  <c r="AG719" i="2"/>
  <c r="AG461" i="2"/>
  <c r="AG493" i="2"/>
  <c r="AG525" i="2"/>
  <c r="AG557" i="2"/>
  <c r="AG583" i="2"/>
  <c r="AG605" i="2"/>
  <c r="AG623" i="2"/>
  <c r="AG639" i="2"/>
  <c r="AG655" i="2"/>
  <c r="AG671" i="2"/>
  <c r="AG695" i="2"/>
  <c r="AG711" i="2"/>
  <c r="AG450" i="2"/>
  <c r="AG466" i="2"/>
  <c r="AG482" i="2"/>
  <c r="AG498" i="2"/>
  <c r="AG514" i="2"/>
  <c r="AG530" i="2"/>
  <c r="AG546" i="2"/>
  <c r="AG562" i="2"/>
  <c r="AG577" i="2"/>
  <c r="AG587" i="2"/>
  <c r="AG598" i="2"/>
  <c r="AG609" i="2"/>
  <c r="AG618" i="2"/>
  <c r="AG626" i="2"/>
  <c r="AG634" i="2"/>
  <c r="AG642" i="2"/>
  <c r="AG650" i="2"/>
  <c r="AG658" i="2"/>
  <c r="AG666" i="2"/>
  <c r="AG674" i="2"/>
  <c r="AG682" i="2"/>
  <c r="AG690" i="2"/>
  <c r="AG698" i="2"/>
  <c r="AG706" i="2"/>
  <c r="AG714" i="2"/>
  <c r="AG722" i="2"/>
  <c r="AG453" i="2"/>
  <c r="AG469" i="2"/>
  <c r="AG485" i="2"/>
  <c r="AG501" i="2"/>
  <c r="AG517" i="2"/>
  <c r="AG533" i="2"/>
  <c r="AG549" i="2"/>
  <c r="AG565" i="2"/>
  <c r="AG578" i="2"/>
  <c r="AG589" i="2"/>
  <c r="AG599" i="2"/>
  <c r="AG610" i="2"/>
  <c r="AG619" i="2"/>
  <c r="AG627" i="2"/>
  <c r="AG635" i="2"/>
  <c r="AG643" i="2"/>
  <c r="AG651" i="2"/>
  <c r="AG659" i="2"/>
  <c r="AG667" i="2"/>
  <c r="AG675" i="2"/>
  <c r="AG683" i="2"/>
  <c r="AG691" i="2"/>
  <c r="AG699" i="2"/>
  <c r="AG707" i="2"/>
  <c r="AG715" i="2"/>
  <c r="AG723" i="2"/>
  <c r="AN449" i="2"/>
  <c r="AN453" i="2"/>
  <c r="AN457" i="2"/>
  <c r="AN461" i="2"/>
  <c r="AN465" i="2"/>
  <c r="AN469" i="2"/>
  <c r="AN473" i="2"/>
  <c r="AN477" i="2"/>
  <c r="AN481" i="2"/>
  <c r="AN485" i="2"/>
  <c r="AN489" i="2"/>
  <c r="AN493" i="2"/>
  <c r="AN497" i="2"/>
  <c r="AN501" i="2"/>
  <c r="AN505" i="2"/>
  <c r="AN509" i="2"/>
  <c r="AN513" i="2"/>
  <c r="AN517" i="2"/>
  <c r="AN521" i="2"/>
  <c r="AN525" i="2"/>
  <c r="AN529" i="2"/>
  <c r="AN533" i="2"/>
  <c r="AN537" i="2"/>
  <c r="AN452" i="2"/>
  <c r="AN456" i="2"/>
  <c r="AN460" i="2"/>
  <c r="AN464" i="2"/>
  <c r="AN468" i="2"/>
  <c r="AN472" i="2"/>
  <c r="AN476" i="2"/>
  <c r="AN480" i="2"/>
  <c r="AN484" i="2"/>
  <c r="AN488" i="2"/>
  <c r="AN492" i="2"/>
  <c r="AN496" i="2"/>
  <c r="AN500" i="2"/>
  <c r="AN504" i="2"/>
  <c r="AN508" i="2"/>
  <c r="AN512" i="2"/>
  <c r="AN516" i="2"/>
  <c r="AN520" i="2"/>
  <c r="AN524" i="2"/>
  <c r="AN528" i="2"/>
  <c r="AN532" i="2"/>
  <c r="AN536" i="2"/>
  <c r="AN540" i="2"/>
  <c r="AN454" i="2"/>
  <c r="AN462" i="2"/>
  <c r="AN470" i="2"/>
  <c r="AN478" i="2"/>
  <c r="AN486" i="2"/>
  <c r="AN494" i="2"/>
  <c r="AN502" i="2"/>
  <c r="AN510" i="2"/>
  <c r="AN518" i="2"/>
  <c r="AN526" i="2"/>
  <c r="AN534" i="2"/>
  <c r="AN541" i="2"/>
  <c r="AN545" i="2"/>
  <c r="AN549" i="2"/>
  <c r="AN553" i="2"/>
  <c r="AN557" i="2"/>
  <c r="AN561" i="2"/>
  <c r="AN565" i="2"/>
  <c r="AN569" i="2"/>
  <c r="AN573" i="2"/>
  <c r="AN577" i="2"/>
  <c r="AN581" i="2"/>
  <c r="AN585" i="2"/>
  <c r="AN589" i="2"/>
  <c r="AN593" i="2"/>
  <c r="AN597" i="2"/>
  <c r="AN601" i="2"/>
  <c r="AN605" i="2"/>
  <c r="AN609" i="2"/>
  <c r="AN613" i="2"/>
  <c r="AN617" i="2"/>
  <c r="AN621" i="2"/>
  <c r="AN625" i="2"/>
  <c r="AN629" i="2"/>
  <c r="AN633" i="2"/>
  <c r="AN637" i="2"/>
  <c r="AN641" i="2"/>
  <c r="AN645" i="2"/>
  <c r="AN649" i="2"/>
  <c r="AN653" i="2"/>
  <c r="AN657" i="2"/>
  <c r="AN661" i="2"/>
  <c r="AN665" i="2"/>
  <c r="AN669" i="2"/>
  <c r="AN673" i="2"/>
  <c r="AN677" i="2"/>
  <c r="AN681" i="2"/>
  <c r="AN685" i="2"/>
  <c r="AN689" i="2"/>
  <c r="AN693" i="2"/>
  <c r="AN697" i="2"/>
  <c r="AN701" i="2"/>
  <c r="AN705" i="2"/>
  <c r="AN709" i="2"/>
  <c r="AN713" i="2"/>
  <c r="AN717" i="2"/>
  <c r="AN721" i="2"/>
  <c r="AN455" i="2"/>
  <c r="AN463" i="2"/>
  <c r="AN471" i="2"/>
  <c r="AN479" i="2"/>
  <c r="AN487" i="2"/>
  <c r="AN495" i="2"/>
  <c r="AN503" i="2"/>
  <c r="AN511" i="2"/>
  <c r="AN519" i="2"/>
  <c r="AN527" i="2"/>
  <c r="AN535" i="2"/>
  <c r="AN542" i="2"/>
  <c r="AN546" i="2"/>
  <c r="AN550" i="2"/>
  <c r="AN554" i="2"/>
  <c r="AN558" i="2"/>
  <c r="AN562" i="2"/>
  <c r="AN566" i="2"/>
  <c r="AN570" i="2"/>
  <c r="AN574" i="2"/>
  <c r="AN578" i="2"/>
  <c r="AN582" i="2"/>
  <c r="AN586" i="2"/>
  <c r="AN590" i="2"/>
  <c r="AN594" i="2"/>
  <c r="AN598" i="2"/>
  <c r="AN602" i="2"/>
  <c r="AN606" i="2"/>
  <c r="AN610" i="2"/>
  <c r="AN614" i="2"/>
  <c r="AN618" i="2"/>
  <c r="AN622" i="2"/>
  <c r="AN626" i="2"/>
  <c r="AN630" i="2"/>
  <c r="AN634" i="2"/>
  <c r="AN638" i="2"/>
  <c r="AN642" i="2"/>
  <c r="AN646" i="2"/>
  <c r="AN650" i="2"/>
  <c r="AN654" i="2"/>
  <c r="AN658" i="2"/>
  <c r="AN662" i="2"/>
  <c r="AN666" i="2"/>
  <c r="AN670" i="2"/>
  <c r="AN674" i="2"/>
  <c r="AN678" i="2"/>
  <c r="AN682" i="2"/>
  <c r="AN686" i="2"/>
  <c r="AN690" i="2"/>
  <c r="AN694" i="2"/>
  <c r="AN698" i="2"/>
  <c r="AN702" i="2"/>
  <c r="AN706" i="2"/>
  <c r="AN710" i="2"/>
  <c r="AN714" i="2"/>
  <c r="AN718" i="2"/>
  <c r="AN722" i="2"/>
  <c r="AN450" i="2"/>
  <c r="AN458" i="2"/>
  <c r="AN466" i="2"/>
  <c r="AN474" i="2"/>
  <c r="AN482" i="2"/>
  <c r="AN490" i="2"/>
  <c r="AN498" i="2"/>
  <c r="AN506" i="2"/>
  <c r="AN514" i="2"/>
  <c r="AN522" i="2"/>
  <c r="AN530" i="2"/>
  <c r="AN538" i="2"/>
  <c r="AN543" i="2"/>
  <c r="AN547" i="2"/>
  <c r="AN551" i="2"/>
  <c r="AN555" i="2"/>
  <c r="AN559" i="2"/>
  <c r="AN563" i="2"/>
  <c r="AN567" i="2"/>
  <c r="AN571" i="2"/>
  <c r="AN575" i="2"/>
  <c r="AN579" i="2"/>
  <c r="AN583" i="2"/>
  <c r="AN587" i="2"/>
  <c r="AN591" i="2"/>
  <c r="AN595" i="2"/>
  <c r="AN599" i="2"/>
  <c r="AN603" i="2"/>
  <c r="AN607" i="2"/>
  <c r="AN611" i="2"/>
  <c r="AN615" i="2"/>
  <c r="AN619" i="2"/>
  <c r="AN623" i="2"/>
  <c r="AN627" i="2"/>
  <c r="AN631" i="2"/>
  <c r="AN635" i="2"/>
  <c r="AN639" i="2"/>
  <c r="AN643" i="2"/>
  <c r="AN647" i="2"/>
  <c r="AN651" i="2"/>
  <c r="AN655" i="2"/>
  <c r="AN659" i="2"/>
  <c r="AN663" i="2"/>
  <c r="AN667" i="2"/>
  <c r="AN671" i="2"/>
  <c r="AN675" i="2"/>
  <c r="AN679" i="2"/>
  <c r="AN683" i="2"/>
  <c r="AN687" i="2"/>
  <c r="AN691" i="2"/>
  <c r="AN695" i="2"/>
  <c r="AN699" i="2"/>
  <c r="AN703" i="2"/>
  <c r="AN707" i="2"/>
  <c r="AN711" i="2"/>
  <c r="AN715" i="2"/>
  <c r="AN719" i="2"/>
  <c r="AN723" i="2"/>
  <c r="AN451" i="2"/>
  <c r="AN459" i="2"/>
  <c r="AN467" i="2"/>
  <c r="AN475" i="2"/>
  <c r="AN483" i="2"/>
  <c r="AN491" i="2"/>
  <c r="AN499" i="2"/>
  <c r="AN507" i="2"/>
  <c r="AN515" i="2"/>
  <c r="AN523" i="2"/>
  <c r="AN531" i="2"/>
  <c r="AN539" i="2"/>
  <c r="AN544" i="2"/>
  <c r="AN548" i="2"/>
  <c r="AN552" i="2"/>
  <c r="AN556" i="2"/>
  <c r="AN560" i="2"/>
  <c r="AN564" i="2"/>
  <c r="AN568" i="2"/>
  <c r="AN572" i="2"/>
  <c r="AN576" i="2"/>
  <c r="AN580" i="2"/>
  <c r="AN584" i="2"/>
  <c r="AN588" i="2"/>
  <c r="AN592" i="2"/>
  <c r="AN596" i="2"/>
  <c r="AN600" i="2"/>
  <c r="AN604" i="2"/>
  <c r="AN608" i="2"/>
  <c r="AN612" i="2"/>
  <c r="AN616" i="2"/>
  <c r="AN620" i="2"/>
  <c r="AN624" i="2"/>
  <c r="AN628" i="2"/>
  <c r="AN632" i="2"/>
  <c r="AN636" i="2"/>
  <c r="AN640" i="2"/>
  <c r="AN644" i="2"/>
  <c r="AN648" i="2"/>
  <c r="AN652" i="2"/>
  <c r="AN656" i="2"/>
  <c r="AN660" i="2"/>
  <c r="AN664" i="2"/>
  <c r="AN668" i="2"/>
  <c r="AN672" i="2"/>
  <c r="AN676" i="2"/>
  <c r="AN680" i="2"/>
  <c r="AN684" i="2"/>
  <c r="AN688" i="2"/>
  <c r="AN692" i="2"/>
  <c r="AN696" i="2"/>
  <c r="AN700" i="2"/>
  <c r="AN704" i="2"/>
  <c r="AN708" i="2"/>
  <c r="AN712" i="2"/>
  <c r="AN716" i="2"/>
  <c r="AN720" i="2"/>
  <c r="AN724" i="2"/>
  <c r="AG440" i="2"/>
  <c r="AG444" i="2"/>
  <c r="AG448" i="2"/>
  <c r="AG441" i="2"/>
  <c r="AG445" i="2"/>
  <c r="AG442" i="2"/>
  <c r="AG446" i="2"/>
  <c r="AG443" i="2"/>
  <c r="AG447" i="2"/>
  <c r="AN441" i="2"/>
  <c r="AN445" i="2"/>
  <c r="AN442" i="2"/>
  <c r="AN446" i="2"/>
  <c r="AN443" i="2"/>
  <c r="AN447" i="2"/>
  <c r="AN440" i="2"/>
  <c r="AN444" i="2"/>
  <c r="AN448" i="2"/>
  <c r="AG429" i="2"/>
  <c r="AG433" i="2"/>
  <c r="AG437" i="2"/>
  <c r="AG430" i="2"/>
  <c r="AG434" i="2"/>
  <c r="AG438" i="2"/>
  <c r="AG431" i="2"/>
  <c r="AG435" i="2"/>
  <c r="AG439" i="2"/>
  <c r="AG432" i="2"/>
  <c r="AG436" i="2"/>
  <c r="AN432" i="2"/>
  <c r="AN436" i="2"/>
  <c r="AN429" i="2"/>
  <c r="AN433" i="2"/>
  <c r="AN437" i="2"/>
  <c r="AN430" i="2"/>
  <c r="AN434" i="2"/>
  <c r="AN438" i="2"/>
  <c r="AN431" i="2"/>
  <c r="AN435" i="2"/>
  <c r="AN439" i="2"/>
  <c r="AG421" i="2"/>
  <c r="AG425" i="2"/>
  <c r="AG422" i="2"/>
  <c r="AG426" i="2"/>
  <c r="AG423" i="2"/>
  <c r="AG427" i="2"/>
  <c r="AG424" i="2"/>
  <c r="AG428" i="2"/>
  <c r="AN421" i="2"/>
  <c r="AN425" i="2"/>
  <c r="AN422" i="2"/>
  <c r="AN426" i="2"/>
  <c r="AN423" i="2"/>
  <c r="AN427" i="2"/>
  <c r="AN424" i="2"/>
  <c r="AN428" i="2"/>
  <c r="AG413" i="2"/>
  <c r="AG417" i="2"/>
  <c r="AG414" i="2"/>
  <c r="AG418" i="2"/>
  <c r="AG415" i="2"/>
  <c r="AG419" i="2"/>
  <c r="AG416" i="2"/>
  <c r="AG420" i="2"/>
  <c r="AN413" i="2"/>
  <c r="AN417" i="2"/>
  <c r="AN414" i="2"/>
  <c r="AN418" i="2"/>
  <c r="AN415" i="2"/>
  <c r="AN419" i="2"/>
  <c r="AN416" i="2"/>
  <c r="AN420" i="2"/>
  <c r="AG409" i="2"/>
  <c r="AG412" i="2"/>
  <c r="AG410" i="2"/>
  <c r="AG411" i="2"/>
  <c r="AN409" i="2"/>
  <c r="AN410" i="2"/>
  <c r="AN411" i="2"/>
  <c r="AN412" i="2"/>
  <c r="AG403" i="2"/>
  <c r="AG404" i="2"/>
  <c r="AG408" i="2"/>
  <c r="AG405" i="2"/>
  <c r="AG406" i="2"/>
  <c r="AG407" i="2"/>
  <c r="AN403" i="2"/>
  <c r="AN405" i="2"/>
  <c r="AN406" i="2"/>
  <c r="AN407" i="2"/>
  <c r="AN404" i="2"/>
  <c r="AN408" i="2"/>
  <c r="AN400" i="2"/>
  <c r="AN401" i="2"/>
  <c r="AN402" i="2"/>
  <c r="AG400" i="2"/>
  <c r="AG401" i="2"/>
  <c r="AG402" i="2"/>
  <c r="AG397" i="2"/>
  <c r="AG398" i="2"/>
  <c r="AG399" i="2"/>
  <c r="AN399" i="2"/>
  <c r="AN397" i="2"/>
  <c r="AN398" i="2"/>
  <c r="AG393" i="2"/>
  <c r="AG394" i="2"/>
  <c r="AG395" i="2"/>
  <c r="AG396" i="2"/>
  <c r="AN393" i="2"/>
  <c r="AN394" i="2"/>
  <c r="AN396" i="2"/>
  <c r="AN395" i="2"/>
  <c r="AG389" i="2"/>
  <c r="AG390" i="2"/>
  <c r="AG391" i="2"/>
  <c r="AG392" i="2"/>
  <c r="AN389" i="2"/>
  <c r="AN391" i="2"/>
  <c r="AN390" i="2"/>
  <c r="AN392" i="2"/>
  <c r="AG383" i="2"/>
  <c r="AG387" i="2"/>
  <c r="AG384" i="2"/>
  <c r="AG388" i="2"/>
  <c r="AG385" i="2"/>
  <c r="AG386" i="2"/>
  <c r="AN385" i="2"/>
  <c r="AN386" i="2"/>
  <c r="AN383" i="2"/>
  <c r="AN387" i="2"/>
  <c r="AN384" i="2"/>
  <c r="AN388" i="2"/>
  <c r="AN375" i="2"/>
  <c r="AN379" i="2"/>
  <c r="AN376" i="2"/>
  <c r="AN380" i="2"/>
  <c r="AN377" i="2"/>
  <c r="AN381" i="2"/>
  <c r="AN378" i="2"/>
  <c r="AN382" i="2"/>
  <c r="AG375" i="2"/>
  <c r="AG379" i="2"/>
  <c r="AG376" i="2"/>
  <c r="AG380" i="2"/>
  <c r="AG377" i="2"/>
  <c r="AG381" i="2"/>
  <c r="AG378" i="2"/>
  <c r="AG382" i="2"/>
  <c r="AN371" i="2"/>
  <c r="AN372" i="2"/>
  <c r="AN373" i="2"/>
  <c r="AN374" i="2"/>
  <c r="AG371" i="2"/>
  <c r="AG372" i="2"/>
  <c r="AG373" i="2"/>
  <c r="AG374" i="2"/>
  <c r="AN368" i="2"/>
  <c r="AN369" i="2"/>
  <c r="AN370" i="2"/>
  <c r="AG368" i="2"/>
  <c r="AG369" i="2"/>
  <c r="AG370" i="2"/>
  <c r="AG366" i="2"/>
  <c r="AG367" i="2"/>
  <c r="AN366" i="2"/>
  <c r="AN367" i="2"/>
  <c r="AN362" i="2"/>
  <c r="AN365" i="2"/>
  <c r="AN363" i="2"/>
  <c r="AN360" i="2"/>
  <c r="AN364" i="2"/>
  <c r="AN361" i="2"/>
  <c r="AG360" i="2"/>
  <c r="AG364" i="2"/>
  <c r="AG361" i="2"/>
  <c r="AG365" i="2"/>
  <c r="AG362" i="2"/>
  <c r="AG363" i="2"/>
  <c r="AG357" i="2"/>
  <c r="AG358" i="2"/>
  <c r="AG359" i="2"/>
  <c r="AN357" i="2"/>
  <c r="AN358" i="2"/>
  <c r="AN359" i="2"/>
  <c r="AG355" i="2"/>
  <c r="AG356" i="2"/>
  <c r="AN355" i="2"/>
  <c r="AN356" i="2"/>
  <c r="AN353" i="2"/>
  <c r="AN354" i="2"/>
  <c r="AG353" i="2"/>
  <c r="AG354" i="2"/>
  <c r="AG351" i="2"/>
  <c r="AG352" i="2"/>
  <c r="AN351" i="2"/>
  <c r="AN352" i="2"/>
  <c r="AN350" i="2"/>
  <c r="AN349" i="2"/>
  <c r="AG349" i="2"/>
  <c r="AG350" i="2"/>
  <c r="AG344" i="2"/>
  <c r="AG348" i="2"/>
  <c r="AG345" i="2"/>
  <c r="AG346" i="2"/>
  <c r="AG347" i="2"/>
  <c r="AN345" i="2"/>
  <c r="AN346" i="2"/>
  <c r="AN347" i="2"/>
  <c r="AN344" i="2"/>
  <c r="AN348" i="2"/>
  <c r="AG341" i="2"/>
  <c r="AG342" i="2"/>
  <c r="AG343" i="2"/>
  <c r="AN343" i="2"/>
  <c r="AN341" i="2"/>
  <c r="AN342" i="2"/>
  <c r="AN338" i="2"/>
  <c r="AN339" i="2"/>
  <c r="AN340" i="2"/>
  <c r="AG338" i="2"/>
  <c r="AG339" i="2"/>
  <c r="AG340" i="2"/>
  <c r="AN336" i="2"/>
  <c r="AN337" i="2"/>
  <c r="AG336" i="2"/>
  <c r="AG337" i="2"/>
  <c r="AN334" i="2"/>
  <c r="AN335" i="2"/>
  <c r="AG334" i="2"/>
  <c r="AG335" i="2"/>
  <c r="AN332" i="2"/>
  <c r="AN333" i="2"/>
  <c r="AG332" i="2"/>
  <c r="AG333" i="2"/>
  <c r="AG327" i="2"/>
  <c r="AG331" i="2"/>
  <c r="AG328" i="2"/>
  <c r="AG329" i="2"/>
  <c r="AG330" i="2"/>
  <c r="AN328" i="2"/>
  <c r="AN329" i="2"/>
  <c r="AN330" i="2"/>
  <c r="AN327" i="2"/>
  <c r="AN331" i="2"/>
  <c r="AN324" i="2"/>
  <c r="AN325" i="2"/>
  <c r="AN326" i="2"/>
  <c r="AG324" i="2"/>
  <c r="AG325" i="2"/>
  <c r="AG326" i="2"/>
  <c r="AG319" i="2"/>
  <c r="AG323" i="2"/>
  <c r="AG320" i="2"/>
  <c r="AG321" i="2"/>
  <c r="AG322" i="2"/>
  <c r="AN320" i="2"/>
  <c r="AN321" i="2"/>
  <c r="AN322" i="2"/>
  <c r="AN319" i="2"/>
  <c r="AN323" i="2"/>
  <c r="AN317" i="2"/>
  <c r="AN318" i="2"/>
  <c r="AG317" i="2"/>
  <c r="AG318" i="2"/>
  <c r="AG314" i="2"/>
  <c r="AG315" i="2"/>
  <c r="AG316" i="2"/>
  <c r="AN314" i="2"/>
  <c r="AN315" i="2"/>
  <c r="AN316" i="2"/>
  <c r="AN312" i="2"/>
  <c r="AN313" i="2"/>
  <c r="AG312" i="2"/>
  <c r="AG313" i="2"/>
  <c r="AG310" i="2"/>
  <c r="AG311" i="2"/>
  <c r="AN310" i="2"/>
  <c r="AN311" i="2"/>
  <c r="AN308" i="2"/>
  <c r="AN309" i="2"/>
  <c r="AG308" i="2"/>
  <c r="AG309" i="2"/>
  <c r="AG304" i="2"/>
  <c r="AG305" i="2"/>
  <c r="AG306" i="2"/>
  <c r="AG307" i="2"/>
  <c r="AN304" i="2"/>
  <c r="AN305" i="2"/>
  <c r="AN306" i="2"/>
  <c r="AN307" i="2"/>
  <c r="AG302" i="2"/>
  <c r="AG303" i="2"/>
  <c r="AN302" i="2"/>
  <c r="AN303" i="2"/>
  <c r="AN298" i="2"/>
  <c r="AN301" i="2"/>
  <c r="AN299" i="2"/>
  <c r="AN300" i="2"/>
  <c r="AG298" i="2"/>
  <c r="AG299" i="2"/>
  <c r="AG300" i="2"/>
  <c r="AG301" i="2"/>
  <c r="AN294" i="2"/>
  <c r="AN295" i="2"/>
  <c r="AN292" i="2"/>
  <c r="AN296" i="2"/>
  <c r="AN293" i="2"/>
  <c r="AN297" i="2"/>
  <c r="AG292" i="2"/>
  <c r="AG296" i="2"/>
  <c r="AG293" i="2"/>
  <c r="AG297" i="2"/>
  <c r="AG294" i="2"/>
  <c r="AG295" i="2"/>
  <c r="AG290" i="2"/>
  <c r="AG291" i="2"/>
  <c r="AN290" i="2"/>
  <c r="AN291" i="2"/>
  <c r="AN287" i="2"/>
  <c r="AN288" i="2"/>
  <c r="AN286" i="2"/>
  <c r="AN289" i="2"/>
  <c r="AG288" i="2"/>
  <c r="AG286" i="2"/>
  <c r="AG289" i="2"/>
  <c r="AG287" i="2"/>
  <c r="AN284" i="2"/>
  <c r="AN285" i="2"/>
  <c r="AG284" i="2"/>
  <c r="AG285" i="2"/>
  <c r="AG282" i="2"/>
  <c r="AG283" i="2"/>
  <c r="AN282" i="2"/>
  <c r="AN283" i="2"/>
  <c r="AN280" i="2"/>
  <c r="AN281" i="2"/>
  <c r="AG280" i="2"/>
  <c r="AG281" i="2"/>
  <c r="AG278" i="2"/>
  <c r="AG279" i="2"/>
  <c r="AN278" i="2"/>
  <c r="AN279" i="2"/>
  <c r="AG276" i="2"/>
  <c r="AG277" i="2"/>
  <c r="AN276" i="2"/>
  <c r="AN277" i="2"/>
  <c r="X58" i="2"/>
  <c r="AG274" i="2"/>
  <c r="AG275" i="2"/>
  <c r="AN274" i="2"/>
  <c r="AN275" i="2"/>
  <c r="AN272" i="2"/>
  <c r="AN273" i="2"/>
  <c r="AG272" i="2"/>
  <c r="AG273" i="2"/>
  <c r="AG269" i="2"/>
  <c r="AG270" i="2"/>
  <c r="AG271" i="2"/>
  <c r="AN269" i="2"/>
  <c r="AN270" i="2"/>
  <c r="AN271" i="2"/>
  <c r="AG265" i="2"/>
  <c r="AG266" i="2"/>
  <c r="AG267" i="2"/>
  <c r="AG268" i="2"/>
  <c r="AN265" i="2"/>
  <c r="AN266" i="2"/>
  <c r="AN267" i="2"/>
  <c r="AN268" i="2"/>
  <c r="AG261" i="2"/>
  <c r="AG262" i="2"/>
  <c r="AG263" i="2"/>
  <c r="AG264" i="2"/>
  <c r="AN261" i="2"/>
  <c r="AN262" i="2"/>
  <c r="AN263" i="2"/>
  <c r="AN264" i="2"/>
  <c r="AG258" i="2"/>
  <c r="AG259" i="2"/>
  <c r="AG260" i="2"/>
  <c r="AN258" i="2"/>
  <c r="AN259" i="2"/>
  <c r="AN260" i="2"/>
  <c r="AG256" i="2"/>
  <c r="AG257" i="2"/>
  <c r="AN256" i="2"/>
  <c r="AN257" i="2"/>
  <c r="AN254" i="2"/>
  <c r="AN255" i="2"/>
  <c r="AG254" i="2"/>
  <c r="AG255" i="2"/>
  <c r="AG252" i="2"/>
  <c r="AG253" i="2"/>
  <c r="AN252" i="2"/>
  <c r="AN253" i="2"/>
  <c r="AG250" i="2"/>
  <c r="AG251" i="2"/>
  <c r="AN250" i="2"/>
  <c r="AN251" i="2"/>
  <c r="AN247" i="2"/>
  <c r="AN248" i="2"/>
  <c r="AN249" i="2"/>
  <c r="AG247" i="2"/>
  <c r="AG248" i="2"/>
  <c r="AG249" i="2"/>
  <c r="AN245" i="2"/>
  <c r="AN246" i="2"/>
  <c r="AG245" i="2"/>
  <c r="AG246" i="2"/>
  <c r="AG240" i="2"/>
  <c r="AG241" i="2"/>
  <c r="AG242" i="2"/>
  <c r="AG243" i="2"/>
  <c r="AG244" i="2"/>
  <c r="AN240" i="2"/>
  <c r="AN241" i="2"/>
  <c r="AN242" i="2"/>
  <c r="AN243" i="2"/>
  <c r="AN244" i="2"/>
  <c r="AG238" i="2"/>
  <c r="AG239" i="2"/>
  <c r="AN238" i="2"/>
  <c r="AN239" i="2"/>
  <c r="AN236" i="2"/>
  <c r="AN237" i="2"/>
  <c r="AG236" i="2"/>
  <c r="AG237" i="2"/>
  <c r="AG234" i="2"/>
  <c r="AG235" i="2"/>
  <c r="AN234" i="2"/>
  <c r="AN235" i="2"/>
  <c r="AN232" i="2"/>
  <c r="AN233" i="2"/>
  <c r="AG232" i="2"/>
  <c r="AG233" i="2"/>
  <c r="AG230" i="2"/>
  <c r="AG231" i="2"/>
  <c r="AN230" i="2"/>
  <c r="AN231" i="2"/>
  <c r="AN228" i="2"/>
  <c r="AN229" i="2"/>
  <c r="AG228" i="2"/>
  <c r="AG229" i="2"/>
  <c r="AG225" i="2"/>
  <c r="AG226" i="2"/>
  <c r="AG227" i="2"/>
  <c r="AN225" i="2"/>
  <c r="AN226" i="2"/>
  <c r="AN227" i="2"/>
  <c r="AG223" i="2"/>
  <c r="AG224" i="2"/>
  <c r="AN223" i="2"/>
  <c r="AN224" i="2"/>
  <c r="AN221" i="2"/>
  <c r="AN222" i="2"/>
  <c r="AG221" i="2"/>
  <c r="AG222" i="2"/>
  <c r="AG219" i="2"/>
  <c r="AG220" i="2"/>
  <c r="AN219" i="2"/>
  <c r="AN220" i="2"/>
  <c r="AN217" i="2"/>
  <c r="AN218" i="2"/>
  <c r="AG217" i="2"/>
  <c r="AG218" i="2"/>
  <c r="AN216" i="2"/>
  <c r="AN213" i="2"/>
  <c r="AN212" i="2"/>
  <c r="AN214" i="2"/>
  <c r="AN215" i="2"/>
  <c r="AG216" i="2"/>
  <c r="AG215" i="2"/>
  <c r="AG212" i="2"/>
  <c r="AG214" i="2"/>
  <c r="AG213" i="2"/>
  <c r="AG210" i="2"/>
  <c r="AG211" i="2"/>
  <c r="AN210" i="2"/>
  <c r="AN211" i="2"/>
  <c r="AN208" i="2"/>
  <c r="AN209" i="2"/>
  <c r="AG208" i="2"/>
  <c r="AG209" i="2"/>
  <c r="AG206" i="2"/>
  <c r="AG207" i="2"/>
  <c r="AN206" i="2"/>
  <c r="AN207" i="2"/>
  <c r="AN204" i="2"/>
  <c r="AN205" i="2"/>
  <c r="AG204" i="2"/>
  <c r="AG205" i="2"/>
  <c r="AG202" i="2"/>
  <c r="AG203" i="2"/>
  <c r="AN202" i="2"/>
  <c r="AN203" i="2"/>
  <c r="AN200" i="2"/>
  <c r="AN201" i="2"/>
  <c r="AG200" i="2"/>
  <c r="AG201" i="2"/>
  <c r="AN198" i="2"/>
  <c r="AN199" i="2"/>
  <c r="AG198" i="2"/>
  <c r="AG199" i="2"/>
  <c r="AN196" i="2"/>
  <c r="AN197" i="2"/>
  <c r="AG196" i="2"/>
  <c r="AG197" i="2"/>
  <c r="AG194" i="2"/>
  <c r="AG195" i="2"/>
  <c r="AN194" i="2"/>
  <c r="AN195" i="2"/>
  <c r="AN192" i="2"/>
  <c r="AN193" i="2"/>
  <c r="AG192" i="2"/>
  <c r="AG193" i="2"/>
  <c r="AG190" i="2"/>
  <c r="AG191" i="2"/>
  <c r="AN190" i="2"/>
  <c r="AN191" i="2"/>
  <c r="AN188" i="2"/>
  <c r="AN189" i="2"/>
  <c r="AG188" i="2"/>
  <c r="AG189" i="2"/>
  <c r="AG186" i="2"/>
  <c r="AG187" i="2"/>
  <c r="AN186" i="2"/>
  <c r="AN187" i="2"/>
  <c r="AN184" i="2"/>
  <c r="AN185" i="2"/>
  <c r="AG184" i="2"/>
  <c r="AG185" i="2"/>
  <c r="AG182" i="2"/>
  <c r="AG183" i="2"/>
  <c r="AN182" i="2"/>
  <c r="AN183" i="2"/>
  <c r="AN180" i="2"/>
  <c r="AN181" i="2"/>
  <c r="AG180" i="2"/>
  <c r="AG181" i="2"/>
  <c r="AG178" i="2"/>
  <c r="AG179" i="2"/>
  <c r="AN178" i="2"/>
  <c r="AN179" i="2"/>
  <c r="AN176" i="2"/>
  <c r="AN177" i="2"/>
  <c r="AG176" i="2"/>
  <c r="AG177" i="2"/>
  <c r="AG174" i="2"/>
  <c r="AG175" i="2"/>
  <c r="AN174" i="2"/>
  <c r="AN175" i="2"/>
  <c r="AN172" i="2"/>
  <c r="AN173" i="2"/>
  <c r="AG172" i="2"/>
  <c r="AG173" i="2"/>
  <c r="AG170" i="2"/>
  <c r="AG171" i="2"/>
  <c r="AN170" i="2"/>
  <c r="AN171" i="2"/>
  <c r="AN168" i="2"/>
  <c r="AN169" i="2"/>
  <c r="AG168" i="2"/>
  <c r="AG169" i="2"/>
  <c r="AG166" i="2"/>
  <c r="AG167" i="2"/>
  <c r="AN166" i="2"/>
  <c r="AN167" i="2"/>
  <c r="AN164" i="2"/>
  <c r="AN165" i="2"/>
  <c r="AG164" i="2"/>
  <c r="AG165" i="2"/>
  <c r="AG162" i="2"/>
  <c r="AG163" i="2"/>
  <c r="AN162" i="2"/>
  <c r="AN163" i="2"/>
  <c r="AN160" i="2"/>
  <c r="AN161" i="2"/>
  <c r="AG160" i="2"/>
  <c r="AG161" i="2"/>
  <c r="AG158" i="2"/>
  <c r="AG159" i="2"/>
  <c r="AN158" i="2"/>
  <c r="AN159" i="2"/>
  <c r="AN156" i="2"/>
  <c r="AN157" i="2"/>
  <c r="AG156" i="2"/>
  <c r="AG157" i="2"/>
  <c r="AG154" i="2"/>
  <c r="AG155" i="2"/>
  <c r="AN154" i="2"/>
  <c r="AN155" i="2"/>
  <c r="AN152" i="2"/>
  <c r="AN153" i="2"/>
  <c r="AG152" i="2"/>
  <c r="AG153" i="2"/>
  <c r="AG150" i="2"/>
  <c r="AG151" i="2"/>
  <c r="AN150" i="2"/>
  <c r="AN151" i="2"/>
  <c r="AN148" i="2"/>
  <c r="AN149" i="2"/>
  <c r="AG148" i="2"/>
  <c r="AG149" i="2"/>
  <c r="AG146" i="2"/>
  <c r="AG147" i="2"/>
  <c r="AN146" i="2"/>
  <c r="AN147" i="2"/>
  <c r="AN144" i="2"/>
  <c r="AN145" i="2"/>
  <c r="AG144" i="2"/>
  <c r="AG145" i="2"/>
  <c r="AG142" i="2"/>
  <c r="AG143" i="2"/>
  <c r="AN142" i="2"/>
  <c r="AN143" i="2"/>
  <c r="AN140" i="2"/>
  <c r="AN141" i="2"/>
  <c r="AG140" i="2"/>
  <c r="AG141" i="2"/>
  <c r="AN138" i="2"/>
  <c r="AN139" i="2"/>
  <c r="AG138" i="2"/>
  <c r="AG139" i="2"/>
  <c r="AN136" i="2"/>
  <c r="AN137" i="2"/>
  <c r="AG136" i="2"/>
  <c r="AG137" i="2"/>
  <c r="AG134" i="2"/>
  <c r="AG135" i="2"/>
  <c r="AN134" i="2"/>
  <c r="AN135" i="2"/>
  <c r="AN132" i="2"/>
  <c r="AN133" i="2"/>
  <c r="AG132" i="2"/>
  <c r="AG133" i="2"/>
  <c r="AG130" i="2"/>
  <c r="AG131" i="2"/>
  <c r="AN130" i="2"/>
  <c r="AN131" i="2"/>
  <c r="AN128" i="2"/>
  <c r="AN129" i="2"/>
  <c r="AG128" i="2"/>
  <c r="AG129" i="2"/>
  <c r="AG126" i="2"/>
  <c r="AG127" i="2"/>
  <c r="AN126" i="2"/>
  <c r="AN127" i="2"/>
  <c r="AN124" i="2"/>
  <c r="AN125" i="2"/>
  <c r="AG124" i="2"/>
  <c r="AG125" i="2"/>
  <c r="AG122" i="2"/>
  <c r="AG123" i="2"/>
  <c r="AN122" i="2"/>
  <c r="AN123" i="2"/>
  <c r="AN120" i="2"/>
  <c r="AN121" i="2"/>
  <c r="AG120" i="2"/>
  <c r="AG121" i="2"/>
  <c r="AG118" i="2"/>
  <c r="AG119" i="2"/>
  <c r="AN118" i="2"/>
  <c r="AN119" i="2"/>
  <c r="AN116" i="2"/>
  <c r="AN117" i="2"/>
  <c r="AG116" i="2"/>
  <c r="AG117" i="2"/>
  <c r="AG114" i="2"/>
  <c r="AG115" i="2"/>
  <c r="AN114" i="2"/>
  <c r="AN115" i="2"/>
  <c r="AN112" i="2"/>
  <c r="AN113" i="2"/>
  <c r="AG112" i="2"/>
  <c r="AG113" i="2"/>
  <c r="AG110" i="2"/>
  <c r="AG111" i="2"/>
  <c r="AN110" i="2"/>
  <c r="AN111" i="2"/>
  <c r="AN108" i="2"/>
  <c r="AN109" i="2"/>
  <c r="AG108" i="2"/>
  <c r="AG109" i="2"/>
  <c r="AG106" i="2"/>
  <c r="AG107" i="2"/>
  <c r="AN106" i="2"/>
  <c r="AN107" i="2"/>
  <c r="AN104" i="2"/>
  <c r="AN105" i="2"/>
  <c r="AG104" i="2"/>
  <c r="AG105" i="2"/>
  <c r="AG102" i="2"/>
  <c r="AG103" i="2"/>
  <c r="AN102" i="2"/>
  <c r="AN103" i="2"/>
  <c r="AN100" i="2"/>
  <c r="AN101" i="2"/>
  <c r="AG100" i="2"/>
  <c r="AG101" i="2"/>
  <c r="AG98" i="2"/>
  <c r="AG99" i="2"/>
  <c r="AN98" i="2"/>
  <c r="AN99" i="2"/>
  <c r="AN96" i="2"/>
  <c r="AN97" i="2"/>
  <c r="AG96" i="2"/>
  <c r="AG97" i="2"/>
  <c r="AG94" i="2"/>
  <c r="AG95" i="2"/>
  <c r="AN94" i="2"/>
  <c r="AN95" i="2"/>
  <c r="AN92" i="2"/>
  <c r="AN93" i="2"/>
  <c r="AG92" i="2"/>
  <c r="AG93" i="2"/>
  <c r="AG90" i="2"/>
  <c r="AG91" i="2"/>
  <c r="AN90" i="2"/>
  <c r="AN91" i="2"/>
  <c r="AN88" i="2"/>
  <c r="AN89" i="2"/>
  <c r="AG88" i="2"/>
  <c r="AG89" i="2"/>
  <c r="AG86" i="2"/>
  <c r="AG87" i="2"/>
  <c r="AN86" i="2"/>
  <c r="AN87" i="2"/>
  <c r="AG85" i="2"/>
  <c r="AN84" i="2"/>
  <c r="AN85" i="2"/>
  <c r="AG83" i="2"/>
  <c r="AG84" i="2"/>
  <c r="AN82" i="2"/>
  <c r="AN83" i="2"/>
  <c r="AG81" i="2"/>
  <c r="AG82" i="2"/>
  <c r="AN80" i="2"/>
  <c r="AN81" i="2"/>
  <c r="AG79" i="2"/>
  <c r="AG80" i="2"/>
  <c r="AL59" i="2"/>
  <c r="AN79" i="2"/>
  <c r="AN60" i="2"/>
  <c r="AN64" i="2"/>
  <c r="AN68" i="2"/>
  <c r="AN72" i="2"/>
  <c r="AN76" i="2"/>
  <c r="AN59" i="2"/>
  <c r="AN71" i="2"/>
  <c r="AN61" i="2"/>
  <c r="AN65" i="2"/>
  <c r="AN69" i="2"/>
  <c r="AN73" i="2"/>
  <c r="AN77" i="2"/>
  <c r="AN63" i="2"/>
  <c r="AN75" i="2"/>
  <c r="AN62" i="2"/>
  <c r="AN66" i="2"/>
  <c r="AN70" i="2"/>
  <c r="AN74" i="2"/>
  <c r="AN78" i="2"/>
  <c r="AN67" i="2"/>
  <c r="AI59" i="2"/>
  <c r="AJ59" i="2" s="1"/>
  <c r="AR59" i="2" s="1"/>
  <c r="AG59" i="2"/>
  <c r="AG78" i="2"/>
  <c r="AG77" i="2"/>
  <c r="AG76" i="2"/>
  <c r="AG75" i="2"/>
  <c r="AG74" i="2"/>
  <c r="AG73" i="2"/>
  <c r="AG71" i="2"/>
  <c r="AG72" i="2"/>
  <c r="AG70" i="2"/>
  <c r="AG69" i="2"/>
  <c r="AG68" i="2"/>
  <c r="AG67" i="2"/>
  <c r="AG66" i="2"/>
  <c r="AG65" i="2"/>
  <c r="AG64" i="2"/>
  <c r="AG63" i="2"/>
  <c r="AG62" i="2"/>
  <c r="AG61" i="2"/>
  <c r="AG60" i="2"/>
  <c r="K58" i="2"/>
  <c r="O58" i="2"/>
  <c r="AQ59" i="2"/>
  <c r="AH59" i="2"/>
  <c r="AO59" i="2"/>
  <c r="AP59" i="2" s="1"/>
  <c r="T58" i="2"/>
  <c r="AB59" i="2"/>
  <c r="AD59" i="2"/>
  <c r="AE58" i="2"/>
  <c r="AA58" i="2"/>
  <c r="Y58" i="2"/>
  <c r="Z58" i="2" s="1"/>
  <c r="U58" i="2"/>
  <c r="V58" i="2" s="1"/>
  <c r="P58" i="2"/>
  <c r="Q58" i="2" s="1"/>
  <c r="L58" i="2"/>
  <c r="M58" i="2" s="1"/>
  <c r="AK58" i="2"/>
  <c r="AL58" i="2" s="1"/>
  <c r="C57" i="2"/>
  <c r="D57" i="2"/>
  <c r="E57" i="2"/>
  <c r="F57" i="2"/>
  <c r="H57" i="2" s="1"/>
  <c r="J57" i="2"/>
  <c r="N57" i="2"/>
  <c r="S57" i="2"/>
  <c r="W57" i="2"/>
  <c r="AB58" i="2" l="1"/>
  <c r="AC58" i="2"/>
  <c r="AD58" i="2" s="1"/>
  <c r="AN58" i="2"/>
  <c r="AI58" i="2"/>
  <c r="AJ58" i="2" s="1"/>
  <c r="AR58" i="2" s="1"/>
  <c r="AG58" i="2"/>
  <c r="X57" i="2"/>
  <c r="O57" i="2"/>
  <c r="K57" i="2"/>
  <c r="T57" i="2"/>
  <c r="AH58" i="2"/>
  <c r="AO58" i="2"/>
  <c r="AP58" i="2" s="1"/>
  <c r="AQ58" i="2"/>
  <c r="AE57" i="2"/>
  <c r="P57" i="2"/>
  <c r="Q57" i="2" s="1"/>
  <c r="AK57" i="2"/>
  <c r="Y57" i="2"/>
  <c r="Z57" i="2" s="1"/>
  <c r="U57" i="2"/>
  <c r="V57" i="2" s="1"/>
  <c r="AA57" i="2"/>
  <c r="AC57" i="2" s="1"/>
  <c r="L57" i="2"/>
  <c r="M57" i="2" s="1"/>
  <c r="C56" i="2"/>
  <c r="D56" i="2"/>
  <c r="E56" i="2"/>
  <c r="F56" i="2"/>
  <c r="H56" i="2" s="1"/>
  <c r="J56" i="2"/>
  <c r="N56" i="2"/>
  <c r="S56" i="2"/>
  <c r="W56" i="2"/>
  <c r="AL57" i="2" l="1"/>
  <c r="AN57" i="2"/>
  <c r="AH57" i="2"/>
  <c r="AG57" i="2"/>
  <c r="X56" i="2"/>
  <c r="K56" i="2"/>
  <c r="T56" i="2"/>
  <c r="AQ57" i="2"/>
  <c r="O56" i="2"/>
  <c r="AI57" i="2"/>
  <c r="AJ57" i="2" s="1"/>
  <c r="AR57" i="2" s="1"/>
  <c r="AO57" i="2"/>
  <c r="AP57" i="2" s="1"/>
  <c r="AD57" i="2"/>
  <c r="AB57" i="2"/>
  <c r="AE56" i="2"/>
  <c r="AA56" i="2"/>
  <c r="AC56" i="2" s="1"/>
  <c r="Y56" i="2"/>
  <c r="Z56" i="2" s="1"/>
  <c r="U56" i="2"/>
  <c r="V56" i="2" s="1"/>
  <c r="P56" i="2"/>
  <c r="Q56" i="2" s="1"/>
  <c r="L56" i="2"/>
  <c r="M56" i="2" s="1"/>
  <c r="AK56" i="2"/>
  <c r="C55" i="2"/>
  <c r="D55" i="2"/>
  <c r="E55" i="2"/>
  <c r="F55" i="2"/>
  <c r="H55" i="2" s="1"/>
  <c r="J55" i="2"/>
  <c r="N55" i="2"/>
  <c r="S55" i="2"/>
  <c r="W55" i="2"/>
  <c r="X55" i="2" l="1"/>
  <c r="AL56" i="2"/>
  <c r="AN56" i="2"/>
  <c r="AH56" i="2"/>
  <c r="AG56" i="2"/>
  <c r="O55" i="2"/>
  <c r="AQ56" i="2"/>
  <c r="AI56" i="2"/>
  <c r="AJ56" i="2" s="1"/>
  <c r="AR56" i="2" s="1"/>
  <c r="AO56" i="2"/>
  <c r="AP56" i="2" s="1"/>
  <c r="AB56" i="2"/>
  <c r="AD56" i="2"/>
  <c r="K55" i="2"/>
  <c r="T55" i="2"/>
  <c r="AE55" i="2"/>
  <c r="AA55" i="2"/>
  <c r="AC55" i="2" s="1"/>
  <c r="Y55" i="2"/>
  <c r="Z55" i="2" s="1"/>
  <c r="U55" i="2"/>
  <c r="V55" i="2" s="1"/>
  <c r="P55" i="2"/>
  <c r="Q55" i="2" s="1"/>
  <c r="L55" i="2"/>
  <c r="M55" i="2" s="1"/>
  <c r="AK55" i="2"/>
  <c r="C54" i="2"/>
  <c r="D54" i="2"/>
  <c r="E54" i="2"/>
  <c r="F54" i="2"/>
  <c r="H54" i="2" s="1"/>
  <c r="J54" i="2"/>
  <c r="N54" i="2"/>
  <c r="S54" i="2"/>
  <c r="W54" i="2"/>
  <c r="AL55" i="2" l="1"/>
  <c r="AN55" i="2"/>
  <c r="AI55" i="2"/>
  <c r="AJ55" i="2" s="1"/>
  <c r="AR55" i="2" s="1"/>
  <c r="AG55" i="2"/>
  <c r="T54" i="2"/>
  <c r="K54" i="2"/>
  <c r="P54" i="2"/>
  <c r="Q54" i="2" s="1"/>
  <c r="U54" i="2"/>
  <c r="V54" i="2" s="1"/>
  <c r="AH55" i="2"/>
  <c r="AO55" i="2"/>
  <c r="AP55" i="2" s="1"/>
  <c r="Y54" i="2"/>
  <c r="Z54" i="2" s="1"/>
  <c r="AQ55" i="2"/>
  <c r="AB55" i="2"/>
  <c r="AD55" i="2"/>
  <c r="AK54" i="2"/>
  <c r="AE54" i="2"/>
  <c r="O54" i="2"/>
  <c r="L54" i="2"/>
  <c r="M54" i="2" s="1"/>
  <c r="AA54" i="2"/>
  <c r="AC54" i="2" s="1"/>
  <c r="X54" i="2"/>
  <c r="C53" i="2"/>
  <c r="D53" i="2"/>
  <c r="E53" i="2"/>
  <c r="F53" i="2"/>
  <c r="H53" i="2" s="1"/>
  <c r="J53" i="2"/>
  <c r="N53" i="2"/>
  <c r="S53" i="2"/>
  <c r="W53" i="2"/>
  <c r="AL54" i="2" l="1"/>
  <c r="AN54" i="2"/>
  <c r="AO54" i="2"/>
  <c r="AP54" i="2" s="1"/>
  <c r="AG54" i="2"/>
  <c r="AQ54" i="2"/>
  <c r="AI54" i="2"/>
  <c r="AJ54" i="2" s="1"/>
  <c r="AR54" i="2" s="1"/>
  <c r="T53" i="2"/>
  <c r="AH54" i="2"/>
  <c r="AD54" i="2"/>
  <c r="AB54" i="2"/>
  <c r="P53" i="2"/>
  <c r="Q53" i="2" s="1"/>
  <c r="AK53" i="2"/>
  <c r="K53" i="2"/>
  <c r="U53" i="2"/>
  <c r="V53" i="2" s="1"/>
  <c r="Y53" i="2"/>
  <c r="Z53" i="2" s="1"/>
  <c r="AE53" i="2"/>
  <c r="AA53" i="2"/>
  <c r="AC53" i="2" s="1"/>
  <c r="L53" i="2"/>
  <c r="M53" i="2" s="1"/>
  <c r="X53" i="2"/>
  <c r="O53" i="2"/>
  <c r="C52" i="2"/>
  <c r="D52" i="2"/>
  <c r="E52" i="2"/>
  <c r="F52" i="2"/>
  <c r="H52" i="2" s="1"/>
  <c r="J52" i="2"/>
  <c r="N52" i="2"/>
  <c r="S52" i="2"/>
  <c r="W52" i="2"/>
  <c r="X52" i="2" s="1"/>
  <c r="C51" i="2"/>
  <c r="D51" i="2"/>
  <c r="E51" i="2"/>
  <c r="F51" i="2"/>
  <c r="H51" i="2" s="1"/>
  <c r="J51" i="2"/>
  <c r="N51" i="2"/>
  <c r="S51" i="2"/>
  <c r="W51" i="2"/>
  <c r="X51" i="2" l="1"/>
  <c r="AQ53" i="2"/>
  <c r="AL53" i="2"/>
  <c r="AN53" i="2"/>
  <c r="AH53" i="2"/>
  <c r="AG53" i="2"/>
  <c r="K51" i="2"/>
  <c r="AO53" i="2"/>
  <c r="AP53" i="2" s="1"/>
  <c r="K52" i="2"/>
  <c r="AI53" i="2"/>
  <c r="AJ53" i="2" s="1"/>
  <c r="AR53" i="2" s="1"/>
  <c r="AD53" i="2"/>
  <c r="AB53" i="2"/>
  <c r="T52" i="2"/>
  <c r="O51" i="2"/>
  <c r="O52" i="2"/>
  <c r="AE52" i="2"/>
  <c r="AA52" i="2"/>
  <c r="T51" i="2"/>
  <c r="Y52" i="2"/>
  <c r="Z52" i="2" s="1"/>
  <c r="U52" i="2"/>
  <c r="V52" i="2" s="1"/>
  <c r="P52" i="2"/>
  <c r="Q52" i="2" s="1"/>
  <c r="L52" i="2"/>
  <c r="M52" i="2" s="1"/>
  <c r="AK52" i="2"/>
  <c r="AE51" i="2"/>
  <c r="AA51" i="2"/>
  <c r="Y51" i="2"/>
  <c r="Z51" i="2" s="1"/>
  <c r="U51" i="2"/>
  <c r="V51" i="2" s="1"/>
  <c r="P51" i="2"/>
  <c r="Q51" i="2" s="1"/>
  <c r="L51" i="2"/>
  <c r="M51" i="2" s="1"/>
  <c r="AK51" i="2"/>
  <c r="C50" i="2"/>
  <c r="D50" i="2"/>
  <c r="E50" i="2"/>
  <c r="F50" i="2"/>
  <c r="H50" i="2" s="1"/>
  <c r="J50" i="2"/>
  <c r="N50" i="2"/>
  <c r="S50" i="2"/>
  <c r="W50" i="2"/>
  <c r="AB51" i="2" l="1"/>
  <c r="AC51" i="2"/>
  <c r="AD51" i="2" s="1"/>
  <c r="AB52" i="2"/>
  <c r="AC52" i="2"/>
  <c r="AD52" i="2" s="1"/>
  <c r="AL51" i="2"/>
  <c r="AN51" i="2"/>
  <c r="AL52" i="2"/>
  <c r="AN52" i="2"/>
  <c r="AH51" i="2"/>
  <c r="AG51" i="2"/>
  <c r="AH52" i="2"/>
  <c r="AG52" i="2"/>
  <c r="X50" i="2"/>
  <c r="AI51" i="2"/>
  <c r="AJ51" i="2" s="1"/>
  <c r="AR51" i="2" s="1"/>
  <c r="AQ51" i="2"/>
  <c r="AO51" i="2"/>
  <c r="AP51" i="2" s="1"/>
  <c r="O50" i="2"/>
  <c r="K50" i="2"/>
  <c r="AI52" i="2"/>
  <c r="AJ52" i="2" s="1"/>
  <c r="AR52" i="2" s="1"/>
  <c r="AO52" i="2"/>
  <c r="AP52" i="2" s="1"/>
  <c r="AQ52" i="2"/>
  <c r="AA50" i="2"/>
  <c r="AE50" i="2"/>
  <c r="Y50" i="2"/>
  <c r="Z50" i="2" s="1"/>
  <c r="U50" i="2"/>
  <c r="V50" i="2" s="1"/>
  <c r="P50" i="2"/>
  <c r="Q50" i="2" s="1"/>
  <c r="L50" i="2"/>
  <c r="M50" i="2" s="1"/>
  <c r="AK50" i="2"/>
  <c r="T50" i="2"/>
  <c r="C49" i="2"/>
  <c r="D49" i="2"/>
  <c r="E49" i="2"/>
  <c r="F49" i="2"/>
  <c r="H49" i="2" s="1"/>
  <c r="J49" i="2"/>
  <c r="N49" i="2"/>
  <c r="S49" i="2"/>
  <c r="W49" i="2"/>
  <c r="X49" i="2" l="1"/>
  <c r="AB50" i="2"/>
  <c r="AC50" i="2"/>
  <c r="AD50" i="2" s="1"/>
  <c r="AL50" i="2"/>
  <c r="AN50" i="2"/>
  <c r="AH50" i="2"/>
  <c r="AG50" i="2"/>
  <c r="AI50" i="2"/>
  <c r="AJ50" i="2" s="1"/>
  <c r="AR50" i="2" s="1"/>
  <c r="O49" i="2"/>
  <c r="AQ50" i="2"/>
  <c r="AO50" i="2"/>
  <c r="AP50" i="2" s="1"/>
  <c r="K49" i="2"/>
  <c r="T49" i="2"/>
  <c r="AE49" i="2"/>
  <c r="AA49" i="2"/>
  <c r="AK49" i="2"/>
  <c r="Y49" i="2"/>
  <c r="Z49" i="2" s="1"/>
  <c r="U49" i="2"/>
  <c r="V49" i="2" s="1"/>
  <c r="P49" i="2"/>
  <c r="Q49" i="2" s="1"/>
  <c r="L49" i="2"/>
  <c r="M49" i="2" s="1"/>
  <c r="C48" i="2"/>
  <c r="D48" i="2"/>
  <c r="E48" i="2"/>
  <c r="F48" i="2"/>
  <c r="H48" i="2" s="1"/>
  <c r="J48" i="2"/>
  <c r="N48" i="2"/>
  <c r="S48" i="2"/>
  <c r="W48" i="2"/>
  <c r="X48" i="2" s="1"/>
  <c r="AB49" i="2" l="1"/>
  <c r="AC49" i="2"/>
  <c r="AL49" i="2"/>
  <c r="AN49" i="2"/>
  <c r="AH49" i="2"/>
  <c r="AG49" i="2"/>
  <c r="AI49" i="2"/>
  <c r="AJ49" i="2" s="1"/>
  <c r="AR49" i="2" s="1"/>
  <c r="AO49" i="2"/>
  <c r="AP49" i="2" s="1"/>
  <c r="O48" i="2"/>
  <c r="AD49" i="2"/>
  <c r="K48" i="2"/>
  <c r="T48" i="2"/>
  <c r="AQ49" i="2"/>
  <c r="AE48" i="2"/>
  <c r="AA48" i="2"/>
  <c r="Y48" i="2"/>
  <c r="Z48" i="2" s="1"/>
  <c r="U48" i="2"/>
  <c r="V48" i="2" s="1"/>
  <c r="P48" i="2"/>
  <c r="Q48" i="2" s="1"/>
  <c r="L48" i="2"/>
  <c r="M48" i="2" s="1"/>
  <c r="AK48" i="2"/>
  <c r="C47" i="2"/>
  <c r="D47" i="2"/>
  <c r="E47" i="2"/>
  <c r="F47" i="2"/>
  <c r="H47" i="2" s="1"/>
  <c r="J47" i="2"/>
  <c r="N47" i="2"/>
  <c r="S47" i="2"/>
  <c r="W47" i="2"/>
  <c r="Y47" i="2" l="1"/>
  <c r="Z47" i="2" s="1"/>
  <c r="AB48" i="2"/>
  <c r="AC48" i="2"/>
  <c r="AD48" i="2" s="1"/>
  <c r="AL48" i="2"/>
  <c r="AN48" i="2"/>
  <c r="AH48" i="2"/>
  <c r="AG48" i="2"/>
  <c r="P47" i="2"/>
  <c r="Q47" i="2" s="1"/>
  <c r="AQ48" i="2"/>
  <c r="U47" i="2"/>
  <c r="V47" i="2" s="1"/>
  <c r="AK47" i="2"/>
  <c r="K47" i="2"/>
  <c r="AO48" i="2"/>
  <c r="AP48" i="2" s="1"/>
  <c r="AI48" i="2"/>
  <c r="AJ48" i="2" s="1"/>
  <c r="AR48" i="2" s="1"/>
  <c r="T47" i="2"/>
  <c r="AE47" i="2"/>
  <c r="AG47" i="2" s="1"/>
  <c r="X47" i="2"/>
  <c r="O47" i="2"/>
  <c r="AA47" i="2"/>
  <c r="AC47" i="2" s="1"/>
  <c r="L47" i="2"/>
  <c r="M47" i="2" s="1"/>
  <c r="C46" i="2"/>
  <c r="D46" i="2"/>
  <c r="E46" i="2"/>
  <c r="F46" i="2"/>
  <c r="H46" i="2" s="1"/>
  <c r="J46" i="2"/>
  <c r="N46" i="2"/>
  <c r="S46" i="2"/>
  <c r="W46" i="2"/>
  <c r="AQ47" i="2" l="1"/>
  <c r="AL47" i="2"/>
  <c r="AN47" i="2"/>
  <c r="O46" i="2"/>
  <c r="Y46" i="2"/>
  <c r="Z46" i="2" s="1"/>
  <c r="K46" i="2"/>
  <c r="U46" i="2"/>
  <c r="V46" i="2" s="1"/>
  <c r="AI47" i="2"/>
  <c r="AJ47" i="2" s="1"/>
  <c r="AR47" i="2" s="1"/>
  <c r="AH47" i="2"/>
  <c r="AO47" i="2"/>
  <c r="AP47" i="2" s="1"/>
  <c r="AB47" i="2"/>
  <c r="AD47" i="2"/>
  <c r="AE46" i="2"/>
  <c r="AG46" i="2" s="1"/>
  <c r="AK46" i="2"/>
  <c r="X46" i="2"/>
  <c r="T46" i="2"/>
  <c r="P46" i="2"/>
  <c r="Q46" i="2" s="1"/>
  <c r="AA46" i="2"/>
  <c r="AC46" i="2" s="1"/>
  <c r="L46" i="2"/>
  <c r="M46" i="2" s="1"/>
  <c r="C45" i="2"/>
  <c r="D45" i="2"/>
  <c r="E45" i="2"/>
  <c r="F45" i="2"/>
  <c r="H45" i="2" s="1"/>
  <c r="J45" i="2"/>
  <c r="N45" i="2"/>
  <c r="S45" i="2"/>
  <c r="W45" i="2"/>
  <c r="Y45" i="2" l="1"/>
  <c r="Z45" i="2" s="1"/>
  <c r="AI46" i="2"/>
  <c r="AJ46" i="2" s="1"/>
  <c r="AR46" i="2" s="1"/>
  <c r="AL46" i="2"/>
  <c r="AN46" i="2"/>
  <c r="AA45" i="2"/>
  <c r="T45" i="2"/>
  <c r="AQ46" i="2"/>
  <c r="X45" i="2"/>
  <c r="U45" i="2"/>
  <c r="V45" i="2" s="1"/>
  <c r="O45" i="2"/>
  <c r="AK45" i="2"/>
  <c r="AH46" i="2"/>
  <c r="AO46" i="2"/>
  <c r="AP46" i="2" s="1"/>
  <c r="AB46" i="2"/>
  <c r="AD46" i="2"/>
  <c r="AE45" i="2"/>
  <c r="K45" i="2"/>
  <c r="P45" i="2"/>
  <c r="Q45" i="2" s="1"/>
  <c r="L45" i="2"/>
  <c r="M45" i="2" s="1"/>
  <c r="C44" i="2"/>
  <c r="D44" i="2"/>
  <c r="E44" i="2"/>
  <c r="F44" i="2"/>
  <c r="H44" i="2" s="1"/>
  <c r="J44" i="2"/>
  <c r="N44" i="2"/>
  <c r="S44" i="2"/>
  <c r="W44" i="2"/>
  <c r="AQ45" i="2" l="1"/>
  <c r="AC45" i="2"/>
  <c r="AD45" i="2" s="1"/>
  <c r="X44" i="2"/>
  <c r="AL45" i="2"/>
  <c r="AN45" i="2"/>
  <c r="AI45" i="2"/>
  <c r="AJ45" i="2" s="1"/>
  <c r="AR45" i="2" s="1"/>
  <c r="AG45" i="2"/>
  <c r="AB45" i="2"/>
  <c r="AE44" i="2"/>
  <c r="T44" i="2"/>
  <c r="K44" i="2"/>
  <c r="AH45" i="2"/>
  <c r="AO45" i="2"/>
  <c r="AP45" i="2" s="1"/>
  <c r="O44" i="2"/>
  <c r="Y44" i="2"/>
  <c r="Z44" i="2" s="1"/>
  <c r="U44" i="2"/>
  <c r="V44" i="2" s="1"/>
  <c r="P44" i="2"/>
  <c r="Q44" i="2" s="1"/>
  <c r="L44" i="2"/>
  <c r="M44" i="2" s="1"/>
  <c r="AA44" i="2"/>
  <c r="AC44" i="2" s="1"/>
  <c r="AK44" i="2"/>
  <c r="C43" i="2"/>
  <c r="D43" i="2"/>
  <c r="E43" i="2"/>
  <c r="F43" i="2"/>
  <c r="H43" i="2" s="1"/>
  <c r="J43" i="2"/>
  <c r="N43" i="2"/>
  <c r="S43" i="2"/>
  <c r="W43" i="2"/>
  <c r="X43" i="2" s="1"/>
  <c r="C42" i="2"/>
  <c r="D42" i="2"/>
  <c r="E42" i="2"/>
  <c r="F42" i="2"/>
  <c r="H42" i="2" s="1"/>
  <c r="J42" i="2"/>
  <c r="N42" i="2"/>
  <c r="S42" i="2"/>
  <c r="W42" i="2"/>
  <c r="X42" i="2" s="1"/>
  <c r="AL44" i="2" l="1"/>
  <c r="AN44" i="2"/>
  <c r="AH44" i="2"/>
  <c r="AG44" i="2"/>
  <c r="AE42" i="2"/>
  <c r="AO42" i="2" s="1"/>
  <c r="AP42" i="2" s="1"/>
  <c r="AO44" i="2"/>
  <c r="AP44" i="2" s="1"/>
  <c r="O43" i="2"/>
  <c r="AI44" i="2"/>
  <c r="AJ44" i="2" s="1"/>
  <c r="AR44" i="2" s="1"/>
  <c r="K42" i="2"/>
  <c r="AE43" i="2"/>
  <c r="K43" i="2"/>
  <c r="T42" i="2"/>
  <c r="AQ44" i="2"/>
  <c r="AA43" i="2"/>
  <c r="AB44" i="2"/>
  <c r="AD44" i="2"/>
  <c r="Y43" i="2"/>
  <c r="Z43" i="2" s="1"/>
  <c r="U43" i="2"/>
  <c r="V43" i="2" s="1"/>
  <c r="P43" i="2"/>
  <c r="Q43" i="2" s="1"/>
  <c r="L43" i="2"/>
  <c r="M43" i="2" s="1"/>
  <c r="O42" i="2"/>
  <c r="AK43" i="2"/>
  <c r="T43" i="2"/>
  <c r="AA42" i="2"/>
  <c r="AH42" i="2"/>
  <c r="Y42" i="2"/>
  <c r="Z42" i="2" s="1"/>
  <c r="U42" i="2"/>
  <c r="V42" i="2" s="1"/>
  <c r="P42" i="2"/>
  <c r="Q42" i="2" s="1"/>
  <c r="L42" i="2"/>
  <c r="M42" i="2" s="1"/>
  <c r="AK42" i="2"/>
  <c r="C41" i="2"/>
  <c r="D41" i="2"/>
  <c r="E41" i="2"/>
  <c r="F41" i="2"/>
  <c r="H41" i="2" s="1"/>
  <c r="J41" i="2"/>
  <c r="N41" i="2"/>
  <c r="S41" i="2"/>
  <c r="W41" i="2"/>
  <c r="X41" i="2" l="1"/>
  <c r="AB42" i="2"/>
  <c r="AC42" i="2"/>
  <c r="AD42" i="2" s="1"/>
  <c r="AB43" i="2"/>
  <c r="AC43" i="2"/>
  <c r="AD43" i="2" s="1"/>
  <c r="AL42" i="2"/>
  <c r="AN42" i="2"/>
  <c r="AL43" i="2"/>
  <c r="AN43" i="2"/>
  <c r="AI43" i="2"/>
  <c r="AJ43" i="2" s="1"/>
  <c r="AR43" i="2" s="1"/>
  <c r="AG43" i="2"/>
  <c r="AI42" i="2"/>
  <c r="AJ42" i="2" s="1"/>
  <c r="AR42" i="2" s="1"/>
  <c r="AG42" i="2"/>
  <c r="AO43" i="2"/>
  <c r="AP43" i="2" s="1"/>
  <c r="AH43" i="2"/>
  <c r="T41" i="2"/>
  <c r="AQ43" i="2"/>
  <c r="O41" i="2"/>
  <c r="K41" i="2"/>
  <c r="AQ42" i="2"/>
  <c r="AE41" i="2"/>
  <c r="Y41" i="2"/>
  <c r="Z41" i="2" s="1"/>
  <c r="U41" i="2"/>
  <c r="V41" i="2" s="1"/>
  <c r="P41" i="2"/>
  <c r="Q41" i="2" s="1"/>
  <c r="L41" i="2"/>
  <c r="M41" i="2" s="1"/>
  <c r="AA41" i="2"/>
  <c r="AC41" i="2" s="1"/>
  <c r="AK41" i="2"/>
  <c r="C40" i="2"/>
  <c r="D40" i="2"/>
  <c r="E40" i="2"/>
  <c r="F40" i="2"/>
  <c r="H40" i="2" s="1"/>
  <c r="J40" i="2"/>
  <c r="N40" i="2"/>
  <c r="S40" i="2"/>
  <c r="W40" i="2"/>
  <c r="X40" i="2" s="1"/>
  <c r="AL41" i="2" l="1"/>
  <c r="AN41" i="2"/>
  <c r="AI41" i="2"/>
  <c r="AJ41" i="2" s="1"/>
  <c r="AR41" i="2" s="1"/>
  <c r="AG41" i="2"/>
  <c r="T40" i="2"/>
  <c r="K40" i="2"/>
  <c r="AQ41" i="2"/>
  <c r="AH41" i="2"/>
  <c r="AO41" i="2"/>
  <c r="AP41" i="2" s="1"/>
  <c r="AB41" i="2"/>
  <c r="AD41" i="2"/>
  <c r="O40" i="2"/>
  <c r="AE40" i="2"/>
  <c r="Y40" i="2"/>
  <c r="Z40" i="2" s="1"/>
  <c r="U40" i="2"/>
  <c r="V40" i="2" s="1"/>
  <c r="P40" i="2"/>
  <c r="Q40" i="2" s="1"/>
  <c r="L40" i="2"/>
  <c r="M40" i="2" s="1"/>
  <c r="AA40" i="2"/>
  <c r="AC40" i="2" s="1"/>
  <c r="AK40" i="2"/>
  <c r="AL40" i="2" l="1"/>
  <c r="AN40" i="2"/>
  <c r="AI40" i="2"/>
  <c r="AJ40" i="2" s="1"/>
  <c r="AR40" i="2" s="1"/>
  <c r="AG40" i="2"/>
  <c r="AQ40" i="2"/>
  <c r="AH40" i="2"/>
  <c r="AO40" i="2"/>
  <c r="AP40" i="2" s="1"/>
  <c r="AB40" i="2"/>
  <c r="AD40" i="2"/>
  <c r="C39" i="2" l="1"/>
  <c r="D39" i="2"/>
  <c r="E39" i="2"/>
  <c r="F39" i="2"/>
  <c r="H39" i="2" s="1"/>
  <c r="J39" i="2"/>
  <c r="N39" i="2"/>
  <c r="S39" i="2"/>
  <c r="W39" i="2"/>
  <c r="C38" i="2"/>
  <c r="D38" i="2"/>
  <c r="E38" i="2"/>
  <c r="F38" i="2"/>
  <c r="H38" i="2" s="1"/>
  <c r="J38" i="2"/>
  <c r="N38" i="2"/>
  <c r="S38" i="2"/>
  <c r="W38" i="2"/>
  <c r="X38" i="2" s="1"/>
  <c r="Y39" i="2" l="1"/>
  <c r="Z39" i="2" s="1"/>
  <c r="L39" i="2"/>
  <c r="M39" i="2" s="1"/>
  <c r="U39" i="2"/>
  <c r="V39" i="2" s="1"/>
  <c r="O38" i="2"/>
  <c r="AK39" i="2"/>
  <c r="P39" i="2"/>
  <c r="Q39" i="2" s="1"/>
  <c r="AE39" i="2"/>
  <c r="AI39" i="2" s="1"/>
  <c r="AJ39" i="2" s="1"/>
  <c r="AR39" i="2" s="1"/>
  <c r="T39" i="2"/>
  <c r="X39" i="2"/>
  <c r="AA39" i="2"/>
  <c r="AC39" i="2" s="1"/>
  <c r="O39" i="2"/>
  <c r="K39" i="2"/>
  <c r="T38" i="2"/>
  <c r="K38" i="2"/>
  <c r="AA38" i="2"/>
  <c r="AE38" i="2"/>
  <c r="AG38" i="2" s="1"/>
  <c r="Y38" i="2"/>
  <c r="Z38" i="2" s="1"/>
  <c r="U38" i="2"/>
  <c r="V38" i="2" s="1"/>
  <c r="P38" i="2"/>
  <c r="Q38" i="2" s="1"/>
  <c r="L38" i="2"/>
  <c r="M38" i="2" s="1"/>
  <c r="AK38" i="2"/>
  <c r="C37" i="2"/>
  <c r="D37" i="2"/>
  <c r="E37" i="2"/>
  <c r="F37" i="2"/>
  <c r="H37" i="2" s="1"/>
  <c r="J37" i="2"/>
  <c r="N37" i="2"/>
  <c r="S37" i="2"/>
  <c r="W37" i="2"/>
  <c r="X37" i="2" s="1"/>
  <c r="AB38" i="2" l="1"/>
  <c r="AC38" i="2"/>
  <c r="AD38" i="2" s="1"/>
  <c r="AQ39" i="2"/>
  <c r="AL39" i="2"/>
  <c r="AN39" i="2"/>
  <c r="AL38" i="2"/>
  <c r="AN38" i="2"/>
  <c r="AH39" i="2"/>
  <c r="AG39" i="2"/>
  <c r="AO39" i="2"/>
  <c r="AP39" i="2" s="1"/>
  <c r="AD39" i="2"/>
  <c r="AB39" i="2"/>
  <c r="K37" i="2"/>
  <c r="T37" i="2"/>
  <c r="AQ38" i="2"/>
  <c r="AI38" i="2"/>
  <c r="AJ38" i="2" s="1"/>
  <c r="AR38" i="2" s="1"/>
  <c r="AO38" i="2"/>
  <c r="AP38" i="2" s="1"/>
  <c r="AH38" i="2"/>
  <c r="AE37" i="2"/>
  <c r="AA37" i="2"/>
  <c r="O37" i="2"/>
  <c r="Y37" i="2"/>
  <c r="Z37" i="2" s="1"/>
  <c r="U37" i="2"/>
  <c r="V37" i="2" s="1"/>
  <c r="P37" i="2"/>
  <c r="Q37" i="2" s="1"/>
  <c r="L37" i="2"/>
  <c r="M37" i="2" s="1"/>
  <c r="AK37" i="2"/>
  <c r="C36" i="2"/>
  <c r="D36" i="2"/>
  <c r="E36" i="2"/>
  <c r="F36" i="2"/>
  <c r="H36" i="2" s="1"/>
  <c r="J36" i="2"/>
  <c r="N36" i="2"/>
  <c r="S36" i="2"/>
  <c r="W36" i="2"/>
  <c r="X36" i="2" l="1"/>
  <c r="AB37" i="2"/>
  <c r="AC37" i="2"/>
  <c r="AD37" i="2" s="1"/>
  <c r="AL37" i="2"/>
  <c r="AN37" i="2"/>
  <c r="AO37" i="2"/>
  <c r="AP37" i="2" s="1"/>
  <c r="AG37" i="2"/>
  <c r="AI37" i="2"/>
  <c r="AJ37" i="2" s="1"/>
  <c r="AR37" i="2" s="1"/>
  <c r="K36" i="2"/>
  <c r="AH37" i="2"/>
  <c r="AQ37" i="2"/>
  <c r="T36" i="2"/>
  <c r="O36" i="2"/>
  <c r="AK36" i="2"/>
  <c r="AE36" i="2"/>
  <c r="AA36" i="2"/>
  <c r="Y36" i="2"/>
  <c r="Z36" i="2" s="1"/>
  <c r="U36" i="2"/>
  <c r="V36" i="2" s="1"/>
  <c r="P36" i="2"/>
  <c r="Q36" i="2" s="1"/>
  <c r="L36" i="2"/>
  <c r="M36" i="2" s="1"/>
  <c r="C35" i="2"/>
  <c r="D35" i="2"/>
  <c r="E35" i="2"/>
  <c r="F35" i="2"/>
  <c r="H35" i="2" s="1"/>
  <c r="J35" i="2"/>
  <c r="N35" i="2"/>
  <c r="S35" i="2"/>
  <c r="W35" i="2"/>
  <c r="X35" i="2" s="1"/>
  <c r="C34" i="2"/>
  <c r="D34" i="2"/>
  <c r="E34" i="2"/>
  <c r="F34" i="2"/>
  <c r="H34" i="2" s="1"/>
  <c r="J34" i="2"/>
  <c r="N34" i="2"/>
  <c r="S34" i="2"/>
  <c r="W34" i="2"/>
  <c r="Y34" i="2" s="1"/>
  <c r="Z34" i="2" s="1"/>
  <c r="AB36" i="2" l="1"/>
  <c r="AC36" i="2"/>
  <c r="AD36" i="2" s="1"/>
  <c r="O35" i="2"/>
  <c r="AL36" i="2"/>
  <c r="AN36" i="2"/>
  <c r="AI36" i="2"/>
  <c r="AJ36" i="2" s="1"/>
  <c r="AR36" i="2" s="1"/>
  <c r="AG36" i="2"/>
  <c r="K34" i="2"/>
  <c r="AE34" i="2"/>
  <c r="AH34" i="2" s="1"/>
  <c r="O34" i="2"/>
  <c r="AO36" i="2"/>
  <c r="AP36" i="2" s="1"/>
  <c r="AH36" i="2"/>
  <c r="AE35" i="2"/>
  <c r="K35" i="2"/>
  <c r="AK34" i="2"/>
  <c r="T34" i="2"/>
  <c r="T35" i="2"/>
  <c r="AQ36" i="2"/>
  <c r="U35" i="2"/>
  <c r="V35" i="2" s="1"/>
  <c r="AA35" i="2"/>
  <c r="AC35" i="2" s="1"/>
  <c r="P35" i="2"/>
  <c r="Q35" i="2" s="1"/>
  <c r="L35" i="2"/>
  <c r="M35" i="2" s="1"/>
  <c r="X34" i="2"/>
  <c r="Y35" i="2"/>
  <c r="Z35" i="2" s="1"/>
  <c r="P34" i="2"/>
  <c r="Q34" i="2" s="1"/>
  <c r="AQ34" i="2" s="1"/>
  <c r="AK35" i="2"/>
  <c r="AA34" i="2"/>
  <c r="AC34" i="2" s="1"/>
  <c r="U34" i="2"/>
  <c r="V34" i="2" s="1"/>
  <c r="L34" i="2"/>
  <c r="M34" i="2" s="1"/>
  <c r="C33" i="2"/>
  <c r="D33" i="2"/>
  <c r="E33" i="2"/>
  <c r="F33" i="2"/>
  <c r="H33" i="2" s="1"/>
  <c r="J33" i="2"/>
  <c r="N33" i="2"/>
  <c r="S33" i="2"/>
  <c r="W33" i="2"/>
  <c r="X33" i="2" s="1"/>
  <c r="C32" i="2"/>
  <c r="D32" i="2"/>
  <c r="E32" i="2"/>
  <c r="F32" i="2"/>
  <c r="H32" i="2" s="1"/>
  <c r="J32" i="2"/>
  <c r="N32" i="2"/>
  <c r="S32" i="2"/>
  <c r="W32" i="2"/>
  <c r="X32" i="2" s="1"/>
  <c r="AL35" i="2" l="1"/>
  <c r="AN35" i="2"/>
  <c r="AL34" i="2"/>
  <c r="AN34" i="2"/>
  <c r="AO35" i="2"/>
  <c r="AP35" i="2" s="1"/>
  <c r="AG35" i="2"/>
  <c r="AO34" i="2"/>
  <c r="AP34" i="2" s="1"/>
  <c r="AG34" i="2"/>
  <c r="AH35" i="2"/>
  <c r="AI34" i="2"/>
  <c r="AJ34" i="2" s="1"/>
  <c r="AR34" i="2" s="1"/>
  <c r="O33" i="2"/>
  <c r="AI35" i="2"/>
  <c r="AJ35" i="2" s="1"/>
  <c r="AR35" i="2" s="1"/>
  <c r="AQ35" i="2"/>
  <c r="AB35" i="2"/>
  <c r="AD35" i="2"/>
  <c r="AE33" i="2"/>
  <c r="AD34" i="2"/>
  <c r="AB34" i="2"/>
  <c r="O32" i="2"/>
  <c r="T33" i="2"/>
  <c r="K33" i="2"/>
  <c r="AK33" i="2"/>
  <c r="AA33" i="2"/>
  <c r="T32" i="2"/>
  <c r="Y33" i="2"/>
  <c r="Z33" i="2" s="1"/>
  <c r="U33" i="2"/>
  <c r="V33" i="2" s="1"/>
  <c r="P33" i="2"/>
  <c r="Q33" i="2" s="1"/>
  <c r="L33" i="2"/>
  <c r="M33" i="2" s="1"/>
  <c r="AE32" i="2"/>
  <c r="K32" i="2"/>
  <c r="Y32" i="2"/>
  <c r="Z32" i="2" s="1"/>
  <c r="U32" i="2"/>
  <c r="V32" i="2" s="1"/>
  <c r="AK32" i="2"/>
  <c r="P32" i="2"/>
  <c r="Q32" i="2" s="1"/>
  <c r="AA32" i="2"/>
  <c r="AC32" i="2" s="1"/>
  <c r="L32" i="2"/>
  <c r="M32" i="2" s="1"/>
  <c r="C31" i="2"/>
  <c r="D31" i="2"/>
  <c r="E31" i="2"/>
  <c r="F31" i="2"/>
  <c r="H31" i="2" s="1"/>
  <c r="J31" i="2"/>
  <c r="N31" i="2"/>
  <c r="S31" i="2"/>
  <c r="W31" i="2"/>
  <c r="Y31" i="2" s="1"/>
  <c r="Z31" i="2" s="1"/>
  <c r="AB33" i="2" l="1"/>
  <c r="AC33" i="2"/>
  <c r="AL33" i="2"/>
  <c r="AN33" i="2"/>
  <c r="AL32" i="2"/>
  <c r="AN32" i="2"/>
  <c r="AH32" i="2"/>
  <c r="AG32" i="2"/>
  <c r="AH33" i="2"/>
  <c r="AG33" i="2"/>
  <c r="AO33" i="2"/>
  <c r="AP33" i="2" s="1"/>
  <c r="P31" i="2"/>
  <c r="Q31" i="2" s="1"/>
  <c r="AQ31" i="2" s="1"/>
  <c r="AI33" i="2"/>
  <c r="AJ33" i="2" s="1"/>
  <c r="AR33" i="2" s="1"/>
  <c r="AD33" i="2"/>
  <c r="AO32" i="2"/>
  <c r="AP32" i="2" s="1"/>
  <c r="AQ33" i="2"/>
  <c r="AQ32" i="2"/>
  <c r="AI32" i="2"/>
  <c r="AJ32" i="2" s="1"/>
  <c r="AR32" i="2" s="1"/>
  <c r="AB32" i="2"/>
  <c r="AD32" i="2"/>
  <c r="U31" i="2"/>
  <c r="V31" i="2" s="1"/>
  <c r="K31" i="2"/>
  <c r="AE31" i="2"/>
  <c r="T31" i="2"/>
  <c r="AK31" i="2"/>
  <c r="AN31" i="2" s="1"/>
  <c r="X31" i="2"/>
  <c r="O31" i="2"/>
  <c r="AA31" i="2"/>
  <c r="AC31" i="2" s="1"/>
  <c r="L31" i="2"/>
  <c r="M31" i="2" s="1"/>
  <c r="C30" i="2"/>
  <c r="D30" i="2"/>
  <c r="E30" i="2"/>
  <c r="F30" i="2"/>
  <c r="H30" i="2" s="1"/>
  <c r="J30" i="2"/>
  <c r="N30" i="2"/>
  <c r="S30" i="2"/>
  <c r="W30" i="2"/>
  <c r="X30" i="2" s="1"/>
  <c r="AI31" i="2" l="1"/>
  <c r="AJ31" i="2" s="1"/>
  <c r="AR31" i="2" s="1"/>
  <c r="AG31" i="2"/>
  <c r="AH31" i="2"/>
  <c r="AO31" i="2"/>
  <c r="AP31" i="2" s="1"/>
  <c r="O30" i="2"/>
  <c r="AL31" i="2"/>
  <c r="K30" i="2"/>
  <c r="AK30" i="2"/>
  <c r="AN30" i="2" s="1"/>
  <c r="T30" i="2"/>
  <c r="AD31" i="2"/>
  <c r="AB31" i="2"/>
  <c r="AA30" i="2"/>
  <c r="AE30" i="2"/>
  <c r="Y30" i="2"/>
  <c r="Z30" i="2" s="1"/>
  <c r="U30" i="2"/>
  <c r="V30" i="2" s="1"/>
  <c r="P30" i="2"/>
  <c r="Q30" i="2" s="1"/>
  <c r="L30" i="2"/>
  <c r="M30" i="2" s="1"/>
  <c r="C29" i="2"/>
  <c r="D29" i="2"/>
  <c r="E29" i="2"/>
  <c r="F29" i="2"/>
  <c r="H29" i="2" s="1"/>
  <c r="J29" i="2"/>
  <c r="N29" i="2"/>
  <c r="S29" i="2"/>
  <c r="W29" i="2"/>
  <c r="AB30" i="2" l="1"/>
  <c r="AC30" i="2"/>
  <c r="AD30" i="2" s="1"/>
  <c r="AH30" i="2"/>
  <c r="AG30" i="2"/>
  <c r="AI30" i="2"/>
  <c r="AJ30" i="2" s="1"/>
  <c r="AR30" i="2" s="1"/>
  <c r="Y29" i="2"/>
  <c r="Z29" i="2" s="1"/>
  <c r="P29" i="2"/>
  <c r="Q29" i="2" s="1"/>
  <c r="AL30" i="2"/>
  <c r="L29" i="2"/>
  <c r="M29" i="2" s="1"/>
  <c r="U29" i="2"/>
  <c r="V29" i="2" s="1"/>
  <c r="O29" i="2"/>
  <c r="AO30" i="2"/>
  <c r="AP30" i="2" s="1"/>
  <c r="AQ30" i="2"/>
  <c r="AK29" i="2"/>
  <c r="AN29" i="2" s="1"/>
  <c r="AE29" i="2"/>
  <c r="X29" i="2"/>
  <c r="T29" i="2"/>
  <c r="K29" i="2"/>
  <c r="AA29" i="2"/>
  <c r="AC29" i="2" s="1"/>
  <c r="AI29" i="2" l="1"/>
  <c r="AJ29" i="2" s="1"/>
  <c r="AR29" i="2" s="1"/>
  <c r="AG29" i="2"/>
  <c r="AQ29" i="2"/>
  <c r="AL29" i="2"/>
  <c r="AH29" i="2"/>
  <c r="AO29" i="2"/>
  <c r="AP29" i="2" s="1"/>
  <c r="AD29" i="2"/>
  <c r="AB29" i="2"/>
  <c r="C28" i="2" l="1"/>
  <c r="D28" i="2"/>
  <c r="E28" i="2"/>
  <c r="F28" i="2"/>
  <c r="H28" i="2" s="1"/>
  <c r="J28" i="2"/>
  <c r="N28" i="2"/>
  <c r="S28" i="2"/>
  <c r="W28" i="2"/>
  <c r="Y28" i="2" l="1"/>
  <c r="Z28" i="2" s="1"/>
  <c r="U28" i="2"/>
  <c r="V28" i="2" s="1"/>
  <c r="O28" i="2"/>
  <c r="L28" i="2"/>
  <c r="M28" i="2" s="1"/>
  <c r="P28" i="2"/>
  <c r="Q28" i="2" s="1"/>
  <c r="AQ28" i="2" s="1"/>
  <c r="AK28" i="2"/>
  <c r="AN28" i="2" s="1"/>
  <c r="AE28" i="2"/>
  <c r="X28" i="2"/>
  <c r="T28" i="2"/>
  <c r="K28" i="2"/>
  <c r="AA28" i="2"/>
  <c r="AC28" i="2" s="1"/>
  <c r="C1" i="2"/>
  <c r="B1" i="2"/>
  <c r="A1" i="2"/>
  <c r="C27" i="2"/>
  <c r="D27" i="2"/>
  <c r="E27" i="2"/>
  <c r="F27" i="2"/>
  <c r="H27" i="2" s="1"/>
  <c r="J27" i="2"/>
  <c r="N27" i="2"/>
  <c r="S27" i="2"/>
  <c r="W27" i="2"/>
  <c r="X27" i="2" s="1"/>
  <c r="D1" i="2" l="1"/>
  <c r="AI28" i="2"/>
  <c r="AJ28" i="2" s="1"/>
  <c r="AR28" i="2" s="1"/>
  <c r="AG28" i="2"/>
  <c r="O27" i="2"/>
  <c r="AL28" i="2"/>
  <c r="AH28" i="2"/>
  <c r="AO28" i="2"/>
  <c r="AP28" i="2" s="1"/>
  <c r="K27" i="2"/>
  <c r="AD28" i="2"/>
  <c r="AB28" i="2"/>
  <c r="T27" i="2"/>
  <c r="AE27" i="2"/>
  <c r="AA27" i="2"/>
  <c r="AK27" i="2"/>
  <c r="AN27" i="2" s="1"/>
  <c r="Y27" i="2"/>
  <c r="Z27" i="2" s="1"/>
  <c r="U27" i="2"/>
  <c r="V27" i="2" s="1"/>
  <c r="P27" i="2"/>
  <c r="Q27" i="2" s="1"/>
  <c r="L27" i="2"/>
  <c r="M27" i="2" s="1"/>
  <c r="C26" i="2"/>
  <c r="D26" i="2"/>
  <c r="E26" i="2"/>
  <c r="F26" i="2"/>
  <c r="H26" i="2" s="1"/>
  <c r="J26" i="2"/>
  <c r="N26" i="2"/>
  <c r="S26" i="2"/>
  <c r="W26" i="2"/>
  <c r="X26" i="2" l="1"/>
  <c r="AB27" i="2"/>
  <c r="AC27" i="2"/>
  <c r="AD27" i="2" s="1"/>
  <c r="AH27" i="2"/>
  <c r="AG27" i="2"/>
  <c r="AL27" i="2"/>
  <c r="K26" i="2"/>
  <c r="O26" i="2"/>
  <c r="AK26" i="2"/>
  <c r="AN26" i="2" s="1"/>
  <c r="AI27" i="2"/>
  <c r="AJ27" i="2" s="1"/>
  <c r="AR27" i="2" s="1"/>
  <c r="AO27" i="2"/>
  <c r="AP27" i="2" s="1"/>
  <c r="AQ27" i="2"/>
  <c r="AA26" i="2"/>
  <c r="T26" i="2"/>
  <c r="AE26" i="2"/>
  <c r="Y26" i="2"/>
  <c r="Z26" i="2" s="1"/>
  <c r="U26" i="2"/>
  <c r="V26" i="2" s="1"/>
  <c r="P26" i="2"/>
  <c r="Q26" i="2" s="1"/>
  <c r="L26" i="2"/>
  <c r="M26" i="2" s="1"/>
  <c r="AB26" i="2" l="1"/>
  <c r="AC26" i="2"/>
  <c r="AD26" i="2" s="1"/>
  <c r="AH26" i="2"/>
  <c r="AG26" i="2"/>
  <c r="AL26" i="2"/>
  <c r="AO26" i="2"/>
  <c r="AP26" i="2" s="1"/>
  <c r="AI26" i="2"/>
  <c r="AJ26" i="2" s="1"/>
  <c r="AR26" i="2" s="1"/>
  <c r="AQ26" i="2"/>
  <c r="J5" i="2" l="1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E25" i="2"/>
  <c r="F25" i="2"/>
  <c r="H25" i="2" s="1"/>
  <c r="N25" i="2"/>
  <c r="S25" i="2"/>
  <c r="W25" i="2"/>
  <c r="K24" i="2" l="1"/>
  <c r="K20" i="2"/>
  <c r="K16" i="2"/>
  <c r="K12" i="2"/>
  <c r="K8" i="2"/>
  <c r="K19" i="2"/>
  <c r="K15" i="2"/>
  <c r="K11" i="2"/>
  <c r="K7" i="2"/>
  <c r="K23" i="2"/>
  <c r="O25" i="2"/>
  <c r="K22" i="2"/>
  <c r="K18" i="2"/>
  <c r="K14" i="2"/>
  <c r="K10" i="2"/>
  <c r="K6" i="2"/>
  <c r="K25" i="2"/>
  <c r="K21" i="2"/>
  <c r="K17" i="2"/>
  <c r="K13" i="2"/>
  <c r="K9" i="2"/>
  <c r="K5" i="2"/>
  <c r="AK25" i="2"/>
  <c r="AN25" i="2" s="1"/>
  <c r="X25" i="2"/>
  <c r="T25" i="2"/>
  <c r="AE25" i="2"/>
  <c r="AA25" i="2"/>
  <c r="Y25" i="2"/>
  <c r="Z25" i="2" s="1"/>
  <c r="U25" i="2"/>
  <c r="V25" i="2" s="1"/>
  <c r="P25" i="2"/>
  <c r="Q25" i="2" s="1"/>
  <c r="L25" i="2"/>
  <c r="M25" i="2" s="1"/>
  <c r="AB25" i="2" l="1"/>
  <c r="AC25" i="2"/>
  <c r="AD25" i="2" s="1"/>
  <c r="AH25" i="2"/>
  <c r="AG25" i="2"/>
  <c r="AL25" i="2"/>
  <c r="AI25" i="2"/>
  <c r="AJ25" i="2" s="1"/>
  <c r="AR25" i="2" s="1"/>
  <c r="AQ25" i="2"/>
  <c r="AO25" i="2"/>
  <c r="AP25" i="2" s="1"/>
  <c r="E24" i="2" l="1"/>
  <c r="F24" i="2"/>
  <c r="H24" i="2" s="1"/>
  <c r="N24" i="2"/>
  <c r="S24" i="2"/>
  <c r="U24" i="2" s="1"/>
  <c r="V24" i="2" s="1"/>
  <c r="W24" i="2"/>
  <c r="AK24" i="2" l="1"/>
  <c r="AN24" i="2" s="1"/>
  <c r="Y24" i="2"/>
  <c r="Z24" i="2" s="1"/>
  <c r="AE24" i="2"/>
  <c r="AG24" i="2" s="1"/>
  <c r="P24" i="2"/>
  <c r="Q24" i="2" s="1"/>
  <c r="X24" i="2"/>
  <c r="T24" i="2"/>
  <c r="AA24" i="2"/>
  <c r="O24" i="2"/>
  <c r="L24" i="2"/>
  <c r="M24" i="2" s="1"/>
  <c r="E23" i="2"/>
  <c r="F23" i="2"/>
  <c r="H23" i="2" s="1"/>
  <c r="N23" i="2"/>
  <c r="S23" i="2"/>
  <c r="W23" i="2"/>
  <c r="E22" i="2"/>
  <c r="F22" i="2"/>
  <c r="H22" i="2" s="1"/>
  <c r="N22" i="2"/>
  <c r="S22" i="2"/>
  <c r="W22" i="2"/>
  <c r="AB24" i="2" l="1"/>
  <c r="AC24" i="2"/>
  <c r="AD24" i="2" s="1"/>
  <c r="AQ24" i="2"/>
  <c r="AL24" i="2"/>
  <c r="P22" i="2"/>
  <c r="Q22" i="2" s="1"/>
  <c r="Y22" i="2"/>
  <c r="Z22" i="2" s="1"/>
  <c r="X23" i="2"/>
  <c r="AI24" i="2"/>
  <c r="AJ24" i="2" s="1"/>
  <c r="AR24" i="2" s="1"/>
  <c r="AO24" i="2"/>
  <c r="AP24" i="2" s="1"/>
  <c r="AH24" i="2"/>
  <c r="T22" i="2"/>
  <c r="T23" i="2"/>
  <c r="O23" i="2"/>
  <c r="AK23" i="2"/>
  <c r="AN23" i="2" s="1"/>
  <c r="AA23" i="2"/>
  <c r="AE23" i="2"/>
  <c r="AA22" i="2"/>
  <c r="Y23" i="2"/>
  <c r="Z23" i="2" s="1"/>
  <c r="U23" i="2"/>
  <c r="V23" i="2" s="1"/>
  <c r="P23" i="2"/>
  <c r="Q23" i="2" s="1"/>
  <c r="L23" i="2"/>
  <c r="M23" i="2" s="1"/>
  <c r="U22" i="2"/>
  <c r="V22" i="2" s="1"/>
  <c r="O22" i="2"/>
  <c r="AE22" i="2"/>
  <c r="AG22" i="2" s="1"/>
  <c r="AK22" i="2"/>
  <c r="AN22" i="2" s="1"/>
  <c r="X22" i="2"/>
  <c r="L22" i="2"/>
  <c r="M22" i="2" s="1"/>
  <c r="E21" i="2"/>
  <c r="F21" i="2"/>
  <c r="H21" i="2" s="1"/>
  <c r="N21" i="2"/>
  <c r="S21" i="2"/>
  <c r="W21" i="2"/>
  <c r="AB23" i="2" l="1"/>
  <c r="AC23" i="2"/>
  <c r="AD23" i="2" s="1"/>
  <c r="AC22" i="2"/>
  <c r="AD22" i="2" s="1"/>
  <c r="AH23" i="2"/>
  <c r="AG23" i="2"/>
  <c r="AQ22" i="2"/>
  <c r="AL23" i="2"/>
  <c r="AL22" i="2"/>
  <c r="X21" i="2"/>
  <c r="AB22" i="2"/>
  <c r="AQ23" i="2"/>
  <c r="U21" i="2"/>
  <c r="V21" i="2" s="1"/>
  <c r="AI23" i="2"/>
  <c r="AJ23" i="2" s="1"/>
  <c r="AR23" i="2" s="1"/>
  <c r="AO23" i="2"/>
  <c r="AP23" i="2" s="1"/>
  <c r="AE21" i="2"/>
  <c r="O21" i="2"/>
  <c r="AI22" i="2"/>
  <c r="AJ22" i="2" s="1"/>
  <c r="AR22" i="2" s="1"/>
  <c r="AH22" i="2"/>
  <c r="AO22" i="2"/>
  <c r="AP22" i="2" s="1"/>
  <c r="AK21" i="2"/>
  <c r="AN21" i="2" s="1"/>
  <c r="Y21" i="2"/>
  <c r="Z21" i="2" s="1"/>
  <c r="T21" i="2"/>
  <c r="AA21" i="2"/>
  <c r="AC21" i="2" s="1"/>
  <c r="P21" i="2"/>
  <c r="Q21" i="2" s="1"/>
  <c r="L21" i="2"/>
  <c r="M21" i="2" s="1"/>
  <c r="E20" i="2"/>
  <c r="F20" i="2"/>
  <c r="H20" i="2" s="1"/>
  <c r="N20" i="2"/>
  <c r="S20" i="2"/>
  <c r="W20" i="2"/>
  <c r="AI21" i="2" l="1"/>
  <c r="AJ21" i="2" s="1"/>
  <c r="AR21" i="2" s="1"/>
  <c r="AG21" i="2"/>
  <c r="AL21" i="2"/>
  <c r="AH21" i="2"/>
  <c r="AO21" i="2"/>
  <c r="AP21" i="2" s="1"/>
  <c r="AE20" i="2"/>
  <c r="AQ21" i="2"/>
  <c r="X20" i="2"/>
  <c r="O20" i="2"/>
  <c r="P20" i="2"/>
  <c r="Q20" i="2" s="1"/>
  <c r="Y20" i="2"/>
  <c r="Z20" i="2" s="1"/>
  <c r="AB21" i="2"/>
  <c r="AD21" i="2"/>
  <c r="AK20" i="2"/>
  <c r="AN20" i="2" s="1"/>
  <c r="T20" i="2"/>
  <c r="U20" i="2"/>
  <c r="V20" i="2" s="1"/>
  <c r="AA20" i="2"/>
  <c r="AC20" i="2" s="1"/>
  <c r="L20" i="2"/>
  <c r="M20" i="2" s="1"/>
  <c r="E19" i="2"/>
  <c r="F19" i="2"/>
  <c r="H19" i="2" s="1"/>
  <c r="N19" i="2"/>
  <c r="S19" i="2"/>
  <c r="W19" i="2"/>
  <c r="AI20" i="2" l="1"/>
  <c r="AJ20" i="2" s="1"/>
  <c r="AR20" i="2" s="1"/>
  <c r="AG20" i="2"/>
  <c r="AL20" i="2"/>
  <c r="AH20" i="2"/>
  <c r="X19" i="2"/>
  <c r="AO20" i="2"/>
  <c r="AP20" i="2" s="1"/>
  <c r="AQ20" i="2"/>
  <c r="U19" i="2"/>
  <c r="V19" i="2" s="1"/>
  <c r="Y19" i="2"/>
  <c r="Z19" i="2" s="1"/>
  <c r="O19" i="2"/>
  <c r="AB20" i="2"/>
  <c r="AD20" i="2"/>
  <c r="AA19" i="2"/>
  <c r="AK19" i="2"/>
  <c r="AN19" i="2" s="1"/>
  <c r="AE19" i="2"/>
  <c r="AG19" i="2" s="1"/>
  <c r="T19" i="2"/>
  <c r="P19" i="2"/>
  <c r="Q19" i="2" s="1"/>
  <c r="L19" i="2"/>
  <c r="M19" i="2" s="1"/>
  <c r="E18" i="2"/>
  <c r="F18" i="2"/>
  <c r="H18" i="2" s="1"/>
  <c r="N18" i="2"/>
  <c r="S18" i="2"/>
  <c r="W18" i="2"/>
  <c r="AC19" i="2" l="1"/>
  <c r="AD19" i="2" s="1"/>
  <c r="AL19" i="2"/>
  <c r="AB19" i="2"/>
  <c r="X18" i="2"/>
  <c r="AQ19" i="2"/>
  <c r="O18" i="2"/>
  <c r="AI19" i="2"/>
  <c r="AJ19" i="2" s="1"/>
  <c r="AR19" i="2" s="1"/>
  <c r="AH19" i="2"/>
  <c r="AO19" i="2"/>
  <c r="AP19" i="2" s="1"/>
  <c r="Y18" i="2"/>
  <c r="Z18" i="2" s="1"/>
  <c r="AK18" i="2"/>
  <c r="AN18" i="2" s="1"/>
  <c r="AE18" i="2"/>
  <c r="U18" i="2"/>
  <c r="V18" i="2" s="1"/>
  <c r="AA18" i="2"/>
  <c r="T18" i="2"/>
  <c r="P18" i="2"/>
  <c r="Q18" i="2" s="1"/>
  <c r="L18" i="2"/>
  <c r="M18" i="2" s="1"/>
  <c r="E17" i="2"/>
  <c r="F17" i="2"/>
  <c r="H17" i="2" s="1"/>
  <c r="N17" i="2"/>
  <c r="S17" i="2"/>
  <c r="W17" i="2"/>
  <c r="AC18" i="2" l="1"/>
  <c r="AD18" i="2" s="1"/>
  <c r="AI18" i="2"/>
  <c r="AJ18" i="2" s="1"/>
  <c r="AR18" i="2" s="1"/>
  <c r="AG18" i="2"/>
  <c r="AL18" i="2"/>
  <c r="Y17" i="2"/>
  <c r="Z17" i="2" s="1"/>
  <c r="AQ18" i="2"/>
  <c r="AH18" i="2"/>
  <c r="AO18" i="2"/>
  <c r="AP18" i="2" s="1"/>
  <c r="AB18" i="2"/>
  <c r="T17" i="2"/>
  <c r="P17" i="2"/>
  <c r="Q17" i="2" s="1"/>
  <c r="AK17" i="2"/>
  <c r="AN17" i="2" s="1"/>
  <c r="U17" i="2"/>
  <c r="V17" i="2" s="1"/>
  <c r="AE17" i="2"/>
  <c r="AG17" i="2" s="1"/>
  <c r="X17" i="2"/>
  <c r="O17" i="2"/>
  <c r="AA17" i="2"/>
  <c r="AC17" i="2" s="1"/>
  <c r="L17" i="2"/>
  <c r="M17" i="2" s="1"/>
  <c r="E16" i="2"/>
  <c r="F16" i="2"/>
  <c r="H16" i="2" s="1"/>
  <c r="N16" i="2"/>
  <c r="S16" i="2"/>
  <c r="W16" i="2"/>
  <c r="AL17" i="2" l="1"/>
  <c r="AQ17" i="2"/>
  <c r="Y16" i="2"/>
  <c r="Z16" i="2" s="1"/>
  <c r="AA16" i="2"/>
  <c r="AI17" i="2"/>
  <c r="AJ17" i="2" s="1"/>
  <c r="AR17" i="2" s="1"/>
  <c r="AO17" i="2"/>
  <c r="AP17" i="2" s="1"/>
  <c r="AH17" i="2"/>
  <c r="AB17" i="2"/>
  <c r="AD17" i="2"/>
  <c r="U16" i="2"/>
  <c r="V16" i="2" s="1"/>
  <c r="O16" i="2"/>
  <c r="AE16" i="2"/>
  <c r="X16" i="2"/>
  <c r="T16" i="2"/>
  <c r="AK16" i="2"/>
  <c r="AN16" i="2" s="1"/>
  <c r="P16" i="2"/>
  <c r="Q16" i="2" s="1"/>
  <c r="L16" i="2"/>
  <c r="M16" i="2" s="1"/>
  <c r="E15" i="2"/>
  <c r="F15" i="2"/>
  <c r="H15" i="2" s="1"/>
  <c r="N15" i="2"/>
  <c r="S15" i="2"/>
  <c r="W15" i="2"/>
  <c r="AB16" i="2" l="1"/>
  <c r="AC16" i="2"/>
  <c r="AD16" i="2" s="1"/>
  <c r="AH16" i="2"/>
  <c r="AG16" i="2"/>
  <c r="AQ16" i="2"/>
  <c r="AL16" i="2"/>
  <c r="AI16" i="2"/>
  <c r="AJ16" i="2" s="1"/>
  <c r="AR16" i="2" s="1"/>
  <c r="O15" i="2"/>
  <c r="T15" i="2"/>
  <c r="X15" i="2"/>
  <c r="AO16" i="2"/>
  <c r="AP16" i="2" s="1"/>
  <c r="P15" i="2"/>
  <c r="Q15" i="2" s="1"/>
  <c r="AE15" i="2"/>
  <c r="AG15" i="2" s="1"/>
  <c r="Y15" i="2"/>
  <c r="Z15" i="2" s="1"/>
  <c r="AK15" i="2"/>
  <c r="AN15" i="2" s="1"/>
  <c r="U15" i="2"/>
  <c r="V15" i="2" s="1"/>
  <c r="AA15" i="2"/>
  <c r="AC15" i="2" s="1"/>
  <c r="L15" i="2"/>
  <c r="M15" i="2" s="1"/>
  <c r="E14" i="2"/>
  <c r="F14" i="2"/>
  <c r="H14" i="2" s="1"/>
  <c r="N14" i="2"/>
  <c r="S14" i="2"/>
  <c r="W14" i="2"/>
  <c r="AL15" i="2" l="1"/>
  <c r="T14" i="2"/>
  <c r="AQ15" i="2"/>
  <c r="P14" i="2"/>
  <c r="Q14" i="2" s="1"/>
  <c r="AI15" i="2"/>
  <c r="AJ15" i="2" s="1"/>
  <c r="AR15" i="2" s="1"/>
  <c r="AH15" i="2"/>
  <c r="AO15" i="2"/>
  <c r="AP15" i="2" s="1"/>
  <c r="AB15" i="2"/>
  <c r="AD15" i="2"/>
  <c r="AE14" i="2"/>
  <c r="U14" i="2"/>
  <c r="V14" i="2" s="1"/>
  <c r="O14" i="2"/>
  <c r="AK14" i="2"/>
  <c r="AN14" i="2" s="1"/>
  <c r="Y14" i="2"/>
  <c r="Z14" i="2" s="1"/>
  <c r="X14" i="2"/>
  <c r="AA14" i="2"/>
  <c r="AC14" i="2" s="1"/>
  <c r="L14" i="2"/>
  <c r="M14" i="2" s="1"/>
  <c r="AH14" i="2" l="1"/>
  <c r="AG14" i="2"/>
  <c r="AL14" i="2"/>
  <c r="AQ14" i="2"/>
  <c r="AI14" i="2"/>
  <c r="AJ14" i="2" s="1"/>
  <c r="AR14" i="2" s="1"/>
  <c r="AO14" i="2"/>
  <c r="AP14" i="2" s="1"/>
  <c r="AB14" i="2"/>
  <c r="AD14" i="2"/>
  <c r="E13" i="2" l="1"/>
  <c r="F13" i="2"/>
  <c r="H13" i="2" s="1"/>
  <c r="N13" i="2"/>
  <c r="S13" i="2"/>
  <c r="W13" i="2"/>
  <c r="X13" i="2" l="1"/>
  <c r="U13" i="2"/>
  <c r="V13" i="2" s="1"/>
  <c r="AK13" i="2"/>
  <c r="AN13" i="2" s="1"/>
  <c r="O13" i="2"/>
  <c r="AE13" i="2"/>
  <c r="Y13" i="2"/>
  <c r="Z13" i="2" s="1"/>
  <c r="P13" i="2"/>
  <c r="Q13" i="2" s="1"/>
  <c r="T13" i="2"/>
  <c r="AA13" i="2"/>
  <c r="AC13" i="2" s="1"/>
  <c r="L13" i="2"/>
  <c r="M13" i="2" s="1"/>
  <c r="E12" i="2"/>
  <c r="F12" i="2"/>
  <c r="H12" i="2" s="1"/>
  <c r="N12" i="2"/>
  <c r="S12" i="2"/>
  <c r="W12" i="2"/>
  <c r="E11" i="2"/>
  <c r="F11" i="2"/>
  <c r="H11" i="2" s="1"/>
  <c r="N11" i="2"/>
  <c r="S11" i="2"/>
  <c r="W11" i="2"/>
  <c r="AI13" i="2" l="1"/>
  <c r="AJ13" i="2" s="1"/>
  <c r="AR13" i="2" s="1"/>
  <c r="AG13" i="2"/>
  <c r="AL13" i="2"/>
  <c r="X12" i="2"/>
  <c r="AA11" i="2"/>
  <c r="T12" i="2"/>
  <c r="AE12" i="2"/>
  <c r="AQ13" i="2"/>
  <c r="U11" i="2"/>
  <c r="V11" i="2" s="1"/>
  <c r="AH13" i="2"/>
  <c r="AO13" i="2"/>
  <c r="AP13" i="2" s="1"/>
  <c r="P11" i="2"/>
  <c r="Q11" i="2" s="1"/>
  <c r="O12" i="2"/>
  <c r="AB13" i="2"/>
  <c r="AD13" i="2"/>
  <c r="AE11" i="2"/>
  <c r="T11" i="2"/>
  <c r="X11" i="2"/>
  <c r="O11" i="2"/>
  <c r="AK12" i="2"/>
  <c r="AN12" i="2" s="1"/>
  <c r="AA12" i="2"/>
  <c r="Y12" i="2"/>
  <c r="Z12" i="2" s="1"/>
  <c r="U12" i="2"/>
  <c r="V12" i="2" s="1"/>
  <c r="P12" i="2"/>
  <c r="Q12" i="2" s="1"/>
  <c r="L12" i="2"/>
  <c r="M12" i="2" s="1"/>
  <c r="Y11" i="2"/>
  <c r="Z11" i="2" s="1"/>
  <c r="AK11" i="2"/>
  <c r="AN11" i="2" s="1"/>
  <c r="L11" i="2"/>
  <c r="M11" i="2" s="1"/>
  <c r="E10" i="2"/>
  <c r="F10" i="2"/>
  <c r="H10" i="2" s="1"/>
  <c r="N10" i="2"/>
  <c r="S10" i="2"/>
  <c r="W10" i="2"/>
  <c r="AB12" i="2" l="1"/>
  <c r="AC12" i="2"/>
  <c r="AD12" i="2" s="1"/>
  <c r="AC11" i="2"/>
  <c r="AD11" i="2" s="1"/>
  <c r="AH11" i="2"/>
  <c r="AG11" i="2"/>
  <c r="AH12" i="2"/>
  <c r="AG12" i="2"/>
  <c r="AL12" i="2"/>
  <c r="AL11" i="2"/>
  <c r="AI12" i="2"/>
  <c r="AJ12" i="2" s="1"/>
  <c r="AR12" i="2" s="1"/>
  <c r="AB11" i="2"/>
  <c r="AI11" i="2"/>
  <c r="AJ11" i="2" s="1"/>
  <c r="AR11" i="2" s="1"/>
  <c r="AO12" i="2"/>
  <c r="AP12" i="2" s="1"/>
  <c r="AO11" i="2"/>
  <c r="AP11" i="2" s="1"/>
  <c r="AQ12" i="2"/>
  <c r="AQ11" i="2"/>
  <c r="AE10" i="2"/>
  <c r="AK10" i="2"/>
  <c r="AN10" i="2" s="1"/>
  <c r="U10" i="2"/>
  <c r="V10" i="2" s="1"/>
  <c r="X10" i="2"/>
  <c r="O10" i="2"/>
  <c r="Y10" i="2"/>
  <c r="Z10" i="2" s="1"/>
  <c r="P10" i="2"/>
  <c r="Q10" i="2" s="1"/>
  <c r="T10" i="2"/>
  <c r="AA10" i="2"/>
  <c r="AC10" i="2" s="1"/>
  <c r="L10" i="2"/>
  <c r="M10" i="2" s="1"/>
  <c r="E9" i="2"/>
  <c r="F9" i="2"/>
  <c r="H9" i="2" s="1"/>
  <c r="N9" i="2"/>
  <c r="S9" i="2"/>
  <c r="W9" i="2"/>
  <c r="E8" i="2"/>
  <c r="F8" i="2"/>
  <c r="H8" i="2" s="1"/>
  <c r="N8" i="2"/>
  <c r="S8" i="2"/>
  <c r="W8" i="2"/>
  <c r="AI10" i="2" l="1"/>
  <c r="AJ10" i="2" s="1"/>
  <c r="AR10" i="2" s="1"/>
  <c r="AG10" i="2"/>
  <c r="AL10" i="2"/>
  <c r="AQ10" i="2"/>
  <c r="X9" i="2"/>
  <c r="T9" i="2"/>
  <c r="AH10" i="2"/>
  <c r="AO10" i="2"/>
  <c r="AP10" i="2" s="1"/>
  <c r="O9" i="2"/>
  <c r="AD10" i="2"/>
  <c r="AB10" i="2"/>
  <c r="AA9" i="2"/>
  <c r="Y9" i="2"/>
  <c r="Z9" i="2" s="1"/>
  <c r="AE9" i="2"/>
  <c r="L9" i="2"/>
  <c r="M9" i="2" s="1"/>
  <c r="U9" i="2"/>
  <c r="V9" i="2" s="1"/>
  <c r="AK9" i="2"/>
  <c r="AN9" i="2" s="1"/>
  <c r="P9" i="2"/>
  <c r="Q9" i="2" s="1"/>
  <c r="AK8" i="2"/>
  <c r="AN8" i="2" s="1"/>
  <c r="U8" i="2"/>
  <c r="V8" i="2" s="1"/>
  <c r="T8" i="2"/>
  <c r="AE8" i="2"/>
  <c r="O8" i="2"/>
  <c r="AA8" i="2"/>
  <c r="AC8" i="2" s="1"/>
  <c r="L8" i="2"/>
  <c r="M8" i="2" s="1"/>
  <c r="Y8" i="2"/>
  <c r="Z8" i="2" s="1"/>
  <c r="P8" i="2"/>
  <c r="Q8" i="2" s="1"/>
  <c r="X8" i="2"/>
  <c r="W5" i="2"/>
  <c r="W6" i="2"/>
  <c r="W7" i="2"/>
  <c r="S5" i="2"/>
  <c r="S6" i="2"/>
  <c r="S7" i="2"/>
  <c r="E7" i="2"/>
  <c r="F7" i="2"/>
  <c r="H7" i="2" s="1"/>
  <c r="N7" i="2"/>
  <c r="N5" i="2"/>
  <c r="N6" i="2"/>
  <c r="E5" i="2"/>
  <c r="F5" i="2"/>
  <c r="F6" i="2"/>
  <c r="E6" i="2"/>
  <c r="G450" i="2" l="1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1" i="2"/>
  <c r="G689" i="2"/>
  <c r="G697" i="2"/>
  <c r="G705" i="2"/>
  <c r="G713" i="2"/>
  <c r="G721" i="2"/>
  <c r="G451" i="2"/>
  <c r="G459" i="2"/>
  <c r="G467" i="2"/>
  <c r="G475" i="2"/>
  <c r="G483" i="2"/>
  <c r="G491" i="2"/>
  <c r="G499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675" i="2"/>
  <c r="G683" i="2"/>
  <c r="G691" i="2"/>
  <c r="G699" i="2"/>
  <c r="G707" i="2"/>
  <c r="G715" i="2"/>
  <c r="G723" i="2"/>
  <c r="G453" i="2"/>
  <c r="G461" i="2"/>
  <c r="G469" i="2"/>
  <c r="G477" i="2"/>
  <c r="G485" i="2"/>
  <c r="G493" i="2"/>
  <c r="G501" i="2"/>
  <c r="G509" i="2"/>
  <c r="G517" i="2"/>
  <c r="G525" i="2"/>
  <c r="G533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677" i="2"/>
  <c r="G685" i="2"/>
  <c r="G693" i="2"/>
  <c r="G455" i="2"/>
  <c r="G487" i="2"/>
  <c r="G519" i="2"/>
  <c r="G551" i="2"/>
  <c r="G583" i="2"/>
  <c r="G615" i="2"/>
  <c r="G647" i="2"/>
  <c r="G679" i="2"/>
  <c r="G703" i="2"/>
  <c r="G719" i="2"/>
  <c r="G463" i="2"/>
  <c r="G495" i="2"/>
  <c r="G527" i="2"/>
  <c r="G559" i="2"/>
  <c r="G591" i="2"/>
  <c r="G623" i="2"/>
  <c r="G655" i="2"/>
  <c r="G687" i="2"/>
  <c r="G709" i="2"/>
  <c r="G471" i="2"/>
  <c r="G503" i="2"/>
  <c r="G535" i="2"/>
  <c r="G567" i="2"/>
  <c r="G599" i="2"/>
  <c r="G631" i="2"/>
  <c r="G663" i="2"/>
  <c r="G695" i="2"/>
  <c r="G711" i="2"/>
  <c r="G479" i="2"/>
  <c r="G511" i="2"/>
  <c r="G543" i="2"/>
  <c r="G575" i="2"/>
  <c r="G607" i="2"/>
  <c r="G639" i="2"/>
  <c r="G671" i="2"/>
  <c r="G701" i="2"/>
  <c r="G717" i="2"/>
  <c r="G440" i="2"/>
  <c r="G444" i="2"/>
  <c r="G448" i="2"/>
  <c r="G441" i="2"/>
  <c r="G445" i="2"/>
  <c r="G442" i="2"/>
  <c r="G446" i="2"/>
  <c r="G443" i="2"/>
  <c r="G447" i="2"/>
  <c r="G429" i="2"/>
  <c r="G433" i="2"/>
  <c r="G437" i="2"/>
  <c r="G430" i="2"/>
  <c r="G434" i="2"/>
  <c r="G438" i="2"/>
  <c r="G431" i="2"/>
  <c r="G435" i="2"/>
  <c r="G439" i="2"/>
  <c r="G432" i="2"/>
  <c r="G436" i="2"/>
  <c r="G421" i="2"/>
  <c r="G425" i="2"/>
  <c r="G422" i="2"/>
  <c r="G426" i="2"/>
  <c r="G423" i="2"/>
  <c r="G427" i="2"/>
  <c r="G424" i="2"/>
  <c r="G428" i="2"/>
  <c r="G413" i="2"/>
  <c r="G417" i="2"/>
  <c r="G414" i="2"/>
  <c r="G418" i="2"/>
  <c r="G415" i="2"/>
  <c r="G419" i="2"/>
  <c r="G416" i="2"/>
  <c r="G420" i="2"/>
  <c r="G409" i="2"/>
  <c r="G410" i="2"/>
  <c r="G411" i="2"/>
  <c r="G412" i="2"/>
  <c r="G403" i="2"/>
  <c r="G404" i="2"/>
  <c r="G408" i="2"/>
  <c r="G405" i="2"/>
  <c r="G406" i="2"/>
  <c r="G407" i="2"/>
  <c r="G400" i="2"/>
  <c r="G401" i="2"/>
  <c r="G402" i="2"/>
  <c r="G397" i="2"/>
  <c r="G398" i="2"/>
  <c r="G399" i="2"/>
  <c r="G393" i="2"/>
  <c r="G394" i="2"/>
  <c r="G395" i="2"/>
  <c r="G396" i="2"/>
  <c r="G389" i="2"/>
  <c r="G391" i="2"/>
  <c r="G390" i="2"/>
  <c r="G392" i="2"/>
  <c r="G383" i="2"/>
  <c r="G387" i="2"/>
  <c r="G384" i="2"/>
  <c r="G388" i="2"/>
  <c r="G385" i="2"/>
  <c r="G386" i="2"/>
  <c r="G375" i="2"/>
  <c r="G379" i="2"/>
  <c r="G376" i="2"/>
  <c r="G380" i="2"/>
  <c r="G377" i="2"/>
  <c r="G381" i="2"/>
  <c r="G378" i="2"/>
  <c r="G382" i="2"/>
  <c r="G371" i="2"/>
  <c r="G372" i="2"/>
  <c r="G373" i="2"/>
  <c r="G374" i="2"/>
  <c r="G368" i="2"/>
  <c r="G369" i="2"/>
  <c r="G370" i="2"/>
  <c r="G366" i="2"/>
  <c r="G367" i="2"/>
  <c r="G360" i="2"/>
  <c r="G364" i="2"/>
  <c r="G361" i="2"/>
  <c r="G365" i="2"/>
  <c r="G362" i="2"/>
  <c r="G363" i="2"/>
  <c r="G357" i="2"/>
  <c r="G358" i="2"/>
  <c r="G359" i="2"/>
  <c r="G355" i="2"/>
  <c r="G356" i="2"/>
  <c r="G353" i="2"/>
  <c r="G354" i="2"/>
  <c r="G351" i="2"/>
  <c r="G352" i="2"/>
  <c r="G349" i="2"/>
  <c r="G350" i="2"/>
  <c r="G344" i="2"/>
  <c r="G348" i="2"/>
  <c r="G345" i="2"/>
  <c r="G346" i="2"/>
  <c r="G347" i="2"/>
  <c r="G341" i="2"/>
  <c r="G342" i="2"/>
  <c r="G343" i="2"/>
  <c r="G338" i="2"/>
  <c r="G339" i="2"/>
  <c r="G340" i="2"/>
  <c r="G336" i="2"/>
  <c r="G337" i="2"/>
  <c r="G334" i="2"/>
  <c r="G335" i="2"/>
  <c r="G332" i="2"/>
  <c r="G333" i="2"/>
  <c r="G327" i="2"/>
  <c r="G331" i="2"/>
  <c r="G328" i="2"/>
  <c r="G329" i="2"/>
  <c r="G330" i="2"/>
  <c r="G324" i="2"/>
  <c r="G325" i="2"/>
  <c r="G326" i="2"/>
  <c r="G319" i="2"/>
  <c r="G323" i="2"/>
  <c r="G320" i="2"/>
  <c r="G321" i="2"/>
  <c r="G322" i="2"/>
  <c r="G317" i="2"/>
  <c r="G318" i="2"/>
  <c r="G314" i="2"/>
  <c r="G315" i="2"/>
  <c r="G316" i="2"/>
  <c r="G312" i="2"/>
  <c r="G313" i="2"/>
  <c r="G310" i="2"/>
  <c r="G311" i="2"/>
  <c r="G308" i="2"/>
  <c r="G309" i="2"/>
  <c r="G304" i="2"/>
  <c r="G305" i="2"/>
  <c r="G306" i="2"/>
  <c r="G307" i="2"/>
  <c r="G302" i="2"/>
  <c r="G303" i="2"/>
  <c r="G298" i="2"/>
  <c r="G299" i="2"/>
  <c r="G300" i="2"/>
  <c r="G301" i="2"/>
  <c r="G292" i="2"/>
  <c r="G296" i="2"/>
  <c r="G293" i="2"/>
  <c r="G297" i="2"/>
  <c r="G294" i="2"/>
  <c r="G295" i="2"/>
  <c r="G290" i="2"/>
  <c r="G291" i="2"/>
  <c r="G286" i="2"/>
  <c r="G287" i="2"/>
  <c r="G288" i="2"/>
  <c r="G289" i="2"/>
  <c r="G284" i="2"/>
  <c r="G285" i="2"/>
  <c r="G282" i="2"/>
  <c r="G283" i="2"/>
  <c r="G280" i="2"/>
  <c r="G281" i="2"/>
  <c r="G278" i="2"/>
  <c r="G279" i="2"/>
  <c r="G276" i="2"/>
  <c r="G277" i="2"/>
  <c r="G274" i="2"/>
  <c r="G275" i="2"/>
  <c r="G272" i="2"/>
  <c r="G273" i="2"/>
  <c r="G269" i="2"/>
  <c r="G270" i="2"/>
  <c r="G271" i="2"/>
  <c r="G265" i="2"/>
  <c r="G266" i="2"/>
  <c r="G267" i="2"/>
  <c r="G268" i="2"/>
  <c r="G261" i="2"/>
  <c r="G262" i="2"/>
  <c r="G263" i="2"/>
  <c r="G264" i="2"/>
  <c r="G258" i="2"/>
  <c r="G259" i="2"/>
  <c r="G260" i="2"/>
  <c r="G256" i="2"/>
  <c r="G257" i="2"/>
  <c r="G254" i="2"/>
  <c r="G255" i="2"/>
  <c r="G252" i="2"/>
  <c r="G253" i="2"/>
  <c r="G250" i="2"/>
  <c r="G251" i="2"/>
  <c r="G247" i="2"/>
  <c r="G248" i="2"/>
  <c r="G249" i="2"/>
  <c r="G245" i="2"/>
  <c r="G246" i="2"/>
  <c r="G240" i="2"/>
  <c r="G241" i="2"/>
  <c r="G242" i="2"/>
  <c r="G243" i="2"/>
  <c r="G244" i="2"/>
  <c r="G238" i="2"/>
  <c r="G239" i="2"/>
  <c r="G236" i="2"/>
  <c r="G237" i="2"/>
  <c r="G234" i="2"/>
  <c r="G235" i="2"/>
  <c r="G232" i="2"/>
  <c r="G233" i="2"/>
  <c r="G230" i="2"/>
  <c r="G231" i="2"/>
  <c r="G228" i="2"/>
  <c r="G229" i="2"/>
  <c r="G225" i="2"/>
  <c r="G226" i="2"/>
  <c r="G227" i="2"/>
  <c r="G223" i="2"/>
  <c r="G224" i="2"/>
  <c r="G221" i="2"/>
  <c r="G222" i="2"/>
  <c r="G219" i="2"/>
  <c r="G220" i="2"/>
  <c r="G217" i="2"/>
  <c r="G218" i="2"/>
  <c r="G216" i="2"/>
  <c r="G212" i="2"/>
  <c r="G215" i="2"/>
  <c r="G214" i="2"/>
  <c r="G213" i="2"/>
  <c r="G210" i="2"/>
  <c r="G211" i="2"/>
  <c r="G208" i="2"/>
  <c r="G209" i="2"/>
  <c r="G206" i="2"/>
  <c r="G207" i="2"/>
  <c r="G204" i="2"/>
  <c r="G205" i="2"/>
  <c r="G202" i="2"/>
  <c r="G203" i="2"/>
  <c r="G200" i="2"/>
  <c r="G201" i="2"/>
  <c r="G198" i="2"/>
  <c r="G199" i="2"/>
  <c r="G196" i="2"/>
  <c r="G197" i="2"/>
  <c r="G194" i="2"/>
  <c r="G195" i="2"/>
  <c r="G192" i="2"/>
  <c r="G193" i="2"/>
  <c r="G190" i="2"/>
  <c r="G191" i="2"/>
  <c r="G188" i="2"/>
  <c r="G189" i="2"/>
  <c r="G186" i="2"/>
  <c r="G187" i="2"/>
  <c r="G184" i="2"/>
  <c r="G185" i="2"/>
  <c r="AB9" i="2"/>
  <c r="AC9" i="2"/>
  <c r="AD9" i="2" s="1"/>
  <c r="G182" i="2"/>
  <c r="G183" i="2"/>
  <c r="G180" i="2"/>
  <c r="G181" i="2"/>
  <c r="G178" i="2"/>
  <c r="G179" i="2"/>
  <c r="G176" i="2"/>
  <c r="G177" i="2"/>
  <c r="G174" i="2"/>
  <c r="G175" i="2"/>
  <c r="G172" i="2"/>
  <c r="G173" i="2"/>
  <c r="G170" i="2"/>
  <c r="G171" i="2"/>
  <c r="G169" i="2"/>
  <c r="G167" i="2"/>
  <c r="G168" i="2"/>
  <c r="G165" i="2"/>
  <c r="G166" i="2"/>
  <c r="G163" i="2"/>
  <c r="G164" i="2"/>
  <c r="G161" i="2"/>
  <c r="G162" i="2"/>
  <c r="G159" i="2"/>
  <c r="G160" i="2"/>
  <c r="G157" i="2"/>
  <c r="G158" i="2"/>
  <c r="G155" i="2"/>
  <c r="G156" i="2"/>
  <c r="G153" i="2"/>
  <c r="G154" i="2"/>
  <c r="G151" i="2"/>
  <c r="G152" i="2"/>
  <c r="G149" i="2"/>
  <c r="G150" i="2"/>
  <c r="G147" i="2"/>
  <c r="G148" i="2"/>
  <c r="G145" i="2"/>
  <c r="G146" i="2"/>
  <c r="G143" i="2"/>
  <c r="G144" i="2"/>
  <c r="G141" i="2"/>
  <c r="G142" i="2"/>
  <c r="G139" i="2"/>
  <c r="G140" i="2"/>
  <c r="G137" i="2"/>
  <c r="G138" i="2"/>
  <c r="G135" i="2"/>
  <c r="G136" i="2"/>
  <c r="G133" i="2"/>
  <c r="G134" i="2"/>
  <c r="G131" i="2"/>
  <c r="G132" i="2"/>
  <c r="G129" i="2"/>
  <c r="G130" i="2"/>
  <c r="G127" i="2"/>
  <c r="G128" i="2"/>
  <c r="G125" i="2"/>
  <c r="G126" i="2"/>
  <c r="G123" i="2"/>
  <c r="G124" i="2"/>
  <c r="G121" i="2"/>
  <c r="G122" i="2"/>
  <c r="G119" i="2"/>
  <c r="G120" i="2"/>
  <c r="G117" i="2"/>
  <c r="G118" i="2"/>
  <c r="G115" i="2"/>
  <c r="G116" i="2"/>
  <c r="G113" i="2"/>
  <c r="G114" i="2"/>
  <c r="G111" i="2"/>
  <c r="G112" i="2"/>
  <c r="G109" i="2"/>
  <c r="G110" i="2"/>
  <c r="G107" i="2"/>
  <c r="G108" i="2"/>
  <c r="G105" i="2"/>
  <c r="G106" i="2"/>
  <c r="G103" i="2"/>
  <c r="G104" i="2"/>
  <c r="G101" i="2"/>
  <c r="G102" i="2"/>
  <c r="G99" i="2"/>
  <c r="G100" i="2"/>
  <c r="G97" i="2"/>
  <c r="G98" i="2"/>
  <c r="G95" i="2"/>
  <c r="G96" i="2"/>
  <c r="G93" i="2"/>
  <c r="G94" i="2"/>
  <c r="G91" i="2"/>
  <c r="G92" i="2"/>
  <c r="G89" i="2"/>
  <c r="G90" i="2"/>
  <c r="G87" i="2"/>
  <c r="G88" i="2"/>
  <c r="G85" i="2"/>
  <c r="G86" i="2"/>
  <c r="G83" i="2"/>
  <c r="G84" i="2"/>
  <c r="G81" i="2"/>
  <c r="G82" i="2"/>
  <c r="G79" i="2"/>
  <c r="G80" i="2"/>
  <c r="G78" i="2"/>
  <c r="H6" i="2"/>
  <c r="AO8" i="2"/>
  <c r="AP8" i="2" s="1"/>
  <c r="AG8" i="2"/>
  <c r="AH9" i="2"/>
  <c r="AG9" i="2"/>
  <c r="G5" i="2"/>
  <c r="H5" i="2"/>
  <c r="N3" i="2"/>
  <c r="G76" i="2"/>
  <c r="G77" i="2"/>
  <c r="G74" i="2"/>
  <c r="G75" i="2"/>
  <c r="G72" i="2"/>
  <c r="G73" i="2"/>
  <c r="G70" i="2"/>
  <c r="G71" i="2"/>
  <c r="G68" i="2"/>
  <c r="G69" i="2"/>
  <c r="G66" i="2"/>
  <c r="G67" i="2"/>
  <c r="W3" i="2"/>
  <c r="G64" i="2"/>
  <c r="G65" i="2"/>
  <c r="G62" i="2"/>
  <c r="G63" i="2"/>
  <c r="G60" i="2"/>
  <c r="G61" i="2"/>
  <c r="G58" i="2"/>
  <c r="G59" i="2"/>
  <c r="G56" i="2"/>
  <c r="G57" i="2"/>
  <c r="G54" i="2"/>
  <c r="G55" i="2"/>
  <c r="G52" i="2"/>
  <c r="G53" i="2"/>
  <c r="G50" i="2"/>
  <c r="G51" i="2"/>
  <c r="G48" i="2"/>
  <c r="G49" i="2"/>
  <c r="G46" i="2"/>
  <c r="G47" i="2"/>
  <c r="G44" i="2"/>
  <c r="G45" i="2"/>
  <c r="G42" i="2"/>
  <c r="G43" i="2"/>
  <c r="G40" i="2"/>
  <c r="G41" i="2"/>
  <c r="G38" i="2"/>
  <c r="G39" i="2"/>
  <c r="G36" i="2"/>
  <c r="G37" i="2"/>
  <c r="G34" i="2"/>
  <c r="G35" i="2"/>
  <c r="G32" i="2"/>
  <c r="G33" i="2"/>
  <c r="G7" i="2"/>
  <c r="G6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1" i="2"/>
  <c r="G12" i="2"/>
  <c r="G10" i="2"/>
  <c r="G9" i="2"/>
  <c r="G8" i="2"/>
  <c r="AL9" i="2"/>
  <c r="AL8" i="2"/>
  <c r="AK7" i="2"/>
  <c r="AN7" i="2" s="1"/>
  <c r="AI8" i="2"/>
  <c r="AJ8" i="2" s="1"/>
  <c r="AR8" i="2" s="1"/>
  <c r="AK5" i="2"/>
  <c r="AQ8" i="2"/>
  <c r="AQ9" i="2"/>
  <c r="AI9" i="2"/>
  <c r="AJ9" i="2" s="1"/>
  <c r="AR9" i="2" s="1"/>
  <c r="AO9" i="2"/>
  <c r="AP9" i="2" s="1"/>
  <c r="AE5" i="2"/>
  <c r="AH8" i="2"/>
  <c r="AB8" i="2"/>
  <c r="AD8" i="2"/>
  <c r="O7" i="2"/>
  <c r="AE6" i="2"/>
  <c r="AA7" i="2"/>
  <c r="AK6" i="2"/>
  <c r="AE7" i="2"/>
  <c r="T5" i="2"/>
  <c r="O6" i="2"/>
  <c r="O5" i="2"/>
  <c r="X7" i="2"/>
  <c r="Y6" i="2"/>
  <c r="Z6" i="2" s="1"/>
  <c r="X5" i="2"/>
  <c r="X6" i="2"/>
  <c r="Y5" i="2"/>
  <c r="Z5" i="2" s="1"/>
  <c r="Y7" i="2"/>
  <c r="Z7" i="2" s="1"/>
  <c r="U6" i="2"/>
  <c r="V6" i="2" s="1"/>
  <c r="U5" i="2"/>
  <c r="V5" i="2" s="1"/>
  <c r="L7" i="2"/>
  <c r="M7" i="2" s="1"/>
  <c r="P6" i="2"/>
  <c r="Q6" i="2" s="1"/>
  <c r="P5" i="2"/>
  <c r="Q5" i="2" s="1"/>
  <c r="T7" i="2"/>
  <c r="U7" i="2"/>
  <c r="V7" i="2" s="1"/>
  <c r="P7" i="2"/>
  <c r="Q7" i="2" s="1"/>
  <c r="AQ7" i="2" s="1"/>
  <c r="L6" i="2"/>
  <c r="M6" i="2" s="1"/>
  <c r="L5" i="2"/>
  <c r="M5" i="2" s="1"/>
  <c r="T6" i="2"/>
  <c r="AF452" i="2" l="1"/>
  <c r="AF456" i="2"/>
  <c r="AF460" i="2"/>
  <c r="AF464" i="2"/>
  <c r="AF468" i="2"/>
  <c r="AF472" i="2"/>
  <c r="AF476" i="2"/>
  <c r="AF480" i="2"/>
  <c r="AF484" i="2"/>
  <c r="AF488" i="2"/>
  <c r="AF492" i="2"/>
  <c r="AF496" i="2"/>
  <c r="AF500" i="2"/>
  <c r="AF504" i="2"/>
  <c r="AF508" i="2"/>
  <c r="AF512" i="2"/>
  <c r="AF449" i="2"/>
  <c r="AF453" i="2"/>
  <c r="AF457" i="2"/>
  <c r="AF461" i="2"/>
  <c r="AF465" i="2"/>
  <c r="AF469" i="2"/>
  <c r="AF473" i="2"/>
  <c r="AF477" i="2"/>
  <c r="AF481" i="2"/>
  <c r="AF485" i="2"/>
  <c r="AF489" i="2"/>
  <c r="AF493" i="2"/>
  <c r="AF497" i="2"/>
  <c r="AF501" i="2"/>
  <c r="AF505" i="2"/>
  <c r="AF509" i="2"/>
  <c r="AF513" i="2"/>
  <c r="AF517" i="2"/>
  <c r="AF521" i="2"/>
  <c r="AF525" i="2"/>
  <c r="AF529" i="2"/>
  <c r="AF533" i="2"/>
  <c r="AF537" i="2"/>
  <c r="AF541" i="2"/>
  <c r="AF545" i="2"/>
  <c r="AF549" i="2"/>
  <c r="AF553" i="2"/>
  <c r="AF557" i="2"/>
  <c r="AF561" i="2"/>
  <c r="AF565" i="2"/>
  <c r="AF569" i="2"/>
  <c r="AF573" i="2"/>
  <c r="AF577" i="2"/>
  <c r="AF581" i="2"/>
  <c r="AF585" i="2"/>
  <c r="AF589" i="2"/>
  <c r="AF593" i="2"/>
  <c r="AF597" i="2"/>
  <c r="AF601" i="2"/>
  <c r="AF605" i="2"/>
  <c r="AF609" i="2"/>
  <c r="AF613" i="2"/>
  <c r="AF617" i="2"/>
  <c r="AF450" i="2"/>
  <c r="AF458" i="2"/>
  <c r="AF466" i="2"/>
  <c r="AF474" i="2"/>
  <c r="AF482" i="2"/>
  <c r="AF490" i="2"/>
  <c r="AF498" i="2"/>
  <c r="AF506" i="2"/>
  <c r="AF514" i="2"/>
  <c r="AF519" i="2"/>
  <c r="AF524" i="2"/>
  <c r="AF530" i="2"/>
  <c r="AF535" i="2"/>
  <c r="AF540" i="2"/>
  <c r="AF546" i="2"/>
  <c r="AF551" i="2"/>
  <c r="AF556" i="2"/>
  <c r="AF562" i="2"/>
  <c r="AF567" i="2"/>
  <c r="AF572" i="2"/>
  <c r="AF578" i="2"/>
  <c r="AF583" i="2"/>
  <c r="AF588" i="2"/>
  <c r="AF594" i="2"/>
  <c r="AF599" i="2"/>
  <c r="AF604" i="2"/>
  <c r="AF610" i="2"/>
  <c r="AF615" i="2"/>
  <c r="AF620" i="2"/>
  <c r="AF624" i="2"/>
  <c r="AF628" i="2"/>
  <c r="AF632" i="2"/>
  <c r="AF636" i="2"/>
  <c r="AF640" i="2"/>
  <c r="AF644" i="2"/>
  <c r="AF648" i="2"/>
  <c r="AF652" i="2"/>
  <c r="AF656" i="2"/>
  <c r="AF660" i="2"/>
  <c r="AF664" i="2"/>
  <c r="AF668" i="2"/>
  <c r="AF672" i="2"/>
  <c r="AF676" i="2"/>
  <c r="AF680" i="2"/>
  <c r="AF684" i="2"/>
  <c r="AF688" i="2"/>
  <c r="AF692" i="2"/>
  <c r="AF696" i="2"/>
  <c r="AF700" i="2"/>
  <c r="AF704" i="2"/>
  <c r="AF708" i="2"/>
  <c r="AF712" i="2"/>
  <c r="AF716" i="2"/>
  <c r="AF720" i="2"/>
  <c r="AF724" i="2"/>
  <c r="AF455" i="2"/>
  <c r="AF463" i="2"/>
  <c r="AF471" i="2"/>
  <c r="AF479" i="2"/>
  <c r="AF487" i="2"/>
  <c r="AF495" i="2"/>
  <c r="AF503" i="2"/>
  <c r="AF511" i="2"/>
  <c r="AF518" i="2"/>
  <c r="AF523" i="2"/>
  <c r="AF528" i="2"/>
  <c r="AF534" i="2"/>
  <c r="AF539" i="2"/>
  <c r="AF544" i="2"/>
  <c r="AF550" i="2"/>
  <c r="AF555" i="2"/>
  <c r="AF560" i="2"/>
  <c r="AF566" i="2"/>
  <c r="AF571" i="2"/>
  <c r="AF576" i="2"/>
  <c r="AF582" i="2"/>
  <c r="AF587" i="2"/>
  <c r="AF592" i="2"/>
  <c r="AF598" i="2"/>
  <c r="AF603" i="2"/>
  <c r="AF608" i="2"/>
  <c r="AF614" i="2"/>
  <c r="AF619" i="2"/>
  <c r="AF623" i="2"/>
  <c r="AF627" i="2"/>
  <c r="AF631" i="2"/>
  <c r="AF635" i="2"/>
  <c r="AF639" i="2"/>
  <c r="AF643" i="2"/>
  <c r="AF647" i="2"/>
  <c r="AF651" i="2"/>
  <c r="AF655" i="2"/>
  <c r="AF659" i="2"/>
  <c r="AF663" i="2"/>
  <c r="AF667" i="2"/>
  <c r="AF671" i="2"/>
  <c r="AF675" i="2"/>
  <c r="AF679" i="2"/>
  <c r="AF683" i="2"/>
  <c r="AF687" i="2"/>
  <c r="AF691" i="2"/>
  <c r="AF695" i="2"/>
  <c r="AF699" i="2"/>
  <c r="AF703" i="2"/>
  <c r="AF707" i="2"/>
  <c r="AF711" i="2"/>
  <c r="AF715" i="2"/>
  <c r="AF719" i="2"/>
  <c r="AF723" i="2"/>
  <c r="AF451" i="2"/>
  <c r="AF467" i="2"/>
  <c r="AF483" i="2"/>
  <c r="AF499" i="2"/>
  <c r="AF515" i="2"/>
  <c r="AF526" i="2"/>
  <c r="AF536" i="2"/>
  <c r="AF547" i="2"/>
  <c r="AF558" i="2"/>
  <c r="AF568" i="2"/>
  <c r="AF579" i="2"/>
  <c r="AF590" i="2"/>
  <c r="AF600" i="2"/>
  <c r="AF611" i="2"/>
  <c r="AF621" i="2"/>
  <c r="AF629" i="2"/>
  <c r="AF637" i="2"/>
  <c r="AF645" i="2"/>
  <c r="AF653" i="2"/>
  <c r="AF661" i="2"/>
  <c r="AF669" i="2"/>
  <c r="AF677" i="2"/>
  <c r="AF685" i="2"/>
  <c r="AF693" i="2"/>
  <c r="AF701" i="2"/>
  <c r="AF709" i="2"/>
  <c r="AF717" i="2"/>
  <c r="AF462" i="2"/>
  <c r="AF478" i="2"/>
  <c r="AF494" i="2"/>
  <c r="AF510" i="2"/>
  <c r="AF522" i="2"/>
  <c r="AF532" i="2"/>
  <c r="AF543" i="2"/>
  <c r="AF554" i="2"/>
  <c r="AF564" i="2"/>
  <c r="AF575" i="2"/>
  <c r="AF586" i="2"/>
  <c r="AF596" i="2"/>
  <c r="AF607" i="2"/>
  <c r="AF618" i="2"/>
  <c r="AF626" i="2"/>
  <c r="AF634" i="2"/>
  <c r="AF642" i="2"/>
  <c r="AF650" i="2"/>
  <c r="AF658" i="2"/>
  <c r="AF666" i="2"/>
  <c r="AF674" i="2"/>
  <c r="AF682" i="2"/>
  <c r="AF690" i="2"/>
  <c r="AF698" i="2"/>
  <c r="AF706" i="2"/>
  <c r="AF714" i="2"/>
  <c r="AF722" i="2"/>
  <c r="AF454" i="2"/>
  <c r="AF486" i="2"/>
  <c r="AF516" i="2"/>
  <c r="AF538" i="2"/>
  <c r="AF559" i="2"/>
  <c r="AF580" i="2"/>
  <c r="AF602" i="2"/>
  <c r="AF622" i="2"/>
  <c r="AF638" i="2"/>
  <c r="AF654" i="2"/>
  <c r="AF670" i="2"/>
  <c r="AF686" i="2"/>
  <c r="AF702" i="2"/>
  <c r="AF718" i="2"/>
  <c r="AF459" i="2"/>
  <c r="AF520" i="2"/>
  <c r="AF542" i="2"/>
  <c r="AF584" i="2"/>
  <c r="AF625" i="2"/>
  <c r="AF657" i="2"/>
  <c r="AF689" i="2"/>
  <c r="AF721" i="2"/>
  <c r="AF491" i="2"/>
  <c r="AF563" i="2"/>
  <c r="AF606" i="2"/>
  <c r="AF641" i="2"/>
  <c r="AF673" i="2"/>
  <c r="AF705" i="2"/>
  <c r="AF470" i="2"/>
  <c r="AF502" i="2"/>
  <c r="AF527" i="2"/>
  <c r="AF548" i="2"/>
  <c r="AF570" i="2"/>
  <c r="AF591" i="2"/>
  <c r="AF612" i="2"/>
  <c r="AF630" i="2"/>
  <c r="AF646" i="2"/>
  <c r="AF662" i="2"/>
  <c r="AF678" i="2"/>
  <c r="AF694" i="2"/>
  <c r="AF710" i="2"/>
  <c r="AF475" i="2"/>
  <c r="AF507" i="2"/>
  <c r="AF531" i="2"/>
  <c r="AF552" i="2"/>
  <c r="AF574" i="2"/>
  <c r="AF595" i="2"/>
  <c r="AF616" i="2"/>
  <c r="AF633" i="2"/>
  <c r="AF649" i="2"/>
  <c r="AF665" i="2"/>
  <c r="AF681" i="2"/>
  <c r="AF697" i="2"/>
  <c r="AF713" i="2"/>
  <c r="AM449" i="2"/>
  <c r="AM453" i="2"/>
  <c r="AM457" i="2"/>
  <c r="AM461" i="2"/>
  <c r="AM465" i="2"/>
  <c r="AM469" i="2"/>
  <c r="AM473" i="2"/>
  <c r="AM477" i="2"/>
  <c r="AM481" i="2"/>
  <c r="AM485" i="2"/>
  <c r="AM489" i="2"/>
  <c r="AM493" i="2"/>
  <c r="AM497" i="2"/>
  <c r="AM501" i="2"/>
  <c r="AM505" i="2"/>
  <c r="AM509" i="2"/>
  <c r="AM513" i="2"/>
  <c r="AM517" i="2"/>
  <c r="AM521" i="2"/>
  <c r="AM525" i="2"/>
  <c r="AM529" i="2"/>
  <c r="AM533" i="2"/>
  <c r="AM537" i="2"/>
  <c r="AM541" i="2"/>
  <c r="AM545" i="2"/>
  <c r="AM549" i="2"/>
  <c r="AM553" i="2"/>
  <c r="AM557" i="2"/>
  <c r="AM561" i="2"/>
  <c r="AM565" i="2"/>
  <c r="AM569" i="2"/>
  <c r="AM573" i="2"/>
  <c r="AM577" i="2"/>
  <c r="AM581" i="2"/>
  <c r="AM585" i="2"/>
  <c r="AM589" i="2"/>
  <c r="AM593" i="2"/>
  <c r="AM597" i="2"/>
  <c r="AM601" i="2"/>
  <c r="AM605" i="2"/>
  <c r="AM609" i="2"/>
  <c r="AM613" i="2"/>
  <c r="AM617" i="2"/>
  <c r="AM621" i="2"/>
  <c r="AM625" i="2"/>
  <c r="AM629" i="2"/>
  <c r="AM633" i="2"/>
  <c r="AM637" i="2"/>
  <c r="AM641" i="2"/>
  <c r="AM645" i="2"/>
  <c r="AM649" i="2"/>
  <c r="AM653" i="2"/>
  <c r="AM657" i="2"/>
  <c r="AM661" i="2"/>
  <c r="AM665" i="2"/>
  <c r="AM669" i="2"/>
  <c r="AM673" i="2"/>
  <c r="AM677" i="2"/>
  <c r="AM681" i="2"/>
  <c r="AM685" i="2"/>
  <c r="AM689" i="2"/>
  <c r="AM693" i="2"/>
  <c r="AM697" i="2"/>
  <c r="AM701" i="2"/>
  <c r="AM705" i="2"/>
  <c r="AM709" i="2"/>
  <c r="AM713" i="2"/>
  <c r="AM717" i="2"/>
  <c r="AM721" i="2"/>
  <c r="AM452" i="2"/>
  <c r="AM456" i="2"/>
  <c r="AM460" i="2"/>
  <c r="AM464" i="2"/>
  <c r="AM468" i="2"/>
  <c r="AM472" i="2"/>
  <c r="AM476" i="2"/>
  <c r="AM480" i="2"/>
  <c r="AM484" i="2"/>
  <c r="AM488" i="2"/>
  <c r="AM492" i="2"/>
  <c r="AM496" i="2"/>
  <c r="AM500" i="2"/>
  <c r="AM504" i="2"/>
  <c r="AM508" i="2"/>
  <c r="AM512" i="2"/>
  <c r="AM516" i="2"/>
  <c r="AM520" i="2"/>
  <c r="AM524" i="2"/>
  <c r="AM528" i="2"/>
  <c r="AM532" i="2"/>
  <c r="AM536" i="2"/>
  <c r="AM540" i="2"/>
  <c r="AM544" i="2"/>
  <c r="AM548" i="2"/>
  <c r="AM552" i="2"/>
  <c r="AM556" i="2"/>
  <c r="AM560" i="2"/>
  <c r="AM564" i="2"/>
  <c r="AM568" i="2"/>
  <c r="AM572" i="2"/>
  <c r="AM576" i="2"/>
  <c r="AM580" i="2"/>
  <c r="AM584" i="2"/>
  <c r="AM588" i="2"/>
  <c r="AM592" i="2"/>
  <c r="AM596" i="2"/>
  <c r="AM600" i="2"/>
  <c r="AM604" i="2"/>
  <c r="AM608" i="2"/>
  <c r="AM612" i="2"/>
  <c r="AM616" i="2"/>
  <c r="AM620" i="2"/>
  <c r="AM624" i="2"/>
  <c r="AM628" i="2"/>
  <c r="AM632" i="2"/>
  <c r="AM636" i="2"/>
  <c r="AM640" i="2"/>
  <c r="AM644" i="2"/>
  <c r="AM648" i="2"/>
  <c r="AM652" i="2"/>
  <c r="AM656" i="2"/>
  <c r="AM660" i="2"/>
  <c r="AM664" i="2"/>
  <c r="AM668" i="2"/>
  <c r="AM672" i="2"/>
  <c r="AM676" i="2"/>
  <c r="AM680" i="2"/>
  <c r="AM684" i="2"/>
  <c r="AM688" i="2"/>
  <c r="AM692" i="2"/>
  <c r="AM696" i="2"/>
  <c r="AM700" i="2"/>
  <c r="AM704" i="2"/>
  <c r="AM708" i="2"/>
  <c r="AM712" i="2"/>
  <c r="AM716" i="2"/>
  <c r="AM720" i="2"/>
  <c r="AM724" i="2"/>
  <c r="AM450" i="2"/>
  <c r="AM458" i="2"/>
  <c r="AM466" i="2"/>
  <c r="AM474" i="2"/>
  <c r="AM482" i="2"/>
  <c r="AM490" i="2"/>
  <c r="AM498" i="2"/>
  <c r="AM506" i="2"/>
  <c r="AM514" i="2"/>
  <c r="AM522" i="2"/>
  <c r="AM530" i="2"/>
  <c r="AM538" i="2"/>
  <c r="AM546" i="2"/>
  <c r="AM554" i="2"/>
  <c r="AM562" i="2"/>
  <c r="AM570" i="2"/>
  <c r="AM578" i="2"/>
  <c r="AM586" i="2"/>
  <c r="AM594" i="2"/>
  <c r="AM602" i="2"/>
  <c r="AM610" i="2"/>
  <c r="AM618" i="2"/>
  <c r="AM626" i="2"/>
  <c r="AM634" i="2"/>
  <c r="AM642" i="2"/>
  <c r="AM650" i="2"/>
  <c r="AM658" i="2"/>
  <c r="AM666" i="2"/>
  <c r="AM674" i="2"/>
  <c r="AM682" i="2"/>
  <c r="AM690" i="2"/>
  <c r="AM698" i="2"/>
  <c r="AM706" i="2"/>
  <c r="AM714" i="2"/>
  <c r="AM722" i="2"/>
  <c r="AM451" i="2"/>
  <c r="AM459" i="2"/>
  <c r="AM467" i="2"/>
  <c r="AM475" i="2"/>
  <c r="AM483" i="2"/>
  <c r="AM491" i="2"/>
  <c r="AM499" i="2"/>
  <c r="AM507" i="2"/>
  <c r="AM515" i="2"/>
  <c r="AM523" i="2"/>
  <c r="AM531" i="2"/>
  <c r="AM539" i="2"/>
  <c r="AM547" i="2"/>
  <c r="AM555" i="2"/>
  <c r="AM563" i="2"/>
  <c r="AM571" i="2"/>
  <c r="AM579" i="2"/>
  <c r="AM587" i="2"/>
  <c r="AM595" i="2"/>
  <c r="AM603" i="2"/>
  <c r="AM611" i="2"/>
  <c r="AM619" i="2"/>
  <c r="AM627" i="2"/>
  <c r="AM635" i="2"/>
  <c r="AM643" i="2"/>
  <c r="AM651" i="2"/>
  <c r="AM659" i="2"/>
  <c r="AM667" i="2"/>
  <c r="AM675" i="2"/>
  <c r="AM683" i="2"/>
  <c r="AM691" i="2"/>
  <c r="AM699" i="2"/>
  <c r="AM707" i="2"/>
  <c r="AM715" i="2"/>
  <c r="AM723" i="2"/>
  <c r="AM454" i="2"/>
  <c r="AM462" i="2"/>
  <c r="AM470" i="2"/>
  <c r="AM478" i="2"/>
  <c r="AM486" i="2"/>
  <c r="AM494" i="2"/>
  <c r="AM502" i="2"/>
  <c r="AM510" i="2"/>
  <c r="AM518" i="2"/>
  <c r="AM526" i="2"/>
  <c r="AM534" i="2"/>
  <c r="AM542" i="2"/>
  <c r="AM550" i="2"/>
  <c r="AM558" i="2"/>
  <c r="AM566" i="2"/>
  <c r="AM574" i="2"/>
  <c r="AM582" i="2"/>
  <c r="AM590" i="2"/>
  <c r="AM598" i="2"/>
  <c r="AM606" i="2"/>
  <c r="AM614" i="2"/>
  <c r="AM622" i="2"/>
  <c r="AM630" i="2"/>
  <c r="AM638" i="2"/>
  <c r="AM646" i="2"/>
  <c r="AM654" i="2"/>
  <c r="AM662" i="2"/>
  <c r="AM670" i="2"/>
  <c r="AM678" i="2"/>
  <c r="AM686" i="2"/>
  <c r="AM694" i="2"/>
  <c r="AM702" i="2"/>
  <c r="AM710" i="2"/>
  <c r="AM718" i="2"/>
  <c r="AM455" i="2"/>
  <c r="AM463" i="2"/>
  <c r="AM471" i="2"/>
  <c r="AM479" i="2"/>
  <c r="AM487" i="2"/>
  <c r="AM495" i="2"/>
  <c r="AM503" i="2"/>
  <c r="AM511" i="2"/>
  <c r="AM519" i="2"/>
  <c r="AM527" i="2"/>
  <c r="AM535" i="2"/>
  <c r="AM543" i="2"/>
  <c r="AM551" i="2"/>
  <c r="AM559" i="2"/>
  <c r="AM567" i="2"/>
  <c r="AM575" i="2"/>
  <c r="AM583" i="2"/>
  <c r="AM591" i="2"/>
  <c r="AM599" i="2"/>
  <c r="AM607" i="2"/>
  <c r="AM615" i="2"/>
  <c r="AM623" i="2"/>
  <c r="AM631" i="2"/>
  <c r="AM639" i="2"/>
  <c r="AM647" i="2"/>
  <c r="AM655" i="2"/>
  <c r="AM663" i="2"/>
  <c r="AM671" i="2"/>
  <c r="AM679" i="2"/>
  <c r="AM687" i="2"/>
  <c r="AM695" i="2"/>
  <c r="AM703" i="2"/>
  <c r="AM711" i="2"/>
  <c r="AM719" i="2"/>
  <c r="AF441" i="2"/>
  <c r="AF445" i="2"/>
  <c r="AF442" i="2"/>
  <c r="AF446" i="2"/>
  <c r="AF443" i="2"/>
  <c r="AF447" i="2"/>
  <c r="AF440" i="2"/>
  <c r="AF444" i="2"/>
  <c r="AF448" i="2"/>
  <c r="AM442" i="2"/>
  <c r="AM446" i="2"/>
  <c r="AM443" i="2"/>
  <c r="AM447" i="2"/>
  <c r="AM440" i="2"/>
  <c r="AM444" i="2"/>
  <c r="AM448" i="2"/>
  <c r="AM441" i="2"/>
  <c r="AM445" i="2"/>
  <c r="AF432" i="2"/>
  <c r="AF436" i="2"/>
  <c r="AF429" i="2"/>
  <c r="AF433" i="2"/>
  <c r="AF437" i="2"/>
  <c r="AF430" i="2"/>
  <c r="AF434" i="2"/>
  <c r="AF438" i="2"/>
  <c r="AF431" i="2"/>
  <c r="AF435" i="2"/>
  <c r="AF439" i="2"/>
  <c r="AM431" i="2"/>
  <c r="AM435" i="2"/>
  <c r="AM439" i="2"/>
  <c r="AM432" i="2"/>
  <c r="AM436" i="2"/>
  <c r="AM429" i="2"/>
  <c r="AM433" i="2"/>
  <c r="AM437" i="2"/>
  <c r="AM430" i="2"/>
  <c r="AM434" i="2"/>
  <c r="AM438" i="2"/>
  <c r="AF421" i="2"/>
  <c r="AF425" i="2"/>
  <c r="AF422" i="2"/>
  <c r="AF426" i="2"/>
  <c r="AF423" i="2"/>
  <c r="AF427" i="2"/>
  <c r="AF424" i="2"/>
  <c r="AF428" i="2"/>
  <c r="AM421" i="2"/>
  <c r="AM425" i="2"/>
  <c r="AM422" i="2"/>
  <c r="AM426" i="2"/>
  <c r="AM423" i="2"/>
  <c r="AM427" i="2"/>
  <c r="AM424" i="2"/>
  <c r="AM428" i="2"/>
  <c r="AF413" i="2"/>
  <c r="AF417" i="2"/>
  <c r="AF414" i="2"/>
  <c r="AF418" i="2"/>
  <c r="AF415" i="2"/>
  <c r="AF419" i="2"/>
  <c r="AF416" i="2"/>
  <c r="AF420" i="2"/>
  <c r="AM413" i="2"/>
  <c r="AM417" i="2"/>
  <c r="AM414" i="2"/>
  <c r="AM418" i="2"/>
  <c r="AM415" i="2"/>
  <c r="AM419" i="2"/>
  <c r="AM416" i="2"/>
  <c r="AM420" i="2"/>
  <c r="AM409" i="2"/>
  <c r="AM410" i="2"/>
  <c r="AM412" i="2"/>
  <c r="AM411" i="2"/>
  <c r="AF409" i="2"/>
  <c r="AF412" i="2"/>
  <c r="AF410" i="2"/>
  <c r="AF411" i="2"/>
  <c r="AF403" i="2"/>
  <c r="AF405" i="2"/>
  <c r="AF406" i="2"/>
  <c r="AF407" i="2"/>
  <c r="AF404" i="2"/>
  <c r="AF408" i="2"/>
  <c r="AM403" i="2"/>
  <c r="AM406" i="2"/>
  <c r="AM407" i="2"/>
  <c r="AM404" i="2"/>
  <c r="AM408" i="2"/>
  <c r="AM405" i="2"/>
  <c r="AF400" i="2"/>
  <c r="AF401" i="2"/>
  <c r="AF402" i="2"/>
  <c r="AM402" i="2"/>
  <c r="AM400" i="2"/>
  <c r="AM401" i="2"/>
  <c r="AF397" i="2"/>
  <c r="AF398" i="2"/>
  <c r="AF399" i="2"/>
  <c r="AM399" i="2"/>
  <c r="AM398" i="2"/>
  <c r="AM397" i="2"/>
  <c r="AM393" i="2"/>
  <c r="AM394" i="2"/>
  <c r="AM396" i="2"/>
  <c r="AM395" i="2"/>
  <c r="AF393" i="2"/>
  <c r="AF396" i="2"/>
  <c r="AF394" i="2"/>
  <c r="AF395" i="2"/>
  <c r="AM389" i="2"/>
  <c r="AM391" i="2"/>
  <c r="AM390" i="2"/>
  <c r="AM392" i="2"/>
  <c r="AF389" i="2"/>
  <c r="AF391" i="2"/>
  <c r="AF390" i="2"/>
  <c r="AF392" i="2"/>
  <c r="AF385" i="2"/>
  <c r="AF386" i="2"/>
  <c r="AF383" i="2"/>
  <c r="AF387" i="2"/>
  <c r="AF384" i="2"/>
  <c r="AF388" i="2"/>
  <c r="AM383" i="2"/>
  <c r="AM387" i="2"/>
  <c r="AM384" i="2"/>
  <c r="AM388" i="2"/>
  <c r="AM385" i="2"/>
  <c r="AM386" i="2"/>
  <c r="AF375" i="2"/>
  <c r="AF379" i="2"/>
  <c r="AF376" i="2"/>
  <c r="AF380" i="2"/>
  <c r="AF377" i="2"/>
  <c r="AF381" i="2"/>
  <c r="AF378" i="2"/>
  <c r="AF382" i="2"/>
  <c r="AM375" i="2"/>
  <c r="AM379" i="2"/>
  <c r="AM376" i="2"/>
  <c r="AM380" i="2"/>
  <c r="AM377" i="2"/>
  <c r="AM381" i="2"/>
  <c r="AM378" i="2"/>
  <c r="AM382" i="2"/>
  <c r="AF371" i="2"/>
  <c r="AF372" i="2"/>
  <c r="AF373" i="2"/>
  <c r="AF374" i="2"/>
  <c r="AM371" i="2"/>
  <c r="AM374" i="2"/>
  <c r="AM372" i="2"/>
  <c r="AM373" i="2"/>
  <c r="AF368" i="2"/>
  <c r="AF369" i="2"/>
  <c r="AF370" i="2"/>
  <c r="AM370" i="2"/>
  <c r="AM368" i="2"/>
  <c r="AM369" i="2"/>
  <c r="AF366" i="2"/>
  <c r="AF367" i="2"/>
  <c r="AM366" i="2"/>
  <c r="AM367" i="2"/>
  <c r="AM360" i="2"/>
  <c r="AM364" i="2"/>
  <c r="AM363" i="2"/>
  <c r="AM361" i="2"/>
  <c r="AM365" i="2"/>
  <c r="AM362" i="2"/>
  <c r="AF362" i="2"/>
  <c r="AF365" i="2"/>
  <c r="AF363" i="2"/>
  <c r="AF360" i="2"/>
  <c r="AF364" i="2"/>
  <c r="AF361" i="2"/>
  <c r="AF357" i="2"/>
  <c r="AF358" i="2"/>
  <c r="AF359" i="2"/>
  <c r="AM359" i="2"/>
  <c r="AM357" i="2"/>
  <c r="AM358" i="2"/>
  <c r="AF355" i="2"/>
  <c r="AF356" i="2"/>
  <c r="AM355" i="2"/>
  <c r="AM356" i="2"/>
  <c r="AF353" i="2"/>
  <c r="AF354" i="2"/>
  <c r="AM353" i="2"/>
  <c r="AM354" i="2"/>
  <c r="AM351" i="2"/>
  <c r="AM352" i="2"/>
  <c r="AF351" i="2"/>
  <c r="AF352" i="2"/>
  <c r="AF350" i="2"/>
  <c r="AF349" i="2"/>
  <c r="AM349" i="2"/>
  <c r="AM350" i="2"/>
  <c r="AM346" i="2"/>
  <c r="AM347" i="2"/>
  <c r="AM344" i="2"/>
  <c r="AM348" i="2"/>
  <c r="AM345" i="2"/>
  <c r="AF345" i="2"/>
  <c r="AF346" i="2"/>
  <c r="AF347" i="2"/>
  <c r="AF344" i="2"/>
  <c r="AF348" i="2"/>
  <c r="AF341" i="2"/>
  <c r="AF343" i="2"/>
  <c r="AF342" i="2"/>
  <c r="AM343" i="2"/>
  <c r="AM342" i="2"/>
  <c r="AM341" i="2"/>
  <c r="AM340" i="2"/>
  <c r="AM338" i="2"/>
  <c r="AM339" i="2"/>
  <c r="AF338" i="2"/>
  <c r="AF339" i="2"/>
  <c r="AF340" i="2"/>
  <c r="AF336" i="2"/>
  <c r="AF337" i="2"/>
  <c r="AM336" i="2"/>
  <c r="AM337" i="2"/>
  <c r="AF334" i="2"/>
  <c r="AF335" i="2"/>
  <c r="AM334" i="2"/>
  <c r="AM335" i="2"/>
  <c r="AM332" i="2"/>
  <c r="AM333" i="2"/>
  <c r="AF332" i="2"/>
  <c r="AF333" i="2"/>
  <c r="AF328" i="2"/>
  <c r="AF329" i="2"/>
  <c r="AF330" i="2"/>
  <c r="AF327" i="2"/>
  <c r="AF331" i="2"/>
  <c r="AM329" i="2"/>
  <c r="AM330" i="2"/>
  <c r="AM327" i="2"/>
  <c r="AM331" i="2"/>
  <c r="AM328" i="2"/>
  <c r="AF324" i="2"/>
  <c r="AF325" i="2"/>
  <c r="AF326" i="2"/>
  <c r="AM324" i="2"/>
  <c r="AM325" i="2"/>
  <c r="AM326" i="2"/>
  <c r="AM321" i="2"/>
  <c r="AM322" i="2"/>
  <c r="AM319" i="2"/>
  <c r="AM323" i="2"/>
  <c r="AM320" i="2"/>
  <c r="AF320" i="2"/>
  <c r="AF321" i="2"/>
  <c r="AF322" i="2"/>
  <c r="AF319" i="2"/>
  <c r="AF323" i="2"/>
  <c r="AF317" i="2"/>
  <c r="AF318" i="2"/>
  <c r="AM317" i="2"/>
  <c r="AM318" i="2"/>
  <c r="AM316" i="2"/>
  <c r="AM314" i="2"/>
  <c r="AM315" i="2"/>
  <c r="AF314" i="2"/>
  <c r="AF315" i="2"/>
  <c r="AF316" i="2"/>
  <c r="AM312" i="2"/>
  <c r="AM313" i="2"/>
  <c r="AF312" i="2"/>
  <c r="AF313" i="2"/>
  <c r="AF310" i="2"/>
  <c r="AF311" i="2"/>
  <c r="AM310" i="2"/>
  <c r="AM311" i="2"/>
  <c r="AM308" i="2"/>
  <c r="AM309" i="2"/>
  <c r="AF308" i="2"/>
  <c r="AF309" i="2"/>
  <c r="AF304" i="2"/>
  <c r="AF305" i="2"/>
  <c r="AF306" i="2"/>
  <c r="AF307" i="2"/>
  <c r="AM304" i="2"/>
  <c r="AM307" i="2"/>
  <c r="AM305" i="2"/>
  <c r="AM306" i="2"/>
  <c r="AM303" i="2"/>
  <c r="AM302" i="2"/>
  <c r="AF302" i="2"/>
  <c r="AF303" i="2"/>
  <c r="AM298" i="2"/>
  <c r="AM301" i="2"/>
  <c r="AM299" i="2"/>
  <c r="AM300" i="2"/>
  <c r="AF298" i="2"/>
  <c r="AF299" i="2"/>
  <c r="AF300" i="2"/>
  <c r="AF301" i="2"/>
  <c r="AM292" i="2"/>
  <c r="AM296" i="2"/>
  <c r="AM293" i="2"/>
  <c r="AM297" i="2"/>
  <c r="AM294" i="2"/>
  <c r="AM295" i="2"/>
  <c r="AF294" i="2"/>
  <c r="AF295" i="2"/>
  <c r="AF292" i="2"/>
  <c r="AF296" i="2"/>
  <c r="AF293" i="2"/>
  <c r="AF297" i="2"/>
  <c r="AF290" i="2"/>
  <c r="AF291" i="2"/>
  <c r="AM290" i="2"/>
  <c r="AM291" i="2"/>
  <c r="AM287" i="2"/>
  <c r="AM288" i="2"/>
  <c r="AM286" i="2"/>
  <c r="AM289" i="2"/>
  <c r="AF288" i="2"/>
  <c r="AF286" i="2"/>
  <c r="AF289" i="2"/>
  <c r="AF287" i="2"/>
  <c r="AM284" i="2"/>
  <c r="AM285" i="2"/>
  <c r="AF284" i="2"/>
  <c r="AF285" i="2"/>
  <c r="AF282" i="2"/>
  <c r="AF283" i="2"/>
  <c r="AM282" i="2"/>
  <c r="AM283" i="2"/>
  <c r="AF280" i="2"/>
  <c r="AF281" i="2"/>
  <c r="AM280" i="2"/>
  <c r="AM281" i="2"/>
  <c r="AM278" i="2"/>
  <c r="AM279" i="2"/>
  <c r="AF278" i="2"/>
  <c r="AF279" i="2"/>
  <c r="AF276" i="2"/>
  <c r="AF277" i="2"/>
  <c r="AM276" i="2"/>
  <c r="AM277" i="2"/>
  <c r="AF274" i="2"/>
  <c r="AF275" i="2"/>
  <c r="AM274" i="2"/>
  <c r="AM275" i="2"/>
  <c r="AM272" i="2"/>
  <c r="AM273" i="2"/>
  <c r="AF272" i="2"/>
  <c r="AF273" i="2"/>
  <c r="AF269" i="2"/>
  <c r="AF270" i="2"/>
  <c r="AF271" i="2"/>
  <c r="AM271" i="2"/>
  <c r="AM269" i="2"/>
  <c r="AM270" i="2"/>
  <c r="AF265" i="2"/>
  <c r="AF266" i="2"/>
  <c r="AF267" i="2"/>
  <c r="AF268" i="2"/>
  <c r="AM265" i="2"/>
  <c r="AM268" i="2"/>
  <c r="AM266" i="2"/>
  <c r="AM267" i="2"/>
  <c r="AF261" i="2"/>
  <c r="AF262" i="2"/>
  <c r="AF263" i="2"/>
  <c r="AF264" i="2"/>
  <c r="AM261" i="2"/>
  <c r="AM264" i="2"/>
  <c r="AM262" i="2"/>
  <c r="AM263" i="2"/>
  <c r="AM258" i="2"/>
  <c r="AM259" i="2"/>
  <c r="AM260" i="2"/>
  <c r="AF258" i="2"/>
  <c r="AF259" i="2"/>
  <c r="AF260" i="2"/>
  <c r="AM256" i="2"/>
  <c r="AM257" i="2"/>
  <c r="AF256" i="2"/>
  <c r="AF257" i="2"/>
  <c r="AF254" i="2"/>
  <c r="AF255" i="2"/>
  <c r="AM254" i="2"/>
  <c r="AM255" i="2"/>
  <c r="AF252" i="2"/>
  <c r="AF253" i="2"/>
  <c r="AM252" i="2"/>
  <c r="AM253" i="2"/>
  <c r="AF250" i="2"/>
  <c r="AF251" i="2"/>
  <c r="AM250" i="2"/>
  <c r="AM251" i="2"/>
  <c r="AF247" i="2"/>
  <c r="AF248" i="2"/>
  <c r="AF249" i="2"/>
  <c r="AM247" i="2"/>
  <c r="AM248" i="2"/>
  <c r="AM249" i="2"/>
  <c r="AF245" i="2"/>
  <c r="AF246" i="2"/>
  <c r="AM245" i="2"/>
  <c r="AM246" i="2"/>
  <c r="AF240" i="2"/>
  <c r="AF241" i="2"/>
  <c r="AF242" i="2"/>
  <c r="AF243" i="2"/>
  <c r="AF244" i="2"/>
  <c r="AM240" i="2"/>
  <c r="AM241" i="2"/>
  <c r="AM242" i="2"/>
  <c r="AM243" i="2"/>
  <c r="AM244" i="2"/>
  <c r="AF238" i="2"/>
  <c r="AF239" i="2"/>
  <c r="AM238" i="2"/>
  <c r="AM239" i="2"/>
  <c r="AM236" i="2"/>
  <c r="AM237" i="2"/>
  <c r="AF236" i="2"/>
  <c r="AF237" i="2"/>
  <c r="AM234" i="2"/>
  <c r="AM235" i="2"/>
  <c r="AF234" i="2"/>
  <c r="AF235" i="2"/>
  <c r="AM232" i="2"/>
  <c r="AM233" i="2"/>
  <c r="AF232" i="2"/>
  <c r="AF233" i="2"/>
  <c r="AF230" i="2"/>
  <c r="AF231" i="2"/>
  <c r="AM230" i="2"/>
  <c r="AM231" i="2"/>
  <c r="AF228" i="2"/>
  <c r="AF229" i="2"/>
  <c r="AM228" i="2"/>
  <c r="AM229" i="2"/>
  <c r="AM225" i="2"/>
  <c r="AM227" i="2"/>
  <c r="AM226" i="2"/>
  <c r="AF225" i="2"/>
  <c r="AF226" i="2"/>
  <c r="AF227" i="2"/>
  <c r="AM223" i="2"/>
  <c r="AM224" i="2"/>
  <c r="AF223" i="2"/>
  <c r="AF224" i="2"/>
  <c r="AF221" i="2"/>
  <c r="AF222" i="2"/>
  <c r="AM221" i="2"/>
  <c r="AM222" i="2"/>
  <c r="AF219" i="2"/>
  <c r="AF220" i="2"/>
  <c r="AM219" i="2"/>
  <c r="AM220" i="2"/>
  <c r="AF217" i="2"/>
  <c r="AF218" i="2"/>
  <c r="AM217" i="2"/>
  <c r="AM218" i="2"/>
  <c r="AM216" i="2"/>
  <c r="AM214" i="2"/>
  <c r="AM212" i="2"/>
  <c r="AM215" i="2"/>
  <c r="AM213" i="2"/>
  <c r="AF216" i="2"/>
  <c r="AF214" i="2"/>
  <c r="AF213" i="2"/>
  <c r="AF215" i="2"/>
  <c r="AF212" i="2"/>
  <c r="AF210" i="2"/>
  <c r="AF211" i="2"/>
  <c r="AM210" i="2"/>
  <c r="AM211" i="2"/>
  <c r="AM208" i="2"/>
  <c r="AM209" i="2"/>
  <c r="AF208" i="2"/>
  <c r="AF209" i="2"/>
  <c r="AM206" i="2"/>
  <c r="AM207" i="2"/>
  <c r="AF206" i="2"/>
  <c r="AF207" i="2"/>
  <c r="AM204" i="2"/>
  <c r="AM205" i="2"/>
  <c r="AF204" i="2"/>
  <c r="AF205" i="2"/>
  <c r="AF202" i="2"/>
  <c r="AF203" i="2"/>
  <c r="AM202" i="2"/>
  <c r="AM203" i="2"/>
  <c r="AM200" i="2"/>
  <c r="AM201" i="2"/>
  <c r="AF200" i="2"/>
  <c r="AF201" i="2"/>
  <c r="AF198" i="2"/>
  <c r="AF199" i="2"/>
  <c r="AM198" i="2"/>
  <c r="AM199" i="2"/>
  <c r="AF196" i="2"/>
  <c r="AF197" i="2"/>
  <c r="AM196" i="2"/>
  <c r="AM197" i="2"/>
  <c r="AN5" i="2"/>
  <c r="AF194" i="2"/>
  <c r="AF195" i="2"/>
  <c r="AM194" i="2"/>
  <c r="AM195" i="2"/>
  <c r="AQ6" i="2"/>
  <c r="AM192" i="2"/>
  <c r="AM193" i="2"/>
  <c r="AF192" i="2"/>
  <c r="AF193" i="2"/>
  <c r="AF190" i="2"/>
  <c r="AF191" i="2"/>
  <c r="AM190" i="2"/>
  <c r="AM191" i="2"/>
  <c r="AF188" i="2"/>
  <c r="AF189" i="2"/>
  <c r="AM188" i="2"/>
  <c r="AM189" i="2"/>
  <c r="AM186" i="2"/>
  <c r="AM187" i="2"/>
  <c r="AF186" i="2"/>
  <c r="AF187" i="2"/>
  <c r="AF184" i="2"/>
  <c r="AF185" i="2"/>
  <c r="AC7" i="2"/>
  <c r="AD7" i="2" s="1"/>
  <c r="AM184" i="2"/>
  <c r="AM185" i="2"/>
  <c r="AF182" i="2"/>
  <c r="AF183" i="2"/>
  <c r="AM182" i="2"/>
  <c r="AM183" i="2"/>
  <c r="AM180" i="2"/>
  <c r="AM181" i="2"/>
  <c r="AF180" i="2"/>
  <c r="AF181" i="2"/>
  <c r="AF178" i="2"/>
  <c r="AF179" i="2"/>
  <c r="AM178" i="2"/>
  <c r="AM179" i="2"/>
  <c r="AF176" i="2"/>
  <c r="AF177" i="2"/>
  <c r="AM176" i="2"/>
  <c r="AM177" i="2"/>
  <c r="AF174" i="2"/>
  <c r="AF175" i="2"/>
  <c r="AM174" i="2"/>
  <c r="AM175" i="2"/>
  <c r="AF172" i="2"/>
  <c r="AF173" i="2"/>
  <c r="AM172" i="2"/>
  <c r="AM173" i="2"/>
  <c r="AF170" i="2"/>
  <c r="AF171" i="2"/>
  <c r="AM170" i="2"/>
  <c r="AM171" i="2"/>
  <c r="AM169" i="2"/>
  <c r="AF169" i="2"/>
  <c r="AF167" i="2"/>
  <c r="AF168" i="2"/>
  <c r="AM167" i="2"/>
  <c r="AM168" i="2"/>
  <c r="AM165" i="2"/>
  <c r="AM166" i="2"/>
  <c r="AF165" i="2"/>
  <c r="AF166" i="2"/>
  <c r="AF163" i="2"/>
  <c r="AF164" i="2"/>
  <c r="AM163" i="2"/>
  <c r="AM164" i="2"/>
  <c r="AM161" i="2"/>
  <c r="AM162" i="2"/>
  <c r="AF161" i="2"/>
  <c r="AF162" i="2"/>
  <c r="AM159" i="2"/>
  <c r="AM160" i="2"/>
  <c r="AF159" i="2"/>
  <c r="AF160" i="2"/>
  <c r="AM157" i="2"/>
  <c r="AM158" i="2"/>
  <c r="AF157" i="2"/>
  <c r="AF158" i="2"/>
  <c r="AF155" i="2"/>
  <c r="AF156" i="2"/>
  <c r="AM155" i="2"/>
  <c r="AM156" i="2"/>
  <c r="AF153" i="2"/>
  <c r="AF154" i="2"/>
  <c r="AM153" i="2"/>
  <c r="AM154" i="2"/>
  <c r="AM151" i="2"/>
  <c r="AM152" i="2"/>
  <c r="AF151" i="2"/>
  <c r="AF152" i="2"/>
  <c r="AM149" i="2"/>
  <c r="AM150" i="2"/>
  <c r="AF149" i="2"/>
  <c r="AF150" i="2"/>
  <c r="AF147" i="2"/>
  <c r="AF148" i="2"/>
  <c r="AM147" i="2"/>
  <c r="AM148" i="2"/>
  <c r="AM145" i="2"/>
  <c r="AM146" i="2"/>
  <c r="AF145" i="2"/>
  <c r="AF146" i="2"/>
  <c r="AM143" i="2"/>
  <c r="AM144" i="2"/>
  <c r="AF143" i="2"/>
  <c r="AF144" i="2"/>
  <c r="AF141" i="2"/>
  <c r="AF142" i="2"/>
  <c r="AM141" i="2"/>
  <c r="AM142" i="2"/>
  <c r="AF139" i="2"/>
  <c r="AF140" i="2"/>
  <c r="AM139" i="2"/>
  <c r="AM140" i="2"/>
  <c r="AF137" i="2"/>
  <c r="AF138" i="2"/>
  <c r="AM137" i="2"/>
  <c r="AM138" i="2"/>
  <c r="AF135" i="2"/>
  <c r="AF136" i="2"/>
  <c r="AM135" i="2"/>
  <c r="AM136" i="2"/>
  <c r="AM133" i="2"/>
  <c r="AM134" i="2"/>
  <c r="AF133" i="2"/>
  <c r="AF134" i="2"/>
  <c r="AF131" i="2"/>
  <c r="AF132" i="2"/>
  <c r="AM131" i="2"/>
  <c r="AM132" i="2"/>
  <c r="AM129" i="2"/>
  <c r="AM130" i="2"/>
  <c r="AF129" i="2"/>
  <c r="AF130" i="2"/>
  <c r="AF127" i="2"/>
  <c r="AF128" i="2"/>
  <c r="AM127" i="2"/>
  <c r="AM128" i="2"/>
  <c r="AM125" i="2"/>
  <c r="AM126" i="2"/>
  <c r="AF125" i="2"/>
  <c r="AF126" i="2"/>
  <c r="AM123" i="2"/>
  <c r="AM124" i="2"/>
  <c r="AF123" i="2"/>
  <c r="AF124" i="2"/>
  <c r="AM121" i="2"/>
  <c r="AM122" i="2"/>
  <c r="AF121" i="2"/>
  <c r="AF122" i="2"/>
  <c r="AM119" i="2"/>
  <c r="AM120" i="2"/>
  <c r="AF119" i="2"/>
  <c r="AF120" i="2"/>
  <c r="AM117" i="2"/>
  <c r="AM118" i="2"/>
  <c r="AF117" i="2"/>
  <c r="AF118" i="2"/>
  <c r="AF115" i="2"/>
  <c r="AF116" i="2"/>
  <c r="AM115" i="2"/>
  <c r="AM116" i="2"/>
  <c r="AM113" i="2"/>
  <c r="AM114" i="2"/>
  <c r="AF113" i="2"/>
  <c r="AF114" i="2"/>
  <c r="AF111" i="2"/>
  <c r="AF112" i="2"/>
  <c r="AM111" i="2"/>
  <c r="AM112" i="2"/>
  <c r="AM109" i="2"/>
  <c r="AM110" i="2"/>
  <c r="AF109" i="2"/>
  <c r="AF110" i="2"/>
  <c r="AF107" i="2"/>
  <c r="AF108" i="2"/>
  <c r="AM107" i="2"/>
  <c r="AM108" i="2"/>
  <c r="AM106" i="2"/>
  <c r="AF105" i="2"/>
  <c r="AF106" i="2"/>
  <c r="AM104" i="2"/>
  <c r="AM105" i="2"/>
  <c r="AF103" i="2"/>
  <c r="AF104" i="2"/>
  <c r="AM102" i="2"/>
  <c r="AM103" i="2"/>
  <c r="AF101" i="2"/>
  <c r="AF102" i="2"/>
  <c r="AM100" i="2"/>
  <c r="AM101" i="2"/>
  <c r="AF99" i="2"/>
  <c r="AF100" i="2"/>
  <c r="AM98" i="2"/>
  <c r="AM99" i="2"/>
  <c r="AF97" i="2"/>
  <c r="AF98" i="2"/>
  <c r="AM96" i="2"/>
  <c r="AM97" i="2"/>
  <c r="AF95" i="2"/>
  <c r="AF96" i="2"/>
  <c r="AM94" i="2"/>
  <c r="AM95" i="2"/>
  <c r="AF93" i="2"/>
  <c r="AF94" i="2"/>
  <c r="AM92" i="2"/>
  <c r="AM93" i="2"/>
  <c r="AF91" i="2"/>
  <c r="AF92" i="2"/>
  <c r="AM90" i="2"/>
  <c r="AM91" i="2"/>
  <c r="AF89" i="2"/>
  <c r="AF90" i="2"/>
  <c r="AM88" i="2"/>
  <c r="AM89" i="2"/>
  <c r="AF87" i="2"/>
  <c r="AF88" i="2"/>
  <c r="AM86" i="2"/>
  <c r="AM87" i="2"/>
  <c r="AF85" i="2"/>
  <c r="AF86" i="2"/>
  <c r="AM84" i="2"/>
  <c r="AM85" i="2"/>
  <c r="AF83" i="2"/>
  <c r="AF84" i="2"/>
  <c r="AM82" i="2"/>
  <c r="AM83" i="2"/>
  <c r="AF81" i="2"/>
  <c r="AF82" i="2"/>
  <c r="AM80" i="2"/>
  <c r="AM81" i="2"/>
  <c r="AF79" i="2"/>
  <c r="AF80" i="2"/>
  <c r="AM78" i="2"/>
  <c r="AM79" i="2"/>
  <c r="AN6" i="2"/>
  <c r="AF78" i="2"/>
  <c r="AG6" i="2"/>
  <c r="AO7" i="2"/>
  <c r="AP7" i="2" s="1"/>
  <c r="AG7" i="2"/>
  <c r="AG5" i="2"/>
  <c r="AF5" i="2"/>
  <c r="AM76" i="2"/>
  <c r="AM77" i="2"/>
  <c r="AF76" i="2"/>
  <c r="AF77" i="2"/>
  <c r="AM74" i="2"/>
  <c r="AM75" i="2"/>
  <c r="AF74" i="2"/>
  <c r="AF75" i="2"/>
  <c r="AF72" i="2"/>
  <c r="AF73" i="2"/>
  <c r="AM72" i="2"/>
  <c r="AM73" i="2"/>
  <c r="AF70" i="2"/>
  <c r="AF71" i="2"/>
  <c r="AM70" i="2"/>
  <c r="AM71" i="2"/>
  <c r="AM68" i="2"/>
  <c r="AM69" i="2"/>
  <c r="AF68" i="2"/>
  <c r="AF69" i="2"/>
  <c r="AF66" i="2"/>
  <c r="AF67" i="2"/>
  <c r="AM66" i="2"/>
  <c r="AM67" i="2"/>
  <c r="AF65" i="2"/>
  <c r="AO5" i="2"/>
  <c r="AP5" i="2" s="1"/>
  <c r="AE3" i="2"/>
  <c r="N2" i="2" s="1"/>
  <c r="AM64" i="2"/>
  <c r="AM65" i="2"/>
  <c r="AF63" i="2"/>
  <c r="AF64" i="2"/>
  <c r="AM62" i="2"/>
  <c r="AM63" i="2"/>
  <c r="AF61" i="2"/>
  <c r="AF62" i="2"/>
  <c r="AM60" i="2"/>
  <c r="AM61" i="2"/>
  <c r="AF59" i="2"/>
  <c r="AF60" i="2"/>
  <c r="AM58" i="2"/>
  <c r="AM59" i="2"/>
  <c r="AF57" i="2"/>
  <c r="AF58" i="2"/>
  <c r="AM56" i="2"/>
  <c r="AM57" i="2"/>
  <c r="AF55" i="2"/>
  <c r="AF56" i="2"/>
  <c r="AM54" i="2"/>
  <c r="AM55" i="2"/>
  <c r="AF53" i="2"/>
  <c r="AF54" i="2"/>
  <c r="AM52" i="2"/>
  <c r="AM53" i="2"/>
  <c r="AF51" i="2"/>
  <c r="AF52" i="2"/>
  <c r="AM50" i="2"/>
  <c r="AM51" i="2"/>
  <c r="AF49" i="2"/>
  <c r="AF50" i="2"/>
  <c r="AM48" i="2"/>
  <c r="AM49" i="2"/>
  <c r="AF47" i="2"/>
  <c r="AF48" i="2"/>
  <c r="AM46" i="2"/>
  <c r="AM47" i="2"/>
  <c r="AF45" i="2"/>
  <c r="AF46" i="2"/>
  <c r="AM44" i="2"/>
  <c r="AM45" i="2"/>
  <c r="AF43" i="2"/>
  <c r="AF44" i="2"/>
  <c r="AM42" i="2"/>
  <c r="AM43" i="2"/>
  <c r="AF41" i="2"/>
  <c r="AF42" i="2"/>
  <c r="AM40" i="2"/>
  <c r="AM41" i="2"/>
  <c r="AF39" i="2"/>
  <c r="AF40" i="2"/>
  <c r="AM39" i="2"/>
  <c r="AM37" i="2"/>
  <c r="AM38" i="2"/>
  <c r="AF37" i="2"/>
  <c r="AF38" i="2"/>
  <c r="AF35" i="2"/>
  <c r="AF36" i="2"/>
  <c r="AM35" i="2"/>
  <c r="AM36" i="2"/>
  <c r="AM33" i="2"/>
  <c r="AM34" i="2"/>
  <c r="AF33" i="2"/>
  <c r="AF34" i="2"/>
  <c r="AO6" i="2"/>
  <c r="AP6" i="2" s="1"/>
  <c r="AF32" i="2"/>
  <c r="AF8" i="2"/>
  <c r="AF12" i="2"/>
  <c r="AF16" i="2"/>
  <c r="AF20" i="2"/>
  <c r="AF24" i="2"/>
  <c r="AF28" i="2"/>
  <c r="AF25" i="2"/>
  <c r="AF29" i="2"/>
  <c r="AF9" i="2"/>
  <c r="AF13" i="2"/>
  <c r="AF17" i="2"/>
  <c r="AF21" i="2"/>
  <c r="AF6" i="2"/>
  <c r="AF10" i="2"/>
  <c r="AF14" i="2"/>
  <c r="AF18" i="2"/>
  <c r="AF22" i="2"/>
  <c r="AF26" i="2"/>
  <c r="AF30" i="2"/>
  <c r="AF7" i="2"/>
  <c r="AF11" i="2"/>
  <c r="AF15" i="2"/>
  <c r="AF19" i="2"/>
  <c r="AF23" i="2"/>
  <c r="AF27" i="2"/>
  <c r="AF31" i="2"/>
  <c r="AM9" i="2"/>
  <c r="AM32" i="2"/>
  <c r="AM7" i="2"/>
  <c r="AM6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1" i="2"/>
  <c r="AM12" i="2"/>
  <c r="AM10" i="2"/>
  <c r="AM5" i="2"/>
  <c r="AM8" i="2"/>
  <c r="AL6" i="2"/>
  <c r="AL5" i="2"/>
  <c r="AL7" i="2"/>
  <c r="AQ5" i="2"/>
  <c r="AI5" i="2"/>
  <c r="AJ5" i="2" s="1"/>
  <c r="AR5" i="2" s="1"/>
  <c r="AB7" i="2"/>
  <c r="AH5" i="2"/>
  <c r="AI6" i="2"/>
  <c r="AJ6" i="2" s="1"/>
  <c r="AH6" i="2"/>
  <c r="AH7" i="2"/>
  <c r="AI7" i="2"/>
  <c r="AJ7" i="2" s="1"/>
  <c r="AR7" i="2" s="1"/>
  <c r="AH1" i="2" l="1"/>
  <c r="W2" i="2"/>
  <c r="AH2" i="2"/>
  <c r="AJ2" i="2"/>
  <c r="AR6" i="2"/>
  <c r="AJ1" i="2"/>
  <c r="AA5" i="2"/>
  <c r="AA6" i="2"/>
  <c r="AC6" i="2" s="1"/>
  <c r="AB5" i="2" l="1"/>
  <c r="AD5" i="2"/>
  <c r="AD6" i="2"/>
  <c r="AB6" i="2"/>
  <c r="AD1" i="2" l="1"/>
  <c r="AD2" i="2"/>
  <c r="AB1" i="2"/>
  <c r="AB2" i="2"/>
</calcChain>
</file>

<file path=xl/comments1.xml><?xml version="1.0" encoding="utf-8"?>
<comments xmlns="http://schemas.openxmlformats.org/spreadsheetml/2006/main">
  <authors>
    <author>bertrand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23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redémarrage centrale du couloir
</t>
        </r>
      </text>
    </comment>
    <comment ref="A145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55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+1°</t>
        </r>
      </text>
    </comment>
    <comment ref="A156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+1°</t>
        </r>
      </text>
    </comment>
    <comment ref="A157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arrêt</t>
        </r>
      </text>
    </comment>
    <comment ref="A158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arrêt</t>
        </r>
      </text>
    </comment>
  </commentList>
</comments>
</file>

<file path=xl/sharedStrings.xml><?xml version="1.0" encoding="utf-8"?>
<sst xmlns="http://schemas.openxmlformats.org/spreadsheetml/2006/main" count="234" uniqueCount="156">
  <si>
    <t>Date</t>
  </si>
  <si>
    <t>Index HP
kWh</t>
  </si>
  <si>
    <t>Conso HP / jour
Cumul</t>
  </si>
  <si>
    <t>Conso HP / jour
Instantané</t>
  </si>
  <si>
    <t>Conso HP / an
Instantané</t>
  </si>
  <si>
    <t>Conso HP / an
Cumul</t>
  </si>
  <si>
    <t>Index HC_x000D_
kWh</t>
  </si>
  <si>
    <t>Conso HC / jour_x000D_
Instantané</t>
  </si>
  <si>
    <t>Conso HC / an_x000D_
Instantané</t>
  </si>
  <si>
    <t>Conso HC / jour_x000D_
Cumul</t>
  </si>
  <si>
    <t>Conso HC / an_x000D_
Cumul</t>
  </si>
  <si>
    <t>Conso HP / heure
Instantané</t>
  </si>
  <si>
    <t>Conso HC / heure
Instantané</t>
  </si>
  <si>
    <t>Conso HP + HC / heure_x000D_
Instantané</t>
  </si>
  <si>
    <t>Conso HP + HC / jour_x000D_
Instantané</t>
  </si>
  <si>
    <t>Conso HP + HC / an_x000D_
Instantané</t>
  </si>
  <si>
    <t>Conso HP + HC / jour_x000D_
Cumul</t>
  </si>
  <si>
    <t>Conso HP + HC / an_x000D_
Cumul</t>
  </si>
  <si>
    <t>Diff heure
Instantané</t>
  </si>
  <si>
    <t>Diff jour
Instantané</t>
  </si>
  <si>
    <t>Diff heure_x000D_
Cumul</t>
  </si>
  <si>
    <t>Diff jour_x000D_
Cumul</t>
  </si>
  <si>
    <t>Conso HP / heure
Cumul</t>
  </si>
  <si>
    <t>Conso HC / heure
Cumul</t>
  </si>
  <si>
    <t>Différence HP
Instantané</t>
  </si>
  <si>
    <t>Différence HP
Cumul</t>
  </si>
  <si>
    <t>Différence_x000D_ HC
Instantané</t>
  </si>
  <si>
    <t>Différence HC
Cumul</t>
  </si>
  <si>
    <t>Conso HP + HC
Instantané</t>
  </si>
  <si>
    <t>Conso HP + HC
Cumul</t>
  </si>
  <si>
    <t>Conso HP + HC / heure
Cumul</t>
  </si>
  <si>
    <t>Montant
Tarif HP/HC</t>
  </si>
  <si>
    <t>Montant
Tarif normal</t>
  </si>
  <si>
    <t>Projection
Tarif HP/HC</t>
  </si>
  <si>
    <t>Projection
Tarif normal</t>
  </si>
  <si>
    <t>Montant
Tarif HP/HC
jour</t>
  </si>
  <si>
    <t>Montant
Tarif normal
jour</t>
  </si>
  <si>
    <t>T° station
Niort</t>
  </si>
  <si>
    <t>Montant
Tarif HP/HC
jour après le 24/01</t>
  </si>
  <si>
    <t>Diff jour_x000D_
Cumul
depuis le 24/01</t>
  </si>
  <si>
    <t>Conso HP + HC
Cumul depuis
le 24/01</t>
  </si>
  <si>
    <t>https://estimation.selectra.info/resultats</t>
  </si>
  <si>
    <t>7725 Kwh/an</t>
  </si>
  <si>
    <t>3210 Kwh/an</t>
  </si>
  <si>
    <t>Conso HP + HC
Cumul depuis
précédente facture
16/02/2021</t>
  </si>
  <si>
    <t>Diff jour_x000D_
Cumul
depuis
précédente facture
16/02/2021</t>
  </si>
  <si>
    <t>Montant
Tarif HP/HC
jour depuis
précédente facture
16/02/2021</t>
  </si>
  <si>
    <t>Étiquettes de lignes</t>
  </si>
  <si>
    <t>Total général</t>
  </si>
  <si>
    <t>Somme de Conso HP + HC / heure</t>
  </si>
  <si>
    <t>Somme de T° station</t>
  </si>
  <si>
    <t>Mois</t>
  </si>
  <si>
    <t>Moyenne de Conso HP + HC / jour</t>
  </si>
  <si>
    <t>Année</t>
  </si>
  <si>
    <t>Moyenne de T° station</t>
  </si>
  <si>
    <t>Min</t>
  </si>
  <si>
    <t>Max</t>
  </si>
  <si>
    <t>Diff heure
instantannée</t>
  </si>
  <si>
    <t>Diff HP
instantannée</t>
  </si>
  <si>
    <t>Diff HP
cumul</t>
  </si>
  <si>
    <t>Diff HC
instantannée</t>
  </si>
  <si>
    <t>Diff HC
cumul</t>
  </si>
  <si>
    <t>Max-Min</t>
  </si>
  <si>
    <t>https://www.google.com/search?q=excel+graphique+couleur+entre+deux+courbes&amp;client=firefox-b-d&amp;ei=WrD_YZnpDo-PlwTHm5X4Bw&amp;oq=exce+graphique+couleur+entre+deux+courbe&amp;gs_lcp=Cgdnd3Mtd2l6EAEYADIECAAQDToHCAAQRxCwAzoGCAAQFhAeOggIABAIEA0QHjoHCCEQChCgAUoECEEYAEoFCEASATFKBAhGGABQyBtYh1RgyGdoA3ABeACAAXOIAZkQkgEEMjYuMZgBAKABAcgBCMABAQ&amp;sclient=gws-wiz</t>
  </si>
  <si>
    <t>HP + HC
instantanné</t>
  </si>
  <si>
    <t>HP + HC
cumul</t>
  </si>
  <si>
    <t xml:space="preserve"> HP + HC / heure_x000D_
Instantané</t>
  </si>
  <si>
    <t xml:space="preserve"> HP + HC / heure_x000D_
cumul</t>
  </si>
  <si>
    <t>Conso HP + HC / jour_x000D_
cumul</t>
  </si>
  <si>
    <t>Conso HP + HC / an_x000D_
cumul</t>
  </si>
  <si>
    <t>Diff HP / jour
instantannée</t>
  </si>
  <si>
    <t>Diff HC / jour
instantannée</t>
  </si>
  <si>
    <t>Montant TTC</t>
  </si>
  <si>
    <t>Date Début</t>
  </si>
  <si>
    <t>Date Fin</t>
  </si>
  <si>
    <t>HP Début</t>
  </si>
  <si>
    <t>HP Fin</t>
  </si>
  <si>
    <t>HC Début</t>
  </si>
  <si>
    <t>HC Fin</t>
  </si>
  <si>
    <t>Diff jour</t>
  </si>
  <si>
    <t>Montant / jour</t>
  </si>
  <si>
    <t>Diff HP</t>
  </si>
  <si>
    <t>Diff HC</t>
  </si>
  <si>
    <t>Total conso</t>
  </si>
  <si>
    <t>Montant / Kwh</t>
  </si>
  <si>
    <t>Kwh / jour</t>
  </si>
  <si>
    <t>Min de Min</t>
  </si>
  <si>
    <t>Max de Max</t>
  </si>
  <si>
    <t>Projection € 365j</t>
  </si>
  <si>
    <t>Projection Kwh 365j</t>
  </si>
  <si>
    <t>Total jour
depuis entrée</t>
  </si>
  <si>
    <t>Total HP + HC
depuis entrée</t>
  </si>
  <si>
    <t>Kwh / jour
depuis entrée</t>
  </si>
  <si>
    <t>Projection Kwh 365j
depuis entrée</t>
  </si>
  <si>
    <t>Montant TTC
depuis entrée</t>
  </si>
  <si>
    <t>Montant TTC / jour
depuis entrée</t>
  </si>
  <si>
    <t>Projection € 365j
depuis entrée</t>
  </si>
  <si>
    <t>Projection € mois
depuis l'entrée</t>
  </si>
  <si>
    <t>Année last</t>
  </si>
  <si>
    <t>1er jour</t>
  </si>
  <si>
    <t>Dernier jour</t>
  </si>
  <si>
    <t>Ecart HP</t>
  </si>
  <si>
    <t>Ecart HC</t>
  </si>
  <si>
    <t>Ecart HP + HC</t>
  </si>
  <si>
    <t>Date 1er jour</t>
  </si>
  <si>
    <t>Date Dernier jour</t>
  </si>
  <si>
    <t>Ecart Date</t>
  </si>
  <si>
    <t>HP+HC/heure</t>
  </si>
  <si>
    <t>HP+HC/jour</t>
  </si>
  <si>
    <t>HP+HC/an</t>
  </si>
  <si>
    <t>Année + 1</t>
  </si>
  <si>
    <t>Diff an-1</t>
  </si>
  <si>
    <t>Diff HP Cumul
1er jour</t>
  </si>
  <si>
    <t>Diff HP Cumul
Dernier jour</t>
  </si>
  <si>
    <t>Diff HC Cumul
1er jour</t>
  </si>
  <si>
    <t>Diff HC Cumul
Dernier jour</t>
  </si>
  <si>
    <t>Montant / Kwh
depuis entrée</t>
  </si>
  <si>
    <t>Ecart conso
période équivalente</t>
  </si>
  <si>
    <t>Ecart montant
période équivalente</t>
  </si>
  <si>
    <t>Ecart montant Kwh
période équivalente</t>
  </si>
  <si>
    <t>Jour</t>
  </si>
  <si>
    <t>Jours Mois</t>
  </si>
  <si>
    <t>2021</t>
  </si>
  <si>
    <t>2022</t>
  </si>
  <si>
    <t>2023</t>
  </si>
  <si>
    <t>Jour Mois Année</t>
  </si>
  <si>
    <t>Position 2022</t>
  </si>
  <si>
    <t>Position 2021</t>
  </si>
  <si>
    <t>Position 2023</t>
  </si>
  <si>
    <t>Cumul 2021</t>
  </si>
  <si>
    <t>Cumul 2022</t>
  </si>
  <si>
    <t>Cumul 2023</t>
  </si>
  <si>
    <t>Jour lettre</t>
  </si>
  <si>
    <t>lundi</t>
  </si>
  <si>
    <t>mardi</t>
  </si>
  <si>
    <t>mercredi</t>
  </si>
  <si>
    <t>jeudi</t>
  </si>
  <si>
    <t>vendredi</t>
  </si>
  <si>
    <t>samedi</t>
  </si>
  <si>
    <t>dimanche</t>
  </si>
  <si>
    <t>Ecart 2021 2022</t>
  </si>
  <si>
    <t>Ecart 2022 2023</t>
  </si>
  <si>
    <t>2024</t>
  </si>
  <si>
    <t>Cumul 2024</t>
  </si>
  <si>
    <t>Ecart 2023 2024</t>
  </si>
  <si>
    <t>Position 2024</t>
  </si>
  <si>
    <t>Ecart % 
2022 2023</t>
  </si>
  <si>
    <t>Ecart % 
2021 2022</t>
  </si>
  <si>
    <t>Ecart % 
2023 2024</t>
  </si>
  <si>
    <t>Ecart montant Kwh
depuis entrée</t>
  </si>
  <si>
    <t>Mois Année</t>
  </si>
  <si>
    <t>Moyenne
Température Min</t>
  </si>
  <si>
    <t>Moyenne
Température Max</t>
  </si>
  <si>
    <t>Moyenne
Conso HP + HC / jour</t>
  </si>
  <si>
    <t>Min
Température Min</t>
  </si>
  <si>
    <t>Max
Température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</si>
</sst>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€_-;\-* #,##0.00\ _€_-;_-* &quot;-&quot;??\ _€_-;_-@_-"/>
    <numFmt numFmtId="164" formatCode="_-* #,##0.00\ [$€]_-;\-* #,##0.00\ [$€]_-;_-* &quot;-&quot;??\ [$€]_-;_-@_-"/>
    <numFmt numFmtId="165" formatCode="d/m/yy\ h:mm;@"/>
    <numFmt numFmtId="166" formatCode="[h]:mm:ss;@"/>
    <numFmt numFmtId="167" formatCode="#,##0.00\ &quot;€&quot;"/>
    <numFmt numFmtId="168" formatCode="0.0000"/>
    <numFmt numFmtId="169" formatCode="0.000000"/>
    <numFmt numFmtId="170" formatCode="0.00000"/>
    <numFmt numFmtId="171" formatCode="#,##0.0000"/>
    <numFmt numFmtId="172" formatCode="_-* #,##0\ _€_-;\-* #,##0\ _€_-;_-* &quot;-&quot;??\ _€_-;_-@_-"/>
    <numFmt numFmtId="173" formatCode="_-* #,##0.00\ [$€-40C]_-;\-* #,##0.00\ [$€-40C]_-;_-* &quot;-&quot;??\ [$€-40C]_-;_-@_-"/>
    <numFmt numFmtId="174" formatCode="_-* #,##0.0000\ [$€-40C]_-;\-* #,##0.0000\ [$€-40C]_-;_-* &quot;-&quot;??\ [$€-40C]_-;_-@_-"/>
  </numFmts>
  <fonts count="27" x14ac:knownFonts="1">
    <font>
      <sz val="10"/>
      <name val="Arial"/>
    </font>
    <font>
      <sz val="10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FF5353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8"/>
      <color rgb="FFFF0000"/>
      <name val="Calibri"/>
      <family val="2"/>
      <scheme val="minor"/>
    </font>
    <font>
      <sz val="8"/>
      <color theme="9"/>
      <name val="Calibri"/>
      <family val="2"/>
      <scheme val="minor"/>
    </font>
    <font>
      <b/>
      <sz val="8"/>
      <color theme="5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00DE64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48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0" xfId="0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2" fontId="7" fillId="9" borderId="0" xfId="0" applyNumberFormat="1" applyFont="1" applyFill="1" applyAlignment="1">
      <alignment horizontal="center" vertical="center"/>
    </xf>
    <xf numFmtId="165" fontId="4" fillId="10" borderId="0" xfId="0" applyNumberFormat="1" applyFont="1" applyFill="1" applyAlignment="1" applyProtection="1">
      <alignment horizontal="center" vertical="center"/>
      <protection locked="0"/>
    </xf>
    <xf numFmtId="0" fontId="4" fillId="10" borderId="0" xfId="0" applyNumberFormat="1" applyFont="1" applyFill="1" applyAlignment="1" applyProtection="1">
      <alignment horizontal="center" vertical="center"/>
      <protection locked="0"/>
    </xf>
    <xf numFmtId="3" fontId="4" fillId="10" borderId="0" xfId="2" applyNumberFormat="1" applyFont="1" applyFill="1" applyAlignment="1" applyProtection="1">
      <alignment horizontal="center" vertical="center"/>
      <protection locked="0"/>
    </xf>
    <xf numFmtId="0" fontId="8" fillId="0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5" fontId="10" fillId="10" borderId="0" xfId="0" applyNumberFormat="1" applyFont="1" applyFill="1" applyAlignment="1" applyProtection="1">
      <alignment horizontal="center" vertical="center"/>
      <protection locked="0"/>
    </xf>
    <xf numFmtId="0" fontId="10" fillId="10" borderId="0" xfId="0" applyNumberFormat="1" applyFont="1" applyFill="1" applyAlignment="1" applyProtection="1">
      <alignment horizontal="center" vertical="center"/>
      <protection locked="0"/>
    </xf>
    <xf numFmtId="3" fontId="10" fillId="10" borderId="0" xfId="2" applyNumberFormat="1" applyFont="1" applyFill="1" applyAlignment="1" applyProtection="1">
      <alignment horizontal="center" vertical="center"/>
      <protection locked="0"/>
    </xf>
    <xf numFmtId="9" fontId="2" fillId="11" borderId="0" xfId="4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5" fontId="12" fillId="10" borderId="0" xfId="0" applyNumberFormat="1" applyFont="1" applyFill="1" applyAlignment="1" applyProtection="1">
      <alignment horizontal="center" vertical="center"/>
      <protection locked="0"/>
    </xf>
    <xf numFmtId="0" fontId="12" fillId="10" borderId="0" xfId="0" applyNumberFormat="1" applyFont="1" applyFill="1" applyAlignment="1" applyProtection="1">
      <alignment horizontal="center" vertical="center"/>
      <protection locked="0"/>
    </xf>
    <xf numFmtId="3" fontId="12" fillId="10" borderId="0" xfId="2" applyNumberFormat="1" applyFont="1" applyFill="1" applyAlignment="1" applyProtection="1">
      <alignment horizontal="center" vertical="center"/>
      <protection locked="0"/>
    </xf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1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  <xf numFmtId="171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168" fontId="11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 vertical="center"/>
    </xf>
    <xf numFmtId="171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8" fontId="13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171" fontId="13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0" borderId="0" xfId="0" applyFont="1"/>
    <xf numFmtId="0" fontId="11" fillId="0" borderId="0" xfId="0" applyNumberFormat="1" applyFont="1" applyAlignment="1">
      <alignment horizontal="center" vertical="center" wrapText="1"/>
    </xf>
    <xf numFmtId="165" fontId="16" fillId="0" borderId="0" xfId="0" applyNumberFormat="1" applyFont="1" applyFill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horizontal="center" vertical="center"/>
      <protection locked="0"/>
    </xf>
    <xf numFmtId="1" fontId="16" fillId="0" borderId="0" xfId="0" applyNumberFormat="1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vertical="center" wrapText="1"/>
    </xf>
    <xf numFmtId="0" fontId="16" fillId="0" borderId="0" xfId="0" applyFont="1" applyAlignment="1" applyProtection="1">
      <alignment horizontal="center" vertical="center"/>
    </xf>
    <xf numFmtId="0" fontId="16" fillId="12" borderId="0" xfId="0" applyFont="1" applyFill="1" applyAlignment="1" applyProtection="1">
      <alignment horizontal="center" vertical="center" wrapText="1"/>
    </xf>
    <xf numFmtId="0" fontId="16" fillId="13" borderId="0" xfId="0" applyFont="1" applyFill="1" applyAlignment="1" applyProtection="1">
      <alignment horizontal="center" vertical="center" wrapText="1"/>
    </xf>
    <xf numFmtId="166" fontId="16" fillId="0" borderId="0" xfId="0" applyNumberFormat="1" applyFont="1" applyFill="1" applyAlignment="1" applyProtection="1">
      <alignment horizontal="center" vertical="center"/>
    </xf>
    <xf numFmtId="168" fontId="16" fillId="0" borderId="0" xfId="0" applyNumberFormat="1" applyFont="1" applyFill="1" applyAlignment="1" applyProtection="1">
      <alignment horizontal="center" vertical="center"/>
    </xf>
    <xf numFmtId="1" fontId="16" fillId="0" borderId="0" xfId="0" applyNumberFormat="1" applyFont="1" applyAlignment="1" applyProtection="1">
      <alignment horizontal="center" vertical="center"/>
    </xf>
    <xf numFmtId="0" fontId="17" fillId="0" borderId="0" xfId="0" applyFont="1" applyAlignment="1" applyProtection="1">
      <alignment horizontal="center" vertical="center"/>
    </xf>
    <xf numFmtId="0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172" fontId="18" fillId="0" borderId="0" xfId="2" applyNumberFormat="1" applyFont="1" applyAlignment="1" applyProtection="1">
      <alignment horizontal="center" vertical="center"/>
      <protection locked="0"/>
    </xf>
    <xf numFmtId="172" fontId="16" fillId="0" borderId="0" xfId="2" applyNumberFormat="1" applyFont="1" applyAlignment="1" applyProtection="1">
      <alignment horizontal="center" vertical="center"/>
      <protection locked="0"/>
    </xf>
    <xf numFmtId="20" fontId="16" fillId="0" borderId="0" xfId="0" applyNumberFormat="1" applyFont="1" applyAlignment="1" applyProtection="1">
      <alignment horizontal="center" vertical="center"/>
    </xf>
    <xf numFmtId="20" fontId="17" fillId="0" borderId="0" xfId="0" applyNumberFormat="1" applyFont="1" applyAlignment="1" applyProtection="1">
      <alignment horizontal="center" vertical="center"/>
    </xf>
    <xf numFmtId="165" fontId="20" fillId="10" borderId="0" xfId="0" applyNumberFormat="1" applyFont="1" applyFill="1" applyAlignment="1" applyProtection="1">
      <alignment horizontal="center" vertical="center"/>
      <protection locked="0"/>
    </xf>
    <xf numFmtId="0" fontId="20" fillId="10" borderId="0" xfId="0" applyNumberFormat="1" applyFont="1" applyFill="1" applyAlignment="1" applyProtection="1">
      <alignment horizontal="center" vertical="center"/>
      <protection locked="0"/>
    </xf>
    <xf numFmtId="166" fontId="21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3" fontId="20" fillId="10" borderId="0" xfId="2" applyNumberFormat="1" applyFont="1" applyFill="1" applyAlignment="1" applyProtection="1">
      <alignment horizontal="center" vertical="center"/>
      <protection locked="0"/>
    </xf>
    <xf numFmtId="0" fontId="21" fillId="0" borderId="0" xfId="0" applyNumberFormat="1" applyFont="1" applyAlignment="1">
      <alignment horizontal="center" vertical="center"/>
    </xf>
    <xf numFmtId="170" fontId="21" fillId="0" borderId="0" xfId="0" applyNumberFormat="1" applyFont="1" applyAlignment="1">
      <alignment horizontal="center" vertical="center"/>
    </xf>
    <xf numFmtId="171" fontId="21" fillId="0" borderId="0" xfId="0" applyNumberFormat="1" applyFont="1" applyAlignment="1">
      <alignment horizontal="center" vertical="center"/>
    </xf>
    <xf numFmtId="169" fontId="21" fillId="0" borderId="0" xfId="0" applyNumberFormat="1" applyFont="1" applyAlignment="1">
      <alignment horizontal="center" vertical="center"/>
    </xf>
    <xf numFmtId="167" fontId="21" fillId="0" borderId="0" xfId="0" applyNumberFormat="1" applyFont="1" applyAlignment="1">
      <alignment horizontal="center" vertical="center"/>
    </xf>
    <xf numFmtId="0" fontId="16" fillId="12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Alignment="1" applyProtection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14" fontId="16" fillId="0" borderId="0" xfId="0" applyNumberFormat="1" applyFont="1" applyAlignment="1">
      <alignment horizontal="center" vertical="center"/>
    </xf>
    <xf numFmtId="172" fontId="16" fillId="0" borderId="0" xfId="2" applyNumberFormat="1" applyFont="1" applyAlignment="1">
      <alignment horizontal="center" vertical="center"/>
    </xf>
    <xf numFmtId="173" fontId="16" fillId="0" borderId="0" xfId="0" applyNumberFormat="1" applyFont="1" applyAlignment="1">
      <alignment horizontal="center" vertical="center"/>
    </xf>
    <xf numFmtId="173" fontId="16" fillId="0" borderId="0" xfId="2" applyNumberFormat="1" applyFont="1" applyAlignment="1">
      <alignment horizontal="center" vertical="center"/>
    </xf>
    <xf numFmtId="0" fontId="16" fillId="16" borderId="0" xfId="0" applyFont="1" applyFill="1" applyAlignment="1">
      <alignment horizontal="center" vertical="center" wrapText="1"/>
    </xf>
    <xf numFmtId="173" fontId="22" fillId="0" borderId="0" xfId="2" applyNumberFormat="1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14" fontId="22" fillId="0" borderId="0" xfId="0" applyNumberFormat="1" applyFont="1" applyAlignment="1">
      <alignment horizontal="center" vertical="center"/>
    </xf>
    <xf numFmtId="172" fontId="22" fillId="0" borderId="0" xfId="2" applyNumberFormat="1" applyFont="1" applyAlignment="1">
      <alignment horizontal="center" vertical="center"/>
    </xf>
    <xf numFmtId="173" fontId="22" fillId="0" borderId="0" xfId="0" applyNumberFormat="1" applyFont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0" fontId="16" fillId="0" borderId="0" xfId="0" applyNumberFormat="1" applyFont="1" applyFill="1" applyAlignment="1" applyProtection="1">
      <alignment horizontal="center" vertical="center"/>
      <protection locked="0"/>
    </xf>
    <xf numFmtId="0" fontId="16" fillId="17" borderId="0" xfId="0" applyFont="1" applyFill="1" applyAlignment="1">
      <alignment horizontal="center" vertical="center"/>
    </xf>
    <xf numFmtId="171" fontId="16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9" fontId="16" fillId="0" borderId="0" xfId="4" applyFont="1" applyAlignment="1">
      <alignment horizontal="center" vertical="center"/>
    </xf>
    <xf numFmtId="9" fontId="22" fillId="0" borderId="0" xfId="4" applyFont="1" applyAlignment="1">
      <alignment horizontal="center" vertical="center"/>
    </xf>
    <xf numFmtId="9" fontId="23" fillId="0" borderId="0" xfId="4" applyFont="1" applyAlignment="1">
      <alignment horizontal="center" vertical="center"/>
    </xf>
    <xf numFmtId="165" fontId="24" fillId="0" borderId="0" xfId="0" applyNumberFormat="1" applyFont="1" applyFill="1" applyAlignment="1" applyProtection="1">
      <alignment horizontal="center" vertical="center"/>
      <protection locked="0"/>
    </xf>
    <xf numFmtId="0" fontId="24" fillId="14" borderId="0" xfId="0" applyFont="1" applyFill="1" applyAlignment="1" applyProtection="1">
      <alignment horizontal="center" vertical="center" wrapText="1"/>
    </xf>
    <xf numFmtId="0" fontId="24" fillId="13" borderId="0" xfId="0" applyFont="1" applyFill="1" applyAlignment="1" applyProtection="1">
      <alignment horizontal="center" vertical="center" wrapText="1"/>
    </xf>
    <xf numFmtId="1" fontId="24" fillId="0" borderId="0" xfId="0" applyNumberFormat="1" applyFont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16" fillId="0" borderId="0" xfId="0" applyFont="1" applyAlignment="1">
      <alignment horizontal="center" vertical="center" wrapText="1"/>
    </xf>
    <xf numFmtId="0" fontId="25" fillId="14" borderId="0" xfId="0" applyFont="1" applyFill="1" applyAlignment="1" applyProtection="1">
      <alignment horizontal="center" vertical="center" wrapText="1"/>
    </xf>
    <xf numFmtId="172" fontId="22" fillId="18" borderId="0" xfId="2" applyNumberFormat="1" applyFont="1" applyFill="1" applyAlignment="1">
      <alignment horizontal="center" vertical="center"/>
    </xf>
    <xf numFmtId="174" fontId="16" fillId="0" borderId="0" xfId="2" applyNumberFormat="1" applyFont="1" applyAlignment="1">
      <alignment horizontal="center" vertical="center"/>
    </xf>
    <xf numFmtId="174" fontId="22" fillId="0" borderId="0" xfId="2" applyNumberFormat="1" applyFont="1" applyAlignment="1">
      <alignment horizontal="center" vertical="center"/>
    </xf>
    <xf numFmtId="0" fontId="16" fillId="15" borderId="0" xfId="0" applyFont="1" applyFill="1" applyAlignment="1">
      <alignment horizontal="center" vertical="center" wrapText="1"/>
    </xf>
    <xf numFmtId="0" fontId="2" fillId="0" borderId="0" xfId="0" applyFont="1"/>
    <xf numFmtId="0" fontId="16" fillId="19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22" fillId="0" borderId="0" xfId="0" applyNumberFormat="1" applyFont="1" applyFill="1" applyAlignment="1" applyProtection="1">
      <alignment horizontal="center" vertical="center"/>
      <protection locked="0"/>
    </xf>
    <xf numFmtId="3" fontId="22" fillId="0" borderId="0" xfId="0" applyNumberFormat="1" applyFont="1" applyAlignment="1">
      <alignment horizontal="center" vertical="center"/>
    </xf>
    <xf numFmtId="171" fontId="22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0" fontId="16" fillId="0" borderId="0" xfId="4" applyNumberFormat="1" applyFont="1" applyAlignment="1">
      <alignment horizontal="center" vertical="center"/>
    </xf>
    <xf numFmtId="0" fontId="24" fillId="18" borderId="0" xfId="0" applyFont="1" applyFill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21" fillId="0" borderId="0" xfId="0" pivotButton="1" applyFont="1"/>
    <xf numFmtId="0" fontId="21" fillId="0" borderId="0" xfId="0" applyFont="1"/>
    <xf numFmtId="0" fontId="21" fillId="0" borderId="0" xfId="0" applyFont="1" applyAlignment="1">
      <alignment horizontal="left"/>
    </xf>
    <xf numFmtId="2" fontId="21" fillId="0" borderId="0" xfId="0" applyNumberFormat="1" applyFont="1"/>
    <xf numFmtId="0" fontId="21" fillId="0" borderId="0" xfId="0" applyNumberFormat="1" applyFont="1"/>
    <xf numFmtId="0" fontId="22" fillId="0" borderId="0" xfId="0" pivotButton="1" applyFont="1"/>
    <xf numFmtId="0" fontId="22" fillId="0" borderId="0" xfId="0" applyFont="1"/>
    <xf numFmtId="0" fontId="22" fillId="0" borderId="0" xfId="0" applyFont="1" applyAlignment="1">
      <alignment horizontal="left"/>
    </xf>
    <xf numFmtId="2" fontId="22" fillId="0" borderId="0" xfId="0" applyNumberFormat="1" applyFont="1"/>
    <xf numFmtId="0" fontId="22" fillId="0" borderId="0" xfId="0" applyNumberFormat="1" applyFont="1"/>
    <xf numFmtId="0" fontId="22" fillId="0" borderId="0" xfId="0" applyFont="1" applyAlignment="1">
      <alignment horizontal="left" indent="1"/>
    </xf>
    <xf numFmtId="43" fontId="16" fillId="0" borderId="0" xfId="2" applyFont="1" applyAlignment="1">
      <alignment horizontal="center" vertical="center"/>
    </xf>
    <xf numFmtId="2" fontId="16" fillId="0" borderId="0" xfId="2" applyNumberFormat="1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72" fontId="16" fillId="0" borderId="0" xfId="2" applyNumberFormat="1" applyFont="1" applyAlignment="1" applyProtection="1">
      <alignment horizontal="center" vertical="center"/>
    </xf>
    <xf numFmtId="9" fontId="16" fillId="0" borderId="0" xfId="4" applyFont="1" applyAlignment="1" applyProtection="1">
      <alignment horizontal="center" vertical="center"/>
    </xf>
    <xf numFmtId="2" fontId="16" fillId="0" borderId="0" xfId="0" applyNumberFormat="1" applyFont="1" applyAlignment="1" applyProtection="1">
      <alignment horizontal="center" vertical="center"/>
      <protection locked="0"/>
    </xf>
    <xf numFmtId="0" fontId="5" fillId="0" borderId="0" xfId="3" applyAlignment="1">
      <alignment horizontal="center" vertical="center"/>
    </xf>
    <xf numFmtId="0" fontId="6" fillId="0" borderId="0" xfId="3" applyFont="1" applyAlignment="1">
      <alignment horizontal="center" vertical="center"/>
    </xf>
    <xf numFmtId="0" fontId="16" fillId="0" borderId="0" xfId="0" applyFont="1" applyAlignment="1" applyProtection="1">
      <alignment horizontal="center" vertical="center" wrapText="1"/>
      <protection locked="0"/>
    </xf>
    <xf numFmtId="1" fontId="0" fillId="0" borderId="0" xfId="0" applyNumberFormat="1" applyFont="1" applyAlignment="1" applyProtection="1">
      <alignment horizontal="center" vertical="center"/>
    </xf>
  </cellXfs>
  <cellStyles count="5">
    <cellStyle name="Euro" xfId="1"/>
    <cellStyle name="Lien hypertexte" xfId="3" builtinId="8"/>
    <cellStyle name="Milliers" xfId="2" builtinId="3"/>
    <cellStyle name="Normal" xfId="0" builtinId="0"/>
    <cellStyle name="Pourcentage" xfId="4" builtinId="5"/>
  </cellStyles>
  <dxfs count="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5" formatCode="d/m/yy\ h:m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3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4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3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4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3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3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3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z val="8"/>
      </font>
    </dxf>
    <dxf>
      <font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z val="8"/>
      </font>
    </dxf>
    <dxf>
      <font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z val="8"/>
      </font>
    </dxf>
    <dxf>
      <font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numFmt numFmtId="2" formatCode="0.00"/>
    </dxf>
    <dxf>
      <font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2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numFmt numFmtId="2" formatCode="0.00"/>
    </dxf>
    <dxf>
      <font>
        <sz val="8"/>
      </font>
    </dxf>
    <dxf>
      <font>
        <name val="Calibri"/>
        <scheme val="minor"/>
      </font>
    </dxf>
    <dxf>
      <font>
        <sz val="8"/>
      </font>
    </dxf>
    <dxf>
      <numFmt numFmtId="2" formatCode="0.00"/>
    </dxf>
    <dxf>
      <font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#,##0.00\ &quot;€&quot;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0.0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0.0000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0.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1" formatCode="#,##0.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1" formatCode="#,##0.00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1" formatCode="#,##0.0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0"/>
        <name val="Calibri"/>
        <scheme val="minor"/>
      </font>
      <numFmt numFmtId="3" formatCode="#,##0"/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0.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0"/>
        <name val="Calibri"/>
        <scheme val="minor"/>
      </font>
      <numFmt numFmtId="3" formatCode="#,##0"/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[h]:mm:ss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[h]:mm:ss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protection locked="0" hidden="0"/>
    </dxf>
    <dxf>
      <font>
        <b/>
        <strike val="0"/>
        <outline val="0"/>
        <shadow val="0"/>
        <u val="none"/>
        <vertAlign val="baseline"/>
        <sz val="10"/>
        <color theme="0"/>
        <name val="Calibri"/>
        <scheme val="minor"/>
      </font>
      <numFmt numFmtId="165" formatCode="d/m/yy\ h:mm;@"/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5353"/>
      <color rgb="FFFFFFFF"/>
      <color rgb="FF00DE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[InputData.xlsx]T° et conso par heure!Tableau croisé dynamique1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'T° et conso par heure'!$B$1</c:f>
              <c:strCache>
                <c:ptCount val="1"/>
                <c:pt idx="0">
                  <c:v>Somme de Conso HP + HC / heure</c:v>
                </c:pt>
              </c:strCache>
            </c:strRef>
          </c:tx>
          <c:invertIfNegative val="0"/>
          <c:cat>
            <c:strRef>
              <c:f>'T° et conso par heure'!$A$2:$A$721</c:f>
              <c:strCache>
                <c:ptCount val="719"/>
                <c:pt idx="0">
                  <c:v>17/12/20 17:00</c:v>
                </c:pt>
                <c:pt idx="1">
                  <c:v>24/1/21 19:00</c:v>
                </c:pt>
                <c:pt idx="2">
                  <c:v>25/1/21 8:23</c:v>
                </c:pt>
                <c:pt idx="3">
                  <c:v>25/1/21 13:20</c:v>
                </c:pt>
                <c:pt idx="4">
                  <c:v>25/1/21 19:20</c:v>
                </c:pt>
                <c:pt idx="5">
                  <c:v>26/1/21 6:44</c:v>
                </c:pt>
                <c:pt idx="6">
                  <c:v>26/1/21 13:29</c:v>
                </c:pt>
                <c:pt idx="7">
                  <c:v>26/1/21 19:36</c:v>
                </c:pt>
                <c:pt idx="8">
                  <c:v>27/1/21 6:30</c:v>
                </c:pt>
                <c:pt idx="9">
                  <c:v>27/1/21 13:13</c:v>
                </c:pt>
                <c:pt idx="10">
                  <c:v>27/1/21 20:01</c:v>
                </c:pt>
                <c:pt idx="11">
                  <c:v>28/1/21 6:53</c:v>
                </c:pt>
                <c:pt idx="12">
                  <c:v>28/1/21 13:25</c:v>
                </c:pt>
                <c:pt idx="13">
                  <c:v>28/1/21 19:12</c:v>
                </c:pt>
                <c:pt idx="14">
                  <c:v>29/1/21 6:52</c:v>
                </c:pt>
                <c:pt idx="15">
                  <c:v>29/1/21 13:33</c:v>
                </c:pt>
                <c:pt idx="16">
                  <c:v>29/1/21 21:07</c:v>
                </c:pt>
                <c:pt idx="17">
                  <c:v>30/1/21 6:35</c:v>
                </c:pt>
                <c:pt idx="18">
                  <c:v>30/1/21 15:22</c:v>
                </c:pt>
                <c:pt idx="19">
                  <c:v>31/1/21 8:17</c:v>
                </c:pt>
                <c:pt idx="20">
                  <c:v>31/1/21 10:56</c:v>
                </c:pt>
                <c:pt idx="21">
                  <c:v>31/1/21 20:34</c:v>
                </c:pt>
                <c:pt idx="22">
                  <c:v>1/2/21 7:40</c:v>
                </c:pt>
                <c:pt idx="23">
                  <c:v>1/2/21 13:23</c:v>
                </c:pt>
                <c:pt idx="24">
                  <c:v>1/2/21 20:20</c:v>
                </c:pt>
                <c:pt idx="25">
                  <c:v>2/2/21 6:58</c:v>
                </c:pt>
                <c:pt idx="26">
                  <c:v>2/2/21 13:38</c:v>
                </c:pt>
                <c:pt idx="27">
                  <c:v>2/2/21 23:28</c:v>
                </c:pt>
                <c:pt idx="28">
                  <c:v>3/2/21 13:29</c:v>
                </c:pt>
                <c:pt idx="29">
                  <c:v>3/2/21 22:37</c:v>
                </c:pt>
                <c:pt idx="30">
                  <c:v>4/2/21 8:26</c:v>
                </c:pt>
                <c:pt idx="31">
                  <c:v>4/2/21 17:39</c:v>
                </c:pt>
                <c:pt idx="32">
                  <c:v>5/2/21 8:49</c:v>
                </c:pt>
                <c:pt idx="33">
                  <c:v>5/2/21 18:22</c:v>
                </c:pt>
                <c:pt idx="34">
                  <c:v>6/2/21 9:00</c:v>
                </c:pt>
                <c:pt idx="35">
                  <c:v>6/2/21 14:23</c:v>
                </c:pt>
                <c:pt idx="36">
                  <c:v>7/2/21 6:58</c:v>
                </c:pt>
                <c:pt idx="37">
                  <c:v>7/2/21 11:14</c:v>
                </c:pt>
                <c:pt idx="38">
                  <c:v>8/2/21 7:38</c:v>
                </c:pt>
                <c:pt idx="39">
                  <c:v>8/2/21 13:38</c:v>
                </c:pt>
                <c:pt idx="40">
                  <c:v>8/2/21 20:43</c:v>
                </c:pt>
                <c:pt idx="41">
                  <c:v>9/2/21 6:30</c:v>
                </c:pt>
                <c:pt idx="42">
                  <c:v>9/2/21 13:26</c:v>
                </c:pt>
                <c:pt idx="43">
                  <c:v>10/2/21 7:05</c:v>
                </c:pt>
                <c:pt idx="44">
                  <c:v>10/2/21 13:28</c:v>
                </c:pt>
                <c:pt idx="45">
                  <c:v>11/2/21 7:37</c:v>
                </c:pt>
                <c:pt idx="46">
                  <c:v>11/2/21 13:29</c:v>
                </c:pt>
                <c:pt idx="47">
                  <c:v>12/2/21 7:19</c:v>
                </c:pt>
                <c:pt idx="48">
                  <c:v>13/2/21 8:22</c:v>
                </c:pt>
                <c:pt idx="49">
                  <c:v>13/2/21 17:12</c:v>
                </c:pt>
                <c:pt idx="50">
                  <c:v>14/2/21 8:33</c:v>
                </c:pt>
                <c:pt idx="51">
                  <c:v>14/2/21 17:59</c:v>
                </c:pt>
                <c:pt idx="52">
                  <c:v>15/2/21 6:37</c:v>
                </c:pt>
                <c:pt idx="53">
                  <c:v>15/2/21 13:44</c:v>
                </c:pt>
                <c:pt idx="54">
                  <c:v>16/2/21 7:28</c:v>
                </c:pt>
                <c:pt idx="55">
                  <c:v>16/2/21 20:25</c:v>
                </c:pt>
                <c:pt idx="56">
                  <c:v>17/2/21 6:59</c:v>
                </c:pt>
                <c:pt idx="57">
                  <c:v>17/2/21 13:57</c:v>
                </c:pt>
                <c:pt idx="58">
                  <c:v>17/2/21 20:43</c:v>
                </c:pt>
                <c:pt idx="59">
                  <c:v>18/2/21 7:24</c:v>
                </c:pt>
                <c:pt idx="60">
                  <c:v>18/2/21 15:37</c:v>
                </c:pt>
                <c:pt idx="61">
                  <c:v>19/2/21 7:33</c:v>
                </c:pt>
                <c:pt idx="62">
                  <c:v>19/2/21 13:35</c:v>
                </c:pt>
                <c:pt idx="63">
                  <c:v>19/2/21 16:10</c:v>
                </c:pt>
                <c:pt idx="64">
                  <c:v>19/2/21 17:45</c:v>
                </c:pt>
                <c:pt idx="65">
                  <c:v>20/2/21 8:29</c:v>
                </c:pt>
                <c:pt idx="66">
                  <c:v>20/2/21 13:37</c:v>
                </c:pt>
                <c:pt idx="67">
                  <c:v>21/2/21 17:40</c:v>
                </c:pt>
                <c:pt idx="68">
                  <c:v>22/2/21 8:22</c:v>
                </c:pt>
                <c:pt idx="69">
                  <c:v>22/2/21 13:20</c:v>
                </c:pt>
                <c:pt idx="70">
                  <c:v>22/2/21 23:04</c:v>
                </c:pt>
                <c:pt idx="71">
                  <c:v>23/2/21 6:30</c:v>
                </c:pt>
                <c:pt idx="72">
                  <c:v>23/2/21 13:21</c:v>
                </c:pt>
                <c:pt idx="73">
                  <c:v>23/2/21 23:06</c:v>
                </c:pt>
                <c:pt idx="74">
                  <c:v>24/2/21 6:54</c:v>
                </c:pt>
                <c:pt idx="75">
                  <c:v>24/2/21 13:51</c:v>
                </c:pt>
                <c:pt idx="76">
                  <c:v>24/2/21 22:32</c:v>
                </c:pt>
                <c:pt idx="77">
                  <c:v>25/2/21 6:11</c:v>
                </c:pt>
                <c:pt idx="78">
                  <c:v>25/2/21 16:19</c:v>
                </c:pt>
                <c:pt idx="79">
                  <c:v>25/2/21 22:56</c:v>
                </c:pt>
                <c:pt idx="80">
                  <c:v>26/2/21 6:43</c:v>
                </c:pt>
                <c:pt idx="81">
                  <c:v>26/2/21 13:59</c:v>
                </c:pt>
                <c:pt idx="82">
                  <c:v>27/2/21 8:40</c:v>
                </c:pt>
                <c:pt idx="83">
                  <c:v>27/2/21 13:48</c:v>
                </c:pt>
                <c:pt idx="84">
                  <c:v>28/2/21 8:05</c:v>
                </c:pt>
                <c:pt idx="85">
                  <c:v>28/2/21 23:35</c:v>
                </c:pt>
                <c:pt idx="86">
                  <c:v>1/3/21 7:19</c:v>
                </c:pt>
                <c:pt idx="87">
                  <c:v>1/3/21 13:49</c:v>
                </c:pt>
                <c:pt idx="88">
                  <c:v>1/3/21 23:25</c:v>
                </c:pt>
                <c:pt idx="89">
                  <c:v>2/3/21 7:22</c:v>
                </c:pt>
                <c:pt idx="90">
                  <c:v>2/3/21 14:55</c:v>
                </c:pt>
                <c:pt idx="91">
                  <c:v>2/3/21 22:42</c:v>
                </c:pt>
                <c:pt idx="92">
                  <c:v>3/3/21 7:02</c:v>
                </c:pt>
                <c:pt idx="93">
                  <c:v>3/3/21 14:11</c:v>
                </c:pt>
                <c:pt idx="94">
                  <c:v>4/3/21 6:56</c:v>
                </c:pt>
                <c:pt idx="95">
                  <c:v>4/3/21 13:37</c:v>
                </c:pt>
                <c:pt idx="96">
                  <c:v>4/3/21 22:56</c:v>
                </c:pt>
                <c:pt idx="97">
                  <c:v>5/3/21 7:07</c:v>
                </c:pt>
                <c:pt idx="98">
                  <c:v>6/3/21 7:45</c:v>
                </c:pt>
                <c:pt idx="99">
                  <c:v>6/3/21 15:53</c:v>
                </c:pt>
                <c:pt idx="100">
                  <c:v>7/3/21 7:32</c:v>
                </c:pt>
                <c:pt idx="101">
                  <c:v>8/3/21 6:53</c:v>
                </c:pt>
                <c:pt idx="102">
                  <c:v>8/3/21 13:57</c:v>
                </c:pt>
                <c:pt idx="103">
                  <c:v>9/3/21 7:23</c:v>
                </c:pt>
                <c:pt idx="104">
                  <c:v>9/3/21 13:46</c:v>
                </c:pt>
                <c:pt idx="105">
                  <c:v>10/3/21 7:37</c:v>
                </c:pt>
                <c:pt idx="106">
                  <c:v>10/3/21 13:56</c:v>
                </c:pt>
                <c:pt idx="107">
                  <c:v>11/3/21 7:24</c:v>
                </c:pt>
                <c:pt idx="108">
                  <c:v>11/3/21 13:38</c:v>
                </c:pt>
                <c:pt idx="109">
                  <c:v>12/3/21 7:26</c:v>
                </c:pt>
                <c:pt idx="110">
                  <c:v>12/3/21 13:32</c:v>
                </c:pt>
                <c:pt idx="111">
                  <c:v>13/3/21 8:23</c:v>
                </c:pt>
                <c:pt idx="112">
                  <c:v>14/3/21 8:05</c:v>
                </c:pt>
                <c:pt idx="113">
                  <c:v>14/3/21 14:14</c:v>
                </c:pt>
                <c:pt idx="114">
                  <c:v>15/3/21 7:57</c:v>
                </c:pt>
                <c:pt idx="115">
                  <c:v>15/3/21 13:31</c:v>
                </c:pt>
                <c:pt idx="116">
                  <c:v>16/3/21 8:48</c:v>
                </c:pt>
                <c:pt idx="117">
                  <c:v>16/3/21 14:12</c:v>
                </c:pt>
                <c:pt idx="118">
                  <c:v>16/3/21 16:19</c:v>
                </c:pt>
                <c:pt idx="119">
                  <c:v>17/3/21 6:57</c:v>
                </c:pt>
                <c:pt idx="120">
                  <c:v>18/3/21 7:21</c:v>
                </c:pt>
                <c:pt idx="121">
                  <c:v>18/3/21 13:24</c:v>
                </c:pt>
                <c:pt idx="122">
                  <c:v>19/3/21 7:07</c:v>
                </c:pt>
                <c:pt idx="123">
                  <c:v>20/3/21 8:59</c:v>
                </c:pt>
                <c:pt idx="124">
                  <c:v>21/3/21 8:44</c:v>
                </c:pt>
                <c:pt idx="125">
                  <c:v>22/3/21 7:22</c:v>
                </c:pt>
                <c:pt idx="126">
                  <c:v>22/3/21 13:43</c:v>
                </c:pt>
                <c:pt idx="127">
                  <c:v>23/3/21 8:56</c:v>
                </c:pt>
                <c:pt idx="128">
                  <c:v>24/3/21 13:59</c:v>
                </c:pt>
                <c:pt idx="129">
                  <c:v>25/3/21 8:47</c:v>
                </c:pt>
                <c:pt idx="130">
                  <c:v>26/3/21 9:03</c:v>
                </c:pt>
                <c:pt idx="131">
                  <c:v>26/3/21 13:59</c:v>
                </c:pt>
                <c:pt idx="132">
                  <c:v>27/3/21 10:58</c:v>
                </c:pt>
                <c:pt idx="133">
                  <c:v>28/3/21 10:31</c:v>
                </c:pt>
                <c:pt idx="134">
                  <c:v>29/3/21 9:30</c:v>
                </c:pt>
                <c:pt idx="135">
                  <c:v>30/3/21 8:41</c:v>
                </c:pt>
                <c:pt idx="136">
                  <c:v>31/3/21 8:27</c:v>
                </c:pt>
                <c:pt idx="137">
                  <c:v>1/4/21 9:00</c:v>
                </c:pt>
                <c:pt idx="138">
                  <c:v>2/4/21 13:44</c:v>
                </c:pt>
                <c:pt idx="139">
                  <c:v>3/4/21 8:31</c:v>
                </c:pt>
                <c:pt idx="140">
                  <c:v>4/4/21 10:18</c:v>
                </c:pt>
                <c:pt idx="141">
                  <c:v>5/4/21 9:39</c:v>
                </c:pt>
                <c:pt idx="142">
                  <c:v>6/4/21 7:30</c:v>
                </c:pt>
                <c:pt idx="143">
                  <c:v>6/4/21 13:50</c:v>
                </c:pt>
                <c:pt idx="144">
                  <c:v>7/4/21 9:05</c:v>
                </c:pt>
                <c:pt idx="145">
                  <c:v>8/4/21 9:29</c:v>
                </c:pt>
                <c:pt idx="146">
                  <c:v>9/4/21 8:53</c:v>
                </c:pt>
                <c:pt idx="147">
                  <c:v>11/4/21 8:32</c:v>
                </c:pt>
                <c:pt idx="148">
                  <c:v>12/4/21 7:29</c:v>
                </c:pt>
                <c:pt idx="149">
                  <c:v>13/4/21 8:00</c:v>
                </c:pt>
                <c:pt idx="150">
                  <c:v>13/4/21 12:34</c:v>
                </c:pt>
                <c:pt idx="151">
                  <c:v>13/4/21 13:42</c:v>
                </c:pt>
                <c:pt idx="152">
                  <c:v>13/4/21 16:01</c:v>
                </c:pt>
                <c:pt idx="153">
                  <c:v>13/4/21 19:03</c:v>
                </c:pt>
                <c:pt idx="154">
                  <c:v>15/4/21 19:04</c:v>
                </c:pt>
                <c:pt idx="155">
                  <c:v>16/4/21 8:54</c:v>
                </c:pt>
                <c:pt idx="156">
                  <c:v>20/4/21 9:07</c:v>
                </c:pt>
                <c:pt idx="157">
                  <c:v>24/4/21 7:51</c:v>
                </c:pt>
                <c:pt idx="158">
                  <c:v>25/4/21 6:36</c:v>
                </c:pt>
                <c:pt idx="159">
                  <c:v>26/4/21 7:42</c:v>
                </c:pt>
                <c:pt idx="160">
                  <c:v>28/4/21 19:29</c:v>
                </c:pt>
                <c:pt idx="161">
                  <c:v>3/5/21 8:53</c:v>
                </c:pt>
                <c:pt idx="162">
                  <c:v>4/5/21 7:11</c:v>
                </c:pt>
                <c:pt idx="163">
                  <c:v>6/5/21 21:51</c:v>
                </c:pt>
                <c:pt idx="164">
                  <c:v>15/6/21 6:33</c:v>
                </c:pt>
                <c:pt idx="165">
                  <c:v>3/7/21 16:15</c:v>
                </c:pt>
                <c:pt idx="166">
                  <c:v>12/9/21 17:57</c:v>
                </c:pt>
                <c:pt idx="167">
                  <c:v>30/9/21 5:59</c:v>
                </c:pt>
                <c:pt idx="168">
                  <c:v>15/10/21 12:00</c:v>
                </c:pt>
                <c:pt idx="169">
                  <c:v>2/11/21 18:23</c:v>
                </c:pt>
                <c:pt idx="170">
                  <c:v>11/11/21 11:55</c:v>
                </c:pt>
                <c:pt idx="171">
                  <c:v>20/11/21 11:05</c:v>
                </c:pt>
                <c:pt idx="172">
                  <c:v>28/11/21 12:26</c:v>
                </c:pt>
                <c:pt idx="173">
                  <c:v>7/12/21 21:09</c:v>
                </c:pt>
                <c:pt idx="174">
                  <c:v>19/12/21 12:07</c:v>
                </c:pt>
                <c:pt idx="175">
                  <c:v>20/12/21 17:20</c:v>
                </c:pt>
                <c:pt idx="176">
                  <c:v>22/12/21 17:23</c:v>
                </c:pt>
                <c:pt idx="177">
                  <c:v>24/12/21 15:48</c:v>
                </c:pt>
                <c:pt idx="178">
                  <c:v>26/12/21 19:17</c:v>
                </c:pt>
                <c:pt idx="179">
                  <c:v>17/1/22 18:58</c:v>
                </c:pt>
                <c:pt idx="180">
                  <c:v>19/1/22 7:30</c:v>
                </c:pt>
                <c:pt idx="181">
                  <c:v>20/1/22 7:22</c:v>
                </c:pt>
                <c:pt idx="182">
                  <c:v>21/1/22 7:49</c:v>
                </c:pt>
                <c:pt idx="183">
                  <c:v>22/1/22 8:08</c:v>
                </c:pt>
                <c:pt idx="184">
                  <c:v>23/1/22 8:14</c:v>
                </c:pt>
                <c:pt idx="185">
                  <c:v>24/1/22 7:58</c:v>
                </c:pt>
                <c:pt idx="186">
                  <c:v>25/1/22 7:41</c:v>
                </c:pt>
                <c:pt idx="187">
                  <c:v>26/1/22 7:45</c:v>
                </c:pt>
                <c:pt idx="188">
                  <c:v>27/1/22 7:22</c:v>
                </c:pt>
                <c:pt idx="189">
                  <c:v>28/1/22 8:31</c:v>
                </c:pt>
                <c:pt idx="190">
                  <c:v>29/1/22 7:36</c:v>
                </c:pt>
                <c:pt idx="191">
                  <c:v>30/1/22 8:52</c:v>
                </c:pt>
                <c:pt idx="192">
                  <c:v>31/1/22 7:27</c:v>
                </c:pt>
                <c:pt idx="193">
                  <c:v>1/2/22 7:24</c:v>
                </c:pt>
                <c:pt idx="194">
                  <c:v>2/2/22 7:52</c:v>
                </c:pt>
                <c:pt idx="195">
                  <c:v>3/2/22 8:20</c:v>
                </c:pt>
                <c:pt idx="196">
                  <c:v>4/2/22 8:23</c:v>
                </c:pt>
                <c:pt idx="197">
                  <c:v>5/2/22 8:47</c:v>
                </c:pt>
                <c:pt idx="198">
                  <c:v>6/2/22 10:22</c:v>
                </c:pt>
                <c:pt idx="199">
                  <c:v>7/2/22 7:40</c:v>
                </c:pt>
                <c:pt idx="200">
                  <c:v>8/2/22 7:28</c:v>
                </c:pt>
                <c:pt idx="201">
                  <c:v>9/2/22 8:33</c:v>
                </c:pt>
                <c:pt idx="202">
                  <c:v>10/2/22 8:36</c:v>
                </c:pt>
                <c:pt idx="203">
                  <c:v>11/2/22 8:17</c:v>
                </c:pt>
                <c:pt idx="204">
                  <c:v>12/2/22 7:22</c:v>
                </c:pt>
                <c:pt idx="205">
                  <c:v>14/2/22 7:37</c:v>
                </c:pt>
                <c:pt idx="206">
                  <c:v>15/2/22 7:19</c:v>
                </c:pt>
                <c:pt idx="207">
                  <c:v>17/2/22 8:52</c:v>
                </c:pt>
                <c:pt idx="208">
                  <c:v>20/2/22 12:02</c:v>
                </c:pt>
                <c:pt idx="209">
                  <c:v>21/2/22 8:22</c:v>
                </c:pt>
                <c:pt idx="210">
                  <c:v>16/2/22 7:48</c:v>
                </c:pt>
                <c:pt idx="211">
                  <c:v>22/2/22 9:33</c:v>
                </c:pt>
                <c:pt idx="212">
                  <c:v>24/2/22 8:35</c:v>
                </c:pt>
                <c:pt idx="213">
                  <c:v>25/2/22 9:55</c:v>
                </c:pt>
                <c:pt idx="214">
                  <c:v>28/2/22 7:35</c:v>
                </c:pt>
                <c:pt idx="215">
                  <c:v>1/3/22 7:32</c:v>
                </c:pt>
                <c:pt idx="216">
                  <c:v>2/3/22 8:30</c:v>
                </c:pt>
                <c:pt idx="217">
                  <c:v>3/3/22 8:27</c:v>
                </c:pt>
                <c:pt idx="218">
                  <c:v>4/3/22 8:25</c:v>
                </c:pt>
                <c:pt idx="219">
                  <c:v>5/3/22 8:28</c:v>
                </c:pt>
                <c:pt idx="220">
                  <c:v>7/3/22 7:46</c:v>
                </c:pt>
                <c:pt idx="221">
                  <c:v>8/3/22 7:39</c:v>
                </c:pt>
                <c:pt idx="222">
                  <c:v>9/3/22 7:51</c:v>
                </c:pt>
                <c:pt idx="223">
                  <c:v>10/3/22 8:25</c:v>
                </c:pt>
                <c:pt idx="224">
                  <c:v>11/3/22 9:03</c:v>
                </c:pt>
                <c:pt idx="225">
                  <c:v>12/3/22 7:38</c:v>
                </c:pt>
                <c:pt idx="226">
                  <c:v>13/3/22 9:36</c:v>
                </c:pt>
                <c:pt idx="227">
                  <c:v>14/3/22 7:49</c:v>
                </c:pt>
                <c:pt idx="228">
                  <c:v>15/3/22 7:36</c:v>
                </c:pt>
                <c:pt idx="229">
                  <c:v>16/3/22 7:40</c:v>
                </c:pt>
                <c:pt idx="230">
                  <c:v>17/3/22 10:24</c:v>
                </c:pt>
                <c:pt idx="231">
                  <c:v>18/3/22 8:23</c:v>
                </c:pt>
                <c:pt idx="232">
                  <c:v>19/3/22 7:55</c:v>
                </c:pt>
                <c:pt idx="233">
                  <c:v>20/3/22 9:13</c:v>
                </c:pt>
                <c:pt idx="234">
                  <c:v>21/3/22 7:53</c:v>
                </c:pt>
                <c:pt idx="235">
                  <c:v>22/3/22 7:21</c:v>
                </c:pt>
                <c:pt idx="236">
                  <c:v>23/3/22 8:56</c:v>
                </c:pt>
                <c:pt idx="237">
                  <c:v>24/3/22 7:45</c:v>
                </c:pt>
                <c:pt idx="238">
                  <c:v>25/3/22 8:15</c:v>
                </c:pt>
                <c:pt idx="239">
                  <c:v>26/3/22 7:27</c:v>
                </c:pt>
                <c:pt idx="240">
                  <c:v>27/3/22 9:58</c:v>
                </c:pt>
                <c:pt idx="241">
                  <c:v>28/3/22 7:56</c:v>
                </c:pt>
                <c:pt idx="242">
                  <c:v>29/3/22 7:23</c:v>
                </c:pt>
                <c:pt idx="243">
                  <c:v>30/3/22 7:15</c:v>
                </c:pt>
                <c:pt idx="244">
                  <c:v>31/3/22 8:30</c:v>
                </c:pt>
                <c:pt idx="245">
                  <c:v>1/4/22 7:40</c:v>
                </c:pt>
                <c:pt idx="246">
                  <c:v>2/4/22 8:06</c:v>
                </c:pt>
                <c:pt idx="247">
                  <c:v>4/4/22 7:53</c:v>
                </c:pt>
                <c:pt idx="248">
                  <c:v>5/4/22 7:28</c:v>
                </c:pt>
                <c:pt idx="249">
                  <c:v>6/4/22 7:48</c:v>
                </c:pt>
                <c:pt idx="250">
                  <c:v>7/4/22 8:01</c:v>
                </c:pt>
                <c:pt idx="251">
                  <c:v>8/4/22 8:25</c:v>
                </c:pt>
                <c:pt idx="252">
                  <c:v>9/4/22 8:33</c:v>
                </c:pt>
                <c:pt idx="253">
                  <c:v>10/4/22 7:39</c:v>
                </c:pt>
                <c:pt idx="254">
                  <c:v>11/4/22 7:46</c:v>
                </c:pt>
                <c:pt idx="255">
                  <c:v>12/4/22 7:38</c:v>
                </c:pt>
                <c:pt idx="256">
                  <c:v>13/4/22 7:36</c:v>
                </c:pt>
                <c:pt idx="257">
                  <c:v>14/4/22 8:13</c:v>
                </c:pt>
                <c:pt idx="258">
                  <c:v>15/4/22 9:14</c:v>
                </c:pt>
                <c:pt idx="259">
                  <c:v>16/4/22 7:34</c:v>
                </c:pt>
                <c:pt idx="260">
                  <c:v>17/4/22 8:21</c:v>
                </c:pt>
                <c:pt idx="261">
                  <c:v>19/4/22 7:44</c:v>
                </c:pt>
                <c:pt idx="262">
                  <c:v>20/4/22 7:25</c:v>
                </c:pt>
                <c:pt idx="263">
                  <c:v>21/4/22 7:33</c:v>
                </c:pt>
                <c:pt idx="264">
                  <c:v>22/4/22 8:20</c:v>
                </c:pt>
                <c:pt idx="265">
                  <c:v>23/4/22 11:04</c:v>
                </c:pt>
                <c:pt idx="266">
                  <c:v>24/4/22 8:33</c:v>
                </c:pt>
                <c:pt idx="267">
                  <c:v>26/4/22 8:35</c:v>
                </c:pt>
                <c:pt idx="268">
                  <c:v>27/4/22 9:20</c:v>
                </c:pt>
                <c:pt idx="269">
                  <c:v>28/4/22 7:32</c:v>
                </c:pt>
                <c:pt idx="270">
                  <c:v>29/4/22 8:04</c:v>
                </c:pt>
                <c:pt idx="271">
                  <c:v>30/4/22 8:38</c:v>
                </c:pt>
                <c:pt idx="272">
                  <c:v>1/5/22 8:05</c:v>
                </c:pt>
                <c:pt idx="273">
                  <c:v>2/5/22 7:38</c:v>
                </c:pt>
                <c:pt idx="274">
                  <c:v>3/5/22 7:28</c:v>
                </c:pt>
                <c:pt idx="275">
                  <c:v>4/5/22 8:12</c:v>
                </c:pt>
                <c:pt idx="276">
                  <c:v>5/5/22 7:22</c:v>
                </c:pt>
                <c:pt idx="277">
                  <c:v>6/5/22 7:45</c:v>
                </c:pt>
                <c:pt idx="278">
                  <c:v>7/5/22 8:26</c:v>
                </c:pt>
                <c:pt idx="279">
                  <c:v>8/5/22 11:36</c:v>
                </c:pt>
                <c:pt idx="280">
                  <c:v>9/5/22 7:45</c:v>
                </c:pt>
                <c:pt idx="281">
                  <c:v>10/5/22 7:30</c:v>
                </c:pt>
                <c:pt idx="282">
                  <c:v>11/5/22 8:39</c:v>
                </c:pt>
                <c:pt idx="283">
                  <c:v>12/5/22 7:15</c:v>
                </c:pt>
                <c:pt idx="284">
                  <c:v>13/5/22 8:22</c:v>
                </c:pt>
                <c:pt idx="285">
                  <c:v>14/5/22 8:03</c:v>
                </c:pt>
                <c:pt idx="286">
                  <c:v>15/5/22 8:59</c:v>
                </c:pt>
                <c:pt idx="287">
                  <c:v>16/5/22 7:33</c:v>
                </c:pt>
                <c:pt idx="288">
                  <c:v>17/5/22 7:31</c:v>
                </c:pt>
                <c:pt idx="289">
                  <c:v>18/5/22 8:28</c:v>
                </c:pt>
                <c:pt idx="290">
                  <c:v>19/5/22 7:22</c:v>
                </c:pt>
                <c:pt idx="291">
                  <c:v>20/5/22 8:16</c:v>
                </c:pt>
                <c:pt idx="292">
                  <c:v>21/5/22 6:50</c:v>
                </c:pt>
                <c:pt idx="293">
                  <c:v>23/5/22 7:43</c:v>
                </c:pt>
                <c:pt idx="294">
                  <c:v>24/5/22 7:41</c:v>
                </c:pt>
                <c:pt idx="295">
                  <c:v>25/5/22 8:20</c:v>
                </c:pt>
                <c:pt idx="296">
                  <c:v>26/5/22 9:22</c:v>
                </c:pt>
                <c:pt idx="297">
                  <c:v>27/5/22 8:06</c:v>
                </c:pt>
                <c:pt idx="298">
                  <c:v>28/5/22 7:21</c:v>
                </c:pt>
                <c:pt idx="299">
                  <c:v>29/5/22 8:34</c:v>
                </c:pt>
                <c:pt idx="300">
                  <c:v>30/5/22 7:42</c:v>
                </c:pt>
                <c:pt idx="301">
                  <c:v>31/5/22 7:45</c:v>
                </c:pt>
                <c:pt idx="302">
                  <c:v>1/6/22 7:45</c:v>
                </c:pt>
                <c:pt idx="303">
                  <c:v>2/6/22 7:18</c:v>
                </c:pt>
                <c:pt idx="304">
                  <c:v>3/6/22 7:25</c:v>
                </c:pt>
                <c:pt idx="305">
                  <c:v>4/6/22 8:20</c:v>
                </c:pt>
                <c:pt idx="306">
                  <c:v>5/6/22 8:20</c:v>
                </c:pt>
                <c:pt idx="307">
                  <c:v>7/6/22 7:38</c:v>
                </c:pt>
                <c:pt idx="308">
                  <c:v>8/6/22 8:45</c:v>
                </c:pt>
                <c:pt idx="309">
                  <c:v>9/6/22 7:40</c:v>
                </c:pt>
                <c:pt idx="310">
                  <c:v>10/6/22 8:01</c:v>
                </c:pt>
                <c:pt idx="311">
                  <c:v>11/6/22 7:42</c:v>
                </c:pt>
                <c:pt idx="312">
                  <c:v>12/6/22 8:29</c:v>
                </c:pt>
                <c:pt idx="313">
                  <c:v>13/6/22 8:03</c:v>
                </c:pt>
                <c:pt idx="314">
                  <c:v>14/6/22 7:43</c:v>
                </c:pt>
                <c:pt idx="315">
                  <c:v>15/6/22 7:07</c:v>
                </c:pt>
                <c:pt idx="316">
                  <c:v>16/6/22 7:44</c:v>
                </c:pt>
                <c:pt idx="317">
                  <c:v>17/6/22 7:34</c:v>
                </c:pt>
                <c:pt idx="318">
                  <c:v>18/6/22 8:39</c:v>
                </c:pt>
                <c:pt idx="319">
                  <c:v>19/6/22 9:01</c:v>
                </c:pt>
                <c:pt idx="320">
                  <c:v>20/6/22 7:32</c:v>
                </c:pt>
                <c:pt idx="321">
                  <c:v>21/6/22 7:23</c:v>
                </c:pt>
                <c:pt idx="322">
                  <c:v>22/6/22 7:29</c:v>
                </c:pt>
                <c:pt idx="323">
                  <c:v>23/6/22 7:31</c:v>
                </c:pt>
                <c:pt idx="324">
                  <c:v>24/6/22 7:44</c:v>
                </c:pt>
                <c:pt idx="325">
                  <c:v>25/6/22 9:21</c:v>
                </c:pt>
                <c:pt idx="326">
                  <c:v>26/6/22 9:48</c:v>
                </c:pt>
                <c:pt idx="327">
                  <c:v>27/6/22 7:42</c:v>
                </c:pt>
                <c:pt idx="328">
                  <c:v>28/6/22 7:31</c:v>
                </c:pt>
                <c:pt idx="329">
                  <c:v>29/6/22 8:25</c:v>
                </c:pt>
                <c:pt idx="330">
                  <c:v>30/6/22 7:46</c:v>
                </c:pt>
                <c:pt idx="331">
                  <c:v>1/7/22 8:04</c:v>
                </c:pt>
                <c:pt idx="332">
                  <c:v>3/7/22 9:14</c:v>
                </c:pt>
                <c:pt idx="333">
                  <c:v>4/7/22 7:39</c:v>
                </c:pt>
                <c:pt idx="334">
                  <c:v>5/7/22 7:11</c:v>
                </c:pt>
                <c:pt idx="335">
                  <c:v>6/7/22 8:13</c:v>
                </c:pt>
                <c:pt idx="336">
                  <c:v>7/7/22 7:33</c:v>
                </c:pt>
                <c:pt idx="337">
                  <c:v>8/7/22 8:14</c:v>
                </c:pt>
                <c:pt idx="338">
                  <c:v>9/7/22 10:56</c:v>
                </c:pt>
                <c:pt idx="339">
                  <c:v>10/7/22 11:10</c:v>
                </c:pt>
                <c:pt idx="340">
                  <c:v>11/7/22 7:33</c:v>
                </c:pt>
                <c:pt idx="341">
                  <c:v>12/7/22 7:41</c:v>
                </c:pt>
                <c:pt idx="342">
                  <c:v>13/7/22 7:29</c:v>
                </c:pt>
                <c:pt idx="343">
                  <c:v>14/7/22 8:20</c:v>
                </c:pt>
                <c:pt idx="344">
                  <c:v>15/7/22 7:38</c:v>
                </c:pt>
                <c:pt idx="345">
                  <c:v>16/7/22 10:13</c:v>
                </c:pt>
                <c:pt idx="346">
                  <c:v>17/7/22 11:02</c:v>
                </c:pt>
                <c:pt idx="347">
                  <c:v>18/7/22 9:02</c:v>
                </c:pt>
                <c:pt idx="348">
                  <c:v>19/7/22 8:47</c:v>
                </c:pt>
                <c:pt idx="349">
                  <c:v>20/7/22 7:51</c:v>
                </c:pt>
                <c:pt idx="350">
                  <c:v>21/7/22 8:20</c:v>
                </c:pt>
                <c:pt idx="351">
                  <c:v>22/7/22 7:55</c:v>
                </c:pt>
                <c:pt idx="352">
                  <c:v>23/7/22 3:28</c:v>
                </c:pt>
                <c:pt idx="353">
                  <c:v>6/8/22 6:40</c:v>
                </c:pt>
                <c:pt idx="354">
                  <c:v>7/8/22 8:11</c:v>
                </c:pt>
                <c:pt idx="355">
                  <c:v>8/8/22 7:58</c:v>
                </c:pt>
                <c:pt idx="356">
                  <c:v>9/8/22 7:38</c:v>
                </c:pt>
                <c:pt idx="357">
                  <c:v>10/8/22 8:19</c:v>
                </c:pt>
                <c:pt idx="358">
                  <c:v>11/8/22 8:18</c:v>
                </c:pt>
                <c:pt idx="359">
                  <c:v>12/8/22 8:26</c:v>
                </c:pt>
                <c:pt idx="360">
                  <c:v>13/8/22 8:04</c:v>
                </c:pt>
                <c:pt idx="361">
                  <c:v>16/8/22 7:38</c:v>
                </c:pt>
                <c:pt idx="362">
                  <c:v>17/8/22 8:34</c:v>
                </c:pt>
                <c:pt idx="363">
                  <c:v>18/8/22 7:36</c:v>
                </c:pt>
                <c:pt idx="364">
                  <c:v>19/8/22 7:22</c:v>
                </c:pt>
                <c:pt idx="365">
                  <c:v>20/8/22 7:26</c:v>
                </c:pt>
                <c:pt idx="366">
                  <c:v>22/8/22 7:41</c:v>
                </c:pt>
                <c:pt idx="367">
                  <c:v>23/8/22 7:21</c:v>
                </c:pt>
                <c:pt idx="368">
                  <c:v>24/8/22 7:27</c:v>
                </c:pt>
                <c:pt idx="369">
                  <c:v>25/8/22 7:36</c:v>
                </c:pt>
                <c:pt idx="370">
                  <c:v>26/8/22 7:43</c:v>
                </c:pt>
                <c:pt idx="371">
                  <c:v>27/8/22 7:22</c:v>
                </c:pt>
                <c:pt idx="372">
                  <c:v>29/8/22 7:42</c:v>
                </c:pt>
                <c:pt idx="373">
                  <c:v>30/8/22 7:30</c:v>
                </c:pt>
                <c:pt idx="374">
                  <c:v>31/8/22 8:38</c:v>
                </c:pt>
                <c:pt idx="375">
                  <c:v>1/9/22 8:52</c:v>
                </c:pt>
                <c:pt idx="376">
                  <c:v>2/9/22 7:26</c:v>
                </c:pt>
                <c:pt idx="377">
                  <c:v>3/9/22 8:03</c:v>
                </c:pt>
                <c:pt idx="378">
                  <c:v>4/9/22 10:53</c:v>
                </c:pt>
                <c:pt idx="379">
                  <c:v>5/9/22 7:41</c:v>
                </c:pt>
                <c:pt idx="380">
                  <c:v>6/9/22 7:31</c:v>
                </c:pt>
                <c:pt idx="381">
                  <c:v>7/9/22 8:42</c:v>
                </c:pt>
                <c:pt idx="382">
                  <c:v>8/9/22 8:06</c:v>
                </c:pt>
                <c:pt idx="383">
                  <c:v>9/9/22 8:15</c:v>
                </c:pt>
                <c:pt idx="384">
                  <c:v>10/9/22 8:18</c:v>
                </c:pt>
                <c:pt idx="385">
                  <c:v>11/9/22 9:47</c:v>
                </c:pt>
                <c:pt idx="386">
                  <c:v>12/9/22 7:32</c:v>
                </c:pt>
                <c:pt idx="387">
                  <c:v>13/9/22 7:40</c:v>
                </c:pt>
                <c:pt idx="388">
                  <c:v>15/9/22 8:33</c:v>
                </c:pt>
                <c:pt idx="389">
                  <c:v>16/9/22 7:36</c:v>
                </c:pt>
                <c:pt idx="390">
                  <c:v>17/9/22 9:06</c:v>
                </c:pt>
                <c:pt idx="391">
                  <c:v>18/9/22 8:38</c:v>
                </c:pt>
                <c:pt idx="392">
                  <c:v>19/9/22 7:42</c:v>
                </c:pt>
                <c:pt idx="393">
                  <c:v>20/9/22 7:22</c:v>
                </c:pt>
                <c:pt idx="394">
                  <c:v>21/9/22 7:29</c:v>
                </c:pt>
                <c:pt idx="395">
                  <c:v>22/9/22 7:37</c:v>
                </c:pt>
                <c:pt idx="396">
                  <c:v>23/9/22 8:11</c:v>
                </c:pt>
                <c:pt idx="397">
                  <c:v>24/9/22 8:14</c:v>
                </c:pt>
                <c:pt idx="398">
                  <c:v>26/9/22 7:40</c:v>
                </c:pt>
                <c:pt idx="399">
                  <c:v>27/9/22 7:46</c:v>
                </c:pt>
                <c:pt idx="400">
                  <c:v>28/9/22 9:12</c:v>
                </c:pt>
                <c:pt idx="401">
                  <c:v>29/9/22 8:10</c:v>
                </c:pt>
                <c:pt idx="402">
                  <c:v>30/9/22 8:20</c:v>
                </c:pt>
                <c:pt idx="403">
                  <c:v>1/10/22 10:12</c:v>
                </c:pt>
                <c:pt idx="404">
                  <c:v>3/10/22 7:44</c:v>
                </c:pt>
                <c:pt idx="405">
                  <c:v>4/10/22 7:33</c:v>
                </c:pt>
                <c:pt idx="406">
                  <c:v>5/10/22 8:20</c:v>
                </c:pt>
                <c:pt idx="407">
                  <c:v>6/10/22 7:33</c:v>
                </c:pt>
                <c:pt idx="408">
                  <c:v>7/10/22 8:22</c:v>
                </c:pt>
                <c:pt idx="409">
                  <c:v>8/10/22 8:58</c:v>
                </c:pt>
                <c:pt idx="410">
                  <c:v>9/10/22 11:06</c:v>
                </c:pt>
                <c:pt idx="411">
                  <c:v>10/10/22 7:37</c:v>
                </c:pt>
                <c:pt idx="412">
                  <c:v>11/10/22 7:28</c:v>
                </c:pt>
                <c:pt idx="413">
                  <c:v>12/10/22 8:45</c:v>
                </c:pt>
                <c:pt idx="414">
                  <c:v>13/10/22 7:12</c:v>
                </c:pt>
                <c:pt idx="415">
                  <c:v>14/10/22 7:26</c:v>
                </c:pt>
                <c:pt idx="416">
                  <c:v>15/10/22 13:10</c:v>
                </c:pt>
                <c:pt idx="417">
                  <c:v>16/10/22 9:28</c:v>
                </c:pt>
                <c:pt idx="418">
                  <c:v>17/10/22 7:23</c:v>
                </c:pt>
                <c:pt idx="419">
                  <c:v>18/10/22 7:34</c:v>
                </c:pt>
                <c:pt idx="420">
                  <c:v>19/10/22 9:24</c:v>
                </c:pt>
                <c:pt idx="421">
                  <c:v>20/10/22 7:23</c:v>
                </c:pt>
                <c:pt idx="422">
                  <c:v>21/10/22 8:08</c:v>
                </c:pt>
                <c:pt idx="423">
                  <c:v>22/10/22 8:07</c:v>
                </c:pt>
                <c:pt idx="424">
                  <c:v>23/10/22 10:48</c:v>
                </c:pt>
                <c:pt idx="425">
                  <c:v>24/10/22 7:34</c:v>
                </c:pt>
                <c:pt idx="426">
                  <c:v>25/10/22 7:35</c:v>
                </c:pt>
                <c:pt idx="427">
                  <c:v>26/10/22 8:43</c:v>
                </c:pt>
                <c:pt idx="428">
                  <c:v>27/10/22 7:36</c:v>
                </c:pt>
                <c:pt idx="429">
                  <c:v>28/10/22 8:22</c:v>
                </c:pt>
                <c:pt idx="430">
                  <c:v>29/10/22 8:05</c:v>
                </c:pt>
                <c:pt idx="431">
                  <c:v>1/11/22 8:14</c:v>
                </c:pt>
                <c:pt idx="432">
                  <c:v>2/11/22 8:18</c:v>
                </c:pt>
                <c:pt idx="433">
                  <c:v>3/11/22 9:18</c:v>
                </c:pt>
                <c:pt idx="434">
                  <c:v>4/11/22 8:54</c:v>
                </c:pt>
                <c:pt idx="435">
                  <c:v>5/11/22 7:29</c:v>
                </c:pt>
                <c:pt idx="436">
                  <c:v>6/11/22 10:34</c:v>
                </c:pt>
                <c:pt idx="437">
                  <c:v>7/11/22 7:43</c:v>
                </c:pt>
                <c:pt idx="438">
                  <c:v>8/11/22 7:41</c:v>
                </c:pt>
                <c:pt idx="439">
                  <c:v>9/11/22 9:20</c:v>
                </c:pt>
                <c:pt idx="440">
                  <c:v>10/11/22 7:24</c:v>
                </c:pt>
                <c:pt idx="441">
                  <c:v>11/11/22 8:42</c:v>
                </c:pt>
                <c:pt idx="442">
                  <c:v>12/11/22 8:38</c:v>
                </c:pt>
                <c:pt idx="443">
                  <c:v>13/11/22 9:06</c:v>
                </c:pt>
                <c:pt idx="444">
                  <c:v>14/11/22 7:40</c:v>
                </c:pt>
                <c:pt idx="445">
                  <c:v>16/11/22 7:41</c:v>
                </c:pt>
                <c:pt idx="446">
                  <c:v>17/11/22 7:11</c:v>
                </c:pt>
                <c:pt idx="447">
                  <c:v>18/11/22 7:52</c:v>
                </c:pt>
                <c:pt idx="448">
                  <c:v>19/11/22 9:37</c:v>
                </c:pt>
                <c:pt idx="449">
                  <c:v>20/11/22 9:39</c:v>
                </c:pt>
                <c:pt idx="450">
                  <c:v>21/11/22 7:21</c:v>
                </c:pt>
                <c:pt idx="451">
                  <c:v>22/11/22 7:43</c:v>
                </c:pt>
                <c:pt idx="452">
                  <c:v>23/11/22 7:42</c:v>
                </c:pt>
                <c:pt idx="453">
                  <c:v>24/11/22 8:39</c:v>
                </c:pt>
                <c:pt idx="454">
                  <c:v>25/11/22 8:19</c:v>
                </c:pt>
                <c:pt idx="455">
                  <c:v>26/11/22 8:29</c:v>
                </c:pt>
                <c:pt idx="456">
                  <c:v>27/11/22 9:16</c:v>
                </c:pt>
                <c:pt idx="457">
                  <c:v>28/11/22 7:50</c:v>
                </c:pt>
                <c:pt idx="458">
                  <c:v>29/11/22 7:34</c:v>
                </c:pt>
                <c:pt idx="459">
                  <c:v>30/11/22 7:34</c:v>
                </c:pt>
                <c:pt idx="460">
                  <c:v>1/12/22 7:40</c:v>
                </c:pt>
                <c:pt idx="461">
                  <c:v>2/12/22 7:41</c:v>
                </c:pt>
                <c:pt idx="462">
                  <c:v>3/12/22 9:26</c:v>
                </c:pt>
                <c:pt idx="463">
                  <c:v>5/12/22 7:42</c:v>
                </c:pt>
                <c:pt idx="464">
                  <c:v>6/12/22 8:29</c:v>
                </c:pt>
                <c:pt idx="465">
                  <c:v>7/12/22 6:57</c:v>
                </c:pt>
                <c:pt idx="466">
                  <c:v>8/12/22 7:23</c:v>
                </c:pt>
                <c:pt idx="467">
                  <c:v>10/12/22 8:45</c:v>
                </c:pt>
                <c:pt idx="468">
                  <c:v>11/12/22 11:16</c:v>
                </c:pt>
                <c:pt idx="469">
                  <c:v>12/12/22 7:34</c:v>
                </c:pt>
                <c:pt idx="470">
                  <c:v>13/12/22 7:30</c:v>
                </c:pt>
                <c:pt idx="471">
                  <c:v>14/12/22 7:43</c:v>
                </c:pt>
                <c:pt idx="472">
                  <c:v>15/12/22 8:11</c:v>
                </c:pt>
                <c:pt idx="473">
                  <c:v>16/12/22 8:06</c:v>
                </c:pt>
                <c:pt idx="474">
                  <c:v>17/12/22 10:39</c:v>
                </c:pt>
                <c:pt idx="475">
                  <c:v>18/12/22 10:22</c:v>
                </c:pt>
                <c:pt idx="476">
                  <c:v>19/12/22 9:57</c:v>
                </c:pt>
                <c:pt idx="477">
                  <c:v>22/12/22 9:39</c:v>
                </c:pt>
                <c:pt idx="478">
                  <c:v>23/12/22 7:17</c:v>
                </c:pt>
                <c:pt idx="479">
                  <c:v>24/12/22 9:24</c:v>
                </c:pt>
                <c:pt idx="480">
                  <c:v>26/12/22 7:43</c:v>
                </c:pt>
                <c:pt idx="481">
                  <c:v>27/12/22 7:42</c:v>
                </c:pt>
                <c:pt idx="482">
                  <c:v>28/12/22 7:55</c:v>
                </c:pt>
                <c:pt idx="483">
                  <c:v>29/12/22 7:56</c:v>
                </c:pt>
                <c:pt idx="484">
                  <c:v>30/12/22 7:43</c:v>
                </c:pt>
                <c:pt idx="485">
                  <c:v>31/12/22 9:05</c:v>
                </c:pt>
                <c:pt idx="486">
                  <c:v>1/1/23 14:34</c:v>
                </c:pt>
                <c:pt idx="487">
                  <c:v>2/1/23 7:49</c:v>
                </c:pt>
                <c:pt idx="488">
                  <c:v>3/1/23 7:38</c:v>
                </c:pt>
                <c:pt idx="489">
                  <c:v>4/1/23 7:39</c:v>
                </c:pt>
                <c:pt idx="490">
                  <c:v>5/1/23 8:12</c:v>
                </c:pt>
                <c:pt idx="491">
                  <c:v>6/1/23 7:58</c:v>
                </c:pt>
                <c:pt idx="492">
                  <c:v>7/1/23 8:46</c:v>
                </c:pt>
                <c:pt idx="493">
                  <c:v>8/1/23 9:24</c:v>
                </c:pt>
                <c:pt idx="494">
                  <c:v>9/1/23 8:02</c:v>
                </c:pt>
                <c:pt idx="495">
                  <c:v>10/1/23 7:22</c:v>
                </c:pt>
                <c:pt idx="496">
                  <c:v>11/1/23 9:03</c:v>
                </c:pt>
                <c:pt idx="497">
                  <c:v>12/1/23 9:32</c:v>
                </c:pt>
                <c:pt idx="498">
                  <c:v>13/1/23 8:28</c:v>
                </c:pt>
                <c:pt idx="499">
                  <c:v>14/1/23 8:49</c:v>
                </c:pt>
                <c:pt idx="500">
                  <c:v>15/1/23 18:28</c:v>
                </c:pt>
                <c:pt idx="501">
                  <c:v>16/1/23 7:59</c:v>
                </c:pt>
                <c:pt idx="502">
                  <c:v>17/1/23 7:40</c:v>
                </c:pt>
                <c:pt idx="503">
                  <c:v>18/1/23 7:40</c:v>
                </c:pt>
                <c:pt idx="504">
                  <c:v>19/1/23 10:53</c:v>
                </c:pt>
                <c:pt idx="505">
                  <c:v>20/1/23 9:10</c:v>
                </c:pt>
                <c:pt idx="506">
                  <c:v>21/1/23 9:34</c:v>
                </c:pt>
                <c:pt idx="507">
                  <c:v>23/1/23 7:36</c:v>
                </c:pt>
                <c:pt idx="508">
                  <c:v>24/1/23 7:55</c:v>
                </c:pt>
                <c:pt idx="509">
                  <c:v>25/1/23 8:22</c:v>
                </c:pt>
                <c:pt idx="510">
                  <c:v>26/1/23 7:53</c:v>
                </c:pt>
                <c:pt idx="511">
                  <c:v>27/1/23 7:29</c:v>
                </c:pt>
                <c:pt idx="512">
                  <c:v>28/1/23 8:04</c:v>
                </c:pt>
                <c:pt idx="513">
                  <c:v>29/1/23 11:03</c:v>
                </c:pt>
                <c:pt idx="514">
                  <c:v>30/1/23 7:36</c:v>
                </c:pt>
                <c:pt idx="515">
                  <c:v>31/1/23 7:48</c:v>
                </c:pt>
                <c:pt idx="516">
                  <c:v>1/2/23 11:23</c:v>
                </c:pt>
                <c:pt idx="517">
                  <c:v>2/2/23 8:01</c:v>
                </c:pt>
                <c:pt idx="518">
                  <c:v>3/2/23 8:15</c:v>
                </c:pt>
                <c:pt idx="519">
                  <c:v>4/2/23 8:47</c:v>
                </c:pt>
                <c:pt idx="520">
                  <c:v>5/2/23 10:27</c:v>
                </c:pt>
                <c:pt idx="521">
                  <c:v>6/2/23 7:41</c:v>
                </c:pt>
                <c:pt idx="522">
                  <c:v>7/2/23 7:32</c:v>
                </c:pt>
                <c:pt idx="523">
                  <c:v>8/2/23 8:58</c:v>
                </c:pt>
                <c:pt idx="524">
                  <c:v>9/2/23 8:54</c:v>
                </c:pt>
                <c:pt idx="525">
                  <c:v>10/2/23 8:45</c:v>
                </c:pt>
                <c:pt idx="526">
                  <c:v>11/2/23 8:40</c:v>
                </c:pt>
                <c:pt idx="527">
                  <c:v>12/2/23 9:43</c:v>
                </c:pt>
                <c:pt idx="528">
                  <c:v>13/2/23 7:35</c:v>
                </c:pt>
                <c:pt idx="529">
                  <c:v>14/2/23 7:43</c:v>
                </c:pt>
                <c:pt idx="530">
                  <c:v>15/2/23 7:24</c:v>
                </c:pt>
                <c:pt idx="531">
                  <c:v>16/2/23 10:06</c:v>
                </c:pt>
                <c:pt idx="532">
                  <c:v>17/2/23 9:02</c:v>
                </c:pt>
                <c:pt idx="533">
                  <c:v>18/2/23 8:13</c:v>
                </c:pt>
                <c:pt idx="534">
                  <c:v>19/2/23 9:01</c:v>
                </c:pt>
                <c:pt idx="535">
                  <c:v>20/2/23 8:11</c:v>
                </c:pt>
                <c:pt idx="536">
                  <c:v>21/2/23 8:09</c:v>
                </c:pt>
                <c:pt idx="537">
                  <c:v>22/2/23 8:02</c:v>
                </c:pt>
                <c:pt idx="538">
                  <c:v>23/2/23 7:45</c:v>
                </c:pt>
                <c:pt idx="539">
                  <c:v>24/2/23 7:48</c:v>
                </c:pt>
                <c:pt idx="540">
                  <c:v>25/2/23 7:13</c:v>
                </c:pt>
                <c:pt idx="541">
                  <c:v>26/2/23 9:38</c:v>
                </c:pt>
                <c:pt idx="542">
                  <c:v>27/2/23 8:02</c:v>
                </c:pt>
                <c:pt idx="543">
                  <c:v>28/2/23 7:31</c:v>
                </c:pt>
                <c:pt idx="544">
                  <c:v>1/3/23 8:14</c:v>
                </c:pt>
                <c:pt idx="545">
                  <c:v>2/3/23 8:16</c:v>
                </c:pt>
                <c:pt idx="546">
                  <c:v>3/3/23 8:32</c:v>
                </c:pt>
                <c:pt idx="547">
                  <c:v>4/3/23 8:57</c:v>
                </c:pt>
                <c:pt idx="548">
                  <c:v>5/3/23 9:27</c:v>
                </c:pt>
                <c:pt idx="549">
                  <c:v>6/3/23 7:42</c:v>
                </c:pt>
                <c:pt idx="550">
                  <c:v>7/3/23 7:22</c:v>
                </c:pt>
                <c:pt idx="551">
                  <c:v>8/3/23 8:19</c:v>
                </c:pt>
                <c:pt idx="552">
                  <c:v>9/3/23 8:51</c:v>
                </c:pt>
                <c:pt idx="553">
                  <c:v>10/3/23 8:21</c:v>
                </c:pt>
                <c:pt idx="554">
                  <c:v>11/3/23 7:07</c:v>
                </c:pt>
                <c:pt idx="555">
                  <c:v>12/3/23 9:39</c:v>
                </c:pt>
                <c:pt idx="556">
                  <c:v>13/3/23 7:32</c:v>
                </c:pt>
                <c:pt idx="557">
                  <c:v>14/3/23 7:41</c:v>
                </c:pt>
                <c:pt idx="558">
                  <c:v>15/3/23 7:59</c:v>
                </c:pt>
                <c:pt idx="559">
                  <c:v>16/3/23 7:24</c:v>
                </c:pt>
                <c:pt idx="560">
                  <c:v>17/3/23 8:14</c:v>
                </c:pt>
                <c:pt idx="561">
                  <c:v>18/3/23 7:25</c:v>
                </c:pt>
                <c:pt idx="562">
                  <c:v>19/3/23 9:47</c:v>
                </c:pt>
                <c:pt idx="563">
                  <c:v>20/3/23 7:41</c:v>
                </c:pt>
                <c:pt idx="564">
                  <c:v>21/3/23 7:28</c:v>
                </c:pt>
                <c:pt idx="565">
                  <c:v>22/3/23 9:30</c:v>
                </c:pt>
                <c:pt idx="566">
                  <c:v>23/3/23 7:52</c:v>
                </c:pt>
                <c:pt idx="567">
                  <c:v>24/3/23 8:22</c:v>
                </c:pt>
                <c:pt idx="568">
                  <c:v>25/3/23 11:06</c:v>
                </c:pt>
                <c:pt idx="569">
                  <c:v>26/3/23 9:25</c:v>
                </c:pt>
                <c:pt idx="570">
                  <c:v>27/3/23 7:42</c:v>
                </c:pt>
                <c:pt idx="571">
                  <c:v>28/3/23 8:59</c:v>
                </c:pt>
                <c:pt idx="572">
                  <c:v>29/3/23 8:49</c:v>
                </c:pt>
                <c:pt idx="573">
                  <c:v>30/3/23 7:56</c:v>
                </c:pt>
                <c:pt idx="574">
                  <c:v>1/4/23 7:40</c:v>
                </c:pt>
                <c:pt idx="575">
                  <c:v>2/4/23 9:25</c:v>
                </c:pt>
                <c:pt idx="576">
                  <c:v>3/4/23 7:56</c:v>
                </c:pt>
                <c:pt idx="577">
                  <c:v>4/4/23 7:39</c:v>
                </c:pt>
                <c:pt idx="578">
                  <c:v>5/4/23 8:54</c:v>
                </c:pt>
                <c:pt idx="579">
                  <c:v>6/4/23 8:08</c:v>
                </c:pt>
                <c:pt idx="580">
                  <c:v>7/4/23 8:04</c:v>
                </c:pt>
                <c:pt idx="581">
                  <c:v>8/4/23 13:16</c:v>
                </c:pt>
                <c:pt idx="582">
                  <c:v>10/4/23 9:03</c:v>
                </c:pt>
                <c:pt idx="583">
                  <c:v>11/4/23 7:49</c:v>
                </c:pt>
                <c:pt idx="584">
                  <c:v>12/4/23 9:22</c:v>
                </c:pt>
                <c:pt idx="585">
                  <c:v>13/4/23 7:43</c:v>
                </c:pt>
                <c:pt idx="586">
                  <c:v>14/4/23 8:21</c:v>
                </c:pt>
                <c:pt idx="587">
                  <c:v>15/4/23 8:15</c:v>
                </c:pt>
                <c:pt idx="588">
                  <c:v>16/4/23 8:49</c:v>
                </c:pt>
                <c:pt idx="589">
                  <c:v>17/4/23 7:56</c:v>
                </c:pt>
                <c:pt idx="590">
                  <c:v>18/4/23 7:33</c:v>
                </c:pt>
                <c:pt idx="591">
                  <c:v>19/4/23 7:45</c:v>
                </c:pt>
                <c:pt idx="592">
                  <c:v>20/4/23 8:36</c:v>
                </c:pt>
                <c:pt idx="593">
                  <c:v>21/4/23 8:27</c:v>
                </c:pt>
                <c:pt idx="594">
                  <c:v>22/4/23 8:12</c:v>
                </c:pt>
                <c:pt idx="595">
                  <c:v>23/4/23 15:56</c:v>
                </c:pt>
                <c:pt idx="596">
                  <c:v>24/4/23 9:14</c:v>
                </c:pt>
                <c:pt idx="597">
                  <c:v>25/4/23 8:11</c:v>
                </c:pt>
                <c:pt idx="598">
                  <c:v>26/4/23 8:01</c:v>
                </c:pt>
                <c:pt idx="599">
                  <c:v>27/4/23 9:15</c:v>
                </c:pt>
                <c:pt idx="600">
                  <c:v>28/4/23 7:24</c:v>
                </c:pt>
                <c:pt idx="601">
                  <c:v>29/4/23 7:56</c:v>
                </c:pt>
                <c:pt idx="602">
                  <c:v>30/4/23 11:15</c:v>
                </c:pt>
                <c:pt idx="603">
                  <c:v>1/5/23 8:19</c:v>
                </c:pt>
                <c:pt idx="604">
                  <c:v>2/5/23 7:47</c:v>
                </c:pt>
                <c:pt idx="605">
                  <c:v>3/5/23 8:23</c:v>
                </c:pt>
                <c:pt idx="606">
                  <c:v>4/5/23 7:45</c:v>
                </c:pt>
                <c:pt idx="607">
                  <c:v>5/5/23 8:41</c:v>
                </c:pt>
                <c:pt idx="608">
                  <c:v>6/5/23 8:35</c:v>
                </c:pt>
                <c:pt idx="609">
                  <c:v>7/5/23 8:10</c:v>
                </c:pt>
                <c:pt idx="610">
                  <c:v>8/5/23 7:53</c:v>
                </c:pt>
                <c:pt idx="611">
                  <c:v>9/5/23 7:43</c:v>
                </c:pt>
                <c:pt idx="612">
                  <c:v>10/5/23 8:56</c:v>
                </c:pt>
                <c:pt idx="613">
                  <c:v>11/5/23 7:34</c:v>
                </c:pt>
                <c:pt idx="614">
                  <c:v>12/5/23 7:32</c:v>
                </c:pt>
                <c:pt idx="615">
                  <c:v>13/5/23 7:57</c:v>
                </c:pt>
                <c:pt idx="616">
                  <c:v>14/5/23 8:21</c:v>
                </c:pt>
                <c:pt idx="617">
                  <c:v>15/5/23 7:42</c:v>
                </c:pt>
                <c:pt idx="618">
                  <c:v>16/5/23 7:44</c:v>
                </c:pt>
                <c:pt idx="619">
                  <c:v>17/5/23 9:05</c:v>
                </c:pt>
                <c:pt idx="620">
                  <c:v>18/5/23 10:10</c:v>
                </c:pt>
                <c:pt idx="621">
                  <c:v>19/5/23 7:51</c:v>
                </c:pt>
                <c:pt idx="622">
                  <c:v>20/5/23 8:26</c:v>
                </c:pt>
                <c:pt idx="623">
                  <c:v>21/5/23 8:04</c:v>
                </c:pt>
                <c:pt idx="624">
                  <c:v>22/5/23 7:50</c:v>
                </c:pt>
                <c:pt idx="625">
                  <c:v>23/5/23 7:25</c:v>
                </c:pt>
                <c:pt idx="626">
                  <c:v>24/5/23 8:32</c:v>
                </c:pt>
                <c:pt idx="627">
                  <c:v>25/5/23 7:46</c:v>
                </c:pt>
                <c:pt idx="628">
                  <c:v>26/5/23 8:23</c:v>
                </c:pt>
                <c:pt idx="629">
                  <c:v>27/5/23 7:18</c:v>
                </c:pt>
                <c:pt idx="630">
                  <c:v>28/5/23 8:41</c:v>
                </c:pt>
                <c:pt idx="631">
                  <c:v>29/5/23 8:00</c:v>
                </c:pt>
                <c:pt idx="632">
                  <c:v>30/5/23 7:44</c:v>
                </c:pt>
                <c:pt idx="633">
                  <c:v>31/5/23 9:27</c:v>
                </c:pt>
                <c:pt idx="634">
                  <c:v>1/6/23 7:44</c:v>
                </c:pt>
                <c:pt idx="635">
                  <c:v>2/6/23 7:28</c:v>
                </c:pt>
                <c:pt idx="636">
                  <c:v>3/6/23 7:30</c:v>
                </c:pt>
                <c:pt idx="637">
                  <c:v>4/6/23 7:48</c:v>
                </c:pt>
                <c:pt idx="638">
                  <c:v>5/6/23 7:42</c:v>
                </c:pt>
                <c:pt idx="639">
                  <c:v>6/6/23 7:33</c:v>
                </c:pt>
                <c:pt idx="640">
                  <c:v>7/6/23 8:41</c:v>
                </c:pt>
                <c:pt idx="641">
                  <c:v>8/6/23 8:32</c:v>
                </c:pt>
                <c:pt idx="642">
                  <c:v>9/6/23 8:32</c:v>
                </c:pt>
                <c:pt idx="643">
                  <c:v>10/6/23 7:35</c:v>
                </c:pt>
                <c:pt idx="644">
                  <c:v>11/6/23 10:22</c:v>
                </c:pt>
                <c:pt idx="645">
                  <c:v>12/6/23 7:40</c:v>
                </c:pt>
                <c:pt idx="646">
                  <c:v>13/6/23 7:33</c:v>
                </c:pt>
                <c:pt idx="647">
                  <c:v>14/6/23 7:56</c:v>
                </c:pt>
                <c:pt idx="648">
                  <c:v>15/6/23 7:48</c:v>
                </c:pt>
                <c:pt idx="649">
                  <c:v>16/6/23 7:32</c:v>
                </c:pt>
                <c:pt idx="650">
                  <c:v>17/6/23 8:05</c:v>
                </c:pt>
                <c:pt idx="651">
                  <c:v>19/6/23 7:46</c:v>
                </c:pt>
                <c:pt idx="652">
                  <c:v>20/6/23 7:42</c:v>
                </c:pt>
                <c:pt idx="653">
                  <c:v>21/6/23 12:38</c:v>
                </c:pt>
                <c:pt idx="654">
                  <c:v>22/6/23 7:47</c:v>
                </c:pt>
                <c:pt idx="655">
                  <c:v>23/6/23 8:03</c:v>
                </c:pt>
                <c:pt idx="656">
                  <c:v>24/6/23 8:46</c:v>
                </c:pt>
                <c:pt idx="657">
                  <c:v>25/6/23 9:02</c:v>
                </c:pt>
                <c:pt idx="658">
                  <c:v>26/6/23 7:38</c:v>
                </c:pt>
                <c:pt idx="659">
                  <c:v>27/6/23 7:28</c:v>
                </c:pt>
                <c:pt idx="660">
                  <c:v>28/6/23 7:35</c:v>
                </c:pt>
                <c:pt idx="661">
                  <c:v>29/6/23 8:13</c:v>
                </c:pt>
                <c:pt idx="662">
                  <c:v>30/6/23 6:55</c:v>
                </c:pt>
                <c:pt idx="663">
                  <c:v>1/7/23 7:30</c:v>
                </c:pt>
                <c:pt idx="664">
                  <c:v>3/7/23 7:47</c:v>
                </c:pt>
                <c:pt idx="665">
                  <c:v>4/7/23 7:36</c:v>
                </c:pt>
                <c:pt idx="666">
                  <c:v>5/7/23 8:52</c:v>
                </c:pt>
                <c:pt idx="667">
                  <c:v>6/7/23 7:52</c:v>
                </c:pt>
                <c:pt idx="668">
                  <c:v>7/7/23 8:15</c:v>
                </c:pt>
                <c:pt idx="669">
                  <c:v>8/7/23 12:24</c:v>
                </c:pt>
                <c:pt idx="670">
                  <c:v>9/7/23 9:45</c:v>
                </c:pt>
                <c:pt idx="671">
                  <c:v>10/7/23 7:47</c:v>
                </c:pt>
                <c:pt idx="672">
                  <c:v>11/7/23 7:22</c:v>
                </c:pt>
                <c:pt idx="673">
                  <c:v>12/7/23 9:05</c:v>
                </c:pt>
                <c:pt idx="674">
                  <c:v>13/7/23 7:38</c:v>
                </c:pt>
                <c:pt idx="675">
                  <c:v>14/7/23 7:52</c:v>
                </c:pt>
                <c:pt idx="676">
                  <c:v>15/7/23 12:04</c:v>
                </c:pt>
                <c:pt idx="677">
                  <c:v>16/7/23 8:58</c:v>
                </c:pt>
                <c:pt idx="678">
                  <c:v>17/7/23 7:46</c:v>
                </c:pt>
                <c:pt idx="679">
                  <c:v>18/7/23 9:30</c:v>
                </c:pt>
                <c:pt idx="680">
                  <c:v>2/8/23 12:24</c:v>
                </c:pt>
                <c:pt idx="681">
                  <c:v>3/8/23 10:00</c:v>
                </c:pt>
                <c:pt idx="682">
                  <c:v>4/8/23 10:28</c:v>
                </c:pt>
                <c:pt idx="683">
                  <c:v>5/8/23 11:05</c:v>
                </c:pt>
                <c:pt idx="684">
                  <c:v>7/8/23 7:51</c:v>
                </c:pt>
                <c:pt idx="685">
                  <c:v>8/8/23 7:36</c:v>
                </c:pt>
                <c:pt idx="686">
                  <c:v>9/8/23 8:19</c:v>
                </c:pt>
                <c:pt idx="687">
                  <c:v>10/8/23 7:36</c:v>
                </c:pt>
                <c:pt idx="688">
                  <c:v>11/8/23 13:30</c:v>
                </c:pt>
                <c:pt idx="689">
                  <c:v>12/8/23 8:23</c:v>
                </c:pt>
                <c:pt idx="690">
                  <c:v>13/8/23 9:06</c:v>
                </c:pt>
                <c:pt idx="691">
                  <c:v>14/8/23 9:20</c:v>
                </c:pt>
                <c:pt idx="692">
                  <c:v>15/8/23 8:14</c:v>
                </c:pt>
                <c:pt idx="693">
                  <c:v>16/8/23 7:44</c:v>
                </c:pt>
                <c:pt idx="694">
                  <c:v>17/8/23 7:44</c:v>
                </c:pt>
                <c:pt idx="695">
                  <c:v>18/8/23 8:26</c:v>
                </c:pt>
                <c:pt idx="696">
                  <c:v>19/8/23 9:26</c:v>
                </c:pt>
                <c:pt idx="697">
                  <c:v>20/8/23 8:57</c:v>
                </c:pt>
                <c:pt idx="698">
                  <c:v>21/8/23 7:52</c:v>
                </c:pt>
                <c:pt idx="699">
                  <c:v>22/8/23 7:37</c:v>
                </c:pt>
                <c:pt idx="700">
                  <c:v>23/8/23 8:24</c:v>
                </c:pt>
                <c:pt idx="701">
                  <c:v>24/8/23 8:10</c:v>
                </c:pt>
                <c:pt idx="702">
                  <c:v>25/8/23 8:09</c:v>
                </c:pt>
                <c:pt idx="703">
                  <c:v>26/8/23 7:50</c:v>
                </c:pt>
                <c:pt idx="704">
                  <c:v>28/8/23 7:45</c:v>
                </c:pt>
                <c:pt idx="705">
                  <c:v>29/8/23 7:38</c:v>
                </c:pt>
                <c:pt idx="706">
                  <c:v>30/8/23 9:32</c:v>
                </c:pt>
                <c:pt idx="707">
                  <c:v>31/8/23 8:45</c:v>
                </c:pt>
                <c:pt idx="708">
                  <c:v>1/9/23 7:48</c:v>
                </c:pt>
                <c:pt idx="709">
                  <c:v>2/9/23 10:33</c:v>
                </c:pt>
                <c:pt idx="710">
                  <c:v>3/9/23 10:34</c:v>
                </c:pt>
                <c:pt idx="711">
                  <c:v>4/9/23 10:37</c:v>
                </c:pt>
                <c:pt idx="712">
                  <c:v>5/9/23 7:37</c:v>
                </c:pt>
                <c:pt idx="713">
                  <c:v>6/9/23 8:30</c:v>
                </c:pt>
                <c:pt idx="714">
                  <c:v>7/9/23 8:09</c:v>
                </c:pt>
                <c:pt idx="715">
                  <c:v>8/9/23 7:24</c:v>
                </c:pt>
                <c:pt idx="716">
                  <c:v>9/9/23 7:40</c:v>
                </c:pt>
                <c:pt idx="717">
                  <c:v>10/9/23 7:28</c:v>
                </c:pt>
                <c:pt idx="718">
                  <c:v>11/9/23 7:35</c:v>
                </c:pt>
              </c:strCache>
            </c:strRef>
          </c:cat>
          <c:val>
            <c:numRef>
              <c:f>'T° et conso par heure'!$B$2:$B$721</c:f>
              <c:numCache>
                <c:formatCode>General</c:formatCode>
                <c:ptCount val="719"/>
                <c:pt idx="0">
                  <c:v>#N/A</c:v>
                </c:pt>
                <c:pt idx="1">
                  <c:v>2.8129102844642531</c:v>
                </c:pt>
                <c:pt idx="2">
                  <c:v>2.7646326276166668</c:v>
                </c:pt>
                <c:pt idx="3">
                  <c:v>3.030303030367171</c:v>
                </c:pt>
                <c:pt idx="4">
                  <c:v>2.6666666666666665</c:v>
                </c:pt>
                <c:pt idx="5">
                  <c:v>3.2456140350976623</c:v>
                </c:pt>
                <c:pt idx="6">
                  <c:v>3.4074074074074074</c:v>
                </c:pt>
                <c:pt idx="7">
                  <c:v>3.2697547683757753</c:v>
                </c:pt>
                <c:pt idx="8">
                  <c:v>3.0275229357571822</c:v>
                </c:pt>
                <c:pt idx="9">
                  <c:v>2.8287841191524605</c:v>
                </c:pt>
                <c:pt idx="10">
                  <c:v>3.382352941182261</c:v>
                </c:pt>
                <c:pt idx="11">
                  <c:v>2.2085889570252446</c:v>
                </c:pt>
                <c:pt idx="12">
                  <c:v>2.1428571428596883</c:v>
                </c:pt>
                <c:pt idx="13">
                  <c:v>2.0749279538932743</c:v>
                </c:pt>
                <c:pt idx="14">
                  <c:v>2.0571428571496995</c:v>
                </c:pt>
                <c:pt idx="15">
                  <c:v>2.2443890274457559</c:v>
                </c:pt>
                <c:pt idx="16">
                  <c:v>2.3788546255372411</c:v>
                </c:pt>
                <c:pt idx="17">
                  <c:v>2.007042253531822</c:v>
                </c:pt>
                <c:pt idx="18">
                  <c:v>2.3908918406093234</c:v>
                </c:pt>
                <c:pt idx="19">
                  <c:v>2.3645320197098574</c:v>
                </c:pt>
                <c:pt idx="20">
                  <c:v>2.2641509433266012</c:v>
                </c:pt>
                <c:pt idx="21">
                  <c:v>3.0103806228470713</c:v>
                </c:pt>
                <c:pt idx="22">
                  <c:v>2.1621621621553593</c:v>
                </c:pt>
                <c:pt idx="23">
                  <c:v>2.4489795918583455</c:v>
                </c:pt>
                <c:pt idx="24">
                  <c:v>2.1582733813094248</c:v>
                </c:pt>
                <c:pt idx="25">
                  <c:v>2.0689655172247683</c:v>
                </c:pt>
                <c:pt idx="26">
                  <c:v>2.2499999999738067</c:v>
                </c:pt>
                <c:pt idx="27">
                  <c:v>2.1355932203558385</c:v>
                </c:pt>
                <c:pt idx="28">
                  <c:v>2.1403091557764249</c:v>
                </c:pt>
                <c:pt idx="29">
                  <c:v>2.5182481751589432</c:v>
                </c:pt>
                <c:pt idx="30">
                  <c:v>2.1392190152708337</c:v>
                </c:pt>
                <c:pt idx="31">
                  <c:v>2.4954792043378626</c:v>
                </c:pt>
                <c:pt idx="32">
                  <c:v>2.3076923077159255</c:v>
                </c:pt>
                <c:pt idx="33">
                  <c:v>2.1989528795704296</c:v>
                </c:pt>
                <c:pt idx="34">
                  <c:v>2.4601366742551143</c:v>
                </c:pt>
                <c:pt idx="35">
                  <c:v>2.7863777089341406</c:v>
                </c:pt>
                <c:pt idx="36">
                  <c:v>2.9547738693605621</c:v>
                </c:pt>
                <c:pt idx="37">
                  <c:v>3.2812500000477485</c:v>
                </c:pt>
                <c:pt idx="38">
                  <c:v>2.8431372548824911</c:v>
                </c:pt>
                <c:pt idx="39">
                  <c:v>4</c:v>
                </c:pt>
                <c:pt idx="40">
                  <c:v>3.2470588235916718</c:v>
                </c:pt>
                <c:pt idx="41">
                  <c:v>2.862010221433291</c:v>
                </c:pt>
                <c:pt idx="42">
                  <c:v>5.3365384616161187</c:v>
                </c:pt>
                <c:pt idx="43">
                  <c:v>3.2294617563590271</c:v>
                </c:pt>
                <c:pt idx="44">
                  <c:v>3.9164490861452137</c:v>
                </c:pt>
                <c:pt idx="45">
                  <c:v>4.2975206611652945</c:v>
                </c:pt>
                <c:pt idx="46">
                  <c:v>4.943181818253751</c:v>
                </c:pt>
                <c:pt idx="47">
                  <c:v>3.9813084112192847</c:v>
                </c:pt>
                <c:pt idx="48">
                  <c:v>4.4710578842128363</c:v>
                </c:pt>
                <c:pt idx="49">
                  <c:v>4.5283018868023994</c:v>
                </c:pt>
                <c:pt idx="50">
                  <c:v>3.51791530946493</c:v>
                </c:pt>
                <c:pt idx="51">
                  <c:v>4.1342756183677558</c:v>
                </c:pt>
                <c:pt idx="52">
                  <c:v>3.0870712401131266</c:v>
                </c:pt>
                <c:pt idx="53">
                  <c:v>3.5128805619881018</c:v>
                </c:pt>
                <c:pt idx="54">
                  <c:v>2.4812030075182538</c:v>
                </c:pt>
                <c:pt idx="55">
                  <c:v>2.7027027027124211</c:v>
                </c:pt>
                <c:pt idx="56">
                  <c:v>1.9873817034620032</c:v>
                </c:pt>
                <c:pt idx="57">
                  <c:v>2.5837320574133895</c:v>
                </c:pt>
                <c:pt idx="58">
                  <c:v>1.7733990148098522</c:v>
                </c:pt>
                <c:pt idx="59">
                  <c:v>1.9656786271315199</c:v>
                </c:pt>
                <c:pt idx="60">
                  <c:v>2.7991886410106464</c:v>
                </c:pt>
                <c:pt idx="61">
                  <c:v>2.2594142259309673</c:v>
                </c:pt>
                <c:pt idx="62">
                  <c:v>1.6574585635540342</c:v>
                </c:pt>
                <c:pt idx="63">
                  <c:v>0.38709677418773369</c:v>
                </c:pt>
                <c:pt idx="64">
                  <c:v>1.8947368419891704</c:v>
                </c:pt>
                <c:pt idx="65">
                  <c:v>1.9683257918546853</c:v>
                </c:pt>
                <c:pt idx="66">
                  <c:v>2.5324675324828476</c:v>
                </c:pt>
                <c:pt idx="67">
                  <c:v>0.24955436720204746</c:v>
                </c:pt>
                <c:pt idx="68">
                  <c:v>2.3809523809410673</c:v>
                </c:pt>
                <c:pt idx="69">
                  <c:v>2.2147651006936364</c:v>
                </c:pt>
                <c:pt idx="70">
                  <c:v>1.8493150685034727</c:v>
                </c:pt>
                <c:pt idx="71">
                  <c:v>1.8834080717154495</c:v>
                </c:pt>
                <c:pt idx="72">
                  <c:v>1.6058394160638525</c:v>
                </c:pt>
                <c:pt idx="73">
                  <c:v>1.641025641025641</c:v>
                </c:pt>
                <c:pt idx="74">
                  <c:v>1.4102564102690391</c:v>
                </c:pt>
                <c:pt idx="75">
                  <c:v>2.0143884892221298</c:v>
                </c:pt>
                <c:pt idx="76">
                  <c:v>1.0364683301325042</c:v>
                </c:pt>
                <c:pt idx="77">
                  <c:v>0.26143790849195786</c:v>
                </c:pt>
                <c:pt idx="78">
                  <c:v>1.6776315789717813</c:v>
                </c:pt>
                <c:pt idx="79">
                  <c:v>1.9647355163462938</c:v>
                </c:pt>
                <c:pt idx="80">
                  <c:v>1.541755888640971</c:v>
                </c:pt>
                <c:pt idx="81">
                  <c:v>1.9266055046036175</c:v>
                </c:pt>
                <c:pt idx="82">
                  <c:v>2.2479928635198552</c:v>
                </c:pt>
                <c:pt idx="83">
                  <c:v>2.7272727272892205</c:v>
                </c:pt>
                <c:pt idx="84">
                  <c:v>2.5706472196829711</c:v>
                </c:pt>
                <c:pt idx="85">
                  <c:v>2.7096774193446631</c:v>
                </c:pt>
                <c:pt idx="86">
                  <c:v>2.7155172414188264</c:v>
                </c:pt>
                <c:pt idx="87">
                  <c:v>2.6153846153611946</c:v>
                </c:pt>
                <c:pt idx="88">
                  <c:v>1.9791666666594665</c:v>
                </c:pt>
                <c:pt idx="89">
                  <c:v>2.0125786163787254</c:v>
                </c:pt>
                <c:pt idx="90">
                  <c:v>2.2516556290904663</c:v>
                </c:pt>
                <c:pt idx="91">
                  <c:v>1.670235546065191</c:v>
                </c:pt>
                <c:pt idx="92">
                  <c:v>1.9199999999776483</c:v>
                </c:pt>
                <c:pt idx="93">
                  <c:v>2.0979020979294241</c:v>
                </c:pt>
                <c:pt idx="94">
                  <c:v>1.791044776106955</c:v>
                </c:pt>
                <c:pt idx="95">
                  <c:v>2.2443890274457559</c:v>
                </c:pt>
                <c:pt idx="96">
                  <c:v>1.5026833631509831</c:v>
                </c:pt>
                <c:pt idx="97">
                  <c:v>2.0773930753672514</c:v>
                </c:pt>
                <c:pt idx="98">
                  <c:v>2.6792963464174497</c:v>
                </c:pt>
                <c:pt idx="99">
                  <c:v>2.8278688524090958</c:v>
                </c:pt>
                <c:pt idx="100">
                  <c:v>2.9392971246290629</c:v>
                </c:pt>
                <c:pt idx="101">
                  <c:v>2.5695931477349516</c:v>
                </c:pt>
                <c:pt idx="102">
                  <c:v>2.8301886792514996</c:v>
                </c:pt>
                <c:pt idx="103">
                  <c:v>2.6959847036484899</c:v>
                </c:pt>
                <c:pt idx="104">
                  <c:v>2.9765013054703626</c:v>
                </c:pt>
                <c:pt idx="105">
                  <c:v>2.521008403356412</c:v>
                </c:pt>
                <c:pt idx="106">
                  <c:v>2.2163588390555784</c:v>
                </c:pt>
                <c:pt idx="107">
                  <c:v>2.4618320610676085</c:v>
                </c:pt>
                <c:pt idx="108">
                  <c:v>2.2459893047904629</c:v>
                </c:pt>
                <c:pt idx="109">
                  <c:v>2.2471910112521218</c:v>
                </c:pt>
                <c:pt idx="110">
                  <c:v>2.2950819672218747</c:v>
                </c:pt>
                <c:pt idx="111">
                  <c:v>2.01591511934721</c:v>
                </c:pt>
                <c:pt idx="112">
                  <c:v>2.3628691983226822</c:v>
                </c:pt>
                <c:pt idx="113">
                  <c:v>2.7642276422921204</c:v>
                </c:pt>
                <c:pt idx="114">
                  <c:v>1.9755409219052502</c:v>
                </c:pt>
                <c:pt idx="115">
                  <c:v>1.9760479041971268</c:v>
                </c:pt>
                <c:pt idx="116">
                  <c:v>2.0224719101131736</c:v>
                </c:pt>
                <c:pt idx="117">
                  <c:v>1.6666666666774459</c:v>
                </c:pt>
                <c:pt idx="118">
                  <c:v>0.47244094490094468</c:v>
                </c:pt>
                <c:pt idx="119">
                  <c:v>1.5034168564892365</c:v>
                </c:pt>
                <c:pt idx="120">
                  <c:v>2.172131147533729</c:v>
                </c:pt>
                <c:pt idx="121">
                  <c:v>2.3140495867813122</c:v>
                </c:pt>
                <c:pt idx="122">
                  <c:v>2.2577610536282537</c:v>
                </c:pt>
                <c:pt idx="123">
                  <c:v>2.4742268041263098</c:v>
                </c:pt>
                <c:pt idx="124">
                  <c:v>2.2315789473629519</c:v>
                </c:pt>
                <c:pt idx="125">
                  <c:v>2.5184094256358516</c:v>
                </c:pt>
                <c:pt idx="126">
                  <c:v>2.3622047243748034</c:v>
                </c:pt>
                <c:pt idx="127">
                  <c:v>2.185602775374341</c:v>
                </c:pt>
                <c:pt idx="128">
                  <c:v>1.6523235800317748</c:v>
                </c:pt>
                <c:pt idx="129">
                  <c:v>1.4361702127668468</c:v>
                </c:pt>
                <c:pt idx="130">
                  <c:v>1.401098901099125</c:v>
                </c:pt>
                <c:pt idx="131">
                  <c:v>1.8243243243185843</c:v>
                </c:pt>
                <c:pt idx="132">
                  <c:v>1.9539316918239626</c:v>
                </c:pt>
                <c:pt idx="133">
                  <c:v>2.1231422505213398</c:v>
                </c:pt>
                <c:pt idx="134">
                  <c:v>0.95721537345886665</c:v>
                </c:pt>
                <c:pt idx="135">
                  <c:v>0.69015097052607299</c:v>
                </c:pt>
                <c:pt idx="136">
                  <c:v>0.46283309958045177</c:v>
                </c:pt>
                <c:pt idx="137">
                  <c:v>0.40733197555930883</c:v>
                </c:pt>
                <c:pt idx="138">
                  <c:v>0.41763341067195137</c:v>
                </c:pt>
                <c:pt idx="139">
                  <c:v>1.1712511091434215</c:v>
                </c:pt>
                <c:pt idx="140">
                  <c:v>1.9392372333510861</c:v>
                </c:pt>
                <c:pt idx="141">
                  <c:v>1.1991434689519451</c:v>
                </c:pt>
                <c:pt idx="142">
                  <c:v>1.8306636155625915</c:v>
                </c:pt>
                <c:pt idx="143">
                  <c:v>2.3684210526170673</c:v>
                </c:pt>
                <c:pt idx="144">
                  <c:v>2.3376623376764747</c:v>
                </c:pt>
                <c:pt idx="145">
                  <c:v>2.0491803278620084</c:v>
                </c:pt>
                <c:pt idx="146">
                  <c:v>1.5811965811989412</c:v>
                </c:pt>
                <c:pt idx="147">
                  <c:v>1.3641133263355474</c:v>
                </c:pt>
                <c:pt idx="148">
                  <c:v>1.9607843137344418</c:v>
                </c:pt>
                <c:pt idx="149">
                  <c:v>1.8354860638936823</c:v>
                </c:pt>
                <c:pt idx="150">
                  <c:v>2.189781021961076</c:v>
                </c:pt>
                <c:pt idx="151">
                  <c:v>1.764705882310645</c:v>
                </c:pt>
                <c:pt idx="152">
                  <c:v>0.86330935250207874</c:v>
                </c:pt>
                <c:pt idx="153">
                  <c:v>0.32967032967749932</c:v>
                </c:pt>
                <c:pt idx="154">
                  <c:v>2.0201318986440175</c:v>
                </c:pt>
                <c:pt idx="155">
                  <c:v>2.3132530120417036</c:v>
                </c:pt>
                <c:pt idx="156">
                  <c:v>1.4862289970551374</c:v>
                </c:pt>
                <c:pt idx="157">
                  <c:v>0.70724841660886262</c:v>
                </c:pt>
                <c:pt idx="158">
                  <c:v>0.61538461538146638</c:v>
                </c:pt>
                <c:pt idx="159">
                  <c:v>0.5976095617549283</c:v>
                </c:pt>
                <c:pt idx="160">
                  <c:v>0.61890158907172799</c:v>
                </c:pt>
                <c:pt idx="161">
                  <c:v>1.0694698354659515</c:v>
                </c:pt>
                <c:pt idx="162">
                  <c:v>1.1659192825087761</c:v>
                </c:pt>
                <c:pt idx="163">
                  <c:v>1.6117021276605725</c:v>
                </c:pt>
                <c:pt idx="164">
                  <c:v>0.75897110193706674</c:v>
                </c:pt>
                <c:pt idx="165">
                  <c:v>0.48675571654968153</c:v>
                </c:pt>
                <c:pt idx="166">
                  <c:v>0.47956850559888747</c:v>
                </c:pt>
                <c:pt idx="167">
                  <c:v>0.50472184747250204</c:v>
                </c:pt>
                <c:pt idx="168">
                  <c:v>0.82236692318188243</c:v>
                </c:pt>
                <c:pt idx="169">
                  <c:v>1.0812454853057916</c:v>
                </c:pt>
                <c:pt idx="170">
                  <c:v>1.6990136811959002</c:v>
                </c:pt>
                <c:pt idx="171">
                  <c:v>1.6080557707210967</c:v>
                </c:pt>
                <c:pt idx="172">
                  <c:v>2.3635893457456296</c:v>
                </c:pt>
                <c:pt idx="173">
                  <c:v>2.5187272862128327</c:v>
                </c:pt>
                <c:pt idx="174">
                  <c:v>2.6347233839162127</c:v>
                </c:pt>
                <c:pt idx="175">
                  <c:v>3.6280661722895906</c:v>
                </c:pt>
                <c:pt idx="176">
                  <c:v>3.5379812694989257</c:v>
                </c:pt>
                <c:pt idx="177">
                  <c:v>2.5206463195743884</c:v>
                </c:pt>
                <c:pt idx="178">
                  <c:v>0.46617028164451002</c:v>
                </c:pt>
                <c:pt idx="179">
                  <c:v>2.3877957108113379</c:v>
                </c:pt>
                <c:pt idx="180">
                  <c:v>2.7098540145991157</c:v>
                </c:pt>
                <c:pt idx="181">
                  <c:v>2.7653631285015119</c:v>
                </c:pt>
                <c:pt idx="182">
                  <c:v>2.7402862985606786</c:v>
                </c:pt>
                <c:pt idx="183">
                  <c:v>3.0843043180280141</c:v>
                </c:pt>
                <c:pt idx="184">
                  <c:v>3.3609958506256539</c:v>
                </c:pt>
                <c:pt idx="185">
                  <c:v>3.1601123595500451</c:v>
                </c:pt>
                <c:pt idx="186">
                  <c:v>3.3731553056745383</c:v>
                </c:pt>
                <c:pt idx="187">
                  <c:v>3.2409972299346652</c:v>
                </c:pt>
                <c:pt idx="188">
                  <c:v>3.8108680310559007</c:v>
                </c:pt>
                <c:pt idx="189">
                  <c:v>3.1411530815007564</c:v>
                </c:pt>
                <c:pt idx="190">
                  <c:v>2.4693140794244584</c:v>
                </c:pt>
                <c:pt idx="191">
                  <c:v>2.2559366754672849</c:v>
                </c:pt>
                <c:pt idx="192">
                  <c:v>2.1697416974076535</c:v>
                </c:pt>
                <c:pt idx="193">
                  <c:v>2.5469728601240229</c:v>
                </c:pt>
                <c:pt idx="194">
                  <c:v>2.2070844686694007</c:v>
                </c:pt>
                <c:pt idx="195">
                  <c:v>2.2070844686694007</c:v>
                </c:pt>
                <c:pt idx="196">
                  <c:v>2.3284823284665488</c:v>
                </c:pt>
                <c:pt idx="197">
                  <c:v>2.3770491803369418</c:v>
                </c:pt>
                <c:pt idx="198">
                  <c:v>2.3452768729712843</c:v>
                </c:pt>
                <c:pt idx="199">
                  <c:v>2.1596244131349169</c:v>
                </c:pt>
                <c:pt idx="200">
                  <c:v>2.0588235294077366</c:v>
                </c:pt>
                <c:pt idx="201">
                  <c:v>2.0730897010079028</c:v>
                </c:pt>
                <c:pt idx="202">
                  <c:v>2.2869022869033939</c:v>
                </c:pt>
                <c:pt idx="203">
                  <c:v>2.4067558057690066</c:v>
                </c:pt>
                <c:pt idx="204">
                  <c:v>2.4259927797854326</c:v>
                </c:pt>
                <c:pt idx="205">
                  <c:v>2.4041450777144067</c:v>
                </c:pt>
                <c:pt idx="206">
                  <c:v>2.3628691983226822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2.1238938053093981</c:v>
                </c:pt>
                <c:pt idx="211">
                  <c:v>2.2236929185955852</c:v>
                </c:pt>
                <c:pt idx="212">
                  <c:v>1.8284904323178071</c:v>
                </c:pt>
                <c:pt idx="213">
                  <c:v>2.4473684210545059</c:v>
                </c:pt>
                <c:pt idx="214">
                  <c:v>2.4401913875632069</c:v>
                </c:pt>
                <c:pt idx="215">
                  <c:v>1.6283924843415885</c:v>
                </c:pt>
                <c:pt idx="216">
                  <c:v>1.4419225634174422</c:v>
                </c:pt>
                <c:pt idx="217">
                  <c:v>1.7954070981202128</c:v>
                </c:pt>
                <c:pt idx="218">
                  <c:v>1.6689847009689804</c:v>
                </c:pt>
                <c:pt idx="219">
                  <c:v>2.2869022869033939</c:v>
                </c:pt>
                <c:pt idx="220">
                  <c:v>2.1987315010576238</c:v>
                </c:pt>
                <c:pt idx="221">
                  <c:v>2.3866015352438557</c:v>
                </c:pt>
                <c:pt idx="222">
                  <c:v>1.9834710743839818</c:v>
                </c:pt>
                <c:pt idx="223">
                  <c:v>1.5875169606447692</c:v>
                </c:pt>
                <c:pt idx="224">
                  <c:v>1.7050067659020134</c:v>
                </c:pt>
                <c:pt idx="225">
                  <c:v>1.7269372693652751</c:v>
                </c:pt>
                <c:pt idx="226">
                  <c:v>1.7715019255490128</c:v>
                </c:pt>
                <c:pt idx="227">
                  <c:v>2.295573893478581</c:v>
                </c:pt>
                <c:pt idx="228">
                  <c:v>1.7238962859150686</c:v>
                </c:pt>
                <c:pt idx="229">
                  <c:v>1.37119113573164</c:v>
                </c:pt>
                <c:pt idx="230">
                  <c:v>1.7581047381543582</c:v>
                </c:pt>
                <c:pt idx="231">
                  <c:v>2.2289613343379049</c:v>
                </c:pt>
                <c:pt idx="232">
                  <c:v>2.0396600566679863</c:v>
                </c:pt>
                <c:pt idx="233">
                  <c:v>1.5019762845822158</c:v>
                </c:pt>
                <c:pt idx="234">
                  <c:v>1.2794117647047871</c:v>
                </c:pt>
                <c:pt idx="235">
                  <c:v>1.1931818181814235</c:v>
                </c:pt>
                <c:pt idx="236">
                  <c:v>1.4071661237827704</c:v>
                </c:pt>
                <c:pt idx="237">
                  <c:v>1.7531044558083511</c:v>
                </c:pt>
                <c:pt idx="238">
                  <c:v>1.3469387755070039</c:v>
                </c:pt>
                <c:pt idx="239">
                  <c:v>1.1206896551718515</c:v>
                </c:pt>
                <c:pt idx="240">
                  <c:v>1.131363922061762</c:v>
                </c:pt>
                <c:pt idx="241">
                  <c:v>1.0925644916536352</c:v>
                </c:pt>
                <c:pt idx="242">
                  <c:v>0.5117270788922742</c:v>
                </c:pt>
                <c:pt idx="243">
                  <c:v>1.1312849161968868</c:v>
                </c:pt>
                <c:pt idx="244">
                  <c:v>1.6633663366413323</c:v>
                </c:pt>
                <c:pt idx="245">
                  <c:v>2.5035971222937712</c:v>
                </c:pt>
                <c:pt idx="246">
                  <c:v>3.0286493860826598</c:v>
                </c:pt>
                <c:pt idx="247">
                  <c:v>2.8461806766659663</c:v>
                </c:pt>
                <c:pt idx="248">
                  <c:v>1.9505300353324795</c:v>
                </c:pt>
                <c:pt idx="249">
                  <c:v>1.602739726036343</c:v>
                </c:pt>
                <c:pt idx="250">
                  <c:v>1.7343427391598021</c:v>
                </c:pt>
                <c:pt idx="251">
                  <c:v>1.7622950819613274</c:v>
                </c:pt>
                <c:pt idx="252">
                  <c:v>1.9889502762504496</c:v>
                </c:pt>
                <c:pt idx="253">
                  <c:v>1.9480519480490028</c:v>
                </c:pt>
                <c:pt idx="254">
                  <c:v>1.4512785072545245</c:v>
                </c:pt>
                <c:pt idx="255">
                  <c:v>0.62849162010938153</c:v>
                </c:pt>
                <c:pt idx="256">
                  <c:v>1.0848400556377416</c:v>
                </c:pt>
                <c:pt idx="257">
                  <c:v>0.89370345294191889</c:v>
                </c:pt>
                <c:pt idx="258">
                  <c:v>0.51965356429055365</c:v>
                </c:pt>
                <c:pt idx="259">
                  <c:v>0.49253731343326373</c:v>
                </c:pt>
                <c:pt idx="260">
                  <c:v>0.52454606590590191</c:v>
                </c:pt>
                <c:pt idx="261">
                  <c:v>0.40098487513118047</c:v>
                </c:pt>
                <c:pt idx="262">
                  <c:v>1.4356087262481794</c:v>
                </c:pt>
                <c:pt idx="263">
                  <c:v>1.0773480663023269</c:v>
                </c:pt>
                <c:pt idx="264">
                  <c:v>0.52454606590590191</c:v>
                </c:pt>
                <c:pt idx="265">
                  <c:v>0.41147132169570089</c:v>
                </c:pt>
                <c:pt idx="266">
                  <c:v>0.74476338246689422</c:v>
                </c:pt>
                <c:pt idx="267">
                  <c:v>0.89521165856841223</c:v>
                </c:pt>
                <c:pt idx="268">
                  <c:v>1.0909090909090908</c:v>
                </c:pt>
                <c:pt idx="269">
                  <c:v>0.58558558558834928</c:v>
                </c:pt>
                <c:pt idx="270">
                  <c:v>0.44836956521753313</c:v>
                </c:pt>
                <c:pt idx="271">
                  <c:v>0.36635006784110058</c:v>
                </c:pt>
                <c:pt idx="272">
                  <c:v>0.42643923241022846</c:v>
                </c:pt>
                <c:pt idx="273">
                  <c:v>0.76433121018768235</c:v>
                </c:pt>
                <c:pt idx="274">
                  <c:v>0.46153846153883726</c:v>
                </c:pt>
                <c:pt idx="275">
                  <c:v>0.44474393531094991</c:v>
                </c:pt>
                <c:pt idx="276">
                  <c:v>0.5611510791390405</c:v>
                </c:pt>
                <c:pt idx="277">
                  <c:v>0.53315105946625496</c:v>
                </c:pt>
                <c:pt idx="278">
                  <c:v>0.44564483456885357</c:v>
                </c:pt>
                <c:pt idx="279">
                  <c:v>0.40490797546243618</c:v>
                </c:pt>
                <c:pt idx="280">
                  <c:v>0.44665012406896282</c:v>
                </c:pt>
                <c:pt idx="281">
                  <c:v>0.33684210526233233</c:v>
                </c:pt>
                <c:pt idx="282">
                  <c:v>0.39761431411401982</c:v>
                </c:pt>
                <c:pt idx="283">
                  <c:v>0.44247787610665051</c:v>
                </c:pt>
                <c:pt idx="284">
                  <c:v>0.35832780358366556</c:v>
                </c:pt>
                <c:pt idx="285">
                  <c:v>0.42223786066122926</c:v>
                </c:pt>
                <c:pt idx="286">
                  <c:v>0.52139037433366064</c:v>
                </c:pt>
                <c:pt idx="287">
                  <c:v>0.4431314623329875</c:v>
                </c:pt>
                <c:pt idx="288">
                  <c:v>0.41724617524224511</c:v>
                </c:pt>
                <c:pt idx="289">
                  <c:v>0.40080160320716085</c:v>
                </c:pt>
                <c:pt idx="290">
                  <c:v>0.4803493449801195</c:v>
                </c:pt>
                <c:pt idx="291">
                  <c:v>0.3614457831305023</c:v>
                </c:pt>
                <c:pt idx="292">
                  <c:v>0.39881831610277485</c:v>
                </c:pt>
                <c:pt idx="293">
                  <c:v>0.30685305148258718</c:v>
                </c:pt>
                <c:pt idx="294">
                  <c:v>0.5006954102906942</c:v>
                </c:pt>
                <c:pt idx="295">
                  <c:v>0.32454361054965991</c:v>
                </c:pt>
                <c:pt idx="296">
                  <c:v>0.47936085219610458</c:v>
                </c:pt>
                <c:pt idx="297">
                  <c:v>0.35190615835681016</c:v>
                </c:pt>
                <c:pt idx="298">
                  <c:v>0.4731182795698925</c:v>
                </c:pt>
                <c:pt idx="299">
                  <c:v>0.47587574355680129</c:v>
                </c:pt>
                <c:pt idx="300">
                  <c:v>0.47550432276720872</c:v>
                </c:pt>
                <c:pt idx="301">
                  <c:v>0.29106029106043196</c:v>
                </c:pt>
                <c:pt idx="302">
                  <c:v>0.29166666666666669</c:v>
                </c:pt>
                <c:pt idx="303">
                  <c:v>0.42462845010426792</c:v>
                </c:pt>
                <c:pt idx="304">
                  <c:v>0.49758120248726551</c:v>
                </c:pt>
                <c:pt idx="305">
                  <c:v>0.56187290970249693</c:v>
                </c:pt>
                <c:pt idx="306">
                  <c:v>0.625</c:v>
                </c:pt>
                <c:pt idx="307">
                  <c:v>0.33826638477684712</c:v>
                </c:pt>
                <c:pt idx="308">
                  <c:v>0.47777040477822075</c:v>
                </c:pt>
                <c:pt idx="309">
                  <c:v>0.5236363636372503</c:v>
                </c:pt>
                <c:pt idx="310">
                  <c:v>0.45174537987830854</c:v>
                </c:pt>
                <c:pt idx="311">
                  <c:v>0.42223786066122926</c:v>
                </c:pt>
                <c:pt idx="312">
                  <c:v>0.36314727639383493</c:v>
                </c:pt>
                <c:pt idx="313">
                  <c:v>0.38189533239063345</c:v>
                </c:pt>
                <c:pt idx="314">
                  <c:v>0.33802816901463878</c:v>
                </c:pt>
                <c:pt idx="315">
                  <c:v>0.47008547008617169</c:v>
                </c:pt>
                <c:pt idx="316">
                  <c:v>0.64996614759412275</c:v>
                </c:pt>
                <c:pt idx="317">
                  <c:v>0.62937062937114174</c:v>
                </c:pt>
                <c:pt idx="318">
                  <c:v>0.5581395348828575</c:v>
                </c:pt>
                <c:pt idx="319">
                  <c:v>0.41039671682672291</c:v>
                </c:pt>
                <c:pt idx="320">
                  <c:v>0.44411547002457846</c:v>
                </c:pt>
                <c:pt idx="321">
                  <c:v>0.37735849056548515</c:v>
                </c:pt>
                <c:pt idx="322">
                  <c:v>0.3734439834028504</c:v>
                </c:pt>
                <c:pt idx="323">
                  <c:v>0.54091539528188182</c:v>
                </c:pt>
                <c:pt idx="324">
                  <c:v>0.37164487267710045</c:v>
                </c:pt>
                <c:pt idx="325">
                  <c:v>0.31229668184950576</c:v>
                </c:pt>
                <c:pt idx="326">
                  <c:v>0.44989775050996217</c:v>
                </c:pt>
                <c:pt idx="327">
                  <c:v>0.41095890411024438</c:v>
                </c:pt>
                <c:pt idx="328">
                  <c:v>0.37788663400819622</c:v>
                </c:pt>
                <c:pt idx="329">
                  <c:v>0.28112449799236217</c:v>
                </c:pt>
                <c:pt idx="330">
                  <c:v>0.47109207708826417</c:v>
                </c:pt>
                <c:pt idx="331">
                  <c:v>0.370370370371435</c:v>
                </c:pt>
                <c:pt idx="332">
                  <c:v>0.38644067796503417</c:v>
                </c:pt>
                <c:pt idx="333">
                  <c:v>0.35687732342161882</c:v>
                </c:pt>
                <c:pt idx="334">
                  <c:v>0.33994334277547528</c:v>
                </c:pt>
                <c:pt idx="335">
                  <c:v>0.31957390146406972</c:v>
                </c:pt>
                <c:pt idx="336">
                  <c:v>0.4714285714301395</c:v>
                </c:pt>
                <c:pt idx="337">
                  <c:v>0.32410533423418642</c:v>
                </c:pt>
                <c:pt idx="338">
                  <c:v>0.41198501872551396</c:v>
                </c:pt>
                <c:pt idx="339">
                  <c:v>0.45392022008136795</c:v>
                </c:pt>
                <c:pt idx="340">
                  <c:v>0.24529844644424662</c:v>
                </c:pt>
                <c:pt idx="341">
                  <c:v>0.41436464088251207</c:v>
                </c:pt>
                <c:pt idx="342">
                  <c:v>0.46218487395206664</c:v>
                </c:pt>
                <c:pt idx="343">
                  <c:v>0.44265593561409683</c:v>
                </c:pt>
                <c:pt idx="344">
                  <c:v>0.21459227467661054</c:v>
                </c:pt>
                <c:pt idx="345">
                  <c:v>0.45141065830951638</c:v>
                </c:pt>
                <c:pt idx="346">
                  <c:v>0.32236400268581222</c:v>
                </c:pt>
                <c:pt idx="347">
                  <c:v>0.45454545454665718</c:v>
                </c:pt>
                <c:pt idx="348">
                  <c:v>0.37894736842012389</c:v>
                </c:pt>
                <c:pt idx="349">
                  <c:v>0.39017341040587139</c:v>
                </c:pt>
                <c:pt idx="350">
                  <c:v>0.32675289312452277</c:v>
                </c:pt>
                <c:pt idx="351">
                  <c:v>0.42402826855053904</c:v>
                </c:pt>
                <c:pt idx="352">
                  <c:v>0.51150895140695418</c:v>
                </c:pt>
                <c:pt idx="353">
                  <c:v>0.21816037735840821</c:v>
                </c:pt>
                <c:pt idx="354">
                  <c:v>0.43109079033514797</c:v>
                </c:pt>
                <c:pt idx="355">
                  <c:v>0.50455501051172735</c:v>
                </c:pt>
                <c:pt idx="356">
                  <c:v>0.3802816901386627</c:v>
                </c:pt>
                <c:pt idx="357">
                  <c:v>0.32410533423418642</c:v>
                </c:pt>
                <c:pt idx="358">
                  <c:v>0.45865184155767547</c:v>
                </c:pt>
                <c:pt idx="359">
                  <c:v>0.37292817679426088</c:v>
                </c:pt>
                <c:pt idx="360">
                  <c:v>0.33850493653243652</c:v>
                </c:pt>
                <c:pt idx="361">
                  <c:v>0.34932463903042976</c:v>
                </c:pt>
                <c:pt idx="362">
                  <c:v>0.36096256684638045</c:v>
                </c:pt>
                <c:pt idx="363">
                  <c:v>0.52098408104214367</c:v>
                </c:pt>
                <c:pt idx="364">
                  <c:v>0.3786816269294605</c:v>
                </c:pt>
                <c:pt idx="365">
                  <c:v>0.41551246537322423</c:v>
                </c:pt>
                <c:pt idx="366">
                  <c:v>0.41450777201972527</c:v>
                </c:pt>
                <c:pt idx="367">
                  <c:v>0.33802816901463878</c:v>
                </c:pt>
                <c:pt idx="368">
                  <c:v>0.45643153527015051</c:v>
                </c:pt>
                <c:pt idx="369">
                  <c:v>0.53830227743349068</c:v>
                </c:pt>
                <c:pt idx="370">
                  <c:v>0.33172080165817702</c:v>
                </c:pt>
                <c:pt idx="371">
                  <c:v>0.46511627907159903</c:v>
                </c:pt>
                <c:pt idx="372">
                  <c:v>0.28965517241356054</c:v>
                </c:pt>
                <c:pt idx="373">
                  <c:v>0.37815126050346182</c:v>
                </c:pt>
                <c:pt idx="374">
                  <c:v>0.35809018567600553</c:v>
                </c:pt>
                <c:pt idx="375">
                  <c:v>0.4126547455314899</c:v>
                </c:pt>
                <c:pt idx="376">
                  <c:v>0.53175775479958498</c:v>
                </c:pt>
                <c:pt idx="377">
                  <c:v>0.40622884224632677</c:v>
                </c:pt>
                <c:pt idx="378">
                  <c:v>0.40993788819905419</c:v>
                </c:pt>
                <c:pt idx="379">
                  <c:v>0.38461538461452355</c:v>
                </c:pt>
                <c:pt idx="380">
                  <c:v>0.37762237762268502</c:v>
                </c:pt>
                <c:pt idx="381">
                  <c:v>0.31767041694222642</c:v>
                </c:pt>
                <c:pt idx="382">
                  <c:v>0.42735042735106515</c:v>
                </c:pt>
                <c:pt idx="383">
                  <c:v>0.37267080745395509</c:v>
                </c:pt>
                <c:pt idx="384">
                  <c:v>0.41580041580061705</c:v>
                </c:pt>
                <c:pt idx="385">
                  <c:v>0.35317200784901975</c:v>
                </c:pt>
                <c:pt idx="386">
                  <c:v>0.41379310344827586</c:v>
                </c:pt>
                <c:pt idx="387">
                  <c:v>0.33149171270600969</c:v>
                </c:pt>
                <c:pt idx="388">
                  <c:v>0.30685305148368336</c:v>
                </c:pt>
                <c:pt idx="389">
                  <c:v>0.30368763557422379</c:v>
                </c:pt>
                <c:pt idx="390">
                  <c:v>0.31372549019607843</c:v>
                </c:pt>
                <c:pt idx="391">
                  <c:v>0.42492917846934408</c:v>
                </c:pt>
                <c:pt idx="392">
                  <c:v>0.39017341040587139</c:v>
                </c:pt>
                <c:pt idx="393">
                  <c:v>0.29577464788780888</c:v>
                </c:pt>
                <c:pt idx="394">
                  <c:v>0.2902557014509049</c:v>
                </c:pt>
                <c:pt idx="395">
                  <c:v>0.41436464088251207</c:v>
                </c:pt>
                <c:pt idx="396">
                  <c:v>0.28493894165621475</c:v>
                </c:pt>
                <c:pt idx="397">
                  <c:v>0.37422037422055537</c:v>
                </c:pt>
                <c:pt idx="398">
                  <c:v>0.40056219255032605</c:v>
                </c:pt>
                <c:pt idx="399">
                  <c:v>0.3734439834028504</c:v>
                </c:pt>
                <c:pt idx="400">
                  <c:v>0.27522935779862706</c:v>
                </c:pt>
                <c:pt idx="401">
                  <c:v>0.39187227866261271</c:v>
                </c:pt>
                <c:pt idx="402">
                  <c:v>0.91034482759205393</c:v>
                </c:pt>
                <c:pt idx="403">
                  <c:v>0.65721649484161415</c:v>
                </c:pt>
                <c:pt idx="404">
                  <c:v>0.41727672035146207</c:v>
                </c:pt>
                <c:pt idx="405">
                  <c:v>0.41987403778996324</c:v>
                </c:pt>
                <c:pt idx="406">
                  <c:v>0.36314727639639366</c:v>
                </c:pt>
                <c:pt idx="407">
                  <c:v>0.38765254845546709</c:v>
                </c:pt>
                <c:pt idx="408">
                  <c:v>0.60443250503589785</c:v>
                </c:pt>
                <c:pt idx="409">
                  <c:v>0.93495934959216853</c:v>
                </c:pt>
                <c:pt idx="410">
                  <c:v>0.80357142857238317</c:v>
                </c:pt>
                <c:pt idx="411">
                  <c:v>0.43866774979699602</c:v>
                </c:pt>
                <c:pt idx="412">
                  <c:v>0.41928721173942796</c:v>
                </c:pt>
                <c:pt idx="413">
                  <c:v>0.59327620303248274</c:v>
                </c:pt>
                <c:pt idx="414">
                  <c:v>0.48997772828482389</c:v>
                </c:pt>
                <c:pt idx="415">
                  <c:v>0.4126547455314899</c:v>
                </c:pt>
                <c:pt idx="416">
                  <c:v>0.40358744394613566</c:v>
                </c:pt>
                <c:pt idx="417">
                  <c:v>0.39408866995096492</c:v>
                </c:pt>
                <c:pt idx="418">
                  <c:v>0.54752851710978145</c:v>
                </c:pt>
                <c:pt idx="419">
                  <c:v>0.33080634045385016</c:v>
                </c:pt>
                <c:pt idx="420">
                  <c:v>0.3870967741929669</c:v>
                </c:pt>
                <c:pt idx="421">
                  <c:v>0.54586808188300662</c:v>
                </c:pt>
                <c:pt idx="422">
                  <c:v>0.32323232323232326</c:v>
                </c:pt>
                <c:pt idx="423">
                  <c:v>0.41695621959788681</c:v>
                </c:pt>
                <c:pt idx="424">
                  <c:v>0.44971892567119376</c:v>
                </c:pt>
                <c:pt idx="425">
                  <c:v>0.38523274478121899</c:v>
                </c:pt>
                <c:pt idx="426">
                  <c:v>0.37473976405461817</c:v>
                </c:pt>
                <c:pt idx="427">
                  <c:v>0.47745358090134077</c:v>
                </c:pt>
                <c:pt idx="428">
                  <c:v>0.52439912600083416</c:v>
                </c:pt>
                <c:pt idx="429">
                  <c:v>0.44414535666120608</c:v>
                </c:pt>
                <c:pt idx="430">
                  <c:v>0.4216444132124218</c:v>
                </c:pt>
                <c:pt idx="431">
                  <c:v>0.36036036036053481</c:v>
                </c:pt>
                <c:pt idx="432">
                  <c:v>0.54016620498519152</c:v>
                </c:pt>
                <c:pt idx="433">
                  <c:v>0.64000000000149015</c:v>
                </c:pt>
                <c:pt idx="434">
                  <c:v>1.6949152542305996</c:v>
                </c:pt>
                <c:pt idx="435">
                  <c:v>1.4612546125511472</c:v>
                </c:pt>
                <c:pt idx="436">
                  <c:v>1.2923076923030632</c:v>
                </c:pt>
                <c:pt idx="437">
                  <c:v>1.0874704491743725</c:v>
                </c:pt>
                <c:pt idx="438">
                  <c:v>0.91794158553293925</c:v>
                </c:pt>
                <c:pt idx="439">
                  <c:v>0.77972709551763086</c:v>
                </c:pt>
                <c:pt idx="440">
                  <c:v>1.0422960725082859</c:v>
                </c:pt>
                <c:pt idx="441">
                  <c:v>1.5810276679812798</c:v>
                </c:pt>
                <c:pt idx="442">
                  <c:v>1.1281337047373881</c:v>
                </c:pt>
                <c:pt idx="443">
                  <c:v>0.81743869209977804</c:v>
                </c:pt>
                <c:pt idx="444">
                  <c:v>0.70901033973278005</c:v>
                </c:pt>
                <c:pt idx="445">
                  <c:v>1.1037834085374529</c:v>
                </c:pt>
                <c:pt idx="446">
                  <c:v>1.276595744684013</c:v>
                </c:pt>
                <c:pt idx="447">
                  <c:v>1.1748818365989258</c:v>
                </c:pt>
                <c:pt idx="448">
                  <c:v>1.7475728155379309</c:v>
                </c:pt>
                <c:pt idx="449">
                  <c:v>1.872399445206514</c:v>
                </c:pt>
                <c:pt idx="450">
                  <c:v>1.5668202764968553</c:v>
                </c:pt>
                <c:pt idx="451">
                  <c:v>1.7236662106722362</c:v>
                </c:pt>
                <c:pt idx="452">
                  <c:v>1.3759555246730264</c:v>
                </c:pt>
                <c:pt idx="453">
                  <c:v>1.683366733458294</c:v>
                </c:pt>
                <c:pt idx="454">
                  <c:v>1.3521126760585551</c:v>
                </c:pt>
                <c:pt idx="455">
                  <c:v>1.3241379310334196</c:v>
                </c:pt>
                <c:pt idx="456">
                  <c:v>1.5332885003403287</c:v>
                </c:pt>
                <c:pt idx="457">
                  <c:v>1.8168389955652489</c:v>
                </c:pt>
                <c:pt idx="458">
                  <c:v>1.8539325842693597</c:v>
                </c:pt>
                <c:pt idx="459">
                  <c:v>2.125</c:v>
                </c:pt>
                <c:pt idx="460">
                  <c:v>2.3651452282180525</c:v>
                </c:pt>
                <c:pt idx="461">
                  <c:v>1.8320610686981458</c:v>
                </c:pt>
                <c:pt idx="462">
                  <c:v>2.7184466019478926</c:v>
                </c:pt>
                <c:pt idx="463">
                  <c:v>2.5072046109543731</c:v>
                </c:pt>
                <c:pt idx="464">
                  <c:v>2.9051782111506794</c:v>
                </c:pt>
                <c:pt idx="465">
                  <c:v>2.8486646884410765</c:v>
                </c:pt>
                <c:pt idx="466">
                  <c:v>3.0286493860826598</c:v>
                </c:pt>
                <c:pt idx="467">
                  <c:v>3.5043889263947445</c:v>
                </c:pt>
                <c:pt idx="468">
                  <c:v>3.1678189817729336</c:v>
                </c:pt>
                <c:pt idx="469">
                  <c:v>3.3004926108393313</c:v>
                </c:pt>
                <c:pt idx="470">
                  <c:v>3.426183844017253</c:v>
                </c:pt>
                <c:pt idx="471">
                  <c:v>2.9731589814168036</c:v>
                </c:pt>
                <c:pt idx="472">
                  <c:v>#N/A</c:v>
                </c:pt>
                <c:pt idx="473">
                  <c:v>3.0522648083524646</c:v>
                </c:pt>
                <c:pt idx="474">
                  <c:v>3.5404896421938719</c:v>
                </c:pt>
                <c:pt idx="475">
                  <c:v>3.6261419536268273</c:v>
                </c:pt>
                <c:pt idx="476">
                  <c:v>2.3745583038830187</c:v>
                </c:pt>
                <c:pt idx="477">
                  <c:v>1.5202231520208342</c:v>
                </c:pt>
                <c:pt idx="478">
                  <c:v>1.1556240369816275</c:v>
                </c:pt>
                <c:pt idx="479">
                  <c:v>0.72750478621321257</c:v>
                </c:pt>
                <c:pt idx="480">
                  <c:v>0.84202950701825297</c:v>
                </c:pt>
                <c:pt idx="481">
                  <c:v>2.1681723419090115</c:v>
                </c:pt>
                <c:pt idx="482">
                  <c:v>1.5691672401922019</c:v>
                </c:pt>
                <c:pt idx="483">
                  <c:v>1.4156835530849308</c:v>
                </c:pt>
                <c:pt idx="484">
                  <c:v>1.3454800280312729</c:v>
                </c:pt>
                <c:pt idx="485">
                  <c:v>0.90670170828163232</c:v>
                </c:pt>
                <c:pt idx="486">
                  <c:v>0.47484454493964445</c:v>
                </c:pt>
                <c:pt idx="487">
                  <c:v>1.3333333333333333</c:v>
                </c:pt>
                <c:pt idx="488">
                  <c:v>1.8894331700409812</c:v>
                </c:pt>
                <c:pt idx="489">
                  <c:v>1.5405968077800969</c:v>
                </c:pt>
                <c:pt idx="490">
                  <c:v>1.6293279022372353</c:v>
                </c:pt>
                <c:pt idx="491">
                  <c:v>1.2622720897648685</c:v>
                </c:pt>
                <c:pt idx="492">
                  <c:v>1.3709677419361275</c:v>
                </c:pt>
                <c:pt idx="493">
                  <c:v>2.0297699593927701</c:v>
                </c:pt>
                <c:pt idx="494">
                  <c:v>2.209131075119168</c:v>
                </c:pt>
                <c:pt idx="495">
                  <c:v>2.3142857142934119</c:v>
                </c:pt>
                <c:pt idx="496">
                  <c:v>1.7521090201117775</c:v>
                </c:pt>
                <c:pt idx="497">
                  <c:v>1.8379850238254405</c:v>
                </c:pt>
                <c:pt idx="498">
                  <c:v>1.8313953488359698</c:v>
                </c:pt>
                <c:pt idx="499">
                  <c:v>1.7248459958989963</c:v>
                </c:pt>
                <c:pt idx="500">
                  <c:v>1.9613670133715999</c:v>
                </c:pt>
                <c:pt idx="501">
                  <c:v>2.3674475955515204</c:v>
                </c:pt>
                <c:pt idx="502">
                  <c:v>2.5334271639673753</c:v>
                </c:pt>
                <c:pt idx="503">
                  <c:v>2.8333333333333335</c:v>
                </c:pt>
                <c:pt idx="504">
                  <c:v>3.2333129210033644</c:v>
                </c:pt>
                <c:pt idx="505">
                  <c:v>3.1862378459248197</c:v>
                </c:pt>
                <c:pt idx="506">
                  <c:v>3.1147540983725444</c:v>
                </c:pt>
                <c:pt idx="507">
                  <c:v>3.4974656046304902</c:v>
                </c:pt>
                <c:pt idx="508">
                  <c:v>3.2899246058965481</c:v>
                </c:pt>
                <c:pt idx="509">
                  <c:v>2.9856850715661127</c:v>
                </c:pt>
                <c:pt idx="510">
                  <c:v>3.3167965981578824</c:v>
                </c:pt>
                <c:pt idx="511">
                  <c:v>2.8389830508572604</c:v>
                </c:pt>
                <c:pt idx="512">
                  <c:v>2.6440677966122563</c:v>
                </c:pt>
                <c:pt idx="513">
                  <c:v>2.8906732550828509</c:v>
                </c:pt>
                <c:pt idx="514">
                  <c:v>2.7250608272598709</c:v>
                </c:pt>
                <c:pt idx="515">
                  <c:v>2.7272727272779753</c:v>
                </c:pt>
                <c:pt idx="516">
                  <c:v>2.3202416918298434</c:v>
                </c:pt>
                <c:pt idx="517">
                  <c:v>2.1324717286097474</c:v>
                </c:pt>
                <c:pt idx="518">
                  <c:v>2.0632737276425814</c:v>
                </c:pt>
                <c:pt idx="519">
                  <c:v>1.9565217391310536</c:v>
                </c:pt>
                <c:pt idx="520">
                  <c:v>1.8701298701284563</c:v>
                </c:pt>
                <c:pt idx="521">
                  <c:v>2.2605965463042219</c:v>
                </c:pt>
                <c:pt idx="522">
                  <c:v>2.6834381551519861</c:v>
                </c:pt>
                <c:pt idx="523">
                  <c:v>2.9095674967083665</c:v>
                </c:pt>
                <c:pt idx="524">
                  <c:v>3.2172701949918103</c:v>
                </c:pt>
                <c:pt idx="525">
                  <c:v>2.641509433958396</c:v>
                </c:pt>
                <c:pt idx="526">
                  <c:v>2.3414634146436439</c:v>
                </c:pt>
                <c:pt idx="527">
                  <c:v>2.6746506985916074</c:v>
                </c:pt>
                <c:pt idx="528">
                  <c:v>2.2865853658686723</c:v>
                </c:pt>
                <c:pt idx="529">
                  <c:v>2.0718232044125604</c:v>
                </c:pt>
                <c:pt idx="530">
                  <c:v>1.9000703729755317</c:v>
                </c:pt>
                <c:pt idx="531">
                  <c:v>1.6479400749128337</c:v>
                </c:pt>
                <c:pt idx="532">
                  <c:v>1.6133720930221638</c:v>
                </c:pt>
                <c:pt idx="533">
                  <c:v>1.3803019410417492</c:v>
                </c:pt>
                <c:pt idx="534">
                  <c:v>1.5725806451620286</c:v>
                </c:pt>
                <c:pt idx="535">
                  <c:v>1.9856115107996819</c:v>
                </c:pt>
                <c:pt idx="536">
                  <c:v>1.7524339360174295</c:v>
                </c:pt>
                <c:pt idx="537">
                  <c:v>1.3398464759263753</c:v>
                </c:pt>
                <c:pt idx="538">
                  <c:v>1.9395643007771404</c:v>
                </c:pt>
                <c:pt idx="539">
                  <c:v>2.2037422037432703</c:v>
                </c:pt>
                <c:pt idx="540">
                  <c:v>2.2206405693931779</c:v>
                </c:pt>
                <c:pt idx="541">
                  <c:v>2.5741324921116742</c:v>
                </c:pt>
                <c:pt idx="542">
                  <c:v>2.9464285714255087</c:v>
                </c:pt>
                <c:pt idx="543">
                  <c:v>3.1085876508079626</c:v>
                </c:pt>
                <c:pt idx="544">
                  <c:v>2.9534726905052291</c:v>
                </c:pt>
                <c:pt idx="545">
                  <c:v>2.8294036060898438</c:v>
                </c:pt>
                <c:pt idx="546">
                  <c:v>2.6373626373630592</c:v>
                </c:pt>
                <c:pt idx="547">
                  <c:v>2.6621160409598623</c:v>
                </c:pt>
                <c:pt idx="548">
                  <c:v>2.7346938775445233</c:v>
                </c:pt>
                <c:pt idx="549">
                  <c:v>2.4269662921475299</c:v>
                </c:pt>
                <c:pt idx="550">
                  <c:v>2.4084507042293013</c:v>
                </c:pt>
                <c:pt idx="551">
                  <c:v>2.2845691382648274</c:v>
                </c:pt>
                <c:pt idx="552">
                  <c:v>1.6711956521744418</c:v>
                </c:pt>
                <c:pt idx="553">
                  <c:v>1.7021276595786841</c:v>
                </c:pt>
                <c:pt idx="554">
                  <c:v>2.0204978038070793</c:v>
                </c:pt>
                <c:pt idx="555">
                  <c:v>1.5075376884393448</c:v>
                </c:pt>
                <c:pt idx="556">
                  <c:v>1.3709063214069621</c:v>
                </c:pt>
                <c:pt idx="557">
                  <c:v>1.863354037256302</c:v>
                </c:pt>
                <c:pt idx="558">
                  <c:v>1.9753086419809867</c:v>
                </c:pt>
                <c:pt idx="559">
                  <c:v>1.6227758007103992</c:v>
                </c:pt>
                <c:pt idx="560">
                  <c:v>0.68456375839140116</c:v>
                </c:pt>
                <c:pt idx="561">
                  <c:v>1.5959741193295225</c:v>
                </c:pt>
                <c:pt idx="562">
                  <c:v>1.7825537294660911</c:v>
                </c:pt>
                <c:pt idx="563">
                  <c:v>1.7351598173405298</c:v>
                </c:pt>
                <c:pt idx="564">
                  <c:v>1.4716187806592049</c:v>
                </c:pt>
                <c:pt idx="565">
                  <c:v>1.1907810499363345</c:v>
                </c:pt>
                <c:pt idx="566">
                  <c:v>1.52011922504306</c:v>
                </c:pt>
                <c:pt idx="567">
                  <c:v>1.3877551020375192</c:v>
                </c:pt>
                <c:pt idx="568">
                  <c:v>1.5336658354112487</c:v>
                </c:pt>
                <c:pt idx="569">
                  <c:v>1.6579536967941257</c:v>
                </c:pt>
                <c:pt idx="570">
                  <c:v>1.8399401645481352</c:v>
                </c:pt>
                <c:pt idx="571">
                  <c:v>1.6611733684909515</c:v>
                </c:pt>
                <c:pt idx="572">
                  <c:v>1.3846153846165119</c:v>
                </c:pt>
                <c:pt idx="573">
                  <c:v>0.69214131218189867</c:v>
                </c:pt>
                <c:pt idx="574">
                  <c:v>1.3407821229049188</c:v>
                </c:pt>
                <c:pt idx="575">
                  <c:v>1.8640776699071264</c:v>
                </c:pt>
                <c:pt idx="576">
                  <c:v>1.9096965210908772</c:v>
                </c:pt>
                <c:pt idx="577">
                  <c:v>2.2347153900258356</c:v>
                </c:pt>
                <c:pt idx="578">
                  <c:v>1.5049504950460357</c:v>
                </c:pt>
                <c:pt idx="579">
                  <c:v>1.5064562410365212</c:v>
                </c:pt>
                <c:pt idx="580">
                  <c:v>1.211699164347565</c:v>
                </c:pt>
                <c:pt idx="581">
                  <c:v>1.3356164383556319</c:v>
                </c:pt>
                <c:pt idx="582">
                  <c:v>0.70803197563679365</c:v>
                </c:pt>
                <c:pt idx="583">
                  <c:v>1.4055636896049248</c:v>
                </c:pt>
                <c:pt idx="584">
                  <c:v>1.4090019569478045</c:v>
                </c:pt>
                <c:pt idx="585">
                  <c:v>1.8344519015631289</c:v>
                </c:pt>
                <c:pt idx="586">
                  <c:v>1.826792963466443</c:v>
                </c:pt>
                <c:pt idx="587">
                  <c:v>1.7573221757305055</c:v>
                </c:pt>
                <c:pt idx="588">
                  <c:v>1.5061058344685636</c:v>
                </c:pt>
                <c:pt idx="589">
                  <c:v>0.82191780821600469</c:v>
                </c:pt>
                <c:pt idx="590">
                  <c:v>1.3126323218081435</c:v>
                </c:pt>
                <c:pt idx="591">
                  <c:v>1.0330578512416573</c:v>
                </c:pt>
                <c:pt idx="592">
                  <c:v>0.72434607645943117</c:v>
                </c:pt>
                <c:pt idx="593">
                  <c:v>0.71278825995702755</c:v>
                </c:pt>
                <c:pt idx="594">
                  <c:v>1.1368421052603717</c:v>
                </c:pt>
                <c:pt idx="595">
                  <c:v>0.69327731092301326</c:v>
                </c:pt>
                <c:pt idx="596">
                  <c:v>0.69364161849757655</c:v>
                </c:pt>
                <c:pt idx="597">
                  <c:v>1.6557734204868619</c:v>
                </c:pt>
                <c:pt idx="598">
                  <c:v>1.3846153846165119</c:v>
                </c:pt>
                <c:pt idx="599">
                  <c:v>0.79260237780701148</c:v>
                </c:pt>
                <c:pt idx="600">
                  <c:v>0.63205417606990943</c:v>
                </c:pt>
                <c:pt idx="601">
                  <c:v>0.32608695652184227</c:v>
                </c:pt>
                <c:pt idx="602">
                  <c:v>0.4392922513730379</c:v>
                </c:pt>
                <c:pt idx="603">
                  <c:v>0.47468354430283566</c:v>
                </c:pt>
                <c:pt idx="604">
                  <c:v>0.59659090909071177</c:v>
                </c:pt>
                <c:pt idx="605">
                  <c:v>0.28455284552805132</c:v>
                </c:pt>
                <c:pt idx="606">
                  <c:v>0.55634807418316179</c:v>
                </c:pt>
                <c:pt idx="607">
                  <c:v>0.20053475935769577</c:v>
                </c:pt>
                <c:pt idx="608">
                  <c:v>0.33472803347247726</c:v>
                </c:pt>
                <c:pt idx="609">
                  <c:v>0.50883392226064683</c:v>
                </c:pt>
                <c:pt idx="610">
                  <c:v>0.3794799718911796</c:v>
                </c:pt>
                <c:pt idx="611">
                  <c:v>0.37762237762268502</c:v>
                </c:pt>
                <c:pt idx="612">
                  <c:v>0.55518836748293487</c:v>
                </c:pt>
                <c:pt idx="613">
                  <c:v>1.1487481590531043</c:v>
                </c:pt>
                <c:pt idx="614">
                  <c:v>0.58414464534339927</c:v>
                </c:pt>
                <c:pt idx="615">
                  <c:v>0.73720136518361268</c:v>
                </c:pt>
                <c:pt idx="616">
                  <c:v>0.69672131147806915</c:v>
                </c:pt>
                <c:pt idx="617">
                  <c:v>0.55674518201340306</c:v>
                </c:pt>
                <c:pt idx="618">
                  <c:v>0.54091539528188182</c:v>
                </c:pt>
                <c:pt idx="619">
                  <c:v>0.67061143984590466</c:v>
                </c:pt>
                <c:pt idx="620">
                  <c:v>0.47840531561387784</c:v>
                </c:pt>
                <c:pt idx="621">
                  <c:v>0.64565718678067152</c:v>
                </c:pt>
                <c:pt idx="622">
                  <c:v>0.32542372881150455</c:v>
                </c:pt>
                <c:pt idx="623">
                  <c:v>0.42313117066554562</c:v>
                </c:pt>
                <c:pt idx="624">
                  <c:v>0.46283309957705115</c:v>
                </c:pt>
                <c:pt idx="625">
                  <c:v>0.3392226148404312</c:v>
                </c:pt>
                <c:pt idx="626">
                  <c:v>0.3185136031854805</c:v>
                </c:pt>
                <c:pt idx="627">
                  <c:v>0.47345767575433523</c:v>
                </c:pt>
                <c:pt idx="628">
                  <c:v>0.2843601895724287</c:v>
                </c:pt>
                <c:pt idx="629">
                  <c:v>0.39272727272793773</c:v>
                </c:pt>
                <c:pt idx="630">
                  <c:v>0.43335521996113407</c:v>
                </c:pt>
                <c:pt idx="631">
                  <c:v>0.25732666190088704</c:v>
                </c:pt>
                <c:pt idx="632">
                  <c:v>0.42134831460667266</c:v>
                </c:pt>
                <c:pt idx="633">
                  <c:v>0.31108230719368446</c:v>
                </c:pt>
                <c:pt idx="634">
                  <c:v>0.4038893044130053</c:v>
                </c:pt>
                <c:pt idx="635">
                  <c:v>0.21067415730333633</c:v>
                </c:pt>
                <c:pt idx="636">
                  <c:v>0.20804438280223542</c:v>
                </c:pt>
                <c:pt idx="637">
                  <c:v>0.5761316872444544</c:v>
                </c:pt>
                <c:pt idx="638">
                  <c:v>0.41841004184059655</c:v>
                </c:pt>
                <c:pt idx="639">
                  <c:v>0.25157232704365678</c:v>
                </c:pt>
                <c:pt idx="640">
                  <c:v>0.31830238726756049</c:v>
                </c:pt>
                <c:pt idx="641">
                  <c:v>0.29350104821759954</c:v>
                </c:pt>
                <c:pt idx="642">
                  <c:v>0.29166666666666669</c:v>
                </c:pt>
                <c:pt idx="643">
                  <c:v>0.30368763557652451</c:v>
                </c:pt>
                <c:pt idx="644">
                  <c:v>0.29869321717494651</c:v>
                </c:pt>
                <c:pt idx="645">
                  <c:v>0.234741784036404</c:v>
                </c:pt>
                <c:pt idx="646">
                  <c:v>0.29309141660889459</c:v>
                </c:pt>
                <c:pt idx="647">
                  <c:v>0.24606971975365616</c:v>
                </c:pt>
                <c:pt idx="648">
                  <c:v>0.41899441340931998</c:v>
                </c:pt>
                <c:pt idx="649">
                  <c:v>0.29494382022467086</c:v>
                </c:pt>
                <c:pt idx="650">
                  <c:v>0.28513238289151621</c:v>
                </c:pt>
                <c:pt idx="651">
                  <c:v>0.2936036350925294</c:v>
                </c:pt>
                <c:pt idx="652">
                  <c:v>0.20891364902544224</c:v>
                </c:pt>
                <c:pt idx="653">
                  <c:v>0.3110599078339345</c:v>
                </c:pt>
                <c:pt idx="654">
                  <c:v>0.31331592689161714</c:v>
                </c:pt>
                <c:pt idx="655">
                  <c:v>0.28846153846158457</c:v>
                </c:pt>
                <c:pt idx="656">
                  <c:v>0.3641267700622885</c:v>
                </c:pt>
                <c:pt idx="657">
                  <c:v>0.3296703296703824</c:v>
                </c:pt>
                <c:pt idx="658">
                  <c:v>0.39823008849290847</c:v>
                </c:pt>
                <c:pt idx="659">
                  <c:v>0.25174825174845672</c:v>
                </c:pt>
                <c:pt idx="660">
                  <c:v>0.29025570145300655</c:v>
                </c:pt>
                <c:pt idx="661">
                  <c:v>0.36535859269069859</c:v>
                </c:pt>
                <c:pt idx="662">
                  <c:v>0.308370044053496</c:v>
                </c:pt>
                <c:pt idx="663">
                  <c:v>0.24406779661036213</c:v>
                </c:pt>
                <c:pt idx="664">
                  <c:v>0.26924404556409565</c:v>
                </c:pt>
                <c:pt idx="665">
                  <c:v>0.29391182645297426</c:v>
                </c:pt>
                <c:pt idx="666">
                  <c:v>0.31662269129365406</c:v>
                </c:pt>
                <c:pt idx="667">
                  <c:v>0.39130434782509665</c:v>
                </c:pt>
                <c:pt idx="668">
                  <c:v>0.32809295967154156</c:v>
                </c:pt>
                <c:pt idx="669">
                  <c:v>0.42628774422611942</c:v>
                </c:pt>
                <c:pt idx="670">
                  <c:v>0.37470725995459181</c:v>
                </c:pt>
                <c:pt idx="671">
                  <c:v>0.27231467473462612</c:v>
                </c:pt>
                <c:pt idx="672">
                  <c:v>0.42402826855367876</c:v>
                </c:pt>
                <c:pt idx="673">
                  <c:v>0.27219701879447389</c:v>
                </c:pt>
                <c:pt idx="674">
                  <c:v>0.26607538802468444</c:v>
                </c:pt>
                <c:pt idx="675">
                  <c:v>0.3713892709783409</c:v>
                </c:pt>
                <c:pt idx="676">
                  <c:v>0.39007092198484944</c:v>
                </c:pt>
                <c:pt idx="677">
                  <c:v>0.28708133971259886</c:v>
                </c:pt>
                <c:pt idx="678">
                  <c:v>0.35087719298353109</c:v>
                </c:pt>
                <c:pt idx="679">
                  <c:v>0.42746113989534168</c:v>
                </c:pt>
                <c:pt idx="680">
                  <c:v>0.19564618352161875</c:v>
                </c:pt>
                <c:pt idx="681">
                  <c:v>0.41666666666936147</c:v>
                </c:pt>
                <c:pt idx="682">
                  <c:v>0.32697547683757755</c:v>
                </c:pt>
                <c:pt idx="683">
                  <c:v>0.40622884224920841</c:v>
                </c:pt>
                <c:pt idx="684">
                  <c:v>0.33507073715608648</c:v>
                </c:pt>
                <c:pt idx="685">
                  <c:v>0.33684210526233233</c:v>
                </c:pt>
                <c:pt idx="686">
                  <c:v>0.32366824005308081</c:v>
                </c:pt>
                <c:pt idx="687">
                  <c:v>0.38654259126809593</c:v>
                </c:pt>
                <c:pt idx="688">
                  <c:v>0.3344481605348566</c:v>
                </c:pt>
                <c:pt idx="689">
                  <c:v>0.31774051191383268</c:v>
                </c:pt>
                <c:pt idx="690">
                  <c:v>0.44504383007613041</c:v>
                </c:pt>
                <c:pt idx="691">
                  <c:v>0.24759284731710979</c:v>
                </c:pt>
                <c:pt idx="692">
                  <c:v>0.3493449781673596</c:v>
                </c:pt>
                <c:pt idx="693">
                  <c:v>0.25531914893490543</c:v>
                </c:pt>
                <c:pt idx="694">
                  <c:v>0.45833333333333331</c:v>
                </c:pt>
                <c:pt idx="695">
                  <c:v>0.24291497975697052</c:v>
                </c:pt>
                <c:pt idx="696">
                  <c:v>0.36000000000083821</c:v>
                </c:pt>
                <c:pt idx="697">
                  <c:v>0.382707299787448</c:v>
                </c:pt>
                <c:pt idx="698">
                  <c:v>0.26181818181862515</c:v>
                </c:pt>
                <c:pt idx="699">
                  <c:v>0.29473684210454082</c:v>
                </c:pt>
                <c:pt idx="700">
                  <c:v>0.32279757901901657</c:v>
                </c:pt>
                <c:pt idx="701">
                  <c:v>0.42075736325186464</c:v>
                </c:pt>
                <c:pt idx="702">
                  <c:v>0.29186935371852074</c:v>
                </c:pt>
                <c:pt idx="703">
                  <c:v>0.33779028852898341</c:v>
                </c:pt>
                <c:pt idx="704">
                  <c:v>0.22956521739176913</c:v>
                </c:pt>
                <c:pt idx="705">
                  <c:v>0.29309141660675164</c:v>
                </c:pt>
                <c:pt idx="706">
                  <c:v>0.30888030888141954</c:v>
                </c:pt>
                <c:pt idx="707">
                  <c:v>0.30150753768758548</c:v>
                </c:pt>
                <c:pt idx="708">
                  <c:v>0.260303687637021</c:v>
                </c:pt>
                <c:pt idx="709">
                  <c:v>0.59813084112019377</c:v>
                </c:pt>
                <c:pt idx="710">
                  <c:v>0.37473976405189346</c:v>
                </c:pt>
                <c:pt idx="711">
                  <c:v>0.33264033264049364</c:v>
                </c:pt>
                <c:pt idx="712">
                  <c:v>0.33333333333333331</c:v>
                </c:pt>
                <c:pt idx="713">
                  <c:v>0.24112525117300151</c:v>
                </c:pt>
                <c:pt idx="714">
                  <c:v>0.46511627906816477</c:v>
                </c:pt>
                <c:pt idx="715">
                  <c:v>0.25806451612903225</c:v>
                </c:pt>
                <c:pt idx="716">
                  <c:v>0.28846153846158457</c:v>
                </c:pt>
                <c:pt idx="717">
                  <c:v>0.37815126050346182</c:v>
                </c:pt>
                <c:pt idx="718">
                  <c:v>0.41465100207572364</c:v>
                </c:pt>
              </c:numCache>
            </c:numRef>
          </c:val>
        </c:ser>
        <c:ser>
          <c:idx val="1"/>
          <c:order val="1"/>
          <c:tx>
            <c:strRef>
              <c:f>'T° et conso par heure'!$C$1</c:f>
              <c:strCache>
                <c:ptCount val="1"/>
                <c:pt idx="0">
                  <c:v>Somme de T° station</c:v>
                </c:pt>
              </c:strCache>
            </c:strRef>
          </c:tx>
          <c:invertIfNegative val="0"/>
          <c:cat>
            <c:strRef>
              <c:f>'T° et conso par heure'!$A$2:$A$721</c:f>
              <c:strCache>
                <c:ptCount val="719"/>
                <c:pt idx="0">
                  <c:v>17/12/20 17:00</c:v>
                </c:pt>
                <c:pt idx="1">
                  <c:v>24/1/21 19:00</c:v>
                </c:pt>
                <c:pt idx="2">
                  <c:v>25/1/21 8:23</c:v>
                </c:pt>
                <c:pt idx="3">
                  <c:v>25/1/21 13:20</c:v>
                </c:pt>
                <c:pt idx="4">
                  <c:v>25/1/21 19:20</c:v>
                </c:pt>
                <c:pt idx="5">
                  <c:v>26/1/21 6:44</c:v>
                </c:pt>
                <c:pt idx="6">
                  <c:v>26/1/21 13:29</c:v>
                </c:pt>
                <c:pt idx="7">
                  <c:v>26/1/21 19:36</c:v>
                </c:pt>
                <c:pt idx="8">
                  <c:v>27/1/21 6:30</c:v>
                </c:pt>
                <c:pt idx="9">
                  <c:v>27/1/21 13:13</c:v>
                </c:pt>
                <c:pt idx="10">
                  <c:v>27/1/21 20:01</c:v>
                </c:pt>
                <c:pt idx="11">
                  <c:v>28/1/21 6:53</c:v>
                </c:pt>
                <c:pt idx="12">
                  <c:v>28/1/21 13:25</c:v>
                </c:pt>
                <c:pt idx="13">
                  <c:v>28/1/21 19:12</c:v>
                </c:pt>
                <c:pt idx="14">
                  <c:v>29/1/21 6:52</c:v>
                </c:pt>
                <c:pt idx="15">
                  <c:v>29/1/21 13:33</c:v>
                </c:pt>
                <c:pt idx="16">
                  <c:v>29/1/21 21:07</c:v>
                </c:pt>
                <c:pt idx="17">
                  <c:v>30/1/21 6:35</c:v>
                </c:pt>
                <c:pt idx="18">
                  <c:v>30/1/21 15:22</c:v>
                </c:pt>
                <c:pt idx="19">
                  <c:v>31/1/21 8:17</c:v>
                </c:pt>
                <c:pt idx="20">
                  <c:v>31/1/21 10:56</c:v>
                </c:pt>
                <c:pt idx="21">
                  <c:v>31/1/21 20:34</c:v>
                </c:pt>
                <c:pt idx="22">
                  <c:v>1/2/21 7:40</c:v>
                </c:pt>
                <c:pt idx="23">
                  <c:v>1/2/21 13:23</c:v>
                </c:pt>
                <c:pt idx="24">
                  <c:v>1/2/21 20:20</c:v>
                </c:pt>
                <c:pt idx="25">
                  <c:v>2/2/21 6:58</c:v>
                </c:pt>
                <c:pt idx="26">
                  <c:v>2/2/21 13:38</c:v>
                </c:pt>
                <c:pt idx="27">
                  <c:v>2/2/21 23:28</c:v>
                </c:pt>
                <c:pt idx="28">
                  <c:v>3/2/21 13:29</c:v>
                </c:pt>
                <c:pt idx="29">
                  <c:v>3/2/21 22:37</c:v>
                </c:pt>
                <c:pt idx="30">
                  <c:v>4/2/21 8:26</c:v>
                </c:pt>
                <c:pt idx="31">
                  <c:v>4/2/21 17:39</c:v>
                </c:pt>
                <c:pt idx="32">
                  <c:v>5/2/21 8:49</c:v>
                </c:pt>
                <c:pt idx="33">
                  <c:v>5/2/21 18:22</c:v>
                </c:pt>
                <c:pt idx="34">
                  <c:v>6/2/21 9:00</c:v>
                </c:pt>
                <c:pt idx="35">
                  <c:v>6/2/21 14:23</c:v>
                </c:pt>
                <c:pt idx="36">
                  <c:v>7/2/21 6:58</c:v>
                </c:pt>
                <c:pt idx="37">
                  <c:v>7/2/21 11:14</c:v>
                </c:pt>
                <c:pt idx="38">
                  <c:v>8/2/21 7:38</c:v>
                </c:pt>
                <c:pt idx="39">
                  <c:v>8/2/21 13:38</c:v>
                </c:pt>
                <c:pt idx="40">
                  <c:v>8/2/21 20:43</c:v>
                </c:pt>
                <c:pt idx="41">
                  <c:v>9/2/21 6:30</c:v>
                </c:pt>
                <c:pt idx="42">
                  <c:v>9/2/21 13:26</c:v>
                </c:pt>
                <c:pt idx="43">
                  <c:v>10/2/21 7:05</c:v>
                </c:pt>
                <c:pt idx="44">
                  <c:v>10/2/21 13:28</c:v>
                </c:pt>
                <c:pt idx="45">
                  <c:v>11/2/21 7:37</c:v>
                </c:pt>
                <c:pt idx="46">
                  <c:v>11/2/21 13:29</c:v>
                </c:pt>
                <c:pt idx="47">
                  <c:v>12/2/21 7:19</c:v>
                </c:pt>
                <c:pt idx="48">
                  <c:v>13/2/21 8:22</c:v>
                </c:pt>
                <c:pt idx="49">
                  <c:v>13/2/21 17:12</c:v>
                </c:pt>
                <c:pt idx="50">
                  <c:v>14/2/21 8:33</c:v>
                </c:pt>
                <c:pt idx="51">
                  <c:v>14/2/21 17:59</c:v>
                </c:pt>
                <c:pt idx="52">
                  <c:v>15/2/21 6:37</c:v>
                </c:pt>
                <c:pt idx="53">
                  <c:v>15/2/21 13:44</c:v>
                </c:pt>
                <c:pt idx="54">
                  <c:v>16/2/21 7:28</c:v>
                </c:pt>
                <c:pt idx="55">
                  <c:v>16/2/21 20:25</c:v>
                </c:pt>
                <c:pt idx="56">
                  <c:v>17/2/21 6:59</c:v>
                </c:pt>
                <c:pt idx="57">
                  <c:v>17/2/21 13:57</c:v>
                </c:pt>
                <c:pt idx="58">
                  <c:v>17/2/21 20:43</c:v>
                </c:pt>
                <c:pt idx="59">
                  <c:v>18/2/21 7:24</c:v>
                </c:pt>
                <c:pt idx="60">
                  <c:v>18/2/21 15:37</c:v>
                </c:pt>
                <c:pt idx="61">
                  <c:v>19/2/21 7:33</c:v>
                </c:pt>
                <c:pt idx="62">
                  <c:v>19/2/21 13:35</c:v>
                </c:pt>
                <c:pt idx="63">
                  <c:v>19/2/21 16:10</c:v>
                </c:pt>
                <c:pt idx="64">
                  <c:v>19/2/21 17:45</c:v>
                </c:pt>
                <c:pt idx="65">
                  <c:v>20/2/21 8:29</c:v>
                </c:pt>
                <c:pt idx="66">
                  <c:v>20/2/21 13:37</c:v>
                </c:pt>
                <c:pt idx="67">
                  <c:v>21/2/21 17:40</c:v>
                </c:pt>
                <c:pt idx="68">
                  <c:v>22/2/21 8:22</c:v>
                </c:pt>
                <c:pt idx="69">
                  <c:v>22/2/21 13:20</c:v>
                </c:pt>
                <c:pt idx="70">
                  <c:v>22/2/21 23:04</c:v>
                </c:pt>
                <c:pt idx="71">
                  <c:v>23/2/21 6:30</c:v>
                </c:pt>
                <c:pt idx="72">
                  <c:v>23/2/21 13:21</c:v>
                </c:pt>
                <c:pt idx="73">
                  <c:v>23/2/21 23:06</c:v>
                </c:pt>
                <c:pt idx="74">
                  <c:v>24/2/21 6:54</c:v>
                </c:pt>
                <c:pt idx="75">
                  <c:v>24/2/21 13:51</c:v>
                </c:pt>
                <c:pt idx="76">
                  <c:v>24/2/21 22:32</c:v>
                </c:pt>
                <c:pt idx="77">
                  <c:v>25/2/21 6:11</c:v>
                </c:pt>
                <c:pt idx="78">
                  <c:v>25/2/21 16:19</c:v>
                </c:pt>
                <c:pt idx="79">
                  <c:v>25/2/21 22:56</c:v>
                </c:pt>
                <c:pt idx="80">
                  <c:v>26/2/21 6:43</c:v>
                </c:pt>
                <c:pt idx="81">
                  <c:v>26/2/21 13:59</c:v>
                </c:pt>
                <c:pt idx="82">
                  <c:v>27/2/21 8:40</c:v>
                </c:pt>
                <c:pt idx="83">
                  <c:v>27/2/21 13:48</c:v>
                </c:pt>
                <c:pt idx="84">
                  <c:v>28/2/21 8:05</c:v>
                </c:pt>
                <c:pt idx="85">
                  <c:v>28/2/21 23:35</c:v>
                </c:pt>
                <c:pt idx="86">
                  <c:v>1/3/21 7:19</c:v>
                </c:pt>
                <c:pt idx="87">
                  <c:v>1/3/21 13:49</c:v>
                </c:pt>
                <c:pt idx="88">
                  <c:v>1/3/21 23:25</c:v>
                </c:pt>
                <c:pt idx="89">
                  <c:v>2/3/21 7:22</c:v>
                </c:pt>
                <c:pt idx="90">
                  <c:v>2/3/21 14:55</c:v>
                </c:pt>
                <c:pt idx="91">
                  <c:v>2/3/21 22:42</c:v>
                </c:pt>
                <c:pt idx="92">
                  <c:v>3/3/21 7:02</c:v>
                </c:pt>
                <c:pt idx="93">
                  <c:v>3/3/21 14:11</c:v>
                </c:pt>
                <c:pt idx="94">
                  <c:v>4/3/21 6:56</c:v>
                </c:pt>
                <c:pt idx="95">
                  <c:v>4/3/21 13:37</c:v>
                </c:pt>
                <c:pt idx="96">
                  <c:v>4/3/21 22:56</c:v>
                </c:pt>
                <c:pt idx="97">
                  <c:v>5/3/21 7:07</c:v>
                </c:pt>
                <c:pt idx="98">
                  <c:v>6/3/21 7:45</c:v>
                </c:pt>
                <c:pt idx="99">
                  <c:v>6/3/21 15:53</c:v>
                </c:pt>
                <c:pt idx="100">
                  <c:v>7/3/21 7:32</c:v>
                </c:pt>
                <c:pt idx="101">
                  <c:v>8/3/21 6:53</c:v>
                </c:pt>
                <c:pt idx="102">
                  <c:v>8/3/21 13:57</c:v>
                </c:pt>
                <c:pt idx="103">
                  <c:v>9/3/21 7:23</c:v>
                </c:pt>
                <c:pt idx="104">
                  <c:v>9/3/21 13:46</c:v>
                </c:pt>
                <c:pt idx="105">
                  <c:v>10/3/21 7:37</c:v>
                </c:pt>
                <c:pt idx="106">
                  <c:v>10/3/21 13:56</c:v>
                </c:pt>
                <c:pt idx="107">
                  <c:v>11/3/21 7:24</c:v>
                </c:pt>
                <c:pt idx="108">
                  <c:v>11/3/21 13:38</c:v>
                </c:pt>
                <c:pt idx="109">
                  <c:v>12/3/21 7:26</c:v>
                </c:pt>
                <c:pt idx="110">
                  <c:v>12/3/21 13:32</c:v>
                </c:pt>
                <c:pt idx="111">
                  <c:v>13/3/21 8:23</c:v>
                </c:pt>
                <c:pt idx="112">
                  <c:v>14/3/21 8:05</c:v>
                </c:pt>
                <c:pt idx="113">
                  <c:v>14/3/21 14:14</c:v>
                </c:pt>
                <c:pt idx="114">
                  <c:v>15/3/21 7:57</c:v>
                </c:pt>
                <c:pt idx="115">
                  <c:v>15/3/21 13:31</c:v>
                </c:pt>
                <c:pt idx="116">
                  <c:v>16/3/21 8:48</c:v>
                </c:pt>
                <c:pt idx="117">
                  <c:v>16/3/21 14:12</c:v>
                </c:pt>
                <c:pt idx="118">
                  <c:v>16/3/21 16:19</c:v>
                </c:pt>
                <c:pt idx="119">
                  <c:v>17/3/21 6:57</c:v>
                </c:pt>
                <c:pt idx="120">
                  <c:v>18/3/21 7:21</c:v>
                </c:pt>
                <c:pt idx="121">
                  <c:v>18/3/21 13:24</c:v>
                </c:pt>
                <c:pt idx="122">
                  <c:v>19/3/21 7:07</c:v>
                </c:pt>
                <c:pt idx="123">
                  <c:v>20/3/21 8:59</c:v>
                </c:pt>
                <c:pt idx="124">
                  <c:v>21/3/21 8:44</c:v>
                </c:pt>
                <c:pt idx="125">
                  <c:v>22/3/21 7:22</c:v>
                </c:pt>
                <c:pt idx="126">
                  <c:v>22/3/21 13:43</c:v>
                </c:pt>
                <c:pt idx="127">
                  <c:v>23/3/21 8:56</c:v>
                </c:pt>
                <c:pt idx="128">
                  <c:v>24/3/21 13:59</c:v>
                </c:pt>
                <c:pt idx="129">
                  <c:v>25/3/21 8:47</c:v>
                </c:pt>
                <c:pt idx="130">
                  <c:v>26/3/21 9:03</c:v>
                </c:pt>
                <c:pt idx="131">
                  <c:v>26/3/21 13:59</c:v>
                </c:pt>
                <c:pt idx="132">
                  <c:v>27/3/21 10:58</c:v>
                </c:pt>
                <c:pt idx="133">
                  <c:v>28/3/21 10:31</c:v>
                </c:pt>
                <c:pt idx="134">
                  <c:v>29/3/21 9:30</c:v>
                </c:pt>
                <c:pt idx="135">
                  <c:v>30/3/21 8:41</c:v>
                </c:pt>
                <c:pt idx="136">
                  <c:v>31/3/21 8:27</c:v>
                </c:pt>
                <c:pt idx="137">
                  <c:v>1/4/21 9:00</c:v>
                </c:pt>
                <c:pt idx="138">
                  <c:v>2/4/21 13:44</c:v>
                </c:pt>
                <c:pt idx="139">
                  <c:v>3/4/21 8:31</c:v>
                </c:pt>
                <c:pt idx="140">
                  <c:v>4/4/21 10:18</c:v>
                </c:pt>
                <c:pt idx="141">
                  <c:v>5/4/21 9:39</c:v>
                </c:pt>
                <c:pt idx="142">
                  <c:v>6/4/21 7:30</c:v>
                </c:pt>
                <c:pt idx="143">
                  <c:v>6/4/21 13:50</c:v>
                </c:pt>
                <c:pt idx="144">
                  <c:v>7/4/21 9:05</c:v>
                </c:pt>
                <c:pt idx="145">
                  <c:v>8/4/21 9:29</c:v>
                </c:pt>
                <c:pt idx="146">
                  <c:v>9/4/21 8:53</c:v>
                </c:pt>
                <c:pt idx="147">
                  <c:v>11/4/21 8:32</c:v>
                </c:pt>
                <c:pt idx="148">
                  <c:v>12/4/21 7:29</c:v>
                </c:pt>
                <c:pt idx="149">
                  <c:v>13/4/21 8:00</c:v>
                </c:pt>
                <c:pt idx="150">
                  <c:v>13/4/21 12:34</c:v>
                </c:pt>
                <c:pt idx="151">
                  <c:v>13/4/21 13:42</c:v>
                </c:pt>
                <c:pt idx="152">
                  <c:v>13/4/21 16:01</c:v>
                </c:pt>
                <c:pt idx="153">
                  <c:v>13/4/21 19:03</c:v>
                </c:pt>
                <c:pt idx="154">
                  <c:v>15/4/21 19:04</c:v>
                </c:pt>
                <c:pt idx="155">
                  <c:v>16/4/21 8:54</c:v>
                </c:pt>
                <c:pt idx="156">
                  <c:v>20/4/21 9:07</c:v>
                </c:pt>
                <c:pt idx="157">
                  <c:v>24/4/21 7:51</c:v>
                </c:pt>
                <c:pt idx="158">
                  <c:v>25/4/21 6:36</c:v>
                </c:pt>
                <c:pt idx="159">
                  <c:v>26/4/21 7:42</c:v>
                </c:pt>
                <c:pt idx="160">
                  <c:v>28/4/21 19:29</c:v>
                </c:pt>
                <c:pt idx="161">
                  <c:v>3/5/21 8:53</c:v>
                </c:pt>
                <c:pt idx="162">
                  <c:v>4/5/21 7:11</c:v>
                </c:pt>
                <c:pt idx="163">
                  <c:v>6/5/21 21:51</c:v>
                </c:pt>
                <c:pt idx="164">
                  <c:v>15/6/21 6:33</c:v>
                </c:pt>
                <c:pt idx="165">
                  <c:v>3/7/21 16:15</c:v>
                </c:pt>
                <c:pt idx="166">
                  <c:v>12/9/21 17:57</c:v>
                </c:pt>
                <c:pt idx="167">
                  <c:v>30/9/21 5:59</c:v>
                </c:pt>
                <c:pt idx="168">
                  <c:v>15/10/21 12:00</c:v>
                </c:pt>
                <c:pt idx="169">
                  <c:v>2/11/21 18:23</c:v>
                </c:pt>
                <c:pt idx="170">
                  <c:v>11/11/21 11:55</c:v>
                </c:pt>
                <c:pt idx="171">
                  <c:v>20/11/21 11:05</c:v>
                </c:pt>
                <c:pt idx="172">
                  <c:v>28/11/21 12:26</c:v>
                </c:pt>
                <c:pt idx="173">
                  <c:v>7/12/21 21:09</c:v>
                </c:pt>
                <c:pt idx="174">
                  <c:v>19/12/21 12:07</c:v>
                </c:pt>
                <c:pt idx="175">
                  <c:v>20/12/21 17:20</c:v>
                </c:pt>
                <c:pt idx="176">
                  <c:v>22/12/21 17:23</c:v>
                </c:pt>
                <c:pt idx="177">
                  <c:v>24/12/21 15:48</c:v>
                </c:pt>
                <c:pt idx="178">
                  <c:v>26/12/21 19:17</c:v>
                </c:pt>
                <c:pt idx="179">
                  <c:v>17/1/22 18:58</c:v>
                </c:pt>
                <c:pt idx="180">
                  <c:v>19/1/22 7:30</c:v>
                </c:pt>
                <c:pt idx="181">
                  <c:v>20/1/22 7:22</c:v>
                </c:pt>
                <c:pt idx="182">
                  <c:v>21/1/22 7:49</c:v>
                </c:pt>
                <c:pt idx="183">
                  <c:v>22/1/22 8:08</c:v>
                </c:pt>
                <c:pt idx="184">
                  <c:v>23/1/22 8:14</c:v>
                </c:pt>
                <c:pt idx="185">
                  <c:v>24/1/22 7:58</c:v>
                </c:pt>
                <c:pt idx="186">
                  <c:v>25/1/22 7:41</c:v>
                </c:pt>
                <c:pt idx="187">
                  <c:v>26/1/22 7:45</c:v>
                </c:pt>
                <c:pt idx="188">
                  <c:v>27/1/22 7:22</c:v>
                </c:pt>
                <c:pt idx="189">
                  <c:v>28/1/22 8:31</c:v>
                </c:pt>
                <c:pt idx="190">
                  <c:v>29/1/22 7:36</c:v>
                </c:pt>
                <c:pt idx="191">
                  <c:v>30/1/22 8:52</c:v>
                </c:pt>
                <c:pt idx="192">
                  <c:v>31/1/22 7:27</c:v>
                </c:pt>
                <c:pt idx="193">
                  <c:v>1/2/22 7:24</c:v>
                </c:pt>
                <c:pt idx="194">
                  <c:v>2/2/22 7:52</c:v>
                </c:pt>
                <c:pt idx="195">
                  <c:v>3/2/22 8:20</c:v>
                </c:pt>
                <c:pt idx="196">
                  <c:v>4/2/22 8:23</c:v>
                </c:pt>
                <c:pt idx="197">
                  <c:v>5/2/22 8:47</c:v>
                </c:pt>
                <c:pt idx="198">
                  <c:v>6/2/22 10:22</c:v>
                </c:pt>
                <c:pt idx="199">
                  <c:v>7/2/22 7:40</c:v>
                </c:pt>
                <c:pt idx="200">
                  <c:v>8/2/22 7:28</c:v>
                </c:pt>
                <c:pt idx="201">
                  <c:v>9/2/22 8:33</c:v>
                </c:pt>
                <c:pt idx="202">
                  <c:v>10/2/22 8:36</c:v>
                </c:pt>
                <c:pt idx="203">
                  <c:v>11/2/22 8:17</c:v>
                </c:pt>
                <c:pt idx="204">
                  <c:v>12/2/22 7:22</c:v>
                </c:pt>
                <c:pt idx="205">
                  <c:v>14/2/22 7:37</c:v>
                </c:pt>
                <c:pt idx="206">
                  <c:v>15/2/22 7:19</c:v>
                </c:pt>
                <c:pt idx="207">
                  <c:v>17/2/22 8:52</c:v>
                </c:pt>
                <c:pt idx="208">
                  <c:v>20/2/22 12:02</c:v>
                </c:pt>
                <c:pt idx="209">
                  <c:v>21/2/22 8:22</c:v>
                </c:pt>
                <c:pt idx="210">
                  <c:v>16/2/22 7:48</c:v>
                </c:pt>
                <c:pt idx="211">
                  <c:v>22/2/22 9:33</c:v>
                </c:pt>
                <c:pt idx="212">
                  <c:v>24/2/22 8:35</c:v>
                </c:pt>
                <c:pt idx="213">
                  <c:v>25/2/22 9:55</c:v>
                </c:pt>
                <c:pt idx="214">
                  <c:v>28/2/22 7:35</c:v>
                </c:pt>
                <c:pt idx="215">
                  <c:v>1/3/22 7:32</c:v>
                </c:pt>
                <c:pt idx="216">
                  <c:v>2/3/22 8:30</c:v>
                </c:pt>
                <c:pt idx="217">
                  <c:v>3/3/22 8:27</c:v>
                </c:pt>
                <c:pt idx="218">
                  <c:v>4/3/22 8:25</c:v>
                </c:pt>
                <c:pt idx="219">
                  <c:v>5/3/22 8:28</c:v>
                </c:pt>
                <c:pt idx="220">
                  <c:v>7/3/22 7:46</c:v>
                </c:pt>
                <c:pt idx="221">
                  <c:v>8/3/22 7:39</c:v>
                </c:pt>
                <c:pt idx="222">
                  <c:v>9/3/22 7:51</c:v>
                </c:pt>
                <c:pt idx="223">
                  <c:v>10/3/22 8:25</c:v>
                </c:pt>
                <c:pt idx="224">
                  <c:v>11/3/22 9:03</c:v>
                </c:pt>
                <c:pt idx="225">
                  <c:v>12/3/22 7:38</c:v>
                </c:pt>
                <c:pt idx="226">
                  <c:v>13/3/22 9:36</c:v>
                </c:pt>
                <c:pt idx="227">
                  <c:v>14/3/22 7:49</c:v>
                </c:pt>
                <c:pt idx="228">
                  <c:v>15/3/22 7:36</c:v>
                </c:pt>
                <c:pt idx="229">
                  <c:v>16/3/22 7:40</c:v>
                </c:pt>
                <c:pt idx="230">
                  <c:v>17/3/22 10:24</c:v>
                </c:pt>
                <c:pt idx="231">
                  <c:v>18/3/22 8:23</c:v>
                </c:pt>
                <c:pt idx="232">
                  <c:v>19/3/22 7:55</c:v>
                </c:pt>
                <c:pt idx="233">
                  <c:v>20/3/22 9:13</c:v>
                </c:pt>
                <c:pt idx="234">
                  <c:v>21/3/22 7:53</c:v>
                </c:pt>
                <c:pt idx="235">
                  <c:v>22/3/22 7:21</c:v>
                </c:pt>
                <c:pt idx="236">
                  <c:v>23/3/22 8:56</c:v>
                </c:pt>
                <c:pt idx="237">
                  <c:v>24/3/22 7:45</c:v>
                </c:pt>
                <c:pt idx="238">
                  <c:v>25/3/22 8:15</c:v>
                </c:pt>
                <c:pt idx="239">
                  <c:v>26/3/22 7:27</c:v>
                </c:pt>
                <c:pt idx="240">
                  <c:v>27/3/22 9:58</c:v>
                </c:pt>
                <c:pt idx="241">
                  <c:v>28/3/22 7:56</c:v>
                </c:pt>
                <c:pt idx="242">
                  <c:v>29/3/22 7:23</c:v>
                </c:pt>
                <c:pt idx="243">
                  <c:v>30/3/22 7:15</c:v>
                </c:pt>
                <c:pt idx="244">
                  <c:v>31/3/22 8:30</c:v>
                </c:pt>
                <c:pt idx="245">
                  <c:v>1/4/22 7:40</c:v>
                </c:pt>
                <c:pt idx="246">
                  <c:v>2/4/22 8:06</c:v>
                </c:pt>
                <c:pt idx="247">
                  <c:v>4/4/22 7:53</c:v>
                </c:pt>
                <c:pt idx="248">
                  <c:v>5/4/22 7:28</c:v>
                </c:pt>
                <c:pt idx="249">
                  <c:v>6/4/22 7:48</c:v>
                </c:pt>
                <c:pt idx="250">
                  <c:v>7/4/22 8:01</c:v>
                </c:pt>
                <c:pt idx="251">
                  <c:v>8/4/22 8:25</c:v>
                </c:pt>
                <c:pt idx="252">
                  <c:v>9/4/22 8:33</c:v>
                </c:pt>
                <c:pt idx="253">
                  <c:v>10/4/22 7:39</c:v>
                </c:pt>
                <c:pt idx="254">
                  <c:v>11/4/22 7:46</c:v>
                </c:pt>
                <c:pt idx="255">
                  <c:v>12/4/22 7:38</c:v>
                </c:pt>
                <c:pt idx="256">
                  <c:v>13/4/22 7:36</c:v>
                </c:pt>
                <c:pt idx="257">
                  <c:v>14/4/22 8:13</c:v>
                </c:pt>
                <c:pt idx="258">
                  <c:v>15/4/22 9:14</c:v>
                </c:pt>
                <c:pt idx="259">
                  <c:v>16/4/22 7:34</c:v>
                </c:pt>
                <c:pt idx="260">
                  <c:v>17/4/22 8:21</c:v>
                </c:pt>
                <c:pt idx="261">
                  <c:v>19/4/22 7:44</c:v>
                </c:pt>
                <c:pt idx="262">
                  <c:v>20/4/22 7:25</c:v>
                </c:pt>
                <c:pt idx="263">
                  <c:v>21/4/22 7:33</c:v>
                </c:pt>
                <c:pt idx="264">
                  <c:v>22/4/22 8:20</c:v>
                </c:pt>
                <c:pt idx="265">
                  <c:v>23/4/22 11:04</c:v>
                </c:pt>
                <c:pt idx="266">
                  <c:v>24/4/22 8:33</c:v>
                </c:pt>
                <c:pt idx="267">
                  <c:v>26/4/22 8:35</c:v>
                </c:pt>
                <c:pt idx="268">
                  <c:v>27/4/22 9:20</c:v>
                </c:pt>
                <c:pt idx="269">
                  <c:v>28/4/22 7:32</c:v>
                </c:pt>
                <c:pt idx="270">
                  <c:v>29/4/22 8:04</c:v>
                </c:pt>
                <c:pt idx="271">
                  <c:v>30/4/22 8:38</c:v>
                </c:pt>
                <c:pt idx="272">
                  <c:v>1/5/22 8:05</c:v>
                </c:pt>
                <c:pt idx="273">
                  <c:v>2/5/22 7:38</c:v>
                </c:pt>
                <c:pt idx="274">
                  <c:v>3/5/22 7:28</c:v>
                </c:pt>
                <c:pt idx="275">
                  <c:v>4/5/22 8:12</c:v>
                </c:pt>
                <c:pt idx="276">
                  <c:v>5/5/22 7:22</c:v>
                </c:pt>
                <c:pt idx="277">
                  <c:v>6/5/22 7:45</c:v>
                </c:pt>
                <c:pt idx="278">
                  <c:v>7/5/22 8:26</c:v>
                </c:pt>
                <c:pt idx="279">
                  <c:v>8/5/22 11:36</c:v>
                </c:pt>
                <c:pt idx="280">
                  <c:v>9/5/22 7:45</c:v>
                </c:pt>
                <c:pt idx="281">
                  <c:v>10/5/22 7:30</c:v>
                </c:pt>
                <c:pt idx="282">
                  <c:v>11/5/22 8:39</c:v>
                </c:pt>
                <c:pt idx="283">
                  <c:v>12/5/22 7:15</c:v>
                </c:pt>
                <c:pt idx="284">
                  <c:v>13/5/22 8:22</c:v>
                </c:pt>
                <c:pt idx="285">
                  <c:v>14/5/22 8:03</c:v>
                </c:pt>
                <c:pt idx="286">
                  <c:v>15/5/22 8:59</c:v>
                </c:pt>
                <c:pt idx="287">
                  <c:v>16/5/22 7:33</c:v>
                </c:pt>
                <c:pt idx="288">
                  <c:v>17/5/22 7:31</c:v>
                </c:pt>
                <c:pt idx="289">
                  <c:v>18/5/22 8:28</c:v>
                </c:pt>
                <c:pt idx="290">
                  <c:v>19/5/22 7:22</c:v>
                </c:pt>
                <c:pt idx="291">
                  <c:v>20/5/22 8:16</c:v>
                </c:pt>
                <c:pt idx="292">
                  <c:v>21/5/22 6:50</c:v>
                </c:pt>
                <c:pt idx="293">
                  <c:v>23/5/22 7:43</c:v>
                </c:pt>
                <c:pt idx="294">
                  <c:v>24/5/22 7:41</c:v>
                </c:pt>
                <c:pt idx="295">
                  <c:v>25/5/22 8:20</c:v>
                </c:pt>
                <c:pt idx="296">
                  <c:v>26/5/22 9:22</c:v>
                </c:pt>
                <c:pt idx="297">
                  <c:v>27/5/22 8:06</c:v>
                </c:pt>
                <c:pt idx="298">
                  <c:v>28/5/22 7:21</c:v>
                </c:pt>
                <c:pt idx="299">
                  <c:v>29/5/22 8:34</c:v>
                </c:pt>
                <c:pt idx="300">
                  <c:v>30/5/22 7:42</c:v>
                </c:pt>
                <c:pt idx="301">
                  <c:v>31/5/22 7:45</c:v>
                </c:pt>
                <c:pt idx="302">
                  <c:v>1/6/22 7:45</c:v>
                </c:pt>
                <c:pt idx="303">
                  <c:v>2/6/22 7:18</c:v>
                </c:pt>
                <c:pt idx="304">
                  <c:v>3/6/22 7:25</c:v>
                </c:pt>
                <c:pt idx="305">
                  <c:v>4/6/22 8:20</c:v>
                </c:pt>
                <c:pt idx="306">
                  <c:v>5/6/22 8:20</c:v>
                </c:pt>
                <c:pt idx="307">
                  <c:v>7/6/22 7:38</c:v>
                </c:pt>
                <c:pt idx="308">
                  <c:v>8/6/22 8:45</c:v>
                </c:pt>
                <c:pt idx="309">
                  <c:v>9/6/22 7:40</c:v>
                </c:pt>
                <c:pt idx="310">
                  <c:v>10/6/22 8:01</c:v>
                </c:pt>
                <c:pt idx="311">
                  <c:v>11/6/22 7:42</c:v>
                </c:pt>
                <c:pt idx="312">
                  <c:v>12/6/22 8:29</c:v>
                </c:pt>
                <c:pt idx="313">
                  <c:v>13/6/22 8:03</c:v>
                </c:pt>
                <c:pt idx="314">
                  <c:v>14/6/22 7:43</c:v>
                </c:pt>
                <c:pt idx="315">
                  <c:v>15/6/22 7:07</c:v>
                </c:pt>
                <c:pt idx="316">
                  <c:v>16/6/22 7:44</c:v>
                </c:pt>
                <c:pt idx="317">
                  <c:v>17/6/22 7:34</c:v>
                </c:pt>
                <c:pt idx="318">
                  <c:v>18/6/22 8:39</c:v>
                </c:pt>
                <c:pt idx="319">
                  <c:v>19/6/22 9:01</c:v>
                </c:pt>
                <c:pt idx="320">
                  <c:v>20/6/22 7:32</c:v>
                </c:pt>
                <c:pt idx="321">
                  <c:v>21/6/22 7:23</c:v>
                </c:pt>
                <c:pt idx="322">
                  <c:v>22/6/22 7:29</c:v>
                </c:pt>
                <c:pt idx="323">
                  <c:v>23/6/22 7:31</c:v>
                </c:pt>
                <c:pt idx="324">
                  <c:v>24/6/22 7:44</c:v>
                </c:pt>
                <c:pt idx="325">
                  <c:v>25/6/22 9:21</c:v>
                </c:pt>
                <c:pt idx="326">
                  <c:v>26/6/22 9:48</c:v>
                </c:pt>
                <c:pt idx="327">
                  <c:v>27/6/22 7:42</c:v>
                </c:pt>
                <c:pt idx="328">
                  <c:v>28/6/22 7:31</c:v>
                </c:pt>
                <c:pt idx="329">
                  <c:v>29/6/22 8:25</c:v>
                </c:pt>
                <c:pt idx="330">
                  <c:v>30/6/22 7:46</c:v>
                </c:pt>
                <c:pt idx="331">
                  <c:v>1/7/22 8:04</c:v>
                </c:pt>
                <c:pt idx="332">
                  <c:v>3/7/22 9:14</c:v>
                </c:pt>
                <c:pt idx="333">
                  <c:v>4/7/22 7:39</c:v>
                </c:pt>
                <c:pt idx="334">
                  <c:v>5/7/22 7:11</c:v>
                </c:pt>
                <c:pt idx="335">
                  <c:v>6/7/22 8:13</c:v>
                </c:pt>
                <c:pt idx="336">
                  <c:v>7/7/22 7:33</c:v>
                </c:pt>
                <c:pt idx="337">
                  <c:v>8/7/22 8:14</c:v>
                </c:pt>
                <c:pt idx="338">
                  <c:v>9/7/22 10:56</c:v>
                </c:pt>
                <c:pt idx="339">
                  <c:v>10/7/22 11:10</c:v>
                </c:pt>
                <c:pt idx="340">
                  <c:v>11/7/22 7:33</c:v>
                </c:pt>
                <c:pt idx="341">
                  <c:v>12/7/22 7:41</c:v>
                </c:pt>
                <c:pt idx="342">
                  <c:v>13/7/22 7:29</c:v>
                </c:pt>
                <c:pt idx="343">
                  <c:v>14/7/22 8:20</c:v>
                </c:pt>
                <c:pt idx="344">
                  <c:v>15/7/22 7:38</c:v>
                </c:pt>
                <c:pt idx="345">
                  <c:v>16/7/22 10:13</c:v>
                </c:pt>
                <c:pt idx="346">
                  <c:v>17/7/22 11:02</c:v>
                </c:pt>
                <c:pt idx="347">
                  <c:v>18/7/22 9:02</c:v>
                </c:pt>
                <c:pt idx="348">
                  <c:v>19/7/22 8:47</c:v>
                </c:pt>
                <c:pt idx="349">
                  <c:v>20/7/22 7:51</c:v>
                </c:pt>
                <c:pt idx="350">
                  <c:v>21/7/22 8:20</c:v>
                </c:pt>
                <c:pt idx="351">
                  <c:v>22/7/22 7:55</c:v>
                </c:pt>
                <c:pt idx="352">
                  <c:v>23/7/22 3:28</c:v>
                </c:pt>
                <c:pt idx="353">
                  <c:v>6/8/22 6:40</c:v>
                </c:pt>
                <c:pt idx="354">
                  <c:v>7/8/22 8:11</c:v>
                </c:pt>
                <c:pt idx="355">
                  <c:v>8/8/22 7:58</c:v>
                </c:pt>
                <c:pt idx="356">
                  <c:v>9/8/22 7:38</c:v>
                </c:pt>
                <c:pt idx="357">
                  <c:v>10/8/22 8:19</c:v>
                </c:pt>
                <c:pt idx="358">
                  <c:v>11/8/22 8:18</c:v>
                </c:pt>
                <c:pt idx="359">
                  <c:v>12/8/22 8:26</c:v>
                </c:pt>
                <c:pt idx="360">
                  <c:v>13/8/22 8:04</c:v>
                </c:pt>
                <c:pt idx="361">
                  <c:v>16/8/22 7:38</c:v>
                </c:pt>
                <c:pt idx="362">
                  <c:v>17/8/22 8:34</c:v>
                </c:pt>
                <c:pt idx="363">
                  <c:v>18/8/22 7:36</c:v>
                </c:pt>
                <c:pt idx="364">
                  <c:v>19/8/22 7:22</c:v>
                </c:pt>
                <c:pt idx="365">
                  <c:v>20/8/22 7:26</c:v>
                </c:pt>
                <c:pt idx="366">
                  <c:v>22/8/22 7:41</c:v>
                </c:pt>
                <c:pt idx="367">
                  <c:v>23/8/22 7:21</c:v>
                </c:pt>
                <c:pt idx="368">
                  <c:v>24/8/22 7:27</c:v>
                </c:pt>
                <c:pt idx="369">
                  <c:v>25/8/22 7:36</c:v>
                </c:pt>
                <c:pt idx="370">
                  <c:v>26/8/22 7:43</c:v>
                </c:pt>
                <c:pt idx="371">
                  <c:v>27/8/22 7:22</c:v>
                </c:pt>
                <c:pt idx="372">
                  <c:v>29/8/22 7:42</c:v>
                </c:pt>
                <c:pt idx="373">
                  <c:v>30/8/22 7:30</c:v>
                </c:pt>
                <c:pt idx="374">
                  <c:v>31/8/22 8:38</c:v>
                </c:pt>
                <c:pt idx="375">
                  <c:v>1/9/22 8:52</c:v>
                </c:pt>
                <c:pt idx="376">
                  <c:v>2/9/22 7:26</c:v>
                </c:pt>
                <c:pt idx="377">
                  <c:v>3/9/22 8:03</c:v>
                </c:pt>
                <c:pt idx="378">
                  <c:v>4/9/22 10:53</c:v>
                </c:pt>
                <c:pt idx="379">
                  <c:v>5/9/22 7:41</c:v>
                </c:pt>
                <c:pt idx="380">
                  <c:v>6/9/22 7:31</c:v>
                </c:pt>
                <c:pt idx="381">
                  <c:v>7/9/22 8:42</c:v>
                </c:pt>
                <c:pt idx="382">
                  <c:v>8/9/22 8:06</c:v>
                </c:pt>
                <c:pt idx="383">
                  <c:v>9/9/22 8:15</c:v>
                </c:pt>
                <c:pt idx="384">
                  <c:v>10/9/22 8:18</c:v>
                </c:pt>
                <c:pt idx="385">
                  <c:v>11/9/22 9:47</c:v>
                </c:pt>
                <c:pt idx="386">
                  <c:v>12/9/22 7:32</c:v>
                </c:pt>
                <c:pt idx="387">
                  <c:v>13/9/22 7:40</c:v>
                </c:pt>
                <c:pt idx="388">
                  <c:v>15/9/22 8:33</c:v>
                </c:pt>
                <c:pt idx="389">
                  <c:v>16/9/22 7:36</c:v>
                </c:pt>
                <c:pt idx="390">
                  <c:v>17/9/22 9:06</c:v>
                </c:pt>
                <c:pt idx="391">
                  <c:v>18/9/22 8:38</c:v>
                </c:pt>
                <c:pt idx="392">
                  <c:v>19/9/22 7:42</c:v>
                </c:pt>
                <c:pt idx="393">
                  <c:v>20/9/22 7:22</c:v>
                </c:pt>
                <c:pt idx="394">
                  <c:v>21/9/22 7:29</c:v>
                </c:pt>
                <c:pt idx="395">
                  <c:v>22/9/22 7:37</c:v>
                </c:pt>
                <c:pt idx="396">
                  <c:v>23/9/22 8:11</c:v>
                </c:pt>
                <c:pt idx="397">
                  <c:v>24/9/22 8:14</c:v>
                </c:pt>
                <c:pt idx="398">
                  <c:v>26/9/22 7:40</c:v>
                </c:pt>
                <c:pt idx="399">
                  <c:v>27/9/22 7:46</c:v>
                </c:pt>
                <c:pt idx="400">
                  <c:v>28/9/22 9:12</c:v>
                </c:pt>
                <c:pt idx="401">
                  <c:v>29/9/22 8:10</c:v>
                </c:pt>
                <c:pt idx="402">
                  <c:v>30/9/22 8:20</c:v>
                </c:pt>
                <c:pt idx="403">
                  <c:v>1/10/22 10:12</c:v>
                </c:pt>
                <c:pt idx="404">
                  <c:v>3/10/22 7:44</c:v>
                </c:pt>
                <c:pt idx="405">
                  <c:v>4/10/22 7:33</c:v>
                </c:pt>
                <c:pt idx="406">
                  <c:v>5/10/22 8:20</c:v>
                </c:pt>
                <c:pt idx="407">
                  <c:v>6/10/22 7:33</c:v>
                </c:pt>
                <c:pt idx="408">
                  <c:v>7/10/22 8:22</c:v>
                </c:pt>
                <c:pt idx="409">
                  <c:v>8/10/22 8:58</c:v>
                </c:pt>
                <c:pt idx="410">
                  <c:v>9/10/22 11:06</c:v>
                </c:pt>
                <c:pt idx="411">
                  <c:v>10/10/22 7:37</c:v>
                </c:pt>
                <c:pt idx="412">
                  <c:v>11/10/22 7:28</c:v>
                </c:pt>
                <c:pt idx="413">
                  <c:v>12/10/22 8:45</c:v>
                </c:pt>
                <c:pt idx="414">
                  <c:v>13/10/22 7:12</c:v>
                </c:pt>
                <c:pt idx="415">
                  <c:v>14/10/22 7:26</c:v>
                </c:pt>
                <c:pt idx="416">
                  <c:v>15/10/22 13:10</c:v>
                </c:pt>
                <c:pt idx="417">
                  <c:v>16/10/22 9:28</c:v>
                </c:pt>
                <c:pt idx="418">
                  <c:v>17/10/22 7:23</c:v>
                </c:pt>
                <c:pt idx="419">
                  <c:v>18/10/22 7:34</c:v>
                </c:pt>
                <c:pt idx="420">
                  <c:v>19/10/22 9:24</c:v>
                </c:pt>
                <c:pt idx="421">
                  <c:v>20/10/22 7:23</c:v>
                </c:pt>
                <c:pt idx="422">
                  <c:v>21/10/22 8:08</c:v>
                </c:pt>
                <c:pt idx="423">
                  <c:v>22/10/22 8:07</c:v>
                </c:pt>
                <c:pt idx="424">
                  <c:v>23/10/22 10:48</c:v>
                </c:pt>
                <c:pt idx="425">
                  <c:v>24/10/22 7:34</c:v>
                </c:pt>
                <c:pt idx="426">
                  <c:v>25/10/22 7:35</c:v>
                </c:pt>
                <c:pt idx="427">
                  <c:v>26/10/22 8:43</c:v>
                </c:pt>
                <c:pt idx="428">
                  <c:v>27/10/22 7:36</c:v>
                </c:pt>
                <c:pt idx="429">
                  <c:v>28/10/22 8:22</c:v>
                </c:pt>
                <c:pt idx="430">
                  <c:v>29/10/22 8:05</c:v>
                </c:pt>
                <c:pt idx="431">
                  <c:v>1/11/22 8:14</c:v>
                </c:pt>
                <c:pt idx="432">
                  <c:v>2/11/22 8:18</c:v>
                </c:pt>
                <c:pt idx="433">
                  <c:v>3/11/22 9:18</c:v>
                </c:pt>
                <c:pt idx="434">
                  <c:v>4/11/22 8:54</c:v>
                </c:pt>
                <c:pt idx="435">
                  <c:v>5/11/22 7:29</c:v>
                </c:pt>
                <c:pt idx="436">
                  <c:v>6/11/22 10:34</c:v>
                </c:pt>
                <c:pt idx="437">
                  <c:v>7/11/22 7:43</c:v>
                </c:pt>
                <c:pt idx="438">
                  <c:v>8/11/22 7:41</c:v>
                </c:pt>
                <c:pt idx="439">
                  <c:v>9/11/22 9:20</c:v>
                </c:pt>
                <c:pt idx="440">
                  <c:v>10/11/22 7:24</c:v>
                </c:pt>
                <c:pt idx="441">
                  <c:v>11/11/22 8:42</c:v>
                </c:pt>
                <c:pt idx="442">
                  <c:v>12/11/22 8:38</c:v>
                </c:pt>
                <c:pt idx="443">
                  <c:v>13/11/22 9:06</c:v>
                </c:pt>
                <c:pt idx="444">
                  <c:v>14/11/22 7:40</c:v>
                </c:pt>
                <c:pt idx="445">
                  <c:v>16/11/22 7:41</c:v>
                </c:pt>
                <c:pt idx="446">
                  <c:v>17/11/22 7:11</c:v>
                </c:pt>
                <c:pt idx="447">
                  <c:v>18/11/22 7:52</c:v>
                </c:pt>
                <c:pt idx="448">
                  <c:v>19/11/22 9:37</c:v>
                </c:pt>
                <c:pt idx="449">
                  <c:v>20/11/22 9:39</c:v>
                </c:pt>
                <c:pt idx="450">
                  <c:v>21/11/22 7:21</c:v>
                </c:pt>
                <c:pt idx="451">
                  <c:v>22/11/22 7:43</c:v>
                </c:pt>
                <c:pt idx="452">
                  <c:v>23/11/22 7:42</c:v>
                </c:pt>
                <c:pt idx="453">
                  <c:v>24/11/22 8:39</c:v>
                </c:pt>
                <c:pt idx="454">
                  <c:v>25/11/22 8:19</c:v>
                </c:pt>
                <c:pt idx="455">
                  <c:v>26/11/22 8:29</c:v>
                </c:pt>
                <c:pt idx="456">
                  <c:v>27/11/22 9:16</c:v>
                </c:pt>
                <c:pt idx="457">
                  <c:v>28/11/22 7:50</c:v>
                </c:pt>
                <c:pt idx="458">
                  <c:v>29/11/22 7:34</c:v>
                </c:pt>
                <c:pt idx="459">
                  <c:v>30/11/22 7:34</c:v>
                </c:pt>
                <c:pt idx="460">
                  <c:v>1/12/22 7:40</c:v>
                </c:pt>
                <c:pt idx="461">
                  <c:v>2/12/22 7:41</c:v>
                </c:pt>
                <c:pt idx="462">
                  <c:v>3/12/22 9:26</c:v>
                </c:pt>
                <c:pt idx="463">
                  <c:v>5/12/22 7:42</c:v>
                </c:pt>
                <c:pt idx="464">
                  <c:v>6/12/22 8:29</c:v>
                </c:pt>
                <c:pt idx="465">
                  <c:v>7/12/22 6:57</c:v>
                </c:pt>
                <c:pt idx="466">
                  <c:v>8/12/22 7:23</c:v>
                </c:pt>
                <c:pt idx="467">
                  <c:v>10/12/22 8:45</c:v>
                </c:pt>
                <c:pt idx="468">
                  <c:v>11/12/22 11:16</c:v>
                </c:pt>
                <c:pt idx="469">
                  <c:v>12/12/22 7:34</c:v>
                </c:pt>
                <c:pt idx="470">
                  <c:v>13/12/22 7:30</c:v>
                </c:pt>
                <c:pt idx="471">
                  <c:v>14/12/22 7:43</c:v>
                </c:pt>
                <c:pt idx="472">
                  <c:v>15/12/22 8:11</c:v>
                </c:pt>
                <c:pt idx="473">
                  <c:v>16/12/22 8:06</c:v>
                </c:pt>
                <c:pt idx="474">
                  <c:v>17/12/22 10:39</c:v>
                </c:pt>
                <c:pt idx="475">
                  <c:v>18/12/22 10:22</c:v>
                </c:pt>
                <c:pt idx="476">
                  <c:v>19/12/22 9:57</c:v>
                </c:pt>
                <c:pt idx="477">
                  <c:v>22/12/22 9:39</c:v>
                </c:pt>
                <c:pt idx="478">
                  <c:v>23/12/22 7:17</c:v>
                </c:pt>
                <c:pt idx="479">
                  <c:v>24/12/22 9:24</c:v>
                </c:pt>
                <c:pt idx="480">
                  <c:v>26/12/22 7:43</c:v>
                </c:pt>
                <c:pt idx="481">
                  <c:v>27/12/22 7:42</c:v>
                </c:pt>
                <c:pt idx="482">
                  <c:v>28/12/22 7:55</c:v>
                </c:pt>
                <c:pt idx="483">
                  <c:v>29/12/22 7:56</c:v>
                </c:pt>
                <c:pt idx="484">
                  <c:v>30/12/22 7:43</c:v>
                </c:pt>
                <c:pt idx="485">
                  <c:v>31/12/22 9:05</c:v>
                </c:pt>
                <c:pt idx="486">
                  <c:v>1/1/23 14:34</c:v>
                </c:pt>
                <c:pt idx="487">
                  <c:v>2/1/23 7:49</c:v>
                </c:pt>
                <c:pt idx="488">
                  <c:v>3/1/23 7:38</c:v>
                </c:pt>
                <c:pt idx="489">
                  <c:v>4/1/23 7:39</c:v>
                </c:pt>
                <c:pt idx="490">
                  <c:v>5/1/23 8:12</c:v>
                </c:pt>
                <c:pt idx="491">
                  <c:v>6/1/23 7:58</c:v>
                </c:pt>
                <c:pt idx="492">
                  <c:v>7/1/23 8:46</c:v>
                </c:pt>
                <c:pt idx="493">
                  <c:v>8/1/23 9:24</c:v>
                </c:pt>
                <c:pt idx="494">
                  <c:v>9/1/23 8:02</c:v>
                </c:pt>
                <c:pt idx="495">
                  <c:v>10/1/23 7:22</c:v>
                </c:pt>
                <c:pt idx="496">
                  <c:v>11/1/23 9:03</c:v>
                </c:pt>
                <c:pt idx="497">
                  <c:v>12/1/23 9:32</c:v>
                </c:pt>
                <c:pt idx="498">
                  <c:v>13/1/23 8:28</c:v>
                </c:pt>
                <c:pt idx="499">
                  <c:v>14/1/23 8:49</c:v>
                </c:pt>
                <c:pt idx="500">
                  <c:v>15/1/23 18:28</c:v>
                </c:pt>
                <c:pt idx="501">
                  <c:v>16/1/23 7:59</c:v>
                </c:pt>
                <c:pt idx="502">
                  <c:v>17/1/23 7:40</c:v>
                </c:pt>
                <c:pt idx="503">
                  <c:v>18/1/23 7:40</c:v>
                </c:pt>
                <c:pt idx="504">
                  <c:v>19/1/23 10:53</c:v>
                </c:pt>
                <c:pt idx="505">
                  <c:v>20/1/23 9:10</c:v>
                </c:pt>
                <c:pt idx="506">
                  <c:v>21/1/23 9:34</c:v>
                </c:pt>
                <c:pt idx="507">
                  <c:v>23/1/23 7:36</c:v>
                </c:pt>
                <c:pt idx="508">
                  <c:v>24/1/23 7:55</c:v>
                </c:pt>
                <c:pt idx="509">
                  <c:v>25/1/23 8:22</c:v>
                </c:pt>
                <c:pt idx="510">
                  <c:v>26/1/23 7:53</c:v>
                </c:pt>
                <c:pt idx="511">
                  <c:v>27/1/23 7:29</c:v>
                </c:pt>
                <c:pt idx="512">
                  <c:v>28/1/23 8:04</c:v>
                </c:pt>
                <c:pt idx="513">
                  <c:v>29/1/23 11:03</c:v>
                </c:pt>
                <c:pt idx="514">
                  <c:v>30/1/23 7:36</c:v>
                </c:pt>
                <c:pt idx="515">
                  <c:v>31/1/23 7:48</c:v>
                </c:pt>
                <c:pt idx="516">
                  <c:v>1/2/23 11:23</c:v>
                </c:pt>
                <c:pt idx="517">
                  <c:v>2/2/23 8:01</c:v>
                </c:pt>
                <c:pt idx="518">
                  <c:v>3/2/23 8:15</c:v>
                </c:pt>
                <c:pt idx="519">
                  <c:v>4/2/23 8:47</c:v>
                </c:pt>
                <c:pt idx="520">
                  <c:v>5/2/23 10:27</c:v>
                </c:pt>
                <c:pt idx="521">
                  <c:v>6/2/23 7:41</c:v>
                </c:pt>
                <c:pt idx="522">
                  <c:v>7/2/23 7:32</c:v>
                </c:pt>
                <c:pt idx="523">
                  <c:v>8/2/23 8:58</c:v>
                </c:pt>
                <c:pt idx="524">
                  <c:v>9/2/23 8:54</c:v>
                </c:pt>
                <c:pt idx="525">
                  <c:v>10/2/23 8:45</c:v>
                </c:pt>
                <c:pt idx="526">
                  <c:v>11/2/23 8:40</c:v>
                </c:pt>
                <c:pt idx="527">
                  <c:v>12/2/23 9:43</c:v>
                </c:pt>
                <c:pt idx="528">
                  <c:v>13/2/23 7:35</c:v>
                </c:pt>
                <c:pt idx="529">
                  <c:v>14/2/23 7:43</c:v>
                </c:pt>
                <c:pt idx="530">
                  <c:v>15/2/23 7:24</c:v>
                </c:pt>
                <c:pt idx="531">
                  <c:v>16/2/23 10:06</c:v>
                </c:pt>
                <c:pt idx="532">
                  <c:v>17/2/23 9:02</c:v>
                </c:pt>
                <c:pt idx="533">
                  <c:v>18/2/23 8:13</c:v>
                </c:pt>
                <c:pt idx="534">
                  <c:v>19/2/23 9:01</c:v>
                </c:pt>
                <c:pt idx="535">
                  <c:v>20/2/23 8:11</c:v>
                </c:pt>
                <c:pt idx="536">
                  <c:v>21/2/23 8:09</c:v>
                </c:pt>
                <c:pt idx="537">
                  <c:v>22/2/23 8:02</c:v>
                </c:pt>
                <c:pt idx="538">
                  <c:v>23/2/23 7:45</c:v>
                </c:pt>
                <c:pt idx="539">
                  <c:v>24/2/23 7:48</c:v>
                </c:pt>
                <c:pt idx="540">
                  <c:v>25/2/23 7:13</c:v>
                </c:pt>
                <c:pt idx="541">
                  <c:v>26/2/23 9:38</c:v>
                </c:pt>
                <c:pt idx="542">
                  <c:v>27/2/23 8:02</c:v>
                </c:pt>
                <c:pt idx="543">
                  <c:v>28/2/23 7:31</c:v>
                </c:pt>
                <c:pt idx="544">
                  <c:v>1/3/23 8:14</c:v>
                </c:pt>
                <c:pt idx="545">
                  <c:v>2/3/23 8:16</c:v>
                </c:pt>
                <c:pt idx="546">
                  <c:v>3/3/23 8:32</c:v>
                </c:pt>
                <c:pt idx="547">
                  <c:v>4/3/23 8:57</c:v>
                </c:pt>
                <c:pt idx="548">
                  <c:v>5/3/23 9:27</c:v>
                </c:pt>
                <c:pt idx="549">
                  <c:v>6/3/23 7:42</c:v>
                </c:pt>
                <c:pt idx="550">
                  <c:v>7/3/23 7:22</c:v>
                </c:pt>
                <c:pt idx="551">
                  <c:v>8/3/23 8:19</c:v>
                </c:pt>
                <c:pt idx="552">
                  <c:v>9/3/23 8:51</c:v>
                </c:pt>
                <c:pt idx="553">
                  <c:v>10/3/23 8:21</c:v>
                </c:pt>
                <c:pt idx="554">
                  <c:v>11/3/23 7:07</c:v>
                </c:pt>
                <c:pt idx="555">
                  <c:v>12/3/23 9:39</c:v>
                </c:pt>
                <c:pt idx="556">
                  <c:v>13/3/23 7:32</c:v>
                </c:pt>
                <c:pt idx="557">
                  <c:v>14/3/23 7:41</c:v>
                </c:pt>
                <c:pt idx="558">
                  <c:v>15/3/23 7:59</c:v>
                </c:pt>
                <c:pt idx="559">
                  <c:v>16/3/23 7:24</c:v>
                </c:pt>
                <c:pt idx="560">
                  <c:v>17/3/23 8:14</c:v>
                </c:pt>
                <c:pt idx="561">
                  <c:v>18/3/23 7:25</c:v>
                </c:pt>
                <c:pt idx="562">
                  <c:v>19/3/23 9:47</c:v>
                </c:pt>
                <c:pt idx="563">
                  <c:v>20/3/23 7:41</c:v>
                </c:pt>
                <c:pt idx="564">
                  <c:v>21/3/23 7:28</c:v>
                </c:pt>
                <c:pt idx="565">
                  <c:v>22/3/23 9:30</c:v>
                </c:pt>
                <c:pt idx="566">
                  <c:v>23/3/23 7:52</c:v>
                </c:pt>
                <c:pt idx="567">
                  <c:v>24/3/23 8:22</c:v>
                </c:pt>
                <c:pt idx="568">
                  <c:v>25/3/23 11:06</c:v>
                </c:pt>
                <c:pt idx="569">
                  <c:v>26/3/23 9:25</c:v>
                </c:pt>
                <c:pt idx="570">
                  <c:v>27/3/23 7:42</c:v>
                </c:pt>
                <c:pt idx="571">
                  <c:v>28/3/23 8:59</c:v>
                </c:pt>
                <c:pt idx="572">
                  <c:v>29/3/23 8:49</c:v>
                </c:pt>
                <c:pt idx="573">
                  <c:v>30/3/23 7:56</c:v>
                </c:pt>
                <c:pt idx="574">
                  <c:v>1/4/23 7:40</c:v>
                </c:pt>
                <c:pt idx="575">
                  <c:v>2/4/23 9:25</c:v>
                </c:pt>
                <c:pt idx="576">
                  <c:v>3/4/23 7:56</c:v>
                </c:pt>
                <c:pt idx="577">
                  <c:v>4/4/23 7:39</c:v>
                </c:pt>
                <c:pt idx="578">
                  <c:v>5/4/23 8:54</c:v>
                </c:pt>
                <c:pt idx="579">
                  <c:v>6/4/23 8:08</c:v>
                </c:pt>
                <c:pt idx="580">
                  <c:v>7/4/23 8:04</c:v>
                </c:pt>
                <c:pt idx="581">
                  <c:v>8/4/23 13:16</c:v>
                </c:pt>
                <c:pt idx="582">
                  <c:v>10/4/23 9:03</c:v>
                </c:pt>
                <c:pt idx="583">
                  <c:v>11/4/23 7:49</c:v>
                </c:pt>
                <c:pt idx="584">
                  <c:v>12/4/23 9:22</c:v>
                </c:pt>
                <c:pt idx="585">
                  <c:v>13/4/23 7:43</c:v>
                </c:pt>
                <c:pt idx="586">
                  <c:v>14/4/23 8:21</c:v>
                </c:pt>
                <c:pt idx="587">
                  <c:v>15/4/23 8:15</c:v>
                </c:pt>
                <c:pt idx="588">
                  <c:v>16/4/23 8:49</c:v>
                </c:pt>
                <c:pt idx="589">
                  <c:v>17/4/23 7:56</c:v>
                </c:pt>
                <c:pt idx="590">
                  <c:v>18/4/23 7:33</c:v>
                </c:pt>
                <c:pt idx="591">
                  <c:v>19/4/23 7:45</c:v>
                </c:pt>
                <c:pt idx="592">
                  <c:v>20/4/23 8:36</c:v>
                </c:pt>
                <c:pt idx="593">
                  <c:v>21/4/23 8:27</c:v>
                </c:pt>
                <c:pt idx="594">
                  <c:v>22/4/23 8:12</c:v>
                </c:pt>
                <c:pt idx="595">
                  <c:v>23/4/23 15:56</c:v>
                </c:pt>
                <c:pt idx="596">
                  <c:v>24/4/23 9:14</c:v>
                </c:pt>
                <c:pt idx="597">
                  <c:v>25/4/23 8:11</c:v>
                </c:pt>
                <c:pt idx="598">
                  <c:v>26/4/23 8:01</c:v>
                </c:pt>
                <c:pt idx="599">
                  <c:v>27/4/23 9:15</c:v>
                </c:pt>
                <c:pt idx="600">
                  <c:v>28/4/23 7:24</c:v>
                </c:pt>
                <c:pt idx="601">
                  <c:v>29/4/23 7:56</c:v>
                </c:pt>
                <c:pt idx="602">
                  <c:v>30/4/23 11:15</c:v>
                </c:pt>
                <c:pt idx="603">
                  <c:v>1/5/23 8:19</c:v>
                </c:pt>
                <c:pt idx="604">
                  <c:v>2/5/23 7:47</c:v>
                </c:pt>
                <c:pt idx="605">
                  <c:v>3/5/23 8:23</c:v>
                </c:pt>
                <c:pt idx="606">
                  <c:v>4/5/23 7:45</c:v>
                </c:pt>
                <c:pt idx="607">
                  <c:v>5/5/23 8:41</c:v>
                </c:pt>
                <c:pt idx="608">
                  <c:v>6/5/23 8:35</c:v>
                </c:pt>
                <c:pt idx="609">
                  <c:v>7/5/23 8:10</c:v>
                </c:pt>
                <c:pt idx="610">
                  <c:v>8/5/23 7:53</c:v>
                </c:pt>
                <c:pt idx="611">
                  <c:v>9/5/23 7:43</c:v>
                </c:pt>
                <c:pt idx="612">
                  <c:v>10/5/23 8:56</c:v>
                </c:pt>
                <c:pt idx="613">
                  <c:v>11/5/23 7:34</c:v>
                </c:pt>
                <c:pt idx="614">
                  <c:v>12/5/23 7:32</c:v>
                </c:pt>
                <c:pt idx="615">
                  <c:v>13/5/23 7:57</c:v>
                </c:pt>
                <c:pt idx="616">
                  <c:v>14/5/23 8:21</c:v>
                </c:pt>
                <c:pt idx="617">
                  <c:v>15/5/23 7:42</c:v>
                </c:pt>
                <c:pt idx="618">
                  <c:v>16/5/23 7:44</c:v>
                </c:pt>
                <c:pt idx="619">
                  <c:v>17/5/23 9:05</c:v>
                </c:pt>
                <c:pt idx="620">
                  <c:v>18/5/23 10:10</c:v>
                </c:pt>
                <c:pt idx="621">
                  <c:v>19/5/23 7:51</c:v>
                </c:pt>
                <c:pt idx="622">
                  <c:v>20/5/23 8:26</c:v>
                </c:pt>
                <c:pt idx="623">
                  <c:v>21/5/23 8:04</c:v>
                </c:pt>
                <c:pt idx="624">
                  <c:v>22/5/23 7:50</c:v>
                </c:pt>
                <c:pt idx="625">
                  <c:v>23/5/23 7:25</c:v>
                </c:pt>
                <c:pt idx="626">
                  <c:v>24/5/23 8:32</c:v>
                </c:pt>
                <c:pt idx="627">
                  <c:v>25/5/23 7:46</c:v>
                </c:pt>
                <c:pt idx="628">
                  <c:v>26/5/23 8:23</c:v>
                </c:pt>
                <c:pt idx="629">
                  <c:v>27/5/23 7:18</c:v>
                </c:pt>
                <c:pt idx="630">
                  <c:v>28/5/23 8:41</c:v>
                </c:pt>
                <c:pt idx="631">
                  <c:v>29/5/23 8:00</c:v>
                </c:pt>
                <c:pt idx="632">
                  <c:v>30/5/23 7:44</c:v>
                </c:pt>
                <c:pt idx="633">
                  <c:v>31/5/23 9:27</c:v>
                </c:pt>
                <c:pt idx="634">
                  <c:v>1/6/23 7:44</c:v>
                </c:pt>
                <c:pt idx="635">
                  <c:v>2/6/23 7:28</c:v>
                </c:pt>
                <c:pt idx="636">
                  <c:v>3/6/23 7:30</c:v>
                </c:pt>
                <c:pt idx="637">
                  <c:v>4/6/23 7:48</c:v>
                </c:pt>
                <c:pt idx="638">
                  <c:v>5/6/23 7:42</c:v>
                </c:pt>
                <c:pt idx="639">
                  <c:v>6/6/23 7:33</c:v>
                </c:pt>
                <c:pt idx="640">
                  <c:v>7/6/23 8:41</c:v>
                </c:pt>
                <c:pt idx="641">
                  <c:v>8/6/23 8:32</c:v>
                </c:pt>
                <c:pt idx="642">
                  <c:v>9/6/23 8:32</c:v>
                </c:pt>
                <c:pt idx="643">
                  <c:v>10/6/23 7:35</c:v>
                </c:pt>
                <c:pt idx="644">
                  <c:v>11/6/23 10:22</c:v>
                </c:pt>
                <c:pt idx="645">
                  <c:v>12/6/23 7:40</c:v>
                </c:pt>
                <c:pt idx="646">
                  <c:v>13/6/23 7:33</c:v>
                </c:pt>
                <c:pt idx="647">
                  <c:v>14/6/23 7:56</c:v>
                </c:pt>
                <c:pt idx="648">
                  <c:v>15/6/23 7:48</c:v>
                </c:pt>
                <c:pt idx="649">
                  <c:v>16/6/23 7:32</c:v>
                </c:pt>
                <c:pt idx="650">
                  <c:v>17/6/23 8:05</c:v>
                </c:pt>
                <c:pt idx="651">
                  <c:v>19/6/23 7:46</c:v>
                </c:pt>
                <c:pt idx="652">
                  <c:v>20/6/23 7:42</c:v>
                </c:pt>
                <c:pt idx="653">
                  <c:v>21/6/23 12:38</c:v>
                </c:pt>
                <c:pt idx="654">
                  <c:v>22/6/23 7:47</c:v>
                </c:pt>
                <c:pt idx="655">
                  <c:v>23/6/23 8:03</c:v>
                </c:pt>
                <c:pt idx="656">
                  <c:v>24/6/23 8:46</c:v>
                </c:pt>
                <c:pt idx="657">
                  <c:v>25/6/23 9:02</c:v>
                </c:pt>
                <c:pt idx="658">
                  <c:v>26/6/23 7:38</c:v>
                </c:pt>
                <c:pt idx="659">
                  <c:v>27/6/23 7:28</c:v>
                </c:pt>
                <c:pt idx="660">
                  <c:v>28/6/23 7:35</c:v>
                </c:pt>
                <c:pt idx="661">
                  <c:v>29/6/23 8:13</c:v>
                </c:pt>
                <c:pt idx="662">
                  <c:v>30/6/23 6:55</c:v>
                </c:pt>
                <c:pt idx="663">
                  <c:v>1/7/23 7:30</c:v>
                </c:pt>
                <c:pt idx="664">
                  <c:v>3/7/23 7:47</c:v>
                </c:pt>
                <c:pt idx="665">
                  <c:v>4/7/23 7:36</c:v>
                </c:pt>
                <c:pt idx="666">
                  <c:v>5/7/23 8:52</c:v>
                </c:pt>
                <c:pt idx="667">
                  <c:v>6/7/23 7:52</c:v>
                </c:pt>
                <c:pt idx="668">
                  <c:v>7/7/23 8:15</c:v>
                </c:pt>
                <c:pt idx="669">
                  <c:v>8/7/23 12:24</c:v>
                </c:pt>
                <c:pt idx="670">
                  <c:v>9/7/23 9:45</c:v>
                </c:pt>
                <c:pt idx="671">
                  <c:v>10/7/23 7:47</c:v>
                </c:pt>
                <c:pt idx="672">
                  <c:v>11/7/23 7:22</c:v>
                </c:pt>
                <c:pt idx="673">
                  <c:v>12/7/23 9:05</c:v>
                </c:pt>
                <c:pt idx="674">
                  <c:v>13/7/23 7:38</c:v>
                </c:pt>
                <c:pt idx="675">
                  <c:v>14/7/23 7:52</c:v>
                </c:pt>
                <c:pt idx="676">
                  <c:v>15/7/23 12:04</c:v>
                </c:pt>
                <c:pt idx="677">
                  <c:v>16/7/23 8:58</c:v>
                </c:pt>
                <c:pt idx="678">
                  <c:v>17/7/23 7:46</c:v>
                </c:pt>
                <c:pt idx="679">
                  <c:v>18/7/23 9:30</c:v>
                </c:pt>
                <c:pt idx="680">
                  <c:v>2/8/23 12:24</c:v>
                </c:pt>
                <c:pt idx="681">
                  <c:v>3/8/23 10:00</c:v>
                </c:pt>
                <c:pt idx="682">
                  <c:v>4/8/23 10:28</c:v>
                </c:pt>
                <c:pt idx="683">
                  <c:v>5/8/23 11:05</c:v>
                </c:pt>
                <c:pt idx="684">
                  <c:v>7/8/23 7:51</c:v>
                </c:pt>
                <c:pt idx="685">
                  <c:v>8/8/23 7:36</c:v>
                </c:pt>
                <c:pt idx="686">
                  <c:v>9/8/23 8:19</c:v>
                </c:pt>
                <c:pt idx="687">
                  <c:v>10/8/23 7:36</c:v>
                </c:pt>
                <c:pt idx="688">
                  <c:v>11/8/23 13:30</c:v>
                </c:pt>
                <c:pt idx="689">
                  <c:v>12/8/23 8:23</c:v>
                </c:pt>
                <c:pt idx="690">
                  <c:v>13/8/23 9:06</c:v>
                </c:pt>
                <c:pt idx="691">
                  <c:v>14/8/23 9:20</c:v>
                </c:pt>
                <c:pt idx="692">
                  <c:v>15/8/23 8:14</c:v>
                </c:pt>
                <c:pt idx="693">
                  <c:v>16/8/23 7:44</c:v>
                </c:pt>
                <c:pt idx="694">
                  <c:v>17/8/23 7:44</c:v>
                </c:pt>
                <c:pt idx="695">
                  <c:v>18/8/23 8:26</c:v>
                </c:pt>
                <c:pt idx="696">
                  <c:v>19/8/23 9:26</c:v>
                </c:pt>
                <c:pt idx="697">
                  <c:v>20/8/23 8:57</c:v>
                </c:pt>
                <c:pt idx="698">
                  <c:v>21/8/23 7:52</c:v>
                </c:pt>
                <c:pt idx="699">
                  <c:v>22/8/23 7:37</c:v>
                </c:pt>
                <c:pt idx="700">
                  <c:v>23/8/23 8:24</c:v>
                </c:pt>
                <c:pt idx="701">
                  <c:v>24/8/23 8:10</c:v>
                </c:pt>
                <c:pt idx="702">
                  <c:v>25/8/23 8:09</c:v>
                </c:pt>
                <c:pt idx="703">
                  <c:v>26/8/23 7:50</c:v>
                </c:pt>
                <c:pt idx="704">
                  <c:v>28/8/23 7:45</c:v>
                </c:pt>
                <c:pt idx="705">
                  <c:v>29/8/23 7:38</c:v>
                </c:pt>
                <c:pt idx="706">
                  <c:v>30/8/23 9:32</c:v>
                </c:pt>
                <c:pt idx="707">
                  <c:v>31/8/23 8:45</c:v>
                </c:pt>
                <c:pt idx="708">
                  <c:v>1/9/23 7:48</c:v>
                </c:pt>
                <c:pt idx="709">
                  <c:v>2/9/23 10:33</c:v>
                </c:pt>
                <c:pt idx="710">
                  <c:v>3/9/23 10:34</c:v>
                </c:pt>
                <c:pt idx="711">
                  <c:v>4/9/23 10:37</c:v>
                </c:pt>
                <c:pt idx="712">
                  <c:v>5/9/23 7:37</c:v>
                </c:pt>
                <c:pt idx="713">
                  <c:v>6/9/23 8:30</c:v>
                </c:pt>
                <c:pt idx="714">
                  <c:v>7/9/23 8:09</c:v>
                </c:pt>
                <c:pt idx="715">
                  <c:v>8/9/23 7:24</c:v>
                </c:pt>
                <c:pt idx="716">
                  <c:v>9/9/23 7:40</c:v>
                </c:pt>
                <c:pt idx="717">
                  <c:v>10/9/23 7:28</c:v>
                </c:pt>
                <c:pt idx="718">
                  <c:v>11/9/23 7:35</c:v>
                </c:pt>
              </c:strCache>
            </c:strRef>
          </c:cat>
          <c:val>
            <c:numRef>
              <c:f>'T° et conso par heure'!$C$2:$C$721</c:f>
              <c:numCache>
                <c:formatCode>General</c:formatCode>
                <c:ptCount val="719"/>
                <c:pt idx="0">
                  <c:v>10.3</c:v>
                </c:pt>
                <c:pt idx="1">
                  <c:v>4.7</c:v>
                </c:pt>
                <c:pt idx="2">
                  <c:v>1.3</c:v>
                </c:pt>
                <c:pt idx="3">
                  <c:v>4.3</c:v>
                </c:pt>
                <c:pt idx="4">
                  <c:v>0.6</c:v>
                </c:pt>
                <c:pt idx="5">
                  <c:v>-4</c:v>
                </c:pt>
                <c:pt idx="6">
                  <c:v>3.1</c:v>
                </c:pt>
                <c:pt idx="7">
                  <c:v>3.7</c:v>
                </c:pt>
                <c:pt idx="8">
                  <c:v>4.7</c:v>
                </c:pt>
                <c:pt idx="9">
                  <c:v>9.6</c:v>
                </c:pt>
                <c:pt idx="10">
                  <c:v>10.6</c:v>
                </c:pt>
                <c:pt idx="11">
                  <c:v>11.1</c:v>
                </c:pt>
                <c:pt idx="12">
                  <c:v>12.1</c:v>
                </c:pt>
                <c:pt idx="13">
                  <c:v>11.4</c:v>
                </c:pt>
                <c:pt idx="14">
                  <c:v>10.3</c:v>
                </c:pt>
                <c:pt idx="15">
                  <c:v>11.6</c:v>
                </c:pt>
                <c:pt idx="16">
                  <c:v>9.6</c:v>
                </c:pt>
                <c:pt idx="17">
                  <c:v>10.7</c:v>
                </c:pt>
                <c:pt idx="18">
                  <c:v>9.8000000000000007</c:v>
                </c:pt>
                <c:pt idx="19">
                  <c:v>8.8000000000000007</c:v>
                </c:pt>
                <c:pt idx="20">
                  <c:v>9.5</c:v>
                </c:pt>
                <c:pt idx="21">
                  <c:v>9.6999999999999993</c:v>
                </c:pt>
                <c:pt idx="22">
                  <c:v>9.8000000000000007</c:v>
                </c:pt>
                <c:pt idx="23">
                  <c:v>11</c:v>
                </c:pt>
                <c:pt idx="24">
                  <c:v>9.5</c:v>
                </c:pt>
                <c:pt idx="25">
                  <c:v>11.8</c:v>
                </c:pt>
                <c:pt idx="26">
                  <c:v>12.7</c:v>
                </c:pt>
                <c:pt idx="27">
                  <c:v>11.4</c:v>
                </c:pt>
                <c:pt idx="28">
                  <c:v>11.5</c:v>
                </c:pt>
                <c:pt idx="29">
                  <c:v>8.4</c:v>
                </c:pt>
                <c:pt idx="30">
                  <c:v>8.3000000000000007</c:v>
                </c:pt>
                <c:pt idx="31">
                  <c:v>10.8</c:v>
                </c:pt>
                <c:pt idx="32">
                  <c:v>7.3</c:v>
                </c:pt>
                <c:pt idx="33">
                  <c:v>8.5</c:v>
                </c:pt>
                <c:pt idx="34">
                  <c:v>7.2</c:v>
                </c:pt>
                <c:pt idx="35">
                  <c:v>7.4</c:v>
                </c:pt>
                <c:pt idx="36">
                  <c:v>2.9</c:v>
                </c:pt>
                <c:pt idx="37">
                  <c:v>6.1</c:v>
                </c:pt>
                <c:pt idx="38">
                  <c:v>-0.5</c:v>
                </c:pt>
                <c:pt idx="39">
                  <c:v>3.8</c:v>
                </c:pt>
                <c:pt idx="40">
                  <c:v>0.2</c:v>
                </c:pt>
                <c:pt idx="41">
                  <c:v>0.2</c:v>
                </c:pt>
                <c:pt idx="42">
                  <c:v>2.1</c:v>
                </c:pt>
                <c:pt idx="43">
                  <c:v>1</c:v>
                </c:pt>
                <c:pt idx="44">
                  <c:v>-0.4</c:v>
                </c:pt>
                <c:pt idx="45">
                  <c:v>-4</c:v>
                </c:pt>
                <c:pt idx="46">
                  <c:v>-2</c:v>
                </c:pt>
                <c:pt idx="47">
                  <c:v>-1.7</c:v>
                </c:pt>
                <c:pt idx="48">
                  <c:v>-5</c:v>
                </c:pt>
                <c:pt idx="49">
                  <c:v>0</c:v>
                </c:pt>
                <c:pt idx="50">
                  <c:v>-4</c:v>
                </c:pt>
                <c:pt idx="51">
                  <c:v>7.1</c:v>
                </c:pt>
                <c:pt idx="52">
                  <c:v>5.4</c:v>
                </c:pt>
                <c:pt idx="53">
                  <c:v>10.9</c:v>
                </c:pt>
                <c:pt idx="54">
                  <c:v>6.1</c:v>
                </c:pt>
                <c:pt idx="55">
                  <c:v>9.5</c:v>
                </c:pt>
                <c:pt idx="56">
                  <c:v>8.9</c:v>
                </c:pt>
                <c:pt idx="57">
                  <c:v>13.2</c:v>
                </c:pt>
                <c:pt idx="58">
                  <c:v>9.5</c:v>
                </c:pt>
                <c:pt idx="59">
                  <c:v>9.9</c:v>
                </c:pt>
                <c:pt idx="60">
                  <c:v>9.5</c:v>
                </c:pt>
                <c:pt idx="61">
                  <c:v>7.6</c:v>
                </c:pt>
                <c:pt idx="62">
                  <c:v>13.7</c:v>
                </c:pt>
                <c:pt idx="63">
                  <c:v>14.8</c:v>
                </c:pt>
                <c:pt idx="64">
                  <c:v>14</c:v>
                </c:pt>
                <c:pt idx="65">
                  <c:v>10.5</c:v>
                </c:pt>
                <c:pt idx="66">
                  <c:v>14.8</c:v>
                </c:pt>
                <c:pt idx="67">
                  <c:v>14.5</c:v>
                </c:pt>
                <c:pt idx="68">
                  <c:v>9.9</c:v>
                </c:pt>
                <c:pt idx="69">
                  <c:v>12.3</c:v>
                </c:pt>
                <c:pt idx="70">
                  <c:v>10.1</c:v>
                </c:pt>
                <c:pt idx="71">
                  <c:v>7.1</c:v>
                </c:pt>
                <c:pt idx="72">
                  <c:v>15.3</c:v>
                </c:pt>
                <c:pt idx="73">
                  <c:v>11.5</c:v>
                </c:pt>
                <c:pt idx="74">
                  <c:v>9.4</c:v>
                </c:pt>
                <c:pt idx="75">
                  <c:v>16.899999999999999</c:v>
                </c:pt>
                <c:pt idx="76">
                  <c:v>8.8000000000000007</c:v>
                </c:pt>
                <c:pt idx="77">
                  <c:v>10.199999999999999</c:v>
                </c:pt>
                <c:pt idx="78">
                  <c:v>13.4</c:v>
                </c:pt>
                <c:pt idx="79">
                  <c:v>9.8000000000000007</c:v>
                </c:pt>
                <c:pt idx="80">
                  <c:v>6.3</c:v>
                </c:pt>
                <c:pt idx="81">
                  <c:v>13.1</c:v>
                </c:pt>
                <c:pt idx="82">
                  <c:v>1.8</c:v>
                </c:pt>
                <c:pt idx="83">
                  <c:v>10.7</c:v>
                </c:pt>
                <c:pt idx="84">
                  <c:v>1.2</c:v>
                </c:pt>
                <c:pt idx="85">
                  <c:v>4.8</c:v>
                </c:pt>
                <c:pt idx="86">
                  <c:v>1.5</c:v>
                </c:pt>
                <c:pt idx="87">
                  <c:v>15.3</c:v>
                </c:pt>
                <c:pt idx="88">
                  <c:v>7.2</c:v>
                </c:pt>
                <c:pt idx="89">
                  <c:v>8</c:v>
                </c:pt>
                <c:pt idx="90">
                  <c:v>14.9</c:v>
                </c:pt>
                <c:pt idx="91">
                  <c:v>9.6999999999999993</c:v>
                </c:pt>
                <c:pt idx="92">
                  <c:v>8.9</c:v>
                </c:pt>
                <c:pt idx="93">
                  <c:v>12.7</c:v>
                </c:pt>
                <c:pt idx="94">
                  <c:v>5.7</c:v>
                </c:pt>
                <c:pt idx="95">
                  <c:v>12.5</c:v>
                </c:pt>
                <c:pt idx="96">
                  <c:v>6</c:v>
                </c:pt>
                <c:pt idx="97">
                  <c:v>5.2</c:v>
                </c:pt>
                <c:pt idx="98">
                  <c:v>-2.2999999999999998</c:v>
                </c:pt>
                <c:pt idx="99">
                  <c:v>9.6999999999999993</c:v>
                </c:pt>
                <c:pt idx="100">
                  <c:v>1.9</c:v>
                </c:pt>
                <c:pt idx="101">
                  <c:v>-0.7</c:v>
                </c:pt>
                <c:pt idx="102">
                  <c:v>8.4</c:v>
                </c:pt>
                <c:pt idx="103">
                  <c:v>-3.6</c:v>
                </c:pt>
                <c:pt idx="104">
                  <c:v>9</c:v>
                </c:pt>
                <c:pt idx="105">
                  <c:v>-0.4</c:v>
                </c:pt>
                <c:pt idx="106">
                  <c:v>7.9</c:v>
                </c:pt>
                <c:pt idx="107">
                  <c:v>11.2</c:v>
                </c:pt>
                <c:pt idx="108">
                  <c:v>10.4</c:v>
                </c:pt>
                <c:pt idx="109">
                  <c:v>3.2</c:v>
                </c:pt>
                <c:pt idx="110">
                  <c:v>10.199999999999999</c:v>
                </c:pt>
                <c:pt idx="111">
                  <c:v>7.9</c:v>
                </c:pt>
                <c:pt idx="112">
                  <c:v>2.7</c:v>
                </c:pt>
                <c:pt idx="113">
                  <c:v>11.8</c:v>
                </c:pt>
                <c:pt idx="114">
                  <c:v>8.8000000000000007</c:v>
                </c:pt>
                <c:pt idx="115">
                  <c:v>11.1</c:v>
                </c:pt>
                <c:pt idx="116">
                  <c:v>8.1999999999999993</c:v>
                </c:pt>
                <c:pt idx="117">
                  <c:v>14.2</c:v>
                </c:pt>
                <c:pt idx="118">
                  <c:v>13</c:v>
                </c:pt>
                <c:pt idx="119">
                  <c:v>8.9</c:v>
                </c:pt>
                <c:pt idx="120">
                  <c:v>2.4</c:v>
                </c:pt>
                <c:pt idx="121">
                  <c:v>7.5</c:v>
                </c:pt>
                <c:pt idx="122">
                  <c:v>5.5</c:v>
                </c:pt>
                <c:pt idx="123">
                  <c:v>3</c:v>
                </c:pt>
                <c:pt idx="124">
                  <c:v>2.1</c:v>
                </c:pt>
                <c:pt idx="125">
                  <c:v>-0.3</c:v>
                </c:pt>
                <c:pt idx="126">
                  <c:v>10.199999999999999</c:v>
                </c:pt>
                <c:pt idx="127">
                  <c:v>4.5999999999999996</c:v>
                </c:pt>
                <c:pt idx="128">
                  <c:v>15.9</c:v>
                </c:pt>
                <c:pt idx="129">
                  <c:v>9.1</c:v>
                </c:pt>
                <c:pt idx="130">
                  <c:v>9.1</c:v>
                </c:pt>
                <c:pt idx="131">
                  <c:v>13.9</c:v>
                </c:pt>
                <c:pt idx="132">
                  <c:v>9.9</c:v>
                </c:pt>
                <c:pt idx="133">
                  <c:v>11</c:v>
                </c:pt>
                <c:pt idx="134">
                  <c:v>11.2</c:v>
                </c:pt>
                <c:pt idx="135">
                  <c:v>10.6</c:v>
                </c:pt>
                <c:pt idx="136">
                  <c:v>12.4</c:v>
                </c:pt>
                <c:pt idx="137">
                  <c:v>12.4</c:v>
                </c:pt>
                <c:pt idx="138">
                  <c:v>17.2</c:v>
                </c:pt>
                <c:pt idx="139">
                  <c:v>2.7</c:v>
                </c:pt>
                <c:pt idx="140">
                  <c:v>6.4</c:v>
                </c:pt>
                <c:pt idx="141">
                  <c:v>5.9</c:v>
                </c:pt>
                <c:pt idx="142">
                  <c:v>-1.5</c:v>
                </c:pt>
                <c:pt idx="143">
                  <c:v>6.6</c:v>
                </c:pt>
                <c:pt idx="144">
                  <c:v>1.1000000000000001</c:v>
                </c:pt>
                <c:pt idx="145">
                  <c:v>5.8</c:v>
                </c:pt>
                <c:pt idx="146">
                  <c:v>8.4</c:v>
                </c:pt>
                <c:pt idx="147">
                  <c:v>5</c:v>
                </c:pt>
                <c:pt idx="148">
                  <c:v>-0.1</c:v>
                </c:pt>
                <c:pt idx="149">
                  <c:v>0.8</c:v>
                </c:pt>
                <c:pt idx="150">
                  <c:v>10.1</c:v>
                </c:pt>
                <c:pt idx="151">
                  <c:v>10.4</c:v>
                </c:pt>
                <c:pt idx="152">
                  <c:v>11.5</c:v>
                </c:pt>
                <c:pt idx="153">
                  <c:v>10.1</c:v>
                </c:pt>
                <c:pt idx="154">
                  <c:v>9.6</c:v>
                </c:pt>
                <c:pt idx="155">
                  <c:v>2.1</c:v>
                </c:pt>
                <c:pt idx="156">
                  <c:v>10.6</c:v>
                </c:pt>
                <c:pt idx="157">
                  <c:v>7</c:v>
                </c:pt>
                <c:pt idx="158">
                  <c:v>8.5</c:v>
                </c:pt>
                <c:pt idx="159">
                  <c:v>8.9</c:v>
                </c:pt>
                <c:pt idx="160">
                  <c:v>15.1</c:v>
                </c:pt>
                <c:pt idx="161">
                  <c:v>7.2</c:v>
                </c:pt>
                <c:pt idx="162">
                  <c:v>10.6</c:v>
                </c:pt>
                <c:pt idx="163">
                  <c:v>11.8</c:v>
                </c:pt>
                <c:pt idx="164">
                  <c:v>15.4</c:v>
                </c:pt>
                <c:pt idx="165">
                  <c:v>22.3</c:v>
                </c:pt>
                <c:pt idx="166">
                  <c:v>24.2</c:v>
                </c:pt>
                <c:pt idx="167">
                  <c:v>5</c:v>
                </c:pt>
                <c:pt idx="169">
                  <c:v>8.4</c:v>
                </c:pt>
                <c:pt idx="170">
                  <c:v>11.4</c:v>
                </c:pt>
                <c:pt idx="171">
                  <c:v>3.8</c:v>
                </c:pt>
                <c:pt idx="172">
                  <c:v>5.6</c:v>
                </c:pt>
                <c:pt idx="173">
                  <c:v>7.1</c:v>
                </c:pt>
                <c:pt idx="174">
                  <c:v>1.5</c:v>
                </c:pt>
                <c:pt idx="175">
                  <c:v>1.8</c:v>
                </c:pt>
                <c:pt idx="176">
                  <c:v>-0.7</c:v>
                </c:pt>
                <c:pt idx="177">
                  <c:v>11</c:v>
                </c:pt>
                <c:pt idx="178">
                  <c:v>10.6</c:v>
                </c:pt>
                <c:pt idx="179">
                  <c:v>4.5999999999999996</c:v>
                </c:pt>
                <c:pt idx="180">
                  <c:v>3.1</c:v>
                </c:pt>
                <c:pt idx="181">
                  <c:v>4.8</c:v>
                </c:pt>
                <c:pt idx="182">
                  <c:v>-1.5</c:v>
                </c:pt>
                <c:pt idx="183">
                  <c:v>-2.1</c:v>
                </c:pt>
                <c:pt idx="184">
                  <c:v>2</c:v>
                </c:pt>
                <c:pt idx="185">
                  <c:v>-0.7</c:v>
                </c:pt>
                <c:pt idx="186">
                  <c:v>-3.4</c:v>
                </c:pt>
                <c:pt idx="187">
                  <c:v>-1.1000000000000001</c:v>
                </c:pt>
                <c:pt idx="188">
                  <c:v>-1.8</c:v>
                </c:pt>
                <c:pt idx="189">
                  <c:v>5.4</c:v>
                </c:pt>
                <c:pt idx="190">
                  <c:v>5.7</c:v>
                </c:pt>
                <c:pt idx="191">
                  <c:v>7</c:v>
                </c:pt>
                <c:pt idx="192">
                  <c:v>7.1</c:v>
                </c:pt>
                <c:pt idx="193">
                  <c:v>4</c:v>
                </c:pt>
                <c:pt idx="194">
                  <c:v>7.6</c:v>
                </c:pt>
                <c:pt idx="195">
                  <c:v>3.7</c:v>
                </c:pt>
                <c:pt idx="196">
                  <c:v>7.3</c:v>
                </c:pt>
                <c:pt idx="197">
                  <c:v>-0.7</c:v>
                </c:pt>
                <c:pt idx="198">
                  <c:v>8.3000000000000007</c:v>
                </c:pt>
                <c:pt idx="199">
                  <c:v>7.6</c:v>
                </c:pt>
                <c:pt idx="200">
                  <c:v>-0.3</c:v>
                </c:pt>
                <c:pt idx="201">
                  <c:v>0.1</c:v>
                </c:pt>
                <c:pt idx="202">
                  <c:v>5.6</c:v>
                </c:pt>
                <c:pt idx="203">
                  <c:v>0.1</c:v>
                </c:pt>
                <c:pt idx="204">
                  <c:v>-0.9</c:v>
                </c:pt>
                <c:pt idx="205">
                  <c:v>5.5</c:v>
                </c:pt>
                <c:pt idx="206">
                  <c:v>2.6</c:v>
                </c:pt>
                <c:pt idx="207">
                  <c:v>10.9</c:v>
                </c:pt>
                <c:pt idx="208">
                  <c:v>11.2</c:v>
                </c:pt>
                <c:pt idx="209">
                  <c:v>6</c:v>
                </c:pt>
                <c:pt idx="210">
                  <c:v>11.2</c:v>
                </c:pt>
                <c:pt idx="211">
                  <c:v>8.3000000000000007</c:v>
                </c:pt>
                <c:pt idx="212">
                  <c:v>4.2</c:v>
                </c:pt>
                <c:pt idx="213">
                  <c:v>6.3</c:v>
                </c:pt>
                <c:pt idx="214">
                  <c:v>0.2</c:v>
                </c:pt>
                <c:pt idx="215">
                  <c:v>8.1</c:v>
                </c:pt>
                <c:pt idx="216">
                  <c:v>7.8</c:v>
                </c:pt>
                <c:pt idx="217">
                  <c:v>8.4</c:v>
                </c:pt>
                <c:pt idx="218">
                  <c:v>7</c:v>
                </c:pt>
                <c:pt idx="219">
                  <c:v>2.8</c:v>
                </c:pt>
                <c:pt idx="220">
                  <c:v>-3</c:v>
                </c:pt>
                <c:pt idx="221">
                  <c:v>6.5</c:v>
                </c:pt>
                <c:pt idx="222">
                  <c:v>8.3000000000000007</c:v>
                </c:pt>
                <c:pt idx="223">
                  <c:v>9.1999999999999993</c:v>
                </c:pt>
                <c:pt idx="224">
                  <c:v>10</c:v>
                </c:pt>
                <c:pt idx="225">
                  <c:v>6.8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874880"/>
        <c:axId val="292873344"/>
      </c:barChart>
      <c:valAx>
        <c:axId val="29287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2874880"/>
        <c:crosses val="max"/>
        <c:crossBetween val="between"/>
      </c:valAx>
      <c:catAx>
        <c:axId val="292874880"/>
        <c:scaling>
          <c:orientation val="minMax"/>
        </c:scaling>
        <c:delete val="1"/>
        <c:axPos val="b"/>
        <c:majorTickMark val="out"/>
        <c:minorTickMark val="none"/>
        <c:tickLblPos val="nextTo"/>
        <c:crossAx val="29287334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[InputData.xlsx]Moyenne par mois!Tableau croisé dynamique1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'Moyenne par mois'!$B$1</c:f>
              <c:strCache>
                <c:ptCount val="1"/>
                <c:pt idx="0">
                  <c:v>Moyenne de Conso HP + HC / jour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'Moyenne par mois'!$A$2:$A$14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'Moyenne par mois'!$B$2:$B$14</c:f>
              <c:numCache>
                <c:formatCode>0.00</c:formatCode>
                <c:ptCount val="12"/>
                <c:pt idx="0">
                  <c:v>61.143024767091816</c:v>
                </c:pt>
                <c:pt idx="1">
                  <c:v>57.269788750006981</c:v>
                </c:pt>
                <c:pt idx="2">
                  <c:v>45.340797319896105</c:v>
                </c:pt>
                <c:pt idx="3">
                  <c:v>30.787217379065545</c:v>
                </c:pt>
                <c:pt idx="4">
                  <c:v>11.912154210472307</c:v>
                </c:pt>
                <c:pt idx="5">
                  <c:v>9.215919289485381</c:v>
                </c:pt>
                <c:pt idx="6">
                  <c:v>8.7995769259791707</c:v>
                </c:pt>
                <c:pt idx="7">
                  <c:v>8.5476705655652054</c:v>
                </c:pt>
                <c:pt idx="8">
                  <c:v>9.2687705889153928</c:v>
                </c:pt>
                <c:pt idx="9">
                  <c:v>11.7441593414501</c:v>
                </c:pt>
                <c:pt idx="10">
                  <c:v>32.243132143866951</c:v>
                </c:pt>
                <c:pt idx="11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'Moyenne par mois'!$C$1</c:f>
              <c:strCache>
                <c:ptCount val="1"/>
                <c:pt idx="0">
                  <c:v>Moyenne de T° station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'Moyenne par mois'!$A$2:$A$14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'Moyenne par mois'!$C$2:$C$14</c:f>
              <c:numCache>
                <c:formatCode>0.00</c:formatCode>
                <c:ptCount val="12"/>
                <c:pt idx="0">
                  <c:v>5.2085714285714282</c:v>
                </c:pt>
                <c:pt idx="1">
                  <c:v>6.9255813953488401</c:v>
                </c:pt>
                <c:pt idx="2">
                  <c:v>7.5661290322580639</c:v>
                </c:pt>
                <c:pt idx="3">
                  <c:v>7.2749999999999995</c:v>
                </c:pt>
                <c:pt idx="4">
                  <c:v>9.8666666666666671</c:v>
                </c:pt>
                <c:pt idx="5">
                  <c:v>15.4</c:v>
                </c:pt>
                <c:pt idx="6">
                  <c:v>22.3</c:v>
                </c:pt>
                <c:pt idx="8">
                  <c:v>14.6</c:v>
                </c:pt>
                <c:pt idx="10">
                  <c:v>7.3000000000000007</c:v>
                </c:pt>
                <c:pt idx="11">
                  <c:v>5.9428571428571431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760576"/>
        <c:axId val="246762112"/>
      </c:barChart>
      <c:catAx>
        <c:axId val="246760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46762112"/>
        <c:crosses val="autoZero"/>
        <c:auto val="1"/>
        <c:lblAlgn val="ctr"/>
        <c:lblOffset val="100"/>
        <c:noMultiLvlLbl val="0"/>
      </c:catAx>
      <c:valAx>
        <c:axId val="2467621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46760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[InputData.xlsx]Moyenne par année mois!Tableau croisé dynamique1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'Moyenne par année mois'!$B$1</c:f>
              <c:strCache>
                <c:ptCount val="1"/>
                <c:pt idx="0">
                  <c:v>Moyenne de Conso HP + HC / jour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'Moyenne par année mois'!$A$2:$A$47</c:f>
              <c:multiLvlStrCache>
                <c:ptCount val="33"/>
                <c:lvl>
                  <c:pt idx="0">
                    <c:v>2023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2022</c:v>
                  </c:pt>
                  <c:pt idx="5">
                    <c:v>2021</c:v>
                  </c:pt>
                  <c:pt idx="6">
                    <c:v>2022</c:v>
                  </c:pt>
                  <c:pt idx="7">
                    <c:v>2023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2021</c:v>
                  </c:pt>
                  <c:pt idx="12">
                    <c:v>2022</c:v>
                  </c:pt>
                  <c:pt idx="13">
                    <c:v>2023</c:v>
                  </c:pt>
                  <c:pt idx="14">
                    <c:v>2021</c:v>
                  </c:pt>
                  <c:pt idx="15">
                    <c:v>2023</c:v>
                  </c:pt>
                  <c:pt idx="16">
                    <c:v>2022</c:v>
                  </c:pt>
                  <c:pt idx="17">
                    <c:v>2021</c:v>
                  </c:pt>
                  <c:pt idx="18">
                    <c:v>2023</c:v>
                  </c:pt>
                  <c:pt idx="19">
                    <c:v>2022</c:v>
                  </c:pt>
                  <c:pt idx="20">
                    <c:v>2021</c:v>
                  </c:pt>
                  <c:pt idx="21">
                    <c:v>2023</c:v>
                  </c:pt>
                  <c:pt idx="22">
                    <c:v>2022</c:v>
                  </c:pt>
                  <c:pt idx="23">
                    <c:v>2023</c:v>
                  </c:pt>
                  <c:pt idx="24">
                    <c:v>2022</c:v>
                  </c:pt>
                  <c:pt idx="25">
                    <c:v>2021</c:v>
                  </c:pt>
                  <c:pt idx="26">
                    <c:v>2022</c:v>
                  </c:pt>
                  <c:pt idx="27">
                    <c:v>2021</c:v>
                  </c:pt>
                  <c:pt idx="28">
                    <c:v>2022</c:v>
                  </c:pt>
                  <c:pt idx="29">
                    <c:v>2021</c:v>
                  </c:pt>
                  <c:pt idx="30">
                    <c:v>2021</c:v>
                  </c:pt>
                  <c:pt idx="31">
                    <c:v>2020</c:v>
                  </c:pt>
                  <c:pt idx="32">
                    <c:v>2022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3">
                    <c:v>9</c:v>
                  </c:pt>
                  <c:pt idx="26">
                    <c:v>10</c:v>
                  </c:pt>
                  <c:pt idx="28">
                    <c:v>11</c:v>
                  </c:pt>
                  <c:pt idx="30">
                    <c:v>12</c:v>
                  </c:pt>
                </c:lvl>
              </c:multiLvlStrCache>
            </c:multiLvlStrRef>
          </c:cat>
          <c:val>
            <c:numRef>
              <c:f>'Moyenne par année mois'!$B$2:$B$47</c:f>
              <c:numCache>
                <c:formatCode>0.00</c:formatCode>
                <c:ptCount val="33"/>
                <c:pt idx="0">
                  <c:v>55.476885789100493</c:v>
                </c:pt>
                <c:pt idx="1">
                  <c:v>63.519665211454971</c:v>
                </c:pt>
                <c:pt idx="2">
                  <c:v>69.719790481957048</c:v>
                </c:pt>
                <c:pt idx="3">
                  <c:v>52.812682376648141</c:v>
                </c:pt>
                <c:pt idx="4">
                  <c:v>53.558839866332931</c:v>
                </c:pt>
                <c:pt idx="5">
                  <c:v>60.495411467114451</c:v>
                </c:pt>
                <c:pt idx="6">
                  <c:v>38.985231386694394</c:v>
                </c:pt>
                <c:pt idx="7">
                  <c:v>43.847003149363921</c:v>
                </c:pt>
                <c:pt idx="8">
                  <c:v>49.958067969151358</c:v>
                </c:pt>
                <c:pt idx="9">
                  <c:v>29.28136531313756</c:v>
                </c:pt>
                <c:pt idx="10">
                  <c:v>29.556573069824331</c:v>
                </c:pt>
                <c:pt idx="11">
                  <c:v>33.968329493567609</c:v>
                </c:pt>
                <c:pt idx="12">
                  <c:v>10.518526920832626</c:v>
                </c:pt>
                <c:pt idx="13">
                  <c:v>11.435221675806504</c:v>
                </c:pt>
                <c:pt idx="14">
                  <c:v>30.776729965082399</c:v>
                </c:pt>
                <c:pt idx="15">
                  <c:v>7.5067537886494264</c:v>
                </c:pt>
                <c:pt idx="16">
                  <c:v>10.614761095252231</c:v>
                </c:pt>
                <c:pt idx="17">
                  <c:v>18.215306446489603</c:v>
                </c:pt>
                <c:pt idx="18">
                  <c:v>8.0551537231913795</c:v>
                </c:pt>
                <c:pt idx="19">
                  <c:v>9.2437875703509516</c:v>
                </c:pt>
                <c:pt idx="20">
                  <c:v>11.682137197192358</c:v>
                </c:pt>
                <c:pt idx="21">
                  <c:v>7.8719143044421926</c:v>
                </c:pt>
                <c:pt idx="22">
                  <c:v>9.4077239888126751</c:v>
                </c:pt>
                <c:pt idx="23">
                  <c:v>8.6066570316957911</c:v>
                </c:pt>
                <c:pt idx="24">
                  <c:v>9.3472642258272849</c:v>
                </c:pt>
                <c:pt idx="25">
                  <c:v>11.811484236856675</c:v>
                </c:pt>
                <c:pt idx="26">
                  <c:v>11.458707669488845</c:v>
                </c:pt>
                <c:pt idx="27">
                  <c:v>19.736806156365176</c:v>
                </c:pt>
                <c:pt idx="28">
                  <c:v>31.102677860564391</c:v>
                </c:pt>
                <c:pt idx="29">
                  <c:v>40.511425697810509</c:v>
                </c:pt>
                <c:pt idx="30">
                  <c:v>61.225258852545842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'Moyenne par année mois'!$C$1</c:f>
              <c:strCache>
                <c:ptCount val="1"/>
                <c:pt idx="0">
                  <c:v>Moyenne de T° station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'Moyenne par année mois'!$A$2:$A$47</c:f>
              <c:multiLvlStrCache>
                <c:ptCount val="33"/>
                <c:lvl>
                  <c:pt idx="0">
                    <c:v>2023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  <c:pt idx="4">
                    <c:v>2022</c:v>
                  </c:pt>
                  <c:pt idx="5">
                    <c:v>2021</c:v>
                  </c:pt>
                  <c:pt idx="6">
                    <c:v>2022</c:v>
                  </c:pt>
                  <c:pt idx="7">
                    <c:v>2023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2021</c:v>
                  </c:pt>
                  <c:pt idx="12">
                    <c:v>2022</c:v>
                  </c:pt>
                  <c:pt idx="13">
                    <c:v>2023</c:v>
                  </c:pt>
                  <c:pt idx="14">
                    <c:v>2021</c:v>
                  </c:pt>
                  <c:pt idx="15">
                    <c:v>2023</c:v>
                  </c:pt>
                  <c:pt idx="16">
                    <c:v>2022</c:v>
                  </c:pt>
                  <c:pt idx="17">
                    <c:v>2021</c:v>
                  </c:pt>
                  <c:pt idx="18">
                    <c:v>2023</c:v>
                  </c:pt>
                  <c:pt idx="19">
                    <c:v>2022</c:v>
                  </c:pt>
                  <c:pt idx="20">
                    <c:v>2021</c:v>
                  </c:pt>
                  <c:pt idx="21">
                    <c:v>2023</c:v>
                  </c:pt>
                  <c:pt idx="22">
                    <c:v>2022</c:v>
                  </c:pt>
                  <c:pt idx="23">
                    <c:v>2023</c:v>
                  </c:pt>
                  <c:pt idx="24">
                    <c:v>2022</c:v>
                  </c:pt>
                  <c:pt idx="25">
                    <c:v>2021</c:v>
                  </c:pt>
                  <c:pt idx="26">
                    <c:v>2022</c:v>
                  </c:pt>
                  <c:pt idx="27">
                    <c:v>2021</c:v>
                  </c:pt>
                  <c:pt idx="28">
                    <c:v>2022</c:v>
                  </c:pt>
                  <c:pt idx="29">
                    <c:v>2021</c:v>
                  </c:pt>
                  <c:pt idx="30">
                    <c:v>2021</c:v>
                  </c:pt>
                  <c:pt idx="31">
                    <c:v>2020</c:v>
                  </c:pt>
                  <c:pt idx="32">
                    <c:v>2022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3">
                    <c:v>9</c:v>
                  </c:pt>
                  <c:pt idx="26">
                    <c:v>10</c:v>
                  </c:pt>
                  <c:pt idx="28">
                    <c:v>11</c:v>
                  </c:pt>
                  <c:pt idx="30">
                    <c:v>12</c:v>
                  </c:pt>
                </c:lvl>
              </c:multiLvlStrCache>
            </c:multiLvlStrRef>
          </c:cat>
          <c:val>
            <c:numRef>
              <c:f>'Moyenne par année mois'!$C$2:$C$47</c:f>
              <c:numCache>
                <c:formatCode>0.00</c:formatCode>
                <c:ptCount val="33"/>
                <c:pt idx="1">
                  <c:v>7.2952380952380951</c:v>
                </c:pt>
                <c:pt idx="2">
                  <c:v>2.0785714285714287</c:v>
                </c:pt>
                <c:pt idx="4">
                  <c:v>4.9454545454545462</c:v>
                </c:pt>
                <c:pt idx="5">
                  <c:v>7.6062500000000002</c:v>
                </c:pt>
                <c:pt idx="6">
                  <c:v>6.5363636363636353</c:v>
                </c:pt>
                <c:pt idx="8">
                  <c:v>7.788235294117646</c:v>
                </c:pt>
                <c:pt idx="11">
                  <c:v>7.2749999999999995</c:v>
                </c:pt>
                <c:pt idx="14">
                  <c:v>9.8666666666666671</c:v>
                </c:pt>
                <c:pt idx="17">
                  <c:v>15.4</c:v>
                </c:pt>
                <c:pt idx="20">
                  <c:v>22.3</c:v>
                </c:pt>
                <c:pt idx="25">
                  <c:v>14.6</c:v>
                </c:pt>
                <c:pt idx="29">
                  <c:v>7.3000000000000007</c:v>
                </c:pt>
                <c:pt idx="30">
                  <c:v>5.2166666666666677</c:v>
                </c:pt>
                <c:pt idx="31">
                  <c:v>10.3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93045376"/>
        <c:axId val="293046912"/>
      </c:barChart>
      <c:catAx>
        <c:axId val="293045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93046912"/>
        <c:crosses val="autoZero"/>
        <c:auto val="1"/>
        <c:lblAlgn val="ctr"/>
        <c:lblOffset val="100"/>
        <c:noMultiLvlLbl val="0"/>
      </c:catAx>
      <c:valAx>
        <c:axId val="2930469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9304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Conso'!$AB$4</c:f>
              <c:strCache>
                <c:ptCount val="1"/>
                <c:pt idx="0">
                  <c:v>Conso HP + HC / heure_x000d_
Instantané</c:v>
                </c:pt>
              </c:strCache>
            </c:strRef>
          </c:tx>
          <c:spPr>
            <a:ln w="57150"/>
          </c:spPr>
          <c:marker>
            <c:symbol val="none"/>
          </c:marker>
          <c:trendline>
            <c:spPr>
              <a:ln w="19050"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trendline>
            <c:spPr>
              <a:ln w="19050">
                <a:solidFill>
                  <a:schemeClr val="accent6"/>
                </a:solidFill>
              </a:ln>
            </c:spPr>
            <c:trendlineType val="movingAvg"/>
            <c:period val="2"/>
            <c:dispRSqr val="0"/>
            <c:dispEq val="0"/>
          </c:trendline>
          <c:val>
            <c:numRef>
              <c:f>'Suivi Conso'!$AB$6:$AB$450</c:f>
              <c:numCache>
                <c:formatCode>0.00000</c:formatCode>
                <c:ptCount val="445"/>
                <c:pt idx="0">
                  <c:v>2.8129102844642531</c:v>
                </c:pt>
                <c:pt idx="1">
                  <c:v>2.7646326276166668</c:v>
                </c:pt>
                <c:pt idx="2">
                  <c:v>3.030303030367171</c:v>
                </c:pt>
                <c:pt idx="3">
                  <c:v>2.6666666666666665</c:v>
                </c:pt>
                <c:pt idx="4">
                  <c:v>3.2456140350976623</c:v>
                </c:pt>
                <c:pt idx="5">
                  <c:v>3.4074074074074074</c:v>
                </c:pt>
                <c:pt idx="6">
                  <c:v>3.2697547683757753</c:v>
                </c:pt>
                <c:pt idx="7">
                  <c:v>3.0275229357571822</c:v>
                </c:pt>
                <c:pt idx="8">
                  <c:v>2.8287841191524605</c:v>
                </c:pt>
                <c:pt idx="9">
                  <c:v>3.382352941182261</c:v>
                </c:pt>
                <c:pt idx="10">
                  <c:v>2.2085889570252446</c:v>
                </c:pt>
                <c:pt idx="11">
                  <c:v>2.1428571428596883</c:v>
                </c:pt>
                <c:pt idx="12">
                  <c:v>2.0749279538932743</c:v>
                </c:pt>
                <c:pt idx="13">
                  <c:v>2.0571428571496995</c:v>
                </c:pt>
                <c:pt idx="14">
                  <c:v>2.2443890274457559</c:v>
                </c:pt>
                <c:pt idx="15">
                  <c:v>2.3788546255372411</c:v>
                </c:pt>
                <c:pt idx="16">
                  <c:v>2.007042253531822</c:v>
                </c:pt>
                <c:pt idx="17">
                  <c:v>2.3908918406093234</c:v>
                </c:pt>
                <c:pt idx="18">
                  <c:v>2.3645320197098574</c:v>
                </c:pt>
                <c:pt idx="19">
                  <c:v>2.2641509433266012</c:v>
                </c:pt>
                <c:pt idx="20">
                  <c:v>3.0103806228470713</c:v>
                </c:pt>
                <c:pt idx="21">
                  <c:v>2.1621621621553593</c:v>
                </c:pt>
                <c:pt idx="22">
                  <c:v>2.4489795918583455</c:v>
                </c:pt>
                <c:pt idx="23">
                  <c:v>2.1582733813094248</c:v>
                </c:pt>
                <c:pt idx="24">
                  <c:v>2.0689655172247683</c:v>
                </c:pt>
                <c:pt idx="25">
                  <c:v>2.2499999999738067</c:v>
                </c:pt>
                <c:pt idx="26">
                  <c:v>2.1355932203558385</c:v>
                </c:pt>
                <c:pt idx="27">
                  <c:v>2.1403091557764249</c:v>
                </c:pt>
                <c:pt idx="28">
                  <c:v>2.5182481751589432</c:v>
                </c:pt>
                <c:pt idx="29">
                  <c:v>2.1392190152708337</c:v>
                </c:pt>
                <c:pt idx="30">
                  <c:v>2.4954792043378626</c:v>
                </c:pt>
                <c:pt idx="31">
                  <c:v>2.3076923077159255</c:v>
                </c:pt>
                <c:pt idx="32">
                  <c:v>2.1989528795704296</c:v>
                </c:pt>
                <c:pt idx="33">
                  <c:v>2.4601366742551143</c:v>
                </c:pt>
                <c:pt idx="34">
                  <c:v>2.7863777089341406</c:v>
                </c:pt>
                <c:pt idx="35">
                  <c:v>2.9547738693605621</c:v>
                </c:pt>
                <c:pt idx="36">
                  <c:v>3.2812500000477485</c:v>
                </c:pt>
                <c:pt idx="37">
                  <c:v>2.8431372548824911</c:v>
                </c:pt>
                <c:pt idx="38">
                  <c:v>4</c:v>
                </c:pt>
                <c:pt idx="39">
                  <c:v>3.2470588235916718</c:v>
                </c:pt>
                <c:pt idx="40">
                  <c:v>2.862010221433291</c:v>
                </c:pt>
                <c:pt idx="41">
                  <c:v>5.3365384616161187</c:v>
                </c:pt>
                <c:pt idx="42">
                  <c:v>3.2294617563590271</c:v>
                </c:pt>
                <c:pt idx="43">
                  <c:v>3.9164490861452137</c:v>
                </c:pt>
                <c:pt idx="44">
                  <c:v>4.2975206611652945</c:v>
                </c:pt>
                <c:pt idx="45">
                  <c:v>4.943181818253751</c:v>
                </c:pt>
                <c:pt idx="46">
                  <c:v>3.9813084112192847</c:v>
                </c:pt>
                <c:pt idx="47">
                  <c:v>4.4710578842128363</c:v>
                </c:pt>
                <c:pt idx="48">
                  <c:v>4.5283018868023994</c:v>
                </c:pt>
                <c:pt idx="49">
                  <c:v>3.51791530946493</c:v>
                </c:pt>
                <c:pt idx="50">
                  <c:v>4.1342756183677558</c:v>
                </c:pt>
                <c:pt idx="51">
                  <c:v>3.0870712401131266</c:v>
                </c:pt>
                <c:pt idx="52">
                  <c:v>3.5128805619881018</c:v>
                </c:pt>
                <c:pt idx="53">
                  <c:v>2.4812030075182538</c:v>
                </c:pt>
                <c:pt idx="54">
                  <c:v>2.7027027027124211</c:v>
                </c:pt>
                <c:pt idx="55">
                  <c:v>1.9873817034620032</c:v>
                </c:pt>
                <c:pt idx="56">
                  <c:v>2.5837320574133895</c:v>
                </c:pt>
                <c:pt idx="57">
                  <c:v>1.7733990148098522</c:v>
                </c:pt>
                <c:pt idx="58">
                  <c:v>1.9656786271315199</c:v>
                </c:pt>
                <c:pt idx="59">
                  <c:v>2.7991886410106464</c:v>
                </c:pt>
                <c:pt idx="60">
                  <c:v>2.2594142259309673</c:v>
                </c:pt>
                <c:pt idx="61">
                  <c:v>1.6574585635540342</c:v>
                </c:pt>
                <c:pt idx="62">
                  <c:v>0.38709677418773369</c:v>
                </c:pt>
                <c:pt idx="63">
                  <c:v>1.8947368419891704</c:v>
                </c:pt>
                <c:pt idx="64">
                  <c:v>1.9683257918546853</c:v>
                </c:pt>
                <c:pt idx="65">
                  <c:v>2.5324675324828476</c:v>
                </c:pt>
                <c:pt idx="66">
                  <c:v>0.24955436720204746</c:v>
                </c:pt>
                <c:pt idx="67">
                  <c:v>2.3809523809410673</c:v>
                </c:pt>
                <c:pt idx="68">
                  <c:v>2.2147651006936364</c:v>
                </c:pt>
                <c:pt idx="69">
                  <c:v>1.8493150685034727</c:v>
                </c:pt>
                <c:pt idx="70">
                  <c:v>1.8834080717154495</c:v>
                </c:pt>
                <c:pt idx="71">
                  <c:v>1.6058394160638525</c:v>
                </c:pt>
                <c:pt idx="72">
                  <c:v>1.641025641025641</c:v>
                </c:pt>
                <c:pt idx="73">
                  <c:v>1.4102564102690391</c:v>
                </c:pt>
                <c:pt idx="74">
                  <c:v>2.0143884892221298</c:v>
                </c:pt>
                <c:pt idx="75">
                  <c:v>1.0364683301325042</c:v>
                </c:pt>
                <c:pt idx="76">
                  <c:v>0.26143790849195786</c:v>
                </c:pt>
                <c:pt idx="77">
                  <c:v>1.6776315789717813</c:v>
                </c:pt>
                <c:pt idx="78">
                  <c:v>1.9647355163462938</c:v>
                </c:pt>
                <c:pt idx="79">
                  <c:v>1.541755888640971</c:v>
                </c:pt>
                <c:pt idx="80">
                  <c:v>1.9266055046036175</c:v>
                </c:pt>
                <c:pt idx="81">
                  <c:v>2.2479928635198552</c:v>
                </c:pt>
                <c:pt idx="82">
                  <c:v>2.7272727272892205</c:v>
                </c:pt>
                <c:pt idx="83">
                  <c:v>2.5706472196829711</c:v>
                </c:pt>
                <c:pt idx="84">
                  <c:v>2.7096774193446631</c:v>
                </c:pt>
                <c:pt idx="85">
                  <c:v>2.7155172414188264</c:v>
                </c:pt>
                <c:pt idx="86">
                  <c:v>2.6153846153611946</c:v>
                </c:pt>
                <c:pt idx="87">
                  <c:v>1.9791666666594665</c:v>
                </c:pt>
                <c:pt idx="88">
                  <c:v>2.0125786163787254</c:v>
                </c:pt>
                <c:pt idx="89">
                  <c:v>2.2516556290904663</c:v>
                </c:pt>
                <c:pt idx="90">
                  <c:v>1.670235546065191</c:v>
                </c:pt>
                <c:pt idx="91">
                  <c:v>1.9199999999776483</c:v>
                </c:pt>
                <c:pt idx="92">
                  <c:v>2.0979020979294241</c:v>
                </c:pt>
                <c:pt idx="93">
                  <c:v>1.791044776106955</c:v>
                </c:pt>
                <c:pt idx="94">
                  <c:v>2.2443890274457559</c:v>
                </c:pt>
                <c:pt idx="95">
                  <c:v>1.5026833631509831</c:v>
                </c:pt>
                <c:pt idx="96">
                  <c:v>2.0773930753672514</c:v>
                </c:pt>
                <c:pt idx="97">
                  <c:v>2.6792963464174497</c:v>
                </c:pt>
                <c:pt idx="98">
                  <c:v>2.8278688524090958</c:v>
                </c:pt>
                <c:pt idx="99">
                  <c:v>2.9392971246290629</c:v>
                </c:pt>
                <c:pt idx="100">
                  <c:v>2.5695931477349516</c:v>
                </c:pt>
                <c:pt idx="101">
                  <c:v>2.8301886792514996</c:v>
                </c:pt>
                <c:pt idx="102">
                  <c:v>2.6959847036484899</c:v>
                </c:pt>
                <c:pt idx="103">
                  <c:v>2.9765013054703626</c:v>
                </c:pt>
                <c:pt idx="104">
                  <c:v>2.521008403356412</c:v>
                </c:pt>
                <c:pt idx="105">
                  <c:v>2.2163588390555784</c:v>
                </c:pt>
                <c:pt idx="106">
                  <c:v>2.4618320610676085</c:v>
                </c:pt>
                <c:pt idx="107">
                  <c:v>2.2459893047904629</c:v>
                </c:pt>
                <c:pt idx="108">
                  <c:v>2.2471910112521218</c:v>
                </c:pt>
                <c:pt idx="109">
                  <c:v>2.2950819672218747</c:v>
                </c:pt>
                <c:pt idx="110">
                  <c:v>2.01591511934721</c:v>
                </c:pt>
                <c:pt idx="111">
                  <c:v>2.3628691983226822</c:v>
                </c:pt>
                <c:pt idx="112">
                  <c:v>2.7642276422921204</c:v>
                </c:pt>
                <c:pt idx="113">
                  <c:v>1.9755409219052502</c:v>
                </c:pt>
                <c:pt idx="114">
                  <c:v>1.9760479041971268</c:v>
                </c:pt>
                <c:pt idx="115">
                  <c:v>2.0224719101131736</c:v>
                </c:pt>
                <c:pt idx="116">
                  <c:v>1.6666666666774459</c:v>
                </c:pt>
                <c:pt idx="117">
                  <c:v>0.47244094490094468</c:v>
                </c:pt>
                <c:pt idx="118">
                  <c:v>1.5034168564892365</c:v>
                </c:pt>
                <c:pt idx="119">
                  <c:v>2.172131147533729</c:v>
                </c:pt>
                <c:pt idx="120">
                  <c:v>2.3140495867813122</c:v>
                </c:pt>
                <c:pt idx="121">
                  <c:v>2.2577610536282537</c:v>
                </c:pt>
                <c:pt idx="122">
                  <c:v>2.4742268041263098</c:v>
                </c:pt>
                <c:pt idx="123">
                  <c:v>2.2315789473629519</c:v>
                </c:pt>
                <c:pt idx="124">
                  <c:v>2.5184094256358516</c:v>
                </c:pt>
                <c:pt idx="125">
                  <c:v>2.3622047243748034</c:v>
                </c:pt>
                <c:pt idx="126">
                  <c:v>2.185602775374341</c:v>
                </c:pt>
                <c:pt idx="127">
                  <c:v>1.6523235800317748</c:v>
                </c:pt>
                <c:pt idx="128">
                  <c:v>1.4361702127668468</c:v>
                </c:pt>
                <c:pt idx="129">
                  <c:v>1.401098901099125</c:v>
                </c:pt>
                <c:pt idx="130">
                  <c:v>1.8243243243185843</c:v>
                </c:pt>
                <c:pt idx="131">
                  <c:v>1.9539316918239626</c:v>
                </c:pt>
                <c:pt idx="132">
                  <c:v>2.1231422505213398</c:v>
                </c:pt>
                <c:pt idx="133">
                  <c:v>0.95721537345886665</c:v>
                </c:pt>
                <c:pt idx="134">
                  <c:v>0.69015097052607299</c:v>
                </c:pt>
                <c:pt idx="135">
                  <c:v>0.46283309958045177</c:v>
                </c:pt>
                <c:pt idx="136">
                  <c:v>0.40733197555930883</c:v>
                </c:pt>
                <c:pt idx="137">
                  <c:v>0.41763341067195137</c:v>
                </c:pt>
                <c:pt idx="138">
                  <c:v>1.1712511091434215</c:v>
                </c:pt>
                <c:pt idx="139">
                  <c:v>1.9392372333510861</c:v>
                </c:pt>
                <c:pt idx="140">
                  <c:v>1.1991434689519451</c:v>
                </c:pt>
                <c:pt idx="141">
                  <c:v>1.8306636155625915</c:v>
                </c:pt>
                <c:pt idx="142">
                  <c:v>2.3684210526170673</c:v>
                </c:pt>
                <c:pt idx="143">
                  <c:v>2.3376623376764747</c:v>
                </c:pt>
                <c:pt idx="144">
                  <c:v>2.0491803278620084</c:v>
                </c:pt>
                <c:pt idx="145">
                  <c:v>1.5811965811989412</c:v>
                </c:pt>
                <c:pt idx="146">
                  <c:v>1.3641133263355474</c:v>
                </c:pt>
                <c:pt idx="147">
                  <c:v>1.9607843137344418</c:v>
                </c:pt>
                <c:pt idx="148">
                  <c:v>1.8354860638936823</c:v>
                </c:pt>
                <c:pt idx="149">
                  <c:v>2.189781021961076</c:v>
                </c:pt>
                <c:pt idx="150">
                  <c:v>1.764705882310645</c:v>
                </c:pt>
                <c:pt idx="151">
                  <c:v>0.86330935250207874</c:v>
                </c:pt>
                <c:pt idx="152">
                  <c:v>0.32967032967749932</c:v>
                </c:pt>
                <c:pt idx="153">
                  <c:v>2.0201318986440175</c:v>
                </c:pt>
                <c:pt idx="154">
                  <c:v>2.3132530120417036</c:v>
                </c:pt>
                <c:pt idx="155">
                  <c:v>1.4862289970551374</c:v>
                </c:pt>
                <c:pt idx="156">
                  <c:v>0.70724841660886262</c:v>
                </c:pt>
                <c:pt idx="157">
                  <c:v>0.61538461538146638</c:v>
                </c:pt>
                <c:pt idx="158">
                  <c:v>0.5976095617549283</c:v>
                </c:pt>
                <c:pt idx="159">
                  <c:v>0.61890158907172799</c:v>
                </c:pt>
                <c:pt idx="160">
                  <c:v>1.0694698354659515</c:v>
                </c:pt>
                <c:pt idx="161">
                  <c:v>1.1659192825087761</c:v>
                </c:pt>
                <c:pt idx="162">
                  <c:v>1.6117021276605725</c:v>
                </c:pt>
                <c:pt idx="163">
                  <c:v>0.75897110193706674</c:v>
                </c:pt>
                <c:pt idx="164">
                  <c:v>0.48675571654968153</c:v>
                </c:pt>
                <c:pt idx="165">
                  <c:v>0.47956850559888747</c:v>
                </c:pt>
                <c:pt idx="166">
                  <c:v>0.50472184747250204</c:v>
                </c:pt>
                <c:pt idx="167">
                  <c:v>0.82236692318188243</c:v>
                </c:pt>
                <c:pt idx="168">
                  <c:v>1.0812454853057916</c:v>
                </c:pt>
                <c:pt idx="169">
                  <c:v>1.6990136811959002</c:v>
                </c:pt>
                <c:pt idx="170">
                  <c:v>1.6080557707210967</c:v>
                </c:pt>
                <c:pt idx="171">
                  <c:v>2.3635893457456296</c:v>
                </c:pt>
                <c:pt idx="172">
                  <c:v>2.5187272862128327</c:v>
                </c:pt>
                <c:pt idx="173">
                  <c:v>2.6347233839162127</c:v>
                </c:pt>
                <c:pt idx="174">
                  <c:v>3.6280661722895906</c:v>
                </c:pt>
                <c:pt idx="175">
                  <c:v>3.5379812694989257</c:v>
                </c:pt>
                <c:pt idx="176">
                  <c:v>2.5206463195743884</c:v>
                </c:pt>
                <c:pt idx="177">
                  <c:v>0.46617028164451002</c:v>
                </c:pt>
                <c:pt idx="178">
                  <c:v>2.3877957108113379</c:v>
                </c:pt>
                <c:pt idx="179">
                  <c:v>2.7098540145991157</c:v>
                </c:pt>
                <c:pt idx="180">
                  <c:v>2.7653631285015119</c:v>
                </c:pt>
                <c:pt idx="181">
                  <c:v>2.7402862985606786</c:v>
                </c:pt>
                <c:pt idx="182">
                  <c:v>3.0843043180280141</c:v>
                </c:pt>
                <c:pt idx="183">
                  <c:v>3.3609958506256539</c:v>
                </c:pt>
                <c:pt idx="184">
                  <c:v>3.1601123595500451</c:v>
                </c:pt>
                <c:pt idx="185">
                  <c:v>3.3731553056745383</c:v>
                </c:pt>
                <c:pt idx="186">
                  <c:v>3.2409972299346652</c:v>
                </c:pt>
                <c:pt idx="187">
                  <c:v>3.8108680310559007</c:v>
                </c:pt>
                <c:pt idx="188">
                  <c:v>3.1411530815007564</c:v>
                </c:pt>
                <c:pt idx="189">
                  <c:v>2.4693140794244584</c:v>
                </c:pt>
                <c:pt idx="190">
                  <c:v>2.2559366754672849</c:v>
                </c:pt>
                <c:pt idx="191">
                  <c:v>2.1697416974076535</c:v>
                </c:pt>
                <c:pt idx="192">
                  <c:v>2.5469728601240229</c:v>
                </c:pt>
                <c:pt idx="193">
                  <c:v>2.2070844686694007</c:v>
                </c:pt>
                <c:pt idx="194">
                  <c:v>2.2070844686694007</c:v>
                </c:pt>
                <c:pt idx="195">
                  <c:v>2.3284823284665488</c:v>
                </c:pt>
                <c:pt idx="196">
                  <c:v>2.3770491803369418</c:v>
                </c:pt>
                <c:pt idx="197">
                  <c:v>2.3452768729712843</c:v>
                </c:pt>
                <c:pt idx="198">
                  <c:v>2.1596244131349169</c:v>
                </c:pt>
                <c:pt idx="199">
                  <c:v>2.0588235294077366</c:v>
                </c:pt>
                <c:pt idx="200">
                  <c:v>2.0730897010079028</c:v>
                </c:pt>
                <c:pt idx="201">
                  <c:v>2.2869022869033939</c:v>
                </c:pt>
                <c:pt idx="202">
                  <c:v>2.4067558057690066</c:v>
                </c:pt>
                <c:pt idx="203">
                  <c:v>2.4259927797854326</c:v>
                </c:pt>
                <c:pt idx="204">
                  <c:v>2.4041450777144067</c:v>
                </c:pt>
                <c:pt idx="205">
                  <c:v>2.3628691983226822</c:v>
                </c:pt>
                <c:pt idx="206">
                  <c:v>2.1238938053093981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2.2236929185955852</c:v>
                </c:pt>
                <c:pt idx="211">
                  <c:v>1.8284904323178071</c:v>
                </c:pt>
                <c:pt idx="212">
                  <c:v>2.4473684210545059</c:v>
                </c:pt>
                <c:pt idx="213">
                  <c:v>2.4401913875632069</c:v>
                </c:pt>
                <c:pt idx="214">
                  <c:v>1.6283924843415885</c:v>
                </c:pt>
                <c:pt idx="215">
                  <c:v>1.4419225634174422</c:v>
                </c:pt>
                <c:pt idx="216">
                  <c:v>1.7954070981202128</c:v>
                </c:pt>
                <c:pt idx="217">
                  <c:v>1.6689847009689804</c:v>
                </c:pt>
                <c:pt idx="218">
                  <c:v>2.2869022869033939</c:v>
                </c:pt>
                <c:pt idx="219">
                  <c:v>2.1987315010576238</c:v>
                </c:pt>
                <c:pt idx="220">
                  <c:v>2.3866015352438557</c:v>
                </c:pt>
                <c:pt idx="221">
                  <c:v>1.9834710743839818</c:v>
                </c:pt>
                <c:pt idx="222">
                  <c:v>1.5875169606447692</c:v>
                </c:pt>
                <c:pt idx="223">
                  <c:v>1.7050067659020134</c:v>
                </c:pt>
                <c:pt idx="224">
                  <c:v>1.7269372693652751</c:v>
                </c:pt>
                <c:pt idx="225">
                  <c:v>1.7715019255490128</c:v>
                </c:pt>
                <c:pt idx="226">
                  <c:v>2.295573893478581</c:v>
                </c:pt>
                <c:pt idx="227">
                  <c:v>1.7238962859150686</c:v>
                </c:pt>
                <c:pt idx="228">
                  <c:v>1.37119113573164</c:v>
                </c:pt>
                <c:pt idx="229">
                  <c:v>1.7581047381543582</c:v>
                </c:pt>
                <c:pt idx="230">
                  <c:v>2.2289613343379049</c:v>
                </c:pt>
                <c:pt idx="231">
                  <c:v>2.0396600566679863</c:v>
                </c:pt>
                <c:pt idx="232">
                  <c:v>1.5019762845822158</c:v>
                </c:pt>
                <c:pt idx="233">
                  <c:v>1.2794117647047871</c:v>
                </c:pt>
                <c:pt idx="234">
                  <c:v>1.1931818181814235</c:v>
                </c:pt>
                <c:pt idx="235">
                  <c:v>1.4071661237827704</c:v>
                </c:pt>
                <c:pt idx="236">
                  <c:v>1.7531044558083511</c:v>
                </c:pt>
                <c:pt idx="237">
                  <c:v>1.3469387755070039</c:v>
                </c:pt>
                <c:pt idx="238">
                  <c:v>1.1206896551718515</c:v>
                </c:pt>
                <c:pt idx="239">
                  <c:v>1.131363922061762</c:v>
                </c:pt>
                <c:pt idx="240">
                  <c:v>1.0925644916536352</c:v>
                </c:pt>
                <c:pt idx="241">
                  <c:v>0.5117270788922742</c:v>
                </c:pt>
                <c:pt idx="242">
                  <c:v>1.1312849161968868</c:v>
                </c:pt>
                <c:pt idx="243">
                  <c:v>1.6633663366413323</c:v>
                </c:pt>
                <c:pt idx="244">
                  <c:v>2.5035971222937712</c:v>
                </c:pt>
                <c:pt idx="245">
                  <c:v>3.0286493860826598</c:v>
                </c:pt>
                <c:pt idx="246">
                  <c:v>2.8461806766659663</c:v>
                </c:pt>
                <c:pt idx="247">
                  <c:v>1.9505300353324795</c:v>
                </c:pt>
                <c:pt idx="248">
                  <c:v>1.602739726036343</c:v>
                </c:pt>
                <c:pt idx="249">
                  <c:v>1.7343427391598021</c:v>
                </c:pt>
                <c:pt idx="250">
                  <c:v>1.7622950819613274</c:v>
                </c:pt>
                <c:pt idx="251">
                  <c:v>1.9889502762504496</c:v>
                </c:pt>
                <c:pt idx="252">
                  <c:v>1.9480519480490028</c:v>
                </c:pt>
                <c:pt idx="253">
                  <c:v>1.4512785072545245</c:v>
                </c:pt>
                <c:pt idx="254">
                  <c:v>0.62849162010938153</c:v>
                </c:pt>
                <c:pt idx="255">
                  <c:v>1.0848400556377416</c:v>
                </c:pt>
                <c:pt idx="256">
                  <c:v>0.89370345294191889</c:v>
                </c:pt>
                <c:pt idx="257">
                  <c:v>0.51965356429055365</c:v>
                </c:pt>
                <c:pt idx="258">
                  <c:v>0.49253731343326373</c:v>
                </c:pt>
                <c:pt idx="259">
                  <c:v>0.52454606590590191</c:v>
                </c:pt>
                <c:pt idx="260">
                  <c:v>0.40098487513118047</c:v>
                </c:pt>
                <c:pt idx="261">
                  <c:v>1.4356087262481794</c:v>
                </c:pt>
                <c:pt idx="262">
                  <c:v>1.0773480663023269</c:v>
                </c:pt>
                <c:pt idx="263">
                  <c:v>0.52454606590590191</c:v>
                </c:pt>
                <c:pt idx="264">
                  <c:v>0.41147132169570089</c:v>
                </c:pt>
                <c:pt idx="265">
                  <c:v>0.74476338246689422</c:v>
                </c:pt>
                <c:pt idx="266">
                  <c:v>0.89521165856841223</c:v>
                </c:pt>
                <c:pt idx="267">
                  <c:v>1.0909090909090908</c:v>
                </c:pt>
                <c:pt idx="268">
                  <c:v>0.58558558558834928</c:v>
                </c:pt>
                <c:pt idx="269">
                  <c:v>0.44836956521753313</c:v>
                </c:pt>
                <c:pt idx="270">
                  <c:v>0.36635006784110058</c:v>
                </c:pt>
                <c:pt idx="271">
                  <c:v>0.42643923241022846</c:v>
                </c:pt>
                <c:pt idx="272">
                  <c:v>0.76433121018768235</c:v>
                </c:pt>
                <c:pt idx="273">
                  <c:v>0.46153846153883726</c:v>
                </c:pt>
                <c:pt idx="274">
                  <c:v>0.44474393531094991</c:v>
                </c:pt>
                <c:pt idx="275">
                  <c:v>0.5611510791390405</c:v>
                </c:pt>
                <c:pt idx="276">
                  <c:v>0.53315105946625496</c:v>
                </c:pt>
                <c:pt idx="277">
                  <c:v>0.44564483456885357</c:v>
                </c:pt>
                <c:pt idx="278">
                  <c:v>0.40490797546243618</c:v>
                </c:pt>
                <c:pt idx="279">
                  <c:v>0.44665012406896282</c:v>
                </c:pt>
                <c:pt idx="280">
                  <c:v>0.33684210526233233</c:v>
                </c:pt>
                <c:pt idx="281">
                  <c:v>0.39761431411401982</c:v>
                </c:pt>
                <c:pt idx="282">
                  <c:v>0.44247787610665051</c:v>
                </c:pt>
                <c:pt idx="283">
                  <c:v>0.35832780358366556</c:v>
                </c:pt>
                <c:pt idx="284">
                  <c:v>0.42223786066122926</c:v>
                </c:pt>
                <c:pt idx="285">
                  <c:v>0.52139037433366064</c:v>
                </c:pt>
                <c:pt idx="286">
                  <c:v>0.4431314623329875</c:v>
                </c:pt>
                <c:pt idx="287">
                  <c:v>0.41724617524224511</c:v>
                </c:pt>
                <c:pt idx="288">
                  <c:v>0.40080160320716085</c:v>
                </c:pt>
                <c:pt idx="289">
                  <c:v>0.4803493449801195</c:v>
                </c:pt>
                <c:pt idx="290">
                  <c:v>0.3614457831305023</c:v>
                </c:pt>
                <c:pt idx="291">
                  <c:v>0.39881831610277485</c:v>
                </c:pt>
                <c:pt idx="292">
                  <c:v>0.30685305148258718</c:v>
                </c:pt>
                <c:pt idx="293">
                  <c:v>0.5006954102906942</c:v>
                </c:pt>
                <c:pt idx="294">
                  <c:v>0.32454361054965991</c:v>
                </c:pt>
                <c:pt idx="295">
                  <c:v>0.47936085219610458</c:v>
                </c:pt>
                <c:pt idx="296">
                  <c:v>0.35190615835681016</c:v>
                </c:pt>
                <c:pt idx="297">
                  <c:v>0.4731182795698925</c:v>
                </c:pt>
                <c:pt idx="298">
                  <c:v>0.47587574355680129</c:v>
                </c:pt>
                <c:pt idx="299">
                  <c:v>0.47550432276720872</c:v>
                </c:pt>
                <c:pt idx="300">
                  <c:v>0.29106029106043196</c:v>
                </c:pt>
                <c:pt idx="301">
                  <c:v>0.29166666666666669</c:v>
                </c:pt>
                <c:pt idx="302">
                  <c:v>0.42462845010426792</c:v>
                </c:pt>
                <c:pt idx="303">
                  <c:v>0.49758120248726551</c:v>
                </c:pt>
                <c:pt idx="304">
                  <c:v>0.56187290970249693</c:v>
                </c:pt>
                <c:pt idx="305">
                  <c:v>0.625</c:v>
                </c:pt>
                <c:pt idx="306">
                  <c:v>0.33826638477684712</c:v>
                </c:pt>
                <c:pt idx="307">
                  <c:v>0.47777040477822075</c:v>
                </c:pt>
                <c:pt idx="308">
                  <c:v>0.5236363636372503</c:v>
                </c:pt>
                <c:pt idx="309">
                  <c:v>0.45174537987830854</c:v>
                </c:pt>
                <c:pt idx="310">
                  <c:v>0.42223786066122926</c:v>
                </c:pt>
                <c:pt idx="311">
                  <c:v>0.36314727639383493</c:v>
                </c:pt>
                <c:pt idx="312">
                  <c:v>0.38189533239063345</c:v>
                </c:pt>
                <c:pt idx="313">
                  <c:v>0.33802816901463878</c:v>
                </c:pt>
                <c:pt idx="314">
                  <c:v>0.47008547008617169</c:v>
                </c:pt>
                <c:pt idx="315">
                  <c:v>0.64996614759412275</c:v>
                </c:pt>
                <c:pt idx="316">
                  <c:v>0.62937062937114174</c:v>
                </c:pt>
                <c:pt idx="317">
                  <c:v>0.5581395348828575</c:v>
                </c:pt>
                <c:pt idx="318">
                  <c:v>0.41039671682672291</c:v>
                </c:pt>
                <c:pt idx="319">
                  <c:v>0.44411547002457846</c:v>
                </c:pt>
                <c:pt idx="320">
                  <c:v>0.37735849056548515</c:v>
                </c:pt>
                <c:pt idx="321">
                  <c:v>0.3734439834028504</c:v>
                </c:pt>
                <c:pt idx="322">
                  <c:v>0.54091539528188182</c:v>
                </c:pt>
                <c:pt idx="323">
                  <c:v>0.37164487267710045</c:v>
                </c:pt>
                <c:pt idx="324">
                  <c:v>0.31229668184950576</c:v>
                </c:pt>
                <c:pt idx="325">
                  <c:v>0.44989775050996217</c:v>
                </c:pt>
                <c:pt idx="326">
                  <c:v>0.41095890411024438</c:v>
                </c:pt>
                <c:pt idx="327">
                  <c:v>0.37788663400819622</c:v>
                </c:pt>
                <c:pt idx="328">
                  <c:v>0.28112449799236217</c:v>
                </c:pt>
                <c:pt idx="329">
                  <c:v>0.47109207708826417</c:v>
                </c:pt>
                <c:pt idx="330">
                  <c:v>0.370370370371435</c:v>
                </c:pt>
                <c:pt idx="331">
                  <c:v>0.38644067796503417</c:v>
                </c:pt>
                <c:pt idx="332">
                  <c:v>0.35687732342161882</c:v>
                </c:pt>
                <c:pt idx="333">
                  <c:v>0.33994334277547528</c:v>
                </c:pt>
                <c:pt idx="334">
                  <c:v>0.31957390146406972</c:v>
                </c:pt>
                <c:pt idx="335">
                  <c:v>0.4714285714301395</c:v>
                </c:pt>
                <c:pt idx="336">
                  <c:v>0.32410533423418642</c:v>
                </c:pt>
                <c:pt idx="337">
                  <c:v>0.41198501872551396</c:v>
                </c:pt>
                <c:pt idx="338">
                  <c:v>0.45392022008136795</c:v>
                </c:pt>
                <c:pt idx="339">
                  <c:v>0.24529844644424662</c:v>
                </c:pt>
                <c:pt idx="340">
                  <c:v>0.41436464088251207</c:v>
                </c:pt>
                <c:pt idx="341">
                  <c:v>0.46218487395206664</c:v>
                </c:pt>
                <c:pt idx="342">
                  <c:v>0.44265593561409683</c:v>
                </c:pt>
                <c:pt idx="343">
                  <c:v>0.21459227467661054</c:v>
                </c:pt>
                <c:pt idx="344">
                  <c:v>0.45141065830951638</c:v>
                </c:pt>
                <c:pt idx="345">
                  <c:v>0.32236400268581222</c:v>
                </c:pt>
                <c:pt idx="346">
                  <c:v>0.45454545454665718</c:v>
                </c:pt>
                <c:pt idx="347">
                  <c:v>0.37894736842012389</c:v>
                </c:pt>
                <c:pt idx="348">
                  <c:v>0.39017341040587139</c:v>
                </c:pt>
                <c:pt idx="349">
                  <c:v>0.32675289312452277</c:v>
                </c:pt>
                <c:pt idx="350">
                  <c:v>0.42402826855053904</c:v>
                </c:pt>
                <c:pt idx="351">
                  <c:v>0.51150895140695418</c:v>
                </c:pt>
                <c:pt idx="352">
                  <c:v>0.21816037735840821</c:v>
                </c:pt>
                <c:pt idx="353">
                  <c:v>0.43109079033514797</c:v>
                </c:pt>
                <c:pt idx="354">
                  <c:v>0.50455501051172735</c:v>
                </c:pt>
                <c:pt idx="355">
                  <c:v>0.3802816901386627</c:v>
                </c:pt>
                <c:pt idx="356">
                  <c:v>0.32410533423418642</c:v>
                </c:pt>
                <c:pt idx="357">
                  <c:v>0.45865184155767547</c:v>
                </c:pt>
                <c:pt idx="358">
                  <c:v>0.37292817679426088</c:v>
                </c:pt>
                <c:pt idx="359">
                  <c:v>0.33850493653243652</c:v>
                </c:pt>
                <c:pt idx="360">
                  <c:v>0.34932463903042976</c:v>
                </c:pt>
                <c:pt idx="361">
                  <c:v>0.36096256684638045</c:v>
                </c:pt>
                <c:pt idx="362">
                  <c:v>0.52098408104214367</c:v>
                </c:pt>
                <c:pt idx="363">
                  <c:v>0.3786816269294605</c:v>
                </c:pt>
                <c:pt idx="364">
                  <c:v>0.41551246537322423</c:v>
                </c:pt>
                <c:pt idx="365">
                  <c:v>0.41450777201972527</c:v>
                </c:pt>
                <c:pt idx="366">
                  <c:v>0.33802816901463878</c:v>
                </c:pt>
                <c:pt idx="367">
                  <c:v>0.45643153527015051</c:v>
                </c:pt>
                <c:pt idx="368">
                  <c:v>0.53830227743349068</c:v>
                </c:pt>
                <c:pt idx="369">
                  <c:v>0.33172080165817702</c:v>
                </c:pt>
                <c:pt idx="370">
                  <c:v>0.46511627907159903</c:v>
                </c:pt>
                <c:pt idx="371">
                  <c:v>0.28965517241356054</c:v>
                </c:pt>
                <c:pt idx="372">
                  <c:v>0.37815126050346182</c:v>
                </c:pt>
                <c:pt idx="373">
                  <c:v>0.35809018567600553</c:v>
                </c:pt>
                <c:pt idx="374">
                  <c:v>0.4126547455314899</c:v>
                </c:pt>
                <c:pt idx="375">
                  <c:v>0.53175775479958498</c:v>
                </c:pt>
                <c:pt idx="376">
                  <c:v>0.40622884224632677</c:v>
                </c:pt>
                <c:pt idx="377">
                  <c:v>0.40993788819905419</c:v>
                </c:pt>
                <c:pt idx="378">
                  <c:v>0.38461538461452355</c:v>
                </c:pt>
                <c:pt idx="379">
                  <c:v>0.37762237762268502</c:v>
                </c:pt>
                <c:pt idx="380">
                  <c:v>0.31767041694222642</c:v>
                </c:pt>
                <c:pt idx="381">
                  <c:v>0.42735042735106515</c:v>
                </c:pt>
                <c:pt idx="382">
                  <c:v>0.37267080745395509</c:v>
                </c:pt>
                <c:pt idx="383">
                  <c:v>0.41580041580061705</c:v>
                </c:pt>
                <c:pt idx="384">
                  <c:v>0.35317200784901975</c:v>
                </c:pt>
                <c:pt idx="385">
                  <c:v>0.41379310344827586</c:v>
                </c:pt>
                <c:pt idx="386">
                  <c:v>0.33149171270600969</c:v>
                </c:pt>
                <c:pt idx="387">
                  <c:v>0.30685305148368336</c:v>
                </c:pt>
                <c:pt idx="388">
                  <c:v>0.30368763557422379</c:v>
                </c:pt>
                <c:pt idx="389">
                  <c:v>0.31372549019607843</c:v>
                </c:pt>
                <c:pt idx="390">
                  <c:v>0.42492917846934408</c:v>
                </c:pt>
                <c:pt idx="391">
                  <c:v>0.39017341040587139</c:v>
                </c:pt>
                <c:pt idx="392">
                  <c:v>0.29577464788780888</c:v>
                </c:pt>
                <c:pt idx="393">
                  <c:v>0.2902557014509049</c:v>
                </c:pt>
                <c:pt idx="394">
                  <c:v>0.41436464088251207</c:v>
                </c:pt>
                <c:pt idx="395">
                  <c:v>0.28493894165621475</c:v>
                </c:pt>
                <c:pt idx="396">
                  <c:v>0.37422037422055537</c:v>
                </c:pt>
                <c:pt idx="397">
                  <c:v>0.40056219255032605</c:v>
                </c:pt>
                <c:pt idx="398">
                  <c:v>0.3734439834028504</c:v>
                </c:pt>
                <c:pt idx="399">
                  <c:v>0.27522935779862706</c:v>
                </c:pt>
                <c:pt idx="400">
                  <c:v>0.39187227866261271</c:v>
                </c:pt>
                <c:pt idx="401">
                  <c:v>0.91034482759205393</c:v>
                </c:pt>
                <c:pt idx="402">
                  <c:v>0.65721649484161415</c:v>
                </c:pt>
                <c:pt idx="403">
                  <c:v>0.41727672035146207</c:v>
                </c:pt>
                <c:pt idx="404">
                  <c:v>0.41987403778996324</c:v>
                </c:pt>
                <c:pt idx="405">
                  <c:v>0.36314727639639366</c:v>
                </c:pt>
                <c:pt idx="406">
                  <c:v>0.38765254845546709</c:v>
                </c:pt>
                <c:pt idx="407">
                  <c:v>0.60443250503589785</c:v>
                </c:pt>
                <c:pt idx="408">
                  <c:v>0.93495934959216853</c:v>
                </c:pt>
                <c:pt idx="409">
                  <c:v>0.80357142857238317</c:v>
                </c:pt>
                <c:pt idx="410">
                  <c:v>0.43866774979699602</c:v>
                </c:pt>
                <c:pt idx="411">
                  <c:v>0.41928721173942796</c:v>
                </c:pt>
                <c:pt idx="412">
                  <c:v>0.59327620303248274</c:v>
                </c:pt>
                <c:pt idx="413">
                  <c:v>0.48997772828482389</c:v>
                </c:pt>
                <c:pt idx="414">
                  <c:v>0.4126547455314899</c:v>
                </c:pt>
                <c:pt idx="415">
                  <c:v>0.40358744394613566</c:v>
                </c:pt>
                <c:pt idx="416">
                  <c:v>0.39408866995096492</c:v>
                </c:pt>
                <c:pt idx="417">
                  <c:v>0.54752851710978145</c:v>
                </c:pt>
                <c:pt idx="418">
                  <c:v>0.33080634045385016</c:v>
                </c:pt>
                <c:pt idx="419">
                  <c:v>0.3870967741929669</c:v>
                </c:pt>
                <c:pt idx="420">
                  <c:v>0.54586808188300662</c:v>
                </c:pt>
                <c:pt idx="421">
                  <c:v>0.32323232323232326</c:v>
                </c:pt>
                <c:pt idx="422">
                  <c:v>0.41695621959788681</c:v>
                </c:pt>
                <c:pt idx="423">
                  <c:v>0.44971892567119376</c:v>
                </c:pt>
                <c:pt idx="424">
                  <c:v>0.38523274478121899</c:v>
                </c:pt>
                <c:pt idx="425">
                  <c:v>0.37473976405461817</c:v>
                </c:pt>
                <c:pt idx="426">
                  <c:v>0.47745358090134077</c:v>
                </c:pt>
                <c:pt idx="427">
                  <c:v>0.52439912600083416</c:v>
                </c:pt>
                <c:pt idx="428">
                  <c:v>0.44414535666120608</c:v>
                </c:pt>
                <c:pt idx="429">
                  <c:v>0.4216444132124218</c:v>
                </c:pt>
                <c:pt idx="430">
                  <c:v>0.36036036036053481</c:v>
                </c:pt>
                <c:pt idx="431">
                  <c:v>0.54016620498519152</c:v>
                </c:pt>
                <c:pt idx="432">
                  <c:v>0.64000000000149015</c:v>
                </c:pt>
                <c:pt idx="433">
                  <c:v>1.6949152542305996</c:v>
                </c:pt>
                <c:pt idx="434">
                  <c:v>1.4612546125511472</c:v>
                </c:pt>
                <c:pt idx="435">
                  <c:v>1.2923076923030632</c:v>
                </c:pt>
                <c:pt idx="436">
                  <c:v>1.0874704491743725</c:v>
                </c:pt>
                <c:pt idx="437">
                  <c:v>0.91794158553293925</c:v>
                </c:pt>
                <c:pt idx="438">
                  <c:v>0.77972709551763086</c:v>
                </c:pt>
                <c:pt idx="439">
                  <c:v>1.0422960725082859</c:v>
                </c:pt>
                <c:pt idx="440">
                  <c:v>1.5810276679812798</c:v>
                </c:pt>
                <c:pt idx="441">
                  <c:v>1.1281337047373881</c:v>
                </c:pt>
                <c:pt idx="442">
                  <c:v>0.81743869209977804</c:v>
                </c:pt>
                <c:pt idx="443">
                  <c:v>0.70901033973278005</c:v>
                </c:pt>
                <c:pt idx="444">
                  <c:v>1.1037834085374529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552128"/>
        <c:axId val="299439232"/>
      </c:lineChart>
      <c:lineChart>
        <c:grouping val="standard"/>
        <c:varyColors val="0"/>
        <c:ser>
          <c:idx val="1"/>
          <c:order val="1"/>
          <c:tx>
            <c:strRef>
              <c:f>'Suivi Conso'!$B$4</c:f>
              <c:strCache>
                <c:ptCount val="1"/>
                <c:pt idx="0">
                  <c:v>T° station
Niort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trendline>
            <c:trendlineType val="movingAvg"/>
            <c:period val="2"/>
            <c:dispRSqr val="0"/>
            <c:dispEq val="0"/>
          </c:trendline>
          <c:val>
            <c:numRef>
              <c:f>'Suivi Conso'!$B$6:$B$450</c:f>
              <c:numCache>
                <c:formatCode>General</c:formatCode>
                <c:ptCount val="445"/>
                <c:pt idx="0">
                  <c:v>4.7</c:v>
                </c:pt>
                <c:pt idx="1">
                  <c:v>1.3</c:v>
                </c:pt>
                <c:pt idx="2">
                  <c:v>4.3</c:v>
                </c:pt>
                <c:pt idx="3">
                  <c:v>0.6</c:v>
                </c:pt>
                <c:pt idx="4">
                  <c:v>-4</c:v>
                </c:pt>
                <c:pt idx="5">
                  <c:v>3.1</c:v>
                </c:pt>
                <c:pt idx="6">
                  <c:v>3.7</c:v>
                </c:pt>
                <c:pt idx="7">
                  <c:v>4.7</c:v>
                </c:pt>
                <c:pt idx="8">
                  <c:v>9.6</c:v>
                </c:pt>
                <c:pt idx="9">
                  <c:v>10.6</c:v>
                </c:pt>
                <c:pt idx="10">
                  <c:v>11.1</c:v>
                </c:pt>
                <c:pt idx="11">
                  <c:v>12.1</c:v>
                </c:pt>
                <c:pt idx="12">
                  <c:v>11.4</c:v>
                </c:pt>
                <c:pt idx="13">
                  <c:v>10.3</c:v>
                </c:pt>
                <c:pt idx="14">
                  <c:v>11.6</c:v>
                </c:pt>
                <c:pt idx="15">
                  <c:v>9.6</c:v>
                </c:pt>
                <c:pt idx="16">
                  <c:v>10.7</c:v>
                </c:pt>
                <c:pt idx="17">
                  <c:v>9.8000000000000007</c:v>
                </c:pt>
                <c:pt idx="18">
                  <c:v>8.8000000000000007</c:v>
                </c:pt>
                <c:pt idx="19">
                  <c:v>9.5</c:v>
                </c:pt>
                <c:pt idx="20">
                  <c:v>9.6999999999999993</c:v>
                </c:pt>
                <c:pt idx="21">
                  <c:v>9.8000000000000007</c:v>
                </c:pt>
                <c:pt idx="22">
                  <c:v>11</c:v>
                </c:pt>
                <c:pt idx="23">
                  <c:v>9.5</c:v>
                </c:pt>
                <c:pt idx="24">
                  <c:v>11.8</c:v>
                </c:pt>
                <c:pt idx="25">
                  <c:v>12.7</c:v>
                </c:pt>
                <c:pt idx="26">
                  <c:v>11.4</c:v>
                </c:pt>
                <c:pt idx="27">
                  <c:v>11.5</c:v>
                </c:pt>
                <c:pt idx="28">
                  <c:v>8.4</c:v>
                </c:pt>
                <c:pt idx="29">
                  <c:v>8.3000000000000007</c:v>
                </c:pt>
                <c:pt idx="30">
                  <c:v>10.8</c:v>
                </c:pt>
                <c:pt idx="31">
                  <c:v>7.3</c:v>
                </c:pt>
                <c:pt idx="32">
                  <c:v>8.5</c:v>
                </c:pt>
                <c:pt idx="33">
                  <c:v>7.2</c:v>
                </c:pt>
                <c:pt idx="34">
                  <c:v>7.4</c:v>
                </c:pt>
                <c:pt idx="35">
                  <c:v>2.9</c:v>
                </c:pt>
                <c:pt idx="36">
                  <c:v>6.1</c:v>
                </c:pt>
                <c:pt idx="37">
                  <c:v>-0.5</c:v>
                </c:pt>
                <c:pt idx="38">
                  <c:v>3.8</c:v>
                </c:pt>
                <c:pt idx="39">
                  <c:v>0.2</c:v>
                </c:pt>
                <c:pt idx="40">
                  <c:v>0.2</c:v>
                </c:pt>
                <c:pt idx="41">
                  <c:v>2.1</c:v>
                </c:pt>
                <c:pt idx="42">
                  <c:v>1</c:v>
                </c:pt>
                <c:pt idx="43">
                  <c:v>-0.4</c:v>
                </c:pt>
                <c:pt idx="44">
                  <c:v>-4</c:v>
                </c:pt>
                <c:pt idx="45">
                  <c:v>-2</c:v>
                </c:pt>
                <c:pt idx="46">
                  <c:v>-1.7</c:v>
                </c:pt>
                <c:pt idx="47">
                  <c:v>-5</c:v>
                </c:pt>
                <c:pt idx="48">
                  <c:v>0</c:v>
                </c:pt>
                <c:pt idx="49">
                  <c:v>-4</c:v>
                </c:pt>
                <c:pt idx="50">
                  <c:v>7.1</c:v>
                </c:pt>
                <c:pt idx="51">
                  <c:v>5.4</c:v>
                </c:pt>
                <c:pt idx="52">
                  <c:v>10.9</c:v>
                </c:pt>
                <c:pt idx="53">
                  <c:v>6.1</c:v>
                </c:pt>
                <c:pt idx="54">
                  <c:v>9.5</c:v>
                </c:pt>
                <c:pt idx="55">
                  <c:v>8.9</c:v>
                </c:pt>
                <c:pt idx="56">
                  <c:v>13.2</c:v>
                </c:pt>
                <c:pt idx="57">
                  <c:v>9.5</c:v>
                </c:pt>
                <c:pt idx="58">
                  <c:v>9.9</c:v>
                </c:pt>
                <c:pt idx="59">
                  <c:v>9.5</c:v>
                </c:pt>
                <c:pt idx="60">
                  <c:v>7.6</c:v>
                </c:pt>
                <c:pt idx="61">
                  <c:v>13.7</c:v>
                </c:pt>
                <c:pt idx="62">
                  <c:v>14.8</c:v>
                </c:pt>
                <c:pt idx="63">
                  <c:v>14</c:v>
                </c:pt>
                <c:pt idx="64">
                  <c:v>10.5</c:v>
                </c:pt>
                <c:pt idx="65">
                  <c:v>14.8</c:v>
                </c:pt>
                <c:pt idx="66">
                  <c:v>14.5</c:v>
                </c:pt>
                <c:pt idx="67">
                  <c:v>9.9</c:v>
                </c:pt>
                <c:pt idx="68">
                  <c:v>12.3</c:v>
                </c:pt>
                <c:pt idx="69">
                  <c:v>10.1</c:v>
                </c:pt>
                <c:pt idx="70">
                  <c:v>7.1</c:v>
                </c:pt>
                <c:pt idx="71">
                  <c:v>15.3</c:v>
                </c:pt>
                <c:pt idx="72">
                  <c:v>11.5</c:v>
                </c:pt>
                <c:pt idx="73">
                  <c:v>9.4</c:v>
                </c:pt>
                <c:pt idx="74">
                  <c:v>16.899999999999999</c:v>
                </c:pt>
                <c:pt idx="75">
                  <c:v>8.8000000000000007</c:v>
                </c:pt>
                <c:pt idx="76">
                  <c:v>10.199999999999999</c:v>
                </c:pt>
                <c:pt idx="77">
                  <c:v>13.4</c:v>
                </c:pt>
                <c:pt idx="78">
                  <c:v>9.8000000000000007</c:v>
                </c:pt>
                <c:pt idx="79">
                  <c:v>6.3</c:v>
                </c:pt>
                <c:pt idx="80">
                  <c:v>13.1</c:v>
                </c:pt>
                <c:pt idx="81">
                  <c:v>1.8</c:v>
                </c:pt>
                <c:pt idx="82">
                  <c:v>10.7</c:v>
                </c:pt>
                <c:pt idx="83">
                  <c:v>1.2</c:v>
                </c:pt>
                <c:pt idx="84">
                  <c:v>4.8</c:v>
                </c:pt>
                <c:pt idx="85">
                  <c:v>1.5</c:v>
                </c:pt>
                <c:pt idx="86">
                  <c:v>15.3</c:v>
                </c:pt>
                <c:pt idx="87">
                  <c:v>7.2</c:v>
                </c:pt>
                <c:pt idx="88">
                  <c:v>8</c:v>
                </c:pt>
                <c:pt idx="89">
                  <c:v>14.9</c:v>
                </c:pt>
                <c:pt idx="90">
                  <c:v>9.6999999999999993</c:v>
                </c:pt>
                <c:pt idx="91">
                  <c:v>8.9</c:v>
                </c:pt>
                <c:pt idx="92">
                  <c:v>12.7</c:v>
                </c:pt>
                <c:pt idx="93">
                  <c:v>5.7</c:v>
                </c:pt>
                <c:pt idx="94">
                  <c:v>12.5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9.6999999999999993</c:v>
                </c:pt>
                <c:pt idx="99">
                  <c:v>1.9</c:v>
                </c:pt>
                <c:pt idx="100">
                  <c:v>-0.7</c:v>
                </c:pt>
                <c:pt idx="101">
                  <c:v>8.4</c:v>
                </c:pt>
                <c:pt idx="102">
                  <c:v>-3.6</c:v>
                </c:pt>
                <c:pt idx="103">
                  <c:v>9</c:v>
                </c:pt>
                <c:pt idx="104">
                  <c:v>-0.4</c:v>
                </c:pt>
                <c:pt idx="105">
                  <c:v>7.9</c:v>
                </c:pt>
                <c:pt idx="106">
                  <c:v>11.2</c:v>
                </c:pt>
                <c:pt idx="107">
                  <c:v>10.4</c:v>
                </c:pt>
                <c:pt idx="108">
                  <c:v>3.2</c:v>
                </c:pt>
                <c:pt idx="109">
                  <c:v>10.199999999999999</c:v>
                </c:pt>
                <c:pt idx="110">
                  <c:v>7.9</c:v>
                </c:pt>
                <c:pt idx="111">
                  <c:v>2.7</c:v>
                </c:pt>
                <c:pt idx="112">
                  <c:v>11.8</c:v>
                </c:pt>
                <c:pt idx="113">
                  <c:v>8.8000000000000007</c:v>
                </c:pt>
                <c:pt idx="114">
                  <c:v>11.1</c:v>
                </c:pt>
                <c:pt idx="115">
                  <c:v>8.1999999999999993</c:v>
                </c:pt>
                <c:pt idx="116">
                  <c:v>14.2</c:v>
                </c:pt>
                <c:pt idx="117">
                  <c:v>13</c:v>
                </c:pt>
                <c:pt idx="118">
                  <c:v>8.9</c:v>
                </c:pt>
                <c:pt idx="119">
                  <c:v>2.4</c:v>
                </c:pt>
                <c:pt idx="120">
                  <c:v>7.5</c:v>
                </c:pt>
                <c:pt idx="121">
                  <c:v>5.5</c:v>
                </c:pt>
                <c:pt idx="122">
                  <c:v>3</c:v>
                </c:pt>
                <c:pt idx="123">
                  <c:v>2.1</c:v>
                </c:pt>
                <c:pt idx="124">
                  <c:v>-0.3</c:v>
                </c:pt>
                <c:pt idx="125">
                  <c:v>10.199999999999999</c:v>
                </c:pt>
                <c:pt idx="126">
                  <c:v>4.5999999999999996</c:v>
                </c:pt>
                <c:pt idx="127">
                  <c:v>15.9</c:v>
                </c:pt>
                <c:pt idx="128">
                  <c:v>9.1</c:v>
                </c:pt>
                <c:pt idx="129">
                  <c:v>9.1</c:v>
                </c:pt>
                <c:pt idx="130">
                  <c:v>13.9</c:v>
                </c:pt>
                <c:pt idx="131">
                  <c:v>9.9</c:v>
                </c:pt>
                <c:pt idx="132">
                  <c:v>11</c:v>
                </c:pt>
                <c:pt idx="133">
                  <c:v>11.2</c:v>
                </c:pt>
                <c:pt idx="134">
                  <c:v>10.6</c:v>
                </c:pt>
                <c:pt idx="135">
                  <c:v>12.4</c:v>
                </c:pt>
                <c:pt idx="136">
                  <c:v>12.4</c:v>
                </c:pt>
                <c:pt idx="137">
                  <c:v>17.2</c:v>
                </c:pt>
                <c:pt idx="138">
                  <c:v>2.7</c:v>
                </c:pt>
                <c:pt idx="139">
                  <c:v>6.4</c:v>
                </c:pt>
                <c:pt idx="140">
                  <c:v>5.9</c:v>
                </c:pt>
                <c:pt idx="141">
                  <c:v>-1.5</c:v>
                </c:pt>
                <c:pt idx="142">
                  <c:v>6.6</c:v>
                </c:pt>
                <c:pt idx="143">
                  <c:v>1.1000000000000001</c:v>
                </c:pt>
                <c:pt idx="144">
                  <c:v>5.8</c:v>
                </c:pt>
                <c:pt idx="145">
                  <c:v>8.4</c:v>
                </c:pt>
                <c:pt idx="146">
                  <c:v>5</c:v>
                </c:pt>
                <c:pt idx="147">
                  <c:v>-0.1</c:v>
                </c:pt>
                <c:pt idx="148">
                  <c:v>0.8</c:v>
                </c:pt>
                <c:pt idx="149">
                  <c:v>10.1</c:v>
                </c:pt>
                <c:pt idx="150">
                  <c:v>10.4</c:v>
                </c:pt>
                <c:pt idx="151">
                  <c:v>11.5</c:v>
                </c:pt>
                <c:pt idx="152">
                  <c:v>10.1</c:v>
                </c:pt>
                <c:pt idx="153">
                  <c:v>9.6</c:v>
                </c:pt>
                <c:pt idx="154">
                  <c:v>2.1</c:v>
                </c:pt>
                <c:pt idx="155">
                  <c:v>10.6</c:v>
                </c:pt>
                <c:pt idx="156">
                  <c:v>7</c:v>
                </c:pt>
                <c:pt idx="157">
                  <c:v>8.5</c:v>
                </c:pt>
                <c:pt idx="158">
                  <c:v>8.9</c:v>
                </c:pt>
                <c:pt idx="159">
                  <c:v>15.1</c:v>
                </c:pt>
                <c:pt idx="160">
                  <c:v>7.2</c:v>
                </c:pt>
                <c:pt idx="161">
                  <c:v>10.6</c:v>
                </c:pt>
                <c:pt idx="162">
                  <c:v>11.8</c:v>
                </c:pt>
                <c:pt idx="163">
                  <c:v>15.4</c:v>
                </c:pt>
                <c:pt idx="164">
                  <c:v>22.3</c:v>
                </c:pt>
                <c:pt idx="165">
                  <c:v>24.2</c:v>
                </c:pt>
                <c:pt idx="166">
                  <c:v>5</c:v>
                </c:pt>
                <c:pt idx="168">
                  <c:v>8.4</c:v>
                </c:pt>
                <c:pt idx="169">
                  <c:v>11.4</c:v>
                </c:pt>
                <c:pt idx="170">
                  <c:v>3.8</c:v>
                </c:pt>
                <c:pt idx="171">
                  <c:v>5.6</c:v>
                </c:pt>
                <c:pt idx="172">
                  <c:v>7.1</c:v>
                </c:pt>
                <c:pt idx="173">
                  <c:v>1.5</c:v>
                </c:pt>
                <c:pt idx="174">
                  <c:v>1.8</c:v>
                </c:pt>
                <c:pt idx="175">
                  <c:v>-0.7</c:v>
                </c:pt>
                <c:pt idx="176">
                  <c:v>11</c:v>
                </c:pt>
                <c:pt idx="177">
                  <c:v>10.6</c:v>
                </c:pt>
                <c:pt idx="178">
                  <c:v>4.5999999999999996</c:v>
                </c:pt>
                <c:pt idx="179">
                  <c:v>3.1</c:v>
                </c:pt>
                <c:pt idx="180">
                  <c:v>4.8</c:v>
                </c:pt>
                <c:pt idx="181">
                  <c:v>-1.5</c:v>
                </c:pt>
                <c:pt idx="182">
                  <c:v>-2.1</c:v>
                </c:pt>
                <c:pt idx="183">
                  <c:v>2</c:v>
                </c:pt>
                <c:pt idx="184">
                  <c:v>-0.7</c:v>
                </c:pt>
                <c:pt idx="185">
                  <c:v>-3.4</c:v>
                </c:pt>
                <c:pt idx="186">
                  <c:v>-1.1000000000000001</c:v>
                </c:pt>
                <c:pt idx="187">
                  <c:v>-1.8</c:v>
                </c:pt>
                <c:pt idx="188">
                  <c:v>5.4</c:v>
                </c:pt>
                <c:pt idx="189">
                  <c:v>5.7</c:v>
                </c:pt>
                <c:pt idx="190">
                  <c:v>7</c:v>
                </c:pt>
                <c:pt idx="191">
                  <c:v>7.1</c:v>
                </c:pt>
                <c:pt idx="192">
                  <c:v>4</c:v>
                </c:pt>
                <c:pt idx="193">
                  <c:v>7.6</c:v>
                </c:pt>
                <c:pt idx="194">
                  <c:v>3.7</c:v>
                </c:pt>
                <c:pt idx="195">
                  <c:v>7.3</c:v>
                </c:pt>
                <c:pt idx="196">
                  <c:v>-0.7</c:v>
                </c:pt>
                <c:pt idx="197">
                  <c:v>8.3000000000000007</c:v>
                </c:pt>
                <c:pt idx="198">
                  <c:v>7.6</c:v>
                </c:pt>
                <c:pt idx="199">
                  <c:v>-0.3</c:v>
                </c:pt>
                <c:pt idx="200">
                  <c:v>0.1</c:v>
                </c:pt>
                <c:pt idx="201">
                  <c:v>5.6</c:v>
                </c:pt>
                <c:pt idx="202">
                  <c:v>0.1</c:v>
                </c:pt>
                <c:pt idx="203">
                  <c:v>-0.9</c:v>
                </c:pt>
                <c:pt idx="204">
                  <c:v>5.5</c:v>
                </c:pt>
                <c:pt idx="205">
                  <c:v>2.6</c:v>
                </c:pt>
                <c:pt idx="206">
                  <c:v>11.2</c:v>
                </c:pt>
                <c:pt idx="207">
                  <c:v>10.9</c:v>
                </c:pt>
                <c:pt idx="208">
                  <c:v>11.2</c:v>
                </c:pt>
                <c:pt idx="209">
                  <c:v>6</c:v>
                </c:pt>
                <c:pt idx="210">
                  <c:v>8.3000000000000007</c:v>
                </c:pt>
                <c:pt idx="211">
                  <c:v>4.2</c:v>
                </c:pt>
                <c:pt idx="212">
                  <c:v>6.3</c:v>
                </c:pt>
                <c:pt idx="213">
                  <c:v>0.2</c:v>
                </c:pt>
                <c:pt idx="214">
                  <c:v>8.1</c:v>
                </c:pt>
                <c:pt idx="215">
                  <c:v>7.8</c:v>
                </c:pt>
                <c:pt idx="216">
                  <c:v>8.4</c:v>
                </c:pt>
                <c:pt idx="217">
                  <c:v>7</c:v>
                </c:pt>
                <c:pt idx="218">
                  <c:v>2.8</c:v>
                </c:pt>
                <c:pt idx="219">
                  <c:v>-3</c:v>
                </c:pt>
                <c:pt idx="220">
                  <c:v>6.5</c:v>
                </c:pt>
                <c:pt idx="221">
                  <c:v>8.3000000000000007</c:v>
                </c:pt>
                <c:pt idx="222">
                  <c:v>9.1999999999999993</c:v>
                </c:pt>
                <c:pt idx="223">
                  <c:v>10</c:v>
                </c:pt>
                <c:pt idx="224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442560"/>
        <c:axId val="299440768"/>
      </c:lineChart>
      <c:catAx>
        <c:axId val="299552128"/>
        <c:scaling>
          <c:orientation val="minMax"/>
        </c:scaling>
        <c:delete val="0"/>
        <c:axPos val="b"/>
        <c:majorTickMark val="out"/>
        <c:minorTickMark val="none"/>
        <c:tickLblPos val="nextTo"/>
        <c:crossAx val="299439232"/>
        <c:crosses val="autoZero"/>
        <c:auto val="1"/>
        <c:lblAlgn val="ctr"/>
        <c:lblOffset val="100"/>
        <c:noMultiLvlLbl val="0"/>
      </c:catAx>
      <c:valAx>
        <c:axId val="299439232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299552128"/>
        <c:crosses val="autoZero"/>
        <c:crossBetween val="between"/>
      </c:valAx>
      <c:valAx>
        <c:axId val="299440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442560"/>
        <c:crosses val="max"/>
        <c:crossBetween val="between"/>
      </c:valAx>
      <c:catAx>
        <c:axId val="299442560"/>
        <c:scaling>
          <c:orientation val="minMax"/>
        </c:scaling>
        <c:delete val="1"/>
        <c:axPos val="b"/>
        <c:majorTickMark val="out"/>
        <c:minorTickMark val="none"/>
        <c:tickLblPos val="nextTo"/>
        <c:crossAx val="29944076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Conso'!$AD$4</c:f>
              <c:strCache>
                <c:ptCount val="1"/>
                <c:pt idx="0">
                  <c:v>Conso HP + HC / an_x000d_
Instantané</c:v>
                </c:pt>
              </c:strCache>
            </c:strRef>
          </c:tx>
          <c:spPr>
            <a:ln w="57150"/>
          </c:spPr>
          <c:marker>
            <c:symbol val="none"/>
          </c:marker>
          <c:trendline>
            <c:spPr>
              <a:ln w="19050"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trendline>
            <c:spPr>
              <a:ln w="19050">
                <a:solidFill>
                  <a:schemeClr val="accent6"/>
                </a:solidFill>
              </a:ln>
            </c:spPr>
            <c:trendlineType val="movingAvg"/>
            <c:period val="2"/>
            <c:dispRSqr val="0"/>
            <c:dispEq val="0"/>
          </c:trendline>
          <c:val>
            <c:numRef>
              <c:f>'Suivi Conso'!$AD$6:$AD$450</c:f>
              <c:numCache>
                <c:formatCode>0.00000</c:formatCode>
                <c:ptCount val="445"/>
                <c:pt idx="0">
                  <c:v>24641.09409190686</c:v>
                </c:pt>
                <c:pt idx="1">
                  <c:v>24218.181817922003</c:v>
                </c:pt>
                <c:pt idx="2">
                  <c:v>26545.454546016419</c:v>
                </c:pt>
                <c:pt idx="3">
                  <c:v>23360</c:v>
                </c:pt>
                <c:pt idx="4">
                  <c:v>28431.578947455524</c:v>
                </c:pt>
                <c:pt idx="5">
                  <c:v>29848.888888888887</c:v>
                </c:pt>
                <c:pt idx="6">
                  <c:v>28643.051770971793</c:v>
                </c:pt>
                <c:pt idx="7">
                  <c:v>26521.100917232914</c:v>
                </c:pt>
                <c:pt idx="8">
                  <c:v>24780.148883775553</c:v>
                </c:pt>
                <c:pt idx="9">
                  <c:v>29629.411764756609</c:v>
                </c:pt>
                <c:pt idx="10">
                  <c:v>19347.239263541142</c:v>
                </c:pt>
                <c:pt idx="11">
                  <c:v>18771.42857145087</c:v>
                </c:pt>
                <c:pt idx="12">
                  <c:v>18176.368876105083</c:v>
                </c:pt>
                <c:pt idx="13">
                  <c:v>18020.571428631367</c:v>
                </c:pt>
                <c:pt idx="14">
                  <c:v>19660.847880424823</c:v>
                </c:pt>
                <c:pt idx="15">
                  <c:v>20838.766519706231</c:v>
                </c:pt>
                <c:pt idx="16">
                  <c:v>17581.690140938761</c:v>
                </c:pt>
                <c:pt idx="17">
                  <c:v>20944.212523737671</c:v>
                </c:pt>
                <c:pt idx="18">
                  <c:v>20713.300492658349</c:v>
                </c:pt>
                <c:pt idx="19">
                  <c:v>19833.962263541023</c:v>
                </c:pt>
                <c:pt idx="20">
                  <c:v>26370.934256140346</c:v>
                </c:pt>
                <c:pt idx="21">
                  <c:v>18940.540540480946</c:v>
                </c:pt>
                <c:pt idx="22">
                  <c:v>21453.061224679106</c:v>
                </c:pt>
                <c:pt idx="23">
                  <c:v>18906.474820270563</c:v>
                </c:pt>
                <c:pt idx="24">
                  <c:v>18124.13793088897</c:v>
                </c:pt>
                <c:pt idx="25">
                  <c:v>19709.999999770545</c:v>
                </c:pt>
                <c:pt idx="26">
                  <c:v>18707.796610317142</c:v>
                </c:pt>
                <c:pt idx="27">
                  <c:v>18749.108204601482</c:v>
                </c:pt>
                <c:pt idx="28">
                  <c:v>22059.854014392342</c:v>
                </c:pt>
                <c:pt idx="29">
                  <c:v>18739.558573772505</c:v>
                </c:pt>
                <c:pt idx="30">
                  <c:v>21860.397829999674</c:v>
                </c:pt>
                <c:pt idx="31">
                  <c:v>20215.384615591505</c:v>
                </c:pt>
                <c:pt idx="32">
                  <c:v>19262.827225036966</c:v>
                </c:pt>
                <c:pt idx="33">
                  <c:v>21550.797266474801</c:v>
                </c:pt>
                <c:pt idx="34">
                  <c:v>24408.668730263071</c:v>
                </c:pt>
                <c:pt idx="35">
                  <c:v>25883.819095598526</c:v>
                </c:pt>
                <c:pt idx="36">
                  <c:v>28743.750000418277</c:v>
                </c:pt>
                <c:pt idx="37">
                  <c:v>24905.882352770623</c:v>
                </c:pt>
                <c:pt idx="38">
                  <c:v>35040</c:v>
                </c:pt>
                <c:pt idx="39">
                  <c:v>28444.235294663042</c:v>
                </c:pt>
                <c:pt idx="40">
                  <c:v>25071.20953975563</c:v>
                </c:pt>
                <c:pt idx="41">
                  <c:v>46748.076923757202</c:v>
                </c:pt>
                <c:pt idx="42">
                  <c:v>28290.084985705074</c:v>
                </c:pt>
                <c:pt idx="43">
                  <c:v>34308.093994632072</c:v>
                </c:pt>
                <c:pt idx="44">
                  <c:v>37646.28099180798</c:v>
                </c:pt>
                <c:pt idx="45">
                  <c:v>43302.272727902855</c:v>
                </c:pt>
                <c:pt idx="46">
                  <c:v>34876.261682280936</c:v>
                </c:pt>
                <c:pt idx="47">
                  <c:v>39166.467065704448</c:v>
                </c:pt>
                <c:pt idx="48">
                  <c:v>39667.92452838902</c:v>
                </c:pt>
                <c:pt idx="49">
                  <c:v>30816.938110912786</c:v>
                </c:pt>
                <c:pt idx="50">
                  <c:v>36216.254416901538</c:v>
                </c:pt>
                <c:pt idx="51">
                  <c:v>27042.74406339099</c:v>
                </c:pt>
                <c:pt idx="52">
                  <c:v>30772.833723015774</c:v>
                </c:pt>
                <c:pt idx="53">
                  <c:v>21735.338345859906</c:v>
                </c:pt>
                <c:pt idx="54">
                  <c:v>23675.675675760813</c:v>
                </c:pt>
                <c:pt idx="55">
                  <c:v>17409.463722327146</c:v>
                </c:pt>
                <c:pt idx="56">
                  <c:v>22633.492822941294</c:v>
                </c:pt>
                <c:pt idx="57">
                  <c:v>15534.975369734304</c:v>
                </c:pt>
                <c:pt idx="58">
                  <c:v>17219.344773672114</c:v>
                </c:pt>
                <c:pt idx="59">
                  <c:v>24520.892495253262</c:v>
                </c:pt>
                <c:pt idx="60">
                  <c:v>19792.468619155276</c:v>
                </c:pt>
                <c:pt idx="61">
                  <c:v>14519.337016733341</c:v>
                </c:pt>
                <c:pt idx="62">
                  <c:v>3390.9677418845467</c:v>
                </c:pt>
                <c:pt idx="63">
                  <c:v>16597.894735825132</c:v>
                </c:pt>
                <c:pt idx="64">
                  <c:v>17242.533936647043</c:v>
                </c:pt>
                <c:pt idx="65">
                  <c:v>22184.415584549744</c:v>
                </c:pt>
                <c:pt idx="66">
                  <c:v>2186.0962566899357</c:v>
                </c:pt>
                <c:pt idx="67">
                  <c:v>20857.142857043749</c:v>
                </c:pt>
                <c:pt idx="68">
                  <c:v>19401.342282076253</c:v>
                </c:pt>
                <c:pt idx="69">
                  <c:v>16200.00000009042</c:v>
                </c:pt>
                <c:pt idx="70">
                  <c:v>16498.654708227339</c:v>
                </c:pt>
                <c:pt idx="71">
                  <c:v>14067.153284719347</c:v>
                </c:pt>
                <c:pt idx="72">
                  <c:v>14375.384615384617</c:v>
                </c:pt>
                <c:pt idx="73">
                  <c:v>12353.846153956782</c:v>
                </c:pt>
                <c:pt idx="74">
                  <c:v>17646.043165585856</c:v>
                </c:pt>
                <c:pt idx="75">
                  <c:v>9079.4625719607375</c:v>
                </c:pt>
                <c:pt idx="76">
                  <c:v>2290.1960783895506</c:v>
                </c:pt>
                <c:pt idx="77">
                  <c:v>14696.052631792803</c:v>
                </c:pt>
                <c:pt idx="78">
                  <c:v>17211.083123193534</c:v>
                </c:pt>
                <c:pt idx="79">
                  <c:v>13505.781584494904</c:v>
                </c:pt>
                <c:pt idx="80">
                  <c:v>16877.064220327688</c:v>
                </c:pt>
                <c:pt idx="81">
                  <c:v>19692.417484433929</c:v>
                </c:pt>
                <c:pt idx="82">
                  <c:v>23890.909091053574</c:v>
                </c:pt>
                <c:pt idx="83">
                  <c:v>22518.869644422826</c:v>
                </c:pt>
                <c:pt idx="84">
                  <c:v>23736.774193459249</c:v>
                </c:pt>
                <c:pt idx="85">
                  <c:v>23787.931034828918</c:v>
                </c:pt>
                <c:pt idx="86">
                  <c:v>22910.769230564063</c:v>
                </c:pt>
                <c:pt idx="87">
                  <c:v>17337.499999936925</c:v>
                </c:pt>
                <c:pt idx="88">
                  <c:v>17630.188679477633</c:v>
                </c:pt>
                <c:pt idx="89">
                  <c:v>19724.503310832486</c:v>
                </c:pt>
                <c:pt idx="90">
                  <c:v>14631.263383531075</c:v>
                </c:pt>
                <c:pt idx="91">
                  <c:v>16819.199999804201</c:v>
                </c:pt>
                <c:pt idx="92">
                  <c:v>18377.622377861753</c:v>
                </c:pt>
                <c:pt idx="93">
                  <c:v>15689.552238696926</c:v>
                </c:pt>
                <c:pt idx="94">
                  <c:v>19660.847880424823</c:v>
                </c:pt>
                <c:pt idx="95">
                  <c:v>13163.50626120261</c:v>
                </c:pt>
                <c:pt idx="96">
                  <c:v>18197.963340217124</c:v>
                </c:pt>
                <c:pt idx="97">
                  <c:v>23470.63599461686</c:v>
                </c:pt>
                <c:pt idx="98">
                  <c:v>24772.131147103675</c:v>
                </c:pt>
                <c:pt idx="99">
                  <c:v>25748.242811750591</c:v>
                </c:pt>
                <c:pt idx="100">
                  <c:v>22509.635974158176</c:v>
                </c:pt>
                <c:pt idx="101">
                  <c:v>24792.452830243139</c:v>
                </c:pt>
                <c:pt idx="102">
                  <c:v>23616.82600396077</c:v>
                </c:pt>
                <c:pt idx="103">
                  <c:v>26074.151435920376</c:v>
                </c:pt>
                <c:pt idx="104">
                  <c:v>22084.033613402171</c:v>
                </c:pt>
                <c:pt idx="105">
                  <c:v>19415.303430126864</c:v>
                </c:pt>
                <c:pt idx="106">
                  <c:v>21565.648854952251</c:v>
                </c:pt>
                <c:pt idx="107">
                  <c:v>19674.866309964451</c:v>
                </c:pt>
                <c:pt idx="108">
                  <c:v>19685.393258568587</c:v>
                </c:pt>
                <c:pt idx="109">
                  <c:v>20104.918032863621</c:v>
                </c:pt>
                <c:pt idx="110">
                  <c:v>17659.416445481558</c:v>
                </c:pt>
                <c:pt idx="111">
                  <c:v>20698.734177306695</c:v>
                </c:pt>
                <c:pt idx="112">
                  <c:v>24214.634146478977</c:v>
                </c:pt>
                <c:pt idx="113">
                  <c:v>17305.738475889993</c:v>
                </c:pt>
                <c:pt idx="114">
                  <c:v>17310.17964076683</c:v>
                </c:pt>
                <c:pt idx="115">
                  <c:v>17716.853932591403</c:v>
                </c:pt>
                <c:pt idx="116">
                  <c:v>14600.000000094426</c:v>
                </c:pt>
                <c:pt idx="117">
                  <c:v>4138.5826773322751</c:v>
                </c:pt>
                <c:pt idx="118">
                  <c:v>13169.931662845713</c:v>
                </c:pt>
                <c:pt idx="119">
                  <c:v>19027.868852395466</c:v>
                </c:pt>
                <c:pt idx="120">
                  <c:v>20271.074380204296</c:v>
                </c:pt>
                <c:pt idx="121">
                  <c:v>19777.986829783506</c:v>
                </c:pt>
                <c:pt idx="122">
                  <c:v>21674.226804146474</c:v>
                </c:pt>
                <c:pt idx="123">
                  <c:v>19548.631578899458</c:v>
                </c:pt>
                <c:pt idx="124">
                  <c:v>22061.266568570059</c:v>
                </c:pt>
                <c:pt idx="125">
                  <c:v>20692.913385523279</c:v>
                </c:pt>
                <c:pt idx="126">
                  <c:v>19145.880312279231</c:v>
                </c:pt>
                <c:pt idx="127">
                  <c:v>14474.354561078348</c:v>
                </c:pt>
                <c:pt idx="128">
                  <c:v>12580.851063837577</c:v>
                </c:pt>
                <c:pt idx="129">
                  <c:v>12273.626373628338</c:v>
                </c:pt>
                <c:pt idx="130">
                  <c:v>15981.081081030798</c:v>
                </c:pt>
                <c:pt idx="131">
                  <c:v>17116.441620377915</c:v>
                </c:pt>
                <c:pt idx="132">
                  <c:v>18598.726114566936</c:v>
                </c:pt>
                <c:pt idx="133">
                  <c:v>8385.2066714996727</c:v>
                </c:pt>
                <c:pt idx="134">
                  <c:v>6045.7225018084</c:v>
                </c:pt>
                <c:pt idx="135">
                  <c:v>4054.4179523247572</c:v>
                </c:pt>
                <c:pt idx="136">
                  <c:v>3568.2281058995454</c:v>
                </c:pt>
                <c:pt idx="137">
                  <c:v>3658.4686774862944</c:v>
                </c:pt>
                <c:pt idx="138">
                  <c:v>10260.159716096372</c:v>
                </c:pt>
                <c:pt idx="139">
                  <c:v>16987.718164155514</c:v>
                </c:pt>
                <c:pt idx="140">
                  <c:v>10504.49678801904</c:v>
                </c:pt>
                <c:pt idx="141">
                  <c:v>16036.613272328301</c:v>
                </c:pt>
                <c:pt idx="142">
                  <c:v>20747.368420925512</c:v>
                </c:pt>
                <c:pt idx="143">
                  <c:v>20477.922078045918</c:v>
                </c:pt>
                <c:pt idx="144">
                  <c:v>17950.819672071197</c:v>
                </c:pt>
                <c:pt idx="145">
                  <c:v>13851.282051302724</c:v>
                </c:pt>
                <c:pt idx="146">
                  <c:v>11949.632738699396</c:v>
                </c:pt>
                <c:pt idx="147">
                  <c:v>17176.47058831371</c:v>
                </c:pt>
                <c:pt idx="148">
                  <c:v>16078.857919708656</c:v>
                </c:pt>
                <c:pt idx="149">
                  <c:v>19182.481752379026</c:v>
                </c:pt>
                <c:pt idx="150">
                  <c:v>15458.823529041249</c:v>
                </c:pt>
                <c:pt idx="151">
                  <c:v>7562.5899279182095</c:v>
                </c:pt>
                <c:pt idx="152">
                  <c:v>2887.9120879748939</c:v>
                </c:pt>
                <c:pt idx="153">
                  <c:v>17696.355432121596</c:v>
                </c:pt>
                <c:pt idx="154">
                  <c:v>20264.096385485325</c:v>
                </c:pt>
                <c:pt idx="155">
                  <c:v>13019.366014203004</c:v>
                </c:pt>
                <c:pt idx="156">
                  <c:v>6195.4961294936375</c:v>
                </c:pt>
                <c:pt idx="157">
                  <c:v>5390.7692307416455</c:v>
                </c:pt>
                <c:pt idx="158">
                  <c:v>5235.0597609731713</c:v>
                </c:pt>
                <c:pt idx="159">
                  <c:v>5421.577920268337</c:v>
                </c:pt>
                <c:pt idx="160">
                  <c:v>9368.5557586817358</c:v>
                </c:pt>
                <c:pt idx="161">
                  <c:v>10213.452914776879</c:v>
                </c:pt>
                <c:pt idx="162">
                  <c:v>14118.510638306614</c:v>
                </c:pt>
                <c:pt idx="163">
                  <c:v>6648.586852968705</c:v>
                </c:pt>
                <c:pt idx="164">
                  <c:v>4263.9800769752101</c:v>
                </c:pt>
                <c:pt idx="165">
                  <c:v>4201.0201090462542</c:v>
                </c:pt>
                <c:pt idx="166">
                  <c:v>4421.3633838591186</c:v>
                </c:pt>
                <c:pt idx="167">
                  <c:v>7203.934247073289</c:v>
                </c:pt>
                <c:pt idx="168">
                  <c:v>9471.7104512787355</c:v>
                </c:pt>
                <c:pt idx="169">
                  <c:v>14883.359847276086</c:v>
                </c:pt>
                <c:pt idx="170">
                  <c:v>14086.56855151681</c:v>
                </c:pt>
                <c:pt idx="171">
                  <c:v>20705.042668731712</c:v>
                </c:pt>
                <c:pt idx="172">
                  <c:v>22064.051027224417</c:v>
                </c:pt>
                <c:pt idx="173">
                  <c:v>23080.176843106026</c:v>
                </c:pt>
                <c:pt idx="174">
                  <c:v>31781.859669256814</c:v>
                </c:pt>
                <c:pt idx="175">
                  <c:v>30992.715920810588</c:v>
                </c:pt>
                <c:pt idx="176">
                  <c:v>22080.861759471642</c:v>
                </c:pt>
                <c:pt idx="177">
                  <c:v>4083.6516672059083</c:v>
                </c:pt>
                <c:pt idx="178">
                  <c:v>20917.09042670732</c:v>
                </c:pt>
                <c:pt idx="179">
                  <c:v>23738.321167888254</c:v>
                </c:pt>
                <c:pt idx="180">
                  <c:v>24224.581005673244</c:v>
                </c:pt>
                <c:pt idx="181">
                  <c:v>24004.907975391547</c:v>
                </c:pt>
                <c:pt idx="182">
                  <c:v>27018.505825925404</c:v>
                </c:pt>
                <c:pt idx="183">
                  <c:v>29442.323651480725</c:v>
                </c:pt>
                <c:pt idx="184">
                  <c:v>27682.584269658397</c:v>
                </c:pt>
                <c:pt idx="185">
                  <c:v>29548.840477708953</c:v>
                </c:pt>
                <c:pt idx="186">
                  <c:v>28391.135734227668</c:v>
                </c:pt>
                <c:pt idx="187">
                  <c:v>33383.203952049684</c:v>
                </c:pt>
                <c:pt idx="188">
                  <c:v>27516.500993946629</c:v>
                </c:pt>
                <c:pt idx="189">
                  <c:v>21631.191335758253</c:v>
                </c:pt>
                <c:pt idx="190">
                  <c:v>19762.005277093416</c:v>
                </c:pt>
                <c:pt idx="191">
                  <c:v>19006.937269291044</c:v>
                </c:pt>
                <c:pt idx="192">
                  <c:v>22311.482254686442</c:v>
                </c:pt>
                <c:pt idx="193">
                  <c:v>19334.059945543951</c:v>
                </c:pt>
                <c:pt idx="194">
                  <c:v>19334.059945543951</c:v>
                </c:pt>
                <c:pt idx="195">
                  <c:v>20397.505197366969</c:v>
                </c:pt>
                <c:pt idx="196">
                  <c:v>20822.950819751612</c:v>
                </c:pt>
                <c:pt idx="197">
                  <c:v>20544.62540722845</c:v>
                </c:pt>
                <c:pt idx="198">
                  <c:v>18918.309859061872</c:v>
                </c:pt>
                <c:pt idx="199">
                  <c:v>18035.294117611771</c:v>
                </c:pt>
                <c:pt idx="200">
                  <c:v>18160.265780829228</c:v>
                </c:pt>
                <c:pt idx="201">
                  <c:v>20033.264033273732</c:v>
                </c:pt>
                <c:pt idx="202">
                  <c:v>21083.180858536496</c:v>
                </c:pt>
                <c:pt idx="203">
                  <c:v>21251.69675092039</c:v>
                </c:pt>
                <c:pt idx="204">
                  <c:v>21060.310880778201</c:v>
                </c:pt>
                <c:pt idx="205">
                  <c:v>20698.734177306695</c:v>
                </c:pt>
                <c:pt idx="206">
                  <c:v>18605.309734510327</c:v>
                </c:pt>
                <c:pt idx="207">
                  <c:v>16425.000000010172</c:v>
                </c:pt>
                <c:pt idx="208">
                  <c:v>17947.317073166101</c:v>
                </c:pt>
                <c:pt idx="209">
                  <c:v>16801.96721303459</c:v>
                </c:pt>
                <c:pt idx="210">
                  <c:v>19479.549966897324</c:v>
                </c:pt>
                <c:pt idx="211">
                  <c:v>16017.57618710399</c:v>
                </c:pt>
                <c:pt idx="212">
                  <c:v>21438.947368437472</c:v>
                </c:pt>
                <c:pt idx="213">
                  <c:v>21376.076555053689</c:v>
                </c:pt>
                <c:pt idx="214">
                  <c:v>14264.718162832314</c:v>
                </c:pt>
                <c:pt idx="215">
                  <c:v>12631.241655536796</c:v>
                </c:pt>
                <c:pt idx="216">
                  <c:v>15727.766179533066</c:v>
                </c:pt>
                <c:pt idx="217">
                  <c:v>14620.305980488269</c:v>
                </c:pt>
                <c:pt idx="218">
                  <c:v>20033.264033273732</c:v>
                </c:pt>
                <c:pt idx="219">
                  <c:v>19260.887949264783</c:v>
                </c:pt>
                <c:pt idx="220">
                  <c:v>20906.629448736177</c:v>
                </c:pt>
                <c:pt idx="221">
                  <c:v>17375.206611603684</c:v>
                </c:pt>
                <c:pt idx="222">
                  <c:v>13906.648575248179</c:v>
                </c:pt>
                <c:pt idx="223">
                  <c:v>14935.859269301638</c:v>
                </c:pt>
                <c:pt idx="224">
                  <c:v>15127.970479639809</c:v>
                </c:pt>
                <c:pt idx="225">
                  <c:v>15518.356867809352</c:v>
                </c:pt>
                <c:pt idx="226">
                  <c:v>20109.227306872366</c:v>
                </c:pt>
                <c:pt idx="227">
                  <c:v>15101.331464616</c:v>
                </c:pt>
                <c:pt idx="228">
                  <c:v>12011.634349009168</c:v>
                </c:pt>
                <c:pt idx="229">
                  <c:v>15400.997506232177</c:v>
                </c:pt>
                <c:pt idx="230">
                  <c:v>19525.701288800046</c:v>
                </c:pt>
                <c:pt idx="231">
                  <c:v>17867.422096411559</c:v>
                </c:pt>
                <c:pt idx="232">
                  <c:v>13157.312252940212</c:v>
                </c:pt>
                <c:pt idx="233">
                  <c:v>11207.647058813935</c:v>
                </c:pt>
                <c:pt idx="234">
                  <c:v>10452.27272726927</c:v>
                </c:pt>
                <c:pt idx="235">
                  <c:v>12326.77524433707</c:v>
                </c:pt>
                <c:pt idx="236">
                  <c:v>15357.195032881156</c:v>
                </c:pt>
                <c:pt idx="237">
                  <c:v>11799.183673441355</c:v>
                </c:pt>
                <c:pt idx="238">
                  <c:v>9817.2413793054184</c:v>
                </c:pt>
                <c:pt idx="239">
                  <c:v>9910.7479572610355</c:v>
                </c:pt>
                <c:pt idx="240">
                  <c:v>9570.8649468858457</c:v>
                </c:pt>
                <c:pt idx="241">
                  <c:v>4482.7292110963217</c:v>
                </c:pt>
                <c:pt idx="242">
                  <c:v>9910.0558658847276</c:v>
                </c:pt>
                <c:pt idx="243">
                  <c:v>14571.089108978071</c:v>
                </c:pt>
                <c:pt idx="244">
                  <c:v>21931.510791293433</c:v>
                </c:pt>
                <c:pt idx="245">
                  <c:v>26530.968622084103</c:v>
                </c:pt>
                <c:pt idx="246">
                  <c:v>24932.542727593864</c:v>
                </c:pt>
                <c:pt idx="247">
                  <c:v>17086.643109512519</c:v>
                </c:pt>
                <c:pt idx="248">
                  <c:v>14040.000000078366</c:v>
                </c:pt>
                <c:pt idx="249">
                  <c:v>15192.842395039865</c:v>
                </c:pt>
                <c:pt idx="250">
                  <c:v>15437.704917981229</c:v>
                </c:pt>
                <c:pt idx="251">
                  <c:v>17423.204419953938</c:v>
                </c:pt>
                <c:pt idx="252">
                  <c:v>17064.935064909263</c:v>
                </c:pt>
                <c:pt idx="253">
                  <c:v>12713.199723549633</c:v>
                </c:pt>
                <c:pt idx="254">
                  <c:v>5505.5865921581826</c:v>
                </c:pt>
                <c:pt idx="255">
                  <c:v>9503.1988873866158</c:v>
                </c:pt>
                <c:pt idx="256">
                  <c:v>7828.8422477712093</c:v>
                </c:pt>
                <c:pt idx="257">
                  <c:v>4552.1652231852495</c:v>
                </c:pt>
                <c:pt idx="258">
                  <c:v>4314.62686567539</c:v>
                </c:pt>
                <c:pt idx="259">
                  <c:v>4595.0235373357009</c:v>
                </c:pt>
                <c:pt idx="260">
                  <c:v>3512.627506149141</c:v>
                </c:pt>
                <c:pt idx="261">
                  <c:v>12575.932441934052</c:v>
                </c:pt>
                <c:pt idx="262">
                  <c:v>9437.5690608083842</c:v>
                </c:pt>
                <c:pt idx="263">
                  <c:v>4595.0235373357009</c:v>
                </c:pt>
                <c:pt idx="264">
                  <c:v>3604.4887780543399</c:v>
                </c:pt>
                <c:pt idx="265">
                  <c:v>6524.127230409993</c:v>
                </c:pt>
                <c:pt idx="266">
                  <c:v>7842.0541290592901</c:v>
                </c:pt>
                <c:pt idx="267">
                  <c:v>9556.3636363636379</c:v>
                </c:pt>
                <c:pt idx="268">
                  <c:v>5129.7297297539399</c:v>
                </c:pt>
                <c:pt idx="269">
                  <c:v>3927.7173913055904</c:v>
                </c:pt>
                <c:pt idx="270">
                  <c:v>3209.2265942880413</c:v>
                </c:pt>
                <c:pt idx="271">
                  <c:v>3735.6076759136017</c:v>
                </c:pt>
                <c:pt idx="272">
                  <c:v>6695.5414012440961</c:v>
                </c:pt>
                <c:pt idx="273">
                  <c:v>4043.0769230802148</c:v>
                </c:pt>
                <c:pt idx="274">
                  <c:v>3895.9568733239212</c:v>
                </c:pt>
                <c:pt idx="275">
                  <c:v>4915.6834532579951</c:v>
                </c:pt>
                <c:pt idx="276">
                  <c:v>4670.4032809243936</c:v>
                </c:pt>
                <c:pt idx="277">
                  <c:v>3903.8487508231574</c:v>
                </c:pt>
                <c:pt idx="278">
                  <c:v>3546.9938650509412</c:v>
                </c:pt>
                <c:pt idx="279">
                  <c:v>3912.6550868441141</c:v>
                </c:pt>
                <c:pt idx="280">
                  <c:v>2950.7368420980315</c:v>
                </c:pt>
                <c:pt idx="281">
                  <c:v>3483.1013916388138</c:v>
                </c:pt>
                <c:pt idx="282">
                  <c:v>3876.1061946942591</c:v>
                </c:pt>
                <c:pt idx="283">
                  <c:v>3138.9515593929104</c:v>
                </c:pt>
                <c:pt idx="284">
                  <c:v>3698.803659392368</c:v>
                </c:pt>
                <c:pt idx="285">
                  <c:v>4567.3796791628665</c:v>
                </c:pt>
                <c:pt idx="286">
                  <c:v>3881.8316100369707</c:v>
                </c:pt>
                <c:pt idx="287">
                  <c:v>3655.0764951220672</c:v>
                </c:pt>
                <c:pt idx="288">
                  <c:v>3511.0220440947292</c:v>
                </c:pt>
                <c:pt idx="289">
                  <c:v>4207.8602620258471</c:v>
                </c:pt>
                <c:pt idx="290">
                  <c:v>3166.2650602231997</c:v>
                </c:pt>
                <c:pt idx="291">
                  <c:v>3493.6484490603075</c:v>
                </c:pt>
                <c:pt idx="292">
                  <c:v>2688.0327309874638</c:v>
                </c:pt>
                <c:pt idx="293">
                  <c:v>4386.0917941464804</c:v>
                </c:pt>
                <c:pt idx="294">
                  <c:v>2843.0020284150205</c:v>
                </c:pt>
                <c:pt idx="295">
                  <c:v>4199.2010652378758</c:v>
                </c:pt>
                <c:pt idx="296">
                  <c:v>3082.6979472056569</c:v>
                </c:pt>
                <c:pt idx="297">
                  <c:v>4144.5161290322585</c:v>
                </c:pt>
                <c:pt idx="298">
                  <c:v>4168.6715135575796</c:v>
                </c:pt>
                <c:pt idx="299">
                  <c:v>4165.4178674407485</c:v>
                </c:pt>
                <c:pt idx="300">
                  <c:v>2549.6881496893839</c:v>
                </c:pt>
                <c:pt idx="301">
                  <c:v>2555</c:v>
                </c:pt>
                <c:pt idx="302">
                  <c:v>3719.7452229133874</c:v>
                </c:pt>
                <c:pt idx="303">
                  <c:v>4358.8113337884461</c:v>
                </c:pt>
                <c:pt idx="304">
                  <c:v>4922.0066889938726</c:v>
                </c:pt>
                <c:pt idx="305">
                  <c:v>5475</c:v>
                </c:pt>
                <c:pt idx="306">
                  <c:v>2963.213530645181</c:v>
                </c:pt>
                <c:pt idx="307">
                  <c:v>4185.2687458572136</c:v>
                </c:pt>
                <c:pt idx="308">
                  <c:v>4587.0545454623125</c:v>
                </c:pt>
                <c:pt idx="309">
                  <c:v>3957.289527733983</c:v>
                </c:pt>
                <c:pt idx="310">
                  <c:v>3698.803659392368</c:v>
                </c:pt>
                <c:pt idx="311">
                  <c:v>3181.1701412099942</c:v>
                </c:pt>
                <c:pt idx="312">
                  <c:v>3345.4031117419486</c:v>
                </c:pt>
                <c:pt idx="313">
                  <c:v>2961.1267605682351</c:v>
                </c:pt>
                <c:pt idx="314">
                  <c:v>4117.9487179548642</c:v>
                </c:pt>
                <c:pt idx="315">
                  <c:v>5693.7034529245157</c:v>
                </c:pt>
                <c:pt idx="316">
                  <c:v>5513.2867132912015</c:v>
                </c:pt>
                <c:pt idx="317">
                  <c:v>4889.3023255738308</c:v>
                </c:pt>
                <c:pt idx="318">
                  <c:v>3595.0752394020928</c:v>
                </c:pt>
                <c:pt idx="319">
                  <c:v>3890.4515174153075</c:v>
                </c:pt>
                <c:pt idx="320">
                  <c:v>3305.6603773536499</c:v>
                </c:pt>
                <c:pt idx="321">
                  <c:v>3271.3692946089695</c:v>
                </c:pt>
                <c:pt idx="322">
                  <c:v>4738.4188626692849</c:v>
                </c:pt>
                <c:pt idx="323">
                  <c:v>3255.6090846513998</c:v>
                </c:pt>
                <c:pt idx="324">
                  <c:v>2735.7189330016704</c:v>
                </c:pt>
                <c:pt idx="325">
                  <c:v>3941.1042944672686</c:v>
                </c:pt>
                <c:pt idx="326">
                  <c:v>3600.0000000057407</c:v>
                </c:pt>
                <c:pt idx="327">
                  <c:v>3310.2869139117993</c:v>
                </c:pt>
                <c:pt idx="328">
                  <c:v>2462.6506024130927</c:v>
                </c:pt>
                <c:pt idx="329">
                  <c:v>4126.7665952931948</c:v>
                </c:pt>
                <c:pt idx="330">
                  <c:v>3244.4444444537708</c:v>
                </c:pt>
                <c:pt idx="331">
                  <c:v>3385.2203389736992</c:v>
                </c:pt>
                <c:pt idx="332">
                  <c:v>3126.2453531733804</c:v>
                </c:pt>
                <c:pt idx="333">
                  <c:v>2977.9036827131631</c:v>
                </c:pt>
                <c:pt idx="334">
                  <c:v>2799.4673768252505</c:v>
                </c:pt>
                <c:pt idx="335">
                  <c:v>4129.7142857280214</c:v>
                </c:pt>
                <c:pt idx="336">
                  <c:v>2839.162727891473</c:v>
                </c:pt>
                <c:pt idx="337">
                  <c:v>3608.9887640355028</c:v>
                </c:pt>
                <c:pt idx="338">
                  <c:v>3976.3411279127836</c:v>
                </c:pt>
                <c:pt idx="339">
                  <c:v>2148.8143908516004</c:v>
                </c:pt>
                <c:pt idx="340">
                  <c:v>3629.8342541308061</c:v>
                </c:pt>
                <c:pt idx="341">
                  <c:v>4048.7394958201039</c:v>
                </c:pt>
                <c:pt idx="342">
                  <c:v>3877.6659959794879</c:v>
                </c:pt>
                <c:pt idx="343">
                  <c:v>1879.8283261671083</c:v>
                </c:pt>
                <c:pt idx="344">
                  <c:v>3954.3573667913629</c:v>
                </c:pt>
                <c:pt idx="345">
                  <c:v>2823.9086635277149</c:v>
                </c:pt>
                <c:pt idx="346">
                  <c:v>3981.8181818287171</c:v>
                </c:pt>
                <c:pt idx="347">
                  <c:v>3319.5789473602854</c:v>
                </c:pt>
                <c:pt idx="348">
                  <c:v>3417.9190751554333</c:v>
                </c:pt>
                <c:pt idx="349">
                  <c:v>2862.3553437708192</c:v>
                </c:pt>
                <c:pt idx="350">
                  <c:v>3714.4876325027221</c:v>
                </c:pt>
                <c:pt idx="351">
                  <c:v>4480.8184143249182</c:v>
                </c:pt>
                <c:pt idx="352">
                  <c:v>1911.084905659656</c:v>
                </c:pt>
                <c:pt idx="353">
                  <c:v>3776.3553233358962</c:v>
                </c:pt>
                <c:pt idx="354">
                  <c:v>4419.901892082732</c:v>
                </c:pt>
                <c:pt idx="355">
                  <c:v>3331.2676056146852</c:v>
                </c:pt>
                <c:pt idx="356">
                  <c:v>2839.162727891473</c:v>
                </c:pt>
                <c:pt idx="357">
                  <c:v>4017.790132045237</c:v>
                </c:pt>
                <c:pt idx="358">
                  <c:v>3266.8508287177251</c:v>
                </c:pt>
                <c:pt idx="359">
                  <c:v>2965.3032440241436</c:v>
                </c:pt>
                <c:pt idx="360">
                  <c:v>3060.0838379065644</c:v>
                </c:pt>
                <c:pt idx="361">
                  <c:v>3162.0320855742925</c:v>
                </c:pt>
                <c:pt idx="362">
                  <c:v>4563.8205499291789</c:v>
                </c:pt>
                <c:pt idx="363">
                  <c:v>3317.2510519020743</c:v>
                </c:pt>
                <c:pt idx="364">
                  <c:v>3639.8891966694446</c:v>
                </c:pt>
                <c:pt idx="365">
                  <c:v>3631.0880828927934</c:v>
                </c:pt>
                <c:pt idx="366">
                  <c:v>2961.1267605682351</c:v>
                </c:pt>
                <c:pt idx="367">
                  <c:v>3998.3402489665186</c:v>
                </c:pt>
                <c:pt idx="368">
                  <c:v>4715.5279503173788</c:v>
                </c:pt>
                <c:pt idx="369">
                  <c:v>2905.8742225256306</c:v>
                </c:pt>
                <c:pt idx="370">
                  <c:v>4074.4186046672075</c:v>
                </c:pt>
                <c:pt idx="371">
                  <c:v>2537.3793103427902</c:v>
                </c:pt>
                <c:pt idx="372">
                  <c:v>3312.6050420103256</c:v>
                </c:pt>
                <c:pt idx="373">
                  <c:v>3136.8700265218085</c:v>
                </c:pt>
                <c:pt idx="374">
                  <c:v>3614.8555708558515</c:v>
                </c:pt>
                <c:pt idx="375">
                  <c:v>4658.1979320443652</c:v>
                </c:pt>
                <c:pt idx="376">
                  <c:v>3558.5646580778221</c:v>
                </c:pt>
                <c:pt idx="377">
                  <c:v>3591.0559006237145</c:v>
                </c:pt>
                <c:pt idx="378">
                  <c:v>3369.2307692232266</c:v>
                </c:pt>
                <c:pt idx="379">
                  <c:v>3307.9720279747207</c:v>
                </c:pt>
                <c:pt idx="380">
                  <c:v>2782.7928524139033</c:v>
                </c:pt>
                <c:pt idx="381">
                  <c:v>3743.5897435953311</c:v>
                </c:pt>
                <c:pt idx="382">
                  <c:v>3264.5962732966464</c:v>
                </c:pt>
                <c:pt idx="383">
                  <c:v>3642.4116424134054</c:v>
                </c:pt>
                <c:pt idx="384">
                  <c:v>3093.786788757413</c:v>
                </c:pt>
                <c:pt idx="385">
                  <c:v>3624.8275862068967</c:v>
                </c:pt>
                <c:pt idx="386">
                  <c:v>2903.8674033046445</c:v>
                </c:pt>
                <c:pt idx="387">
                  <c:v>2688.0327309970658</c:v>
                </c:pt>
                <c:pt idx="388">
                  <c:v>2660.3036876302008</c:v>
                </c:pt>
                <c:pt idx="389">
                  <c:v>2748.2352941176468</c:v>
                </c:pt>
                <c:pt idx="390">
                  <c:v>3722.3796033914541</c:v>
                </c:pt>
                <c:pt idx="391">
                  <c:v>3417.9190751554333</c:v>
                </c:pt>
                <c:pt idx="392">
                  <c:v>2590.985915497206</c:v>
                </c:pt>
                <c:pt idx="393">
                  <c:v>2542.6399447099266</c:v>
                </c:pt>
                <c:pt idx="394">
                  <c:v>3629.8342541308061</c:v>
                </c:pt>
                <c:pt idx="395">
                  <c:v>2496.0651289084412</c:v>
                </c:pt>
                <c:pt idx="396">
                  <c:v>3278.170478172065</c:v>
                </c:pt>
                <c:pt idx="397">
                  <c:v>3508.9248067408562</c:v>
                </c:pt>
                <c:pt idx="398">
                  <c:v>3271.3692946089695</c:v>
                </c:pt>
                <c:pt idx="399">
                  <c:v>2411.0091743159733</c:v>
                </c:pt>
                <c:pt idx="400">
                  <c:v>3432.8011610844869</c:v>
                </c:pt>
                <c:pt idx="401">
                  <c:v>7974.620689706393</c:v>
                </c:pt>
                <c:pt idx="402">
                  <c:v>5757.216494812541</c:v>
                </c:pt>
                <c:pt idx="403">
                  <c:v>3655.3440702788071</c:v>
                </c:pt>
                <c:pt idx="404">
                  <c:v>3678.0965710400778</c:v>
                </c:pt>
                <c:pt idx="405">
                  <c:v>3181.1701412324082</c:v>
                </c:pt>
                <c:pt idx="406">
                  <c:v>3395.8363244698917</c:v>
                </c:pt>
                <c:pt idx="407">
                  <c:v>5294.8287441144657</c:v>
                </c:pt>
                <c:pt idx="408">
                  <c:v>8190.2439024273972</c:v>
                </c:pt>
                <c:pt idx="409">
                  <c:v>7039.2857142940766</c:v>
                </c:pt>
                <c:pt idx="410">
                  <c:v>3842.7294882216852</c:v>
                </c:pt>
                <c:pt idx="411">
                  <c:v>3672.955974837389</c:v>
                </c:pt>
                <c:pt idx="412">
                  <c:v>5197.0995385645492</c:v>
                </c:pt>
                <c:pt idx="413">
                  <c:v>4292.2048997750571</c:v>
                </c:pt>
                <c:pt idx="414">
                  <c:v>3614.8555708558515</c:v>
                </c:pt>
                <c:pt idx="415">
                  <c:v>3535.4260089681488</c:v>
                </c:pt>
                <c:pt idx="416">
                  <c:v>3452.2167487704528</c:v>
                </c:pt>
                <c:pt idx="417">
                  <c:v>4796.3498098816854</c:v>
                </c:pt>
                <c:pt idx="418">
                  <c:v>2897.8635423757273</c:v>
                </c:pt>
                <c:pt idx="419">
                  <c:v>3390.9677419303907</c:v>
                </c:pt>
                <c:pt idx="420">
                  <c:v>4781.8043972951382</c:v>
                </c:pt>
                <c:pt idx="421">
                  <c:v>2831.5151515151515</c:v>
                </c:pt>
                <c:pt idx="422">
                  <c:v>3652.5364836774884</c:v>
                </c:pt>
                <c:pt idx="423">
                  <c:v>3939.5377888796575</c:v>
                </c:pt>
                <c:pt idx="424">
                  <c:v>3374.6388442834786</c:v>
                </c:pt>
                <c:pt idx="425">
                  <c:v>3282.7203331184551</c:v>
                </c:pt>
                <c:pt idx="426">
                  <c:v>4182.4933686957447</c:v>
                </c:pt>
                <c:pt idx="427">
                  <c:v>4593.7363437673075</c:v>
                </c:pt>
                <c:pt idx="428">
                  <c:v>3890.7133243521653</c:v>
                </c:pt>
                <c:pt idx="429">
                  <c:v>3693.6050597408152</c:v>
                </c:pt>
                <c:pt idx="430">
                  <c:v>3156.7567567582846</c:v>
                </c:pt>
                <c:pt idx="431">
                  <c:v>4731.8559556702785</c:v>
                </c:pt>
                <c:pt idx="432">
                  <c:v>5606.4000000130536</c:v>
                </c:pt>
                <c:pt idx="433">
                  <c:v>14847.457627060052</c:v>
                </c:pt>
                <c:pt idx="434">
                  <c:v>12800.590405948051</c:v>
                </c:pt>
                <c:pt idx="435">
                  <c:v>11320.615384574834</c:v>
                </c:pt>
                <c:pt idx="436">
                  <c:v>9526.2411347675024</c:v>
                </c:pt>
                <c:pt idx="437">
                  <c:v>8041.1682892685476</c:v>
                </c:pt>
                <c:pt idx="438">
                  <c:v>6830.4093567344462</c:v>
                </c:pt>
                <c:pt idx="439">
                  <c:v>9130.5135951725861</c:v>
                </c:pt>
                <c:pt idx="440">
                  <c:v>13849.802371516011</c:v>
                </c:pt>
                <c:pt idx="441">
                  <c:v>9882.4512534995192</c:v>
                </c:pt>
                <c:pt idx="442">
                  <c:v>7160.7629427940556</c:v>
                </c:pt>
                <c:pt idx="443">
                  <c:v>6210.9305760591524</c:v>
                </c:pt>
                <c:pt idx="444">
                  <c:v>9669.1426587880887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476480"/>
        <c:axId val="299478016"/>
      </c:lineChart>
      <c:lineChart>
        <c:grouping val="standard"/>
        <c:varyColors val="0"/>
        <c:ser>
          <c:idx val="1"/>
          <c:order val="1"/>
          <c:tx>
            <c:strRef>
              <c:f>'Suivi Conso'!$B$4</c:f>
              <c:strCache>
                <c:ptCount val="1"/>
                <c:pt idx="0">
                  <c:v>T° station
Niort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trendline>
            <c:trendlineType val="movingAvg"/>
            <c:period val="2"/>
            <c:dispRSqr val="0"/>
            <c:dispEq val="0"/>
          </c:trendline>
          <c:val>
            <c:numRef>
              <c:f>'Suivi Conso'!$B$6:$B$450</c:f>
              <c:numCache>
                <c:formatCode>General</c:formatCode>
                <c:ptCount val="445"/>
                <c:pt idx="0">
                  <c:v>4.7</c:v>
                </c:pt>
                <c:pt idx="1">
                  <c:v>1.3</c:v>
                </c:pt>
                <c:pt idx="2">
                  <c:v>4.3</c:v>
                </c:pt>
                <c:pt idx="3">
                  <c:v>0.6</c:v>
                </c:pt>
                <c:pt idx="4">
                  <c:v>-4</c:v>
                </c:pt>
                <c:pt idx="5">
                  <c:v>3.1</c:v>
                </c:pt>
                <c:pt idx="6">
                  <c:v>3.7</c:v>
                </c:pt>
                <c:pt idx="7">
                  <c:v>4.7</c:v>
                </c:pt>
                <c:pt idx="8">
                  <c:v>9.6</c:v>
                </c:pt>
                <c:pt idx="9">
                  <c:v>10.6</c:v>
                </c:pt>
                <c:pt idx="10">
                  <c:v>11.1</c:v>
                </c:pt>
                <c:pt idx="11">
                  <c:v>12.1</c:v>
                </c:pt>
                <c:pt idx="12">
                  <c:v>11.4</c:v>
                </c:pt>
                <c:pt idx="13">
                  <c:v>10.3</c:v>
                </c:pt>
                <c:pt idx="14">
                  <c:v>11.6</c:v>
                </c:pt>
                <c:pt idx="15">
                  <c:v>9.6</c:v>
                </c:pt>
                <c:pt idx="16">
                  <c:v>10.7</c:v>
                </c:pt>
                <c:pt idx="17">
                  <c:v>9.8000000000000007</c:v>
                </c:pt>
                <c:pt idx="18">
                  <c:v>8.8000000000000007</c:v>
                </c:pt>
                <c:pt idx="19">
                  <c:v>9.5</c:v>
                </c:pt>
                <c:pt idx="20">
                  <c:v>9.6999999999999993</c:v>
                </c:pt>
                <c:pt idx="21">
                  <c:v>9.8000000000000007</c:v>
                </c:pt>
                <c:pt idx="22">
                  <c:v>11</c:v>
                </c:pt>
                <c:pt idx="23">
                  <c:v>9.5</c:v>
                </c:pt>
                <c:pt idx="24">
                  <c:v>11.8</c:v>
                </c:pt>
                <c:pt idx="25">
                  <c:v>12.7</c:v>
                </c:pt>
                <c:pt idx="26">
                  <c:v>11.4</c:v>
                </c:pt>
                <c:pt idx="27">
                  <c:v>11.5</c:v>
                </c:pt>
                <c:pt idx="28">
                  <c:v>8.4</c:v>
                </c:pt>
                <c:pt idx="29">
                  <c:v>8.3000000000000007</c:v>
                </c:pt>
                <c:pt idx="30">
                  <c:v>10.8</c:v>
                </c:pt>
                <c:pt idx="31">
                  <c:v>7.3</c:v>
                </c:pt>
                <c:pt idx="32">
                  <c:v>8.5</c:v>
                </c:pt>
                <c:pt idx="33">
                  <c:v>7.2</c:v>
                </c:pt>
                <c:pt idx="34">
                  <c:v>7.4</c:v>
                </c:pt>
                <c:pt idx="35">
                  <c:v>2.9</c:v>
                </c:pt>
                <c:pt idx="36">
                  <c:v>6.1</c:v>
                </c:pt>
                <c:pt idx="37">
                  <c:v>-0.5</c:v>
                </c:pt>
                <c:pt idx="38">
                  <c:v>3.8</c:v>
                </c:pt>
                <c:pt idx="39">
                  <c:v>0.2</c:v>
                </c:pt>
                <c:pt idx="40">
                  <c:v>0.2</c:v>
                </c:pt>
                <c:pt idx="41">
                  <c:v>2.1</c:v>
                </c:pt>
                <c:pt idx="42">
                  <c:v>1</c:v>
                </c:pt>
                <c:pt idx="43">
                  <c:v>-0.4</c:v>
                </c:pt>
                <c:pt idx="44">
                  <c:v>-4</c:v>
                </c:pt>
                <c:pt idx="45">
                  <c:v>-2</c:v>
                </c:pt>
                <c:pt idx="46">
                  <c:v>-1.7</c:v>
                </c:pt>
                <c:pt idx="47">
                  <c:v>-5</c:v>
                </c:pt>
                <c:pt idx="48">
                  <c:v>0</c:v>
                </c:pt>
                <c:pt idx="49">
                  <c:v>-4</c:v>
                </c:pt>
                <c:pt idx="50">
                  <c:v>7.1</c:v>
                </c:pt>
                <c:pt idx="51">
                  <c:v>5.4</c:v>
                </c:pt>
                <c:pt idx="52">
                  <c:v>10.9</c:v>
                </c:pt>
                <c:pt idx="53">
                  <c:v>6.1</c:v>
                </c:pt>
                <c:pt idx="54">
                  <c:v>9.5</c:v>
                </c:pt>
                <c:pt idx="55">
                  <c:v>8.9</c:v>
                </c:pt>
                <c:pt idx="56">
                  <c:v>13.2</c:v>
                </c:pt>
                <c:pt idx="57">
                  <c:v>9.5</c:v>
                </c:pt>
                <c:pt idx="58">
                  <c:v>9.9</c:v>
                </c:pt>
                <c:pt idx="59">
                  <c:v>9.5</c:v>
                </c:pt>
                <c:pt idx="60">
                  <c:v>7.6</c:v>
                </c:pt>
                <c:pt idx="61">
                  <c:v>13.7</c:v>
                </c:pt>
                <c:pt idx="62">
                  <c:v>14.8</c:v>
                </c:pt>
                <c:pt idx="63">
                  <c:v>14</c:v>
                </c:pt>
                <c:pt idx="64">
                  <c:v>10.5</c:v>
                </c:pt>
                <c:pt idx="65">
                  <c:v>14.8</c:v>
                </c:pt>
                <c:pt idx="66">
                  <c:v>14.5</c:v>
                </c:pt>
                <c:pt idx="67">
                  <c:v>9.9</c:v>
                </c:pt>
                <c:pt idx="68">
                  <c:v>12.3</c:v>
                </c:pt>
                <c:pt idx="69">
                  <c:v>10.1</c:v>
                </c:pt>
                <c:pt idx="70">
                  <c:v>7.1</c:v>
                </c:pt>
                <c:pt idx="71">
                  <c:v>15.3</c:v>
                </c:pt>
                <c:pt idx="72">
                  <c:v>11.5</c:v>
                </c:pt>
                <c:pt idx="73">
                  <c:v>9.4</c:v>
                </c:pt>
                <c:pt idx="74">
                  <c:v>16.899999999999999</c:v>
                </c:pt>
                <c:pt idx="75">
                  <c:v>8.8000000000000007</c:v>
                </c:pt>
                <c:pt idx="76">
                  <c:v>10.199999999999999</c:v>
                </c:pt>
                <c:pt idx="77">
                  <c:v>13.4</c:v>
                </c:pt>
                <c:pt idx="78">
                  <c:v>9.8000000000000007</c:v>
                </c:pt>
                <c:pt idx="79">
                  <c:v>6.3</c:v>
                </c:pt>
                <c:pt idx="80">
                  <c:v>13.1</c:v>
                </c:pt>
                <c:pt idx="81">
                  <c:v>1.8</c:v>
                </c:pt>
                <c:pt idx="82">
                  <c:v>10.7</c:v>
                </c:pt>
                <c:pt idx="83">
                  <c:v>1.2</c:v>
                </c:pt>
                <c:pt idx="84">
                  <c:v>4.8</c:v>
                </c:pt>
                <c:pt idx="85">
                  <c:v>1.5</c:v>
                </c:pt>
                <c:pt idx="86">
                  <c:v>15.3</c:v>
                </c:pt>
                <c:pt idx="87">
                  <c:v>7.2</c:v>
                </c:pt>
                <c:pt idx="88">
                  <c:v>8</c:v>
                </c:pt>
                <c:pt idx="89">
                  <c:v>14.9</c:v>
                </c:pt>
                <c:pt idx="90">
                  <c:v>9.6999999999999993</c:v>
                </c:pt>
                <c:pt idx="91">
                  <c:v>8.9</c:v>
                </c:pt>
                <c:pt idx="92">
                  <c:v>12.7</c:v>
                </c:pt>
                <c:pt idx="93">
                  <c:v>5.7</c:v>
                </c:pt>
                <c:pt idx="94">
                  <c:v>12.5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9.6999999999999993</c:v>
                </c:pt>
                <c:pt idx="99">
                  <c:v>1.9</c:v>
                </c:pt>
                <c:pt idx="100">
                  <c:v>-0.7</c:v>
                </c:pt>
                <c:pt idx="101">
                  <c:v>8.4</c:v>
                </c:pt>
                <c:pt idx="102">
                  <c:v>-3.6</c:v>
                </c:pt>
                <c:pt idx="103">
                  <c:v>9</c:v>
                </c:pt>
                <c:pt idx="104">
                  <c:v>-0.4</c:v>
                </c:pt>
                <c:pt idx="105">
                  <c:v>7.9</c:v>
                </c:pt>
                <c:pt idx="106">
                  <c:v>11.2</c:v>
                </c:pt>
                <c:pt idx="107">
                  <c:v>10.4</c:v>
                </c:pt>
                <c:pt idx="108">
                  <c:v>3.2</c:v>
                </c:pt>
                <c:pt idx="109">
                  <c:v>10.199999999999999</c:v>
                </c:pt>
                <c:pt idx="110">
                  <c:v>7.9</c:v>
                </c:pt>
                <c:pt idx="111">
                  <c:v>2.7</c:v>
                </c:pt>
                <c:pt idx="112">
                  <c:v>11.8</c:v>
                </c:pt>
                <c:pt idx="113">
                  <c:v>8.8000000000000007</c:v>
                </c:pt>
                <c:pt idx="114">
                  <c:v>11.1</c:v>
                </c:pt>
                <c:pt idx="115">
                  <c:v>8.1999999999999993</c:v>
                </c:pt>
                <c:pt idx="116">
                  <c:v>14.2</c:v>
                </c:pt>
                <c:pt idx="117">
                  <c:v>13</c:v>
                </c:pt>
                <c:pt idx="118">
                  <c:v>8.9</c:v>
                </c:pt>
                <c:pt idx="119">
                  <c:v>2.4</c:v>
                </c:pt>
                <c:pt idx="120">
                  <c:v>7.5</c:v>
                </c:pt>
                <c:pt idx="121">
                  <c:v>5.5</c:v>
                </c:pt>
                <c:pt idx="122">
                  <c:v>3</c:v>
                </c:pt>
                <c:pt idx="123">
                  <c:v>2.1</c:v>
                </c:pt>
                <c:pt idx="124">
                  <c:v>-0.3</c:v>
                </c:pt>
                <c:pt idx="125">
                  <c:v>10.199999999999999</c:v>
                </c:pt>
                <c:pt idx="126">
                  <c:v>4.5999999999999996</c:v>
                </c:pt>
                <c:pt idx="127">
                  <c:v>15.9</c:v>
                </c:pt>
                <c:pt idx="128">
                  <c:v>9.1</c:v>
                </c:pt>
                <c:pt idx="129">
                  <c:v>9.1</c:v>
                </c:pt>
                <c:pt idx="130">
                  <c:v>13.9</c:v>
                </c:pt>
                <c:pt idx="131">
                  <c:v>9.9</c:v>
                </c:pt>
                <c:pt idx="132">
                  <c:v>11</c:v>
                </c:pt>
                <c:pt idx="133">
                  <c:v>11.2</c:v>
                </c:pt>
                <c:pt idx="134">
                  <c:v>10.6</c:v>
                </c:pt>
                <c:pt idx="135">
                  <c:v>12.4</c:v>
                </c:pt>
                <c:pt idx="136">
                  <c:v>12.4</c:v>
                </c:pt>
                <c:pt idx="137">
                  <c:v>17.2</c:v>
                </c:pt>
                <c:pt idx="138">
                  <c:v>2.7</c:v>
                </c:pt>
                <c:pt idx="139">
                  <c:v>6.4</c:v>
                </c:pt>
                <c:pt idx="140">
                  <c:v>5.9</c:v>
                </c:pt>
                <c:pt idx="141">
                  <c:v>-1.5</c:v>
                </c:pt>
                <c:pt idx="142">
                  <c:v>6.6</c:v>
                </c:pt>
                <c:pt idx="143">
                  <c:v>1.1000000000000001</c:v>
                </c:pt>
                <c:pt idx="144">
                  <c:v>5.8</c:v>
                </c:pt>
                <c:pt idx="145">
                  <c:v>8.4</c:v>
                </c:pt>
                <c:pt idx="146">
                  <c:v>5</c:v>
                </c:pt>
                <c:pt idx="147">
                  <c:v>-0.1</c:v>
                </c:pt>
                <c:pt idx="148">
                  <c:v>0.8</c:v>
                </c:pt>
                <c:pt idx="149">
                  <c:v>10.1</c:v>
                </c:pt>
                <c:pt idx="150">
                  <c:v>10.4</c:v>
                </c:pt>
                <c:pt idx="151">
                  <c:v>11.5</c:v>
                </c:pt>
                <c:pt idx="152">
                  <c:v>10.1</c:v>
                </c:pt>
                <c:pt idx="153">
                  <c:v>9.6</c:v>
                </c:pt>
                <c:pt idx="154">
                  <c:v>2.1</c:v>
                </c:pt>
                <c:pt idx="155">
                  <c:v>10.6</c:v>
                </c:pt>
                <c:pt idx="156">
                  <c:v>7</c:v>
                </c:pt>
                <c:pt idx="157">
                  <c:v>8.5</c:v>
                </c:pt>
                <c:pt idx="158">
                  <c:v>8.9</c:v>
                </c:pt>
                <c:pt idx="159">
                  <c:v>15.1</c:v>
                </c:pt>
                <c:pt idx="160">
                  <c:v>7.2</c:v>
                </c:pt>
                <c:pt idx="161">
                  <c:v>10.6</c:v>
                </c:pt>
                <c:pt idx="162">
                  <c:v>11.8</c:v>
                </c:pt>
                <c:pt idx="163">
                  <c:v>15.4</c:v>
                </c:pt>
                <c:pt idx="164">
                  <c:v>22.3</c:v>
                </c:pt>
                <c:pt idx="165">
                  <c:v>24.2</c:v>
                </c:pt>
                <c:pt idx="166">
                  <c:v>5</c:v>
                </c:pt>
                <c:pt idx="168">
                  <c:v>8.4</c:v>
                </c:pt>
                <c:pt idx="169">
                  <c:v>11.4</c:v>
                </c:pt>
                <c:pt idx="170">
                  <c:v>3.8</c:v>
                </c:pt>
                <c:pt idx="171">
                  <c:v>5.6</c:v>
                </c:pt>
                <c:pt idx="172">
                  <c:v>7.1</c:v>
                </c:pt>
                <c:pt idx="173">
                  <c:v>1.5</c:v>
                </c:pt>
                <c:pt idx="174">
                  <c:v>1.8</c:v>
                </c:pt>
                <c:pt idx="175">
                  <c:v>-0.7</c:v>
                </c:pt>
                <c:pt idx="176">
                  <c:v>11</c:v>
                </c:pt>
                <c:pt idx="177">
                  <c:v>10.6</c:v>
                </c:pt>
                <c:pt idx="178">
                  <c:v>4.5999999999999996</c:v>
                </c:pt>
                <c:pt idx="179">
                  <c:v>3.1</c:v>
                </c:pt>
                <c:pt idx="180">
                  <c:v>4.8</c:v>
                </c:pt>
                <c:pt idx="181">
                  <c:v>-1.5</c:v>
                </c:pt>
                <c:pt idx="182">
                  <c:v>-2.1</c:v>
                </c:pt>
                <c:pt idx="183">
                  <c:v>2</c:v>
                </c:pt>
                <c:pt idx="184">
                  <c:v>-0.7</c:v>
                </c:pt>
                <c:pt idx="185">
                  <c:v>-3.4</c:v>
                </c:pt>
                <c:pt idx="186">
                  <c:v>-1.1000000000000001</c:v>
                </c:pt>
                <c:pt idx="187">
                  <c:v>-1.8</c:v>
                </c:pt>
                <c:pt idx="188">
                  <c:v>5.4</c:v>
                </c:pt>
                <c:pt idx="189">
                  <c:v>5.7</c:v>
                </c:pt>
                <c:pt idx="190">
                  <c:v>7</c:v>
                </c:pt>
                <c:pt idx="191">
                  <c:v>7.1</c:v>
                </c:pt>
                <c:pt idx="192">
                  <c:v>4</c:v>
                </c:pt>
                <c:pt idx="193">
                  <c:v>7.6</c:v>
                </c:pt>
                <c:pt idx="194">
                  <c:v>3.7</c:v>
                </c:pt>
                <c:pt idx="195">
                  <c:v>7.3</c:v>
                </c:pt>
                <c:pt idx="196">
                  <c:v>-0.7</c:v>
                </c:pt>
                <c:pt idx="197">
                  <c:v>8.3000000000000007</c:v>
                </c:pt>
                <c:pt idx="198">
                  <c:v>7.6</c:v>
                </c:pt>
                <c:pt idx="199">
                  <c:v>-0.3</c:v>
                </c:pt>
                <c:pt idx="200">
                  <c:v>0.1</c:v>
                </c:pt>
                <c:pt idx="201">
                  <c:v>5.6</c:v>
                </c:pt>
                <c:pt idx="202">
                  <c:v>0.1</c:v>
                </c:pt>
                <c:pt idx="203">
                  <c:v>-0.9</c:v>
                </c:pt>
                <c:pt idx="204">
                  <c:v>5.5</c:v>
                </c:pt>
                <c:pt idx="205">
                  <c:v>2.6</c:v>
                </c:pt>
                <c:pt idx="206">
                  <c:v>11.2</c:v>
                </c:pt>
                <c:pt idx="207">
                  <c:v>10.9</c:v>
                </c:pt>
                <c:pt idx="208">
                  <c:v>11.2</c:v>
                </c:pt>
                <c:pt idx="209">
                  <c:v>6</c:v>
                </c:pt>
                <c:pt idx="210">
                  <c:v>8.3000000000000007</c:v>
                </c:pt>
                <c:pt idx="211">
                  <c:v>4.2</c:v>
                </c:pt>
                <c:pt idx="212">
                  <c:v>6.3</c:v>
                </c:pt>
                <c:pt idx="213">
                  <c:v>0.2</c:v>
                </c:pt>
                <c:pt idx="214">
                  <c:v>8.1</c:v>
                </c:pt>
                <c:pt idx="215">
                  <c:v>7.8</c:v>
                </c:pt>
                <c:pt idx="216">
                  <c:v>8.4</c:v>
                </c:pt>
                <c:pt idx="217">
                  <c:v>7</c:v>
                </c:pt>
                <c:pt idx="218">
                  <c:v>2.8</c:v>
                </c:pt>
                <c:pt idx="219">
                  <c:v>-3</c:v>
                </c:pt>
                <c:pt idx="220">
                  <c:v>6.5</c:v>
                </c:pt>
                <c:pt idx="221">
                  <c:v>8.3000000000000007</c:v>
                </c:pt>
                <c:pt idx="222">
                  <c:v>9.1999999999999993</c:v>
                </c:pt>
                <c:pt idx="223">
                  <c:v>10</c:v>
                </c:pt>
                <c:pt idx="224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485440"/>
        <c:axId val="299483904"/>
      </c:lineChart>
      <c:catAx>
        <c:axId val="29947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99478016"/>
        <c:crosses val="autoZero"/>
        <c:auto val="1"/>
        <c:lblAlgn val="ctr"/>
        <c:lblOffset val="100"/>
        <c:noMultiLvlLbl val="0"/>
      </c:catAx>
      <c:valAx>
        <c:axId val="299478016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299476480"/>
        <c:crosses val="autoZero"/>
        <c:crossBetween val="between"/>
      </c:valAx>
      <c:valAx>
        <c:axId val="299483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485440"/>
        <c:crosses val="max"/>
        <c:crossBetween val="between"/>
      </c:valAx>
      <c:catAx>
        <c:axId val="299485440"/>
        <c:scaling>
          <c:orientation val="minMax"/>
        </c:scaling>
        <c:delete val="1"/>
        <c:axPos val="b"/>
        <c:majorTickMark val="out"/>
        <c:minorTickMark val="none"/>
        <c:tickLblPos val="nextTo"/>
        <c:crossAx val="29948390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Conso'!$AH$4</c:f>
              <c:strCache>
                <c:ptCount val="1"/>
                <c:pt idx="0">
                  <c:v>Conso HP + HC / heure
Cumul</c:v>
                </c:pt>
              </c:strCache>
            </c:strRef>
          </c:tx>
          <c:spPr>
            <a:ln w="57150"/>
          </c:spPr>
          <c:marker>
            <c:symbol val="none"/>
          </c:marker>
          <c:trendline>
            <c:spPr>
              <a:ln w="25400" cmpd="sng">
                <a:solidFill>
                  <a:schemeClr val="accent2"/>
                </a:solidFill>
              </a:ln>
            </c:spPr>
            <c:trendlineType val="linear"/>
            <c:forward val="2"/>
            <c:dispRSqr val="0"/>
            <c:dispEq val="0"/>
          </c:trendline>
          <c:trendline>
            <c:spPr>
              <a:ln w="25400" cmpd="sng">
                <a:solidFill>
                  <a:schemeClr val="accent6"/>
                </a:solidFill>
              </a:ln>
            </c:spPr>
            <c:trendlineType val="movingAvg"/>
            <c:period val="2"/>
            <c:dispRSqr val="0"/>
            <c:dispEq val="0"/>
          </c:trendline>
          <c:val>
            <c:numRef>
              <c:f>'Suivi Conso'!$AH$6:$AH$450</c:f>
              <c:numCache>
                <c:formatCode>0.00000</c:formatCode>
                <c:ptCount val="445"/>
                <c:pt idx="0">
                  <c:v>2.8129102844642531</c:v>
                </c:pt>
                <c:pt idx="1">
                  <c:v>2.8122135758315587</c:v>
                </c:pt>
                <c:pt idx="2">
                  <c:v>2.8133714694317682</c:v>
                </c:pt>
                <c:pt idx="3">
                  <c:v>2.8124333925401972</c:v>
                </c:pt>
                <c:pt idx="4">
                  <c:v>2.8176330197953638</c:v>
                </c:pt>
                <c:pt idx="5">
                  <c:v>2.8217951175315661</c:v>
                </c:pt>
                <c:pt idx="6">
                  <c:v>2.8246415956786102</c:v>
                </c:pt>
                <c:pt idx="7">
                  <c:v>2.8269131997945558</c:v>
                </c:pt>
                <c:pt idx="8">
                  <c:v>2.8269260197578499</c:v>
                </c:pt>
                <c:pt idx="9">
                  <c:v>2.8307526046507223</c:v>
                </c:pt>
                <c:pt idx="10">
                  <c:v>2.8239774188698643</c:v>
                </c:pt>
                <c:pt idx="11">
                  <c:v>2.8195470007466477</c:v>
                </c:pt>
                <c:pt idx="12">
                  <c:v>2.815284102157956</c:v>
                </c:pt>
                <c:pt idx="13">
                  <c:v>2.8066283924844169</c:v>
                </c:pt>
                <c:pt idx="14">
                  <c:v>2.8029750619806482</c:v>
                </c:pt>
                <c:pt idx="15">
                  <c:v>2.7998777486448527</c:v>
                </c:pt>
                <c:pt idx="16">
                  <c:v>2.7926994500679525</c:v>
                </c:pt>
                <c:pt idx="17">
                  <c:v>2.7893522177612828</c:v>
                </c:pt>
                <c:pt idx="18">
                  <c:v>2.7826438695026328</c:v>
                </c:pt>
                <c:pt idx="19">
                  <c:v>2.7813644546527891</c:v>
                </c:pt>
                <c:pt idx="20">
                  <c:v>2.7834004983543901</c:v>
                </c:pt>
                <c:pt idx="21">
                  <c:v>2.7771010962242153</c:v>
                </c:pt>
                <c:pt idx="22">
                  <c:v>2.7753964527515391</c:v>
                </c:pt>
                <c:pt idx="23">
                  <c:v>2.771523178808287</c:v>
                </c:pt>
                <c:pt idx="24">
                  <c:v>2.76484093145306</c:v>
                </c:pt>
                <c:pt idx="25">
                  <c:v>2.7617890275348334</c:v>
                </c:pt>
                <c:pt idx="26">
                  <c:v>2.7563612857731732</c:v>
                </c:pt>
                <c:pt idx="27">
                  <c:v>2.7488426765737213</c:v>
                </c:pt>
                <c:pt idx="28">
                  <c:v>2.7470233381805214</c:v>
                </c:pt>
                <c:pt idx="29">
                  <c:v>2.7419124575278739</c:v>
                </c:pt>
                <c:pt idx="30">
                  <c:v>2.7399821527216557</c:v>
                </c:pt>
                <c:pt idx="31">
                  <c:v>2.7344809744231027</c:v>
                </c:pt>
                <c:pt idx="32">
                  <c:v>2.7302239116563634</c:v>
                </c:pt>
                <c:pt idx="33">
                  <c:v>2.7269736842106567</c:v>
                </c:pt>
                <c:pt idx="34">
                  <c:v>2.7272355116465694</c:v>
                </c:pt>
                <c:pt idx="35">
                  <c:v>2.7302835294435535</c:v>
                </c:pt>
                <c:pt idx="36">
                  <c:v>2.7321759197147402</c:v>
                </c:pt>
                <c:pt idx="37">
                  <c:v>2.7339686897752786</c:v>
                </c:pt>
                <c:pt idx="38">
                  <c:v>2.7399563835097549</c:v>
                </c:pt>
                <c:pt idx="39">
                  <c:v>2.7427720366332373</c:v>
                </c:pt>
                <c:pt idx="40">
                  <c:v>2.7436795021392455</c:v>
                </c:pt>
                <c:pt idx="41">
                  <c:v>2.7575890439225326</c:v>
                </c:pt>
                <c:pt idx="42">
                  <c:v>2.7639463138477605</c:v>
                </c:pt>
                <c:pt idx="43">
                  <c:v>2.7695346128525689</c:v>
                </c:pt>
                <c:pt idx="44">
                  <c:v>2.7903143224646847</c:v>
                </c:pt>
                <c:pt idx="45">
                  <c:v>2.7997364134829339</c:v>
                </c:pt>
                <c:pt idx="46">
                  <c:v>2.8152492668624434</c:v>
                </c:pt>
                <c:pt idx="47">
                  <c:v>2.8452326449965621</c:v>
                </c:pt>
                <c:pt idx="48">
                  <c:v>2.8559115069674852</c:v>
                </c:pt>
                <c:pt idx="49">
                  <c:v>2.8631309722570188</c:v>
                </c:pt>
                <c:pt idx="50">
                  <c:v>2.8715934085324384</c:v>
                </c:pt>
                <c:pt idx="51">
                  <c:v>2.8734975576206296</c:v>
                </c:pt>
                <c:pt idx="52">
                  <c:v>2.8766646559324314</c:v>
                </c:pt>
                <c:pt idx="53">
                  <c:v>2.8718430581656351</c:v>
                </c:pt>
                <c:pt idx="54">
                  <c:v>2.8703503890056981</c:v>
                </c:pt>
                <c:pt idx="55">
                  <c:v>2.8640377090404643</c:v>
                </c:pt>
                <c:pt idx="56">
                  <c:v>2.8627226505942738</c:v>
                </c:pt>
                <c:pt idx="57">
                  <c:v>2.8577813034202051</c:v>
                </c:pt>
                <c:pt idx="58">
                  <c:v>2.8514376996805773</c:v>
                </c:pt>
                <c:pt idx="59">
                  <c:v>2.8511535024330521</c:v>
                </c:pt>
                <c:pt idx="60">
                  <c:v>2.8449772362518089</c:v>
                </c:pt>
                <c:pt idx="61">
                  <c:v>2.8403023217880827</c:v>
                </c:pt>
                <c:pt idx="62">
                  <c:v>2.836174139615856</c:v>
                </c:pt>
                <c:pt idx="63">
                  <c:v>2.8352041646331543</c:v>
                </c:pt>
                <c:pt idx="64">
                  <c:v>2.8269720375124812</c:v>
                </c:pt>
                <c:pt idx="65">
                  <c:v>2.8260008351446473</c:v>
                </c:pt>
                <c:pt idx="66">
                  <c:v>2.7803954564578901</c:v>
                </c:pt>
                <c:pt idx="67">
                  <c:v>2.7767241199641997</c:v>
                </c:pt>
                <c:pt idx="68">
                  <c:v>2.7749844172035418</c:v>
                </c:pt>
                <c:pt idx="69">
                  <c:v>2.7694023377805741</c:v>
                </c:pt>
                <c:pt idx="70">
                  <c:v>2.7653407338883751</c:v>
                </c:pt>
                <c:pt idx="71">
                  <c:v>2.760463045414109</c:v>
                </c:pt>
                <c:pt idx="72">
                  <c:v>2.7538001343019745</c:v>
                </c:pt>
                <c:pt idx="73">
                  <c:v>2.7474330153716848</c:v>
                </c:pt>
                <c:pt idx="74">
                  <c:v>2.744350667029908</c:v>
                </c:pt>
                <c:pt idx="75">
                  <c:v>2.7354251093369615</c:v>
                </c:pt>
                <c:pt idx="76">
                  <c:v>2.7240866291898977</c:v>
                </c:pt>
                <c:pt idx="77">
                  <c:v>2.7177721096876857</c:v>
                </c:pt>
                <c:pt idx="78">
                  <c:v>2.7148167187315329</c:v>
                </c:pt>
                <c:pt idx="79">
                  <c:v>2.7094260157641354</c:v>
                </c:pt>
                <c:pt idx="80">
                  <c:v>2.7060817762275629</c:v>
                </c:pt>
                <c:pt idx="81">
                  <c:v>2.7011048652841221</c:v>
                </c:pt>
                <c:pt idx="82">
                  <c:v>2.7011827458258035</c:v>
                </c:pt>
                <c:pt idx="83">
                  <c:v>2.6998135487881871</c:v>
                </c:pt>
                <c:pt idx="84">
                  <c:v>2.6999004880822928</c:v>
                </c:pt>
                <c:pt idx="85">
                  <c:v>2.6999688617558326</c:v>
                </c:pt>
                <c:pt idx="86">
                  <c:v>2.6996587351579122</c:v>
                </c:pt>
                <c:pt idx="87">
                  <c:v>2.6957782037496494</c:v>
                </c:pt>
                <c:pt idx="88">
                  <c:v>2.6927445029884307</c:v>
                </c:pt>
                <c:pt idx="89">
                  <c:v>2.6908922363846757</c:v>
                </c:pt>
                <c:pt idx="90">
                  <c:v>2.6864927728860173</c:v>
                </c:pt>
                <c:pt idx="91">
                  <c:v>2.6829716469745248</c:v>
                </c:pt>
                <c:pt idx="92">
                  <c:v>2.6806746529272747</c:v>
                </c:pt>
                <c:pt idx="93">
                  <c:v>2.6725670136747572</c:v>
                </c:pt>
                <c:pt idx="94">
                  <c:v>2.6710156581765347</c:v>
                </c:pt>
                <c:pt idx="95">
                  <c:v>2.6651443777195047</c:v>
                </c:pt>
                <c:pt idx="96">
                  <c:v>2.6625614220377676</c:v>
                </c:pt>
                <c:pt idx="97">
                  <c:v>2.6627799125481966</c:v>
                </c:pt>
                <c:pt idx="98">
                  <c:v>2.6634885173229281</c:v>
                </c:pt>
                <c:pt idx="99">
                  <c:v>2.6657477842140054</c:v>
                </c:pt>
                <c:pt idx="100">
                  <c:v>2.6645867985831244</c:v>
                </c:pt>
                <c:pt idx="101">
                  <c:v>2.665189726680218</c:v>
                </c:pt>
                <c:pt idx="102">
                  <c:v>2.6654638604973004</c:v>
                </c:pt>
                <c:pt idx="103">
                  <c:v>2.6664743905129527</c:v>
                </c:pt>
                <c:pt idx="104">
                  <c:v>2.6651647233874791</c:v>
                </c:pt>
                <c:pt idx="105">
                  <c:v>2.6637393577797717</c:v>
                </c:pt>
                <c:pt idx="106">
                  <c:v>2.6619816586922314</c:v>
                </c:pt>
                <c:pt idx="107">
                  <c:v>2.6606932874012128</c:v>
                </c:pt>
                <c:pt idx="108">
                  <c:v>2.6570682777076819</c:v>
                </c:pt>
                <c:pt idx="109">
                  <c:v>2.6559840251409241</c:v>
                </c:pt>
                <c:pt idx="110">
                  <c:v>2.6501139284642417</c:v>
                </c:pt>
                <c:pt idx="111">
                  <c:v>2.6468395526875814</c:v>
                </c:pt>
                <c:pt idx="112">
                  <c:v>2.6471857665810212</c:v>
                </c:pt>
                <c:pt idx="113">
                  <c:v>2.6415273782067903</c:v>
                </c:pt>
                <c:pt idx="114">
                  <c:v>2.6397704547430707</c:v>
                </c:pt>
                <c:pt idx="115">
                  <c:v>2.6341761443744858</c:v>
                </c:pt>
                <c:pt idx="116">
                  <c:v>2.6317269829364909</c:v>
                </c:pt>
                <c:pt idx="117">
                  <c:v>2.62958655624865</c:v>
                </c:pt>
                <c:pt idx="118">
                  <c:v>2.621921440033617</c:v>
                </c:pt>
                <c:pt idx="119">
                  <c:v>2.6168740083243547</c:v>
                </c:pt>
                <c:pt idx="120">
                  <c:v>2.6160337552743034</c:v>
                </c:pt>
                <c:pt idx="121">
                  <c:v>2.6131461023452909</c:v>
                </c:pt>
                <c:pt idx="122">
                  <c:v>2.6115303621880983</c:v>
                </c:pt>
                <c:pt idx="123">
                  <c:v>2.6075157195397476</c:v>
                </c:pt>
                <c:pt idx="124">
                  <c:v>2.6066274170106332</c:v>
                </c:pt>
                <c:pt idx="125">
                  <c:v>2.6059456966538646</c:v>
                </c:pt>
                <c:pt idx="126">
                  <c:v>2.6024274804728345</c:v>
                </c:pt>
                <c:pt idx="127">
                  <c:v>2.5905562047040367</c:v>
                </c:pt>
                <c:pt idx="128">
                  <c:v>2.5812966215592326</c:v>
                </c:pt>
                <c:pt idx="129">
                  <c:v>2.5692025083930572</c:v>
                </c:pt>
                <c:pt idx="130">
                  <c:v>2.5676539377296397</c:v>
                </c:pt>
                <c:pt idx="131">
                  <c:v>2.5622746069982645</c:v>
                </c:pt>
                <c:pt idx="132">
                  <c:v>2.5579968424898869</c:v>
                </c:pt>
                <c:pt idx="133">
                  <c:v>2.542921532472854</c:v>
                </c:pt>
                <c:pt idx="134">
                  <c:v>2.5254869064612366</c:v>
                </c:pt>
                <c:pt idx="135">
                  <c:v>2.5057790106334852</c:v>
                </c:pt>
                <c:pt idx="136">
                  <c:v>2.4852707006370003</c:v>
                </c:pt>
                <c:pt idx="137">
                  <c:v>2.4618876439872963</c:v>
                </c:pt>
                <c:pt idx="138">
                  <c:v>2.452416146277677</c:v>
                </c:pt>
                <c:pt idx="139">
                  <c:v>2.4472981858971989</c:v>
                </c:pt>
                <c:pt idx="140">
                  <c:v>2.4361259655377627</c:v>
                </c:pt>
                <c:pt idx="141">
                  <c:v>2.4310967496674176</c:v>
                </c:pt>
                <c:pt idx="142">
                  <c:v>2.4309462107325883</c:v>
                </c:pt>
                <c:pt idx="143">
                  <c:v>2.430270134596805</c:v>
                </c:pt>
                <c:pt idx="144">
                  <c:v>2.4268011366109836</c:v>
                </c:pt>
                <c:pt idx="145">
                  <c:v>2.4194830891373083</c:v>
                </c:pt>
                <c:pt idx="146">
                  <c:v>2.4012065999563945</c:v>
                </c:pt>
                <c:pt idx="147">
                  <c:v>2.3975635103233408</c:v>
                </c:pt>
                <c:pt idx="148">
                  <c:v>2.3926402286530903</c:v>
                </c:pt>
                <c:pt idx="149">
                  <c:v>2.3923097958553923</c:v>
                </c:pt>
                <c:pt idx="150">
                  <c:v>2.3920561913931082</c:v>
                </c:pt>
                <c:pt idx="151">
                  <c:v>2.3907944971233333</c:v>
                </c:pt>
                <c:pt idx="152">
                  <c:v>2.3885695984058311</c:v>
                </c:pt>
                <c:pt idx="153">
                  <c:v>2.3823796972312898</c:v>
                </c:pt>
                <c:pt idx="154">
                  <c:v>2.3820467286465696</c:v>
                </c:pt>
                <c:pt idx="155">
                  <c:v>2.3530072380353637</c:v>
                </c:pt>
                <c:pt idx="156">
                  <c:v>2.3021042493103878</c:v>
                </c:pt>
                <c:pt idx="157">
                  <c:v>2.2896681358569007</c:v>
                </c:pt>
                <c:pt idx="158">
                  <c:v>2.2760150448452885</c:v>
                </c:pt>
                <c:pt idx="159">
                  <c:v>2.2447681478639701</c:v>
                </c:pt>
                <c:pt idx="160">
                  <c:v>2.205566254897338</c:v>
                </c:pt>
                <c:pt idx="161">
                  <c:v>2.1985454068268249</c:v>
                </c:pt>
                <c:pt idx="162">
                  <c:v>2.1876160898703296</c:v>
                </c:pt>
                <c:pt idx="163">
                  <c:v>1.8744416470397192</c:v>
                </c:pt>
                <c:pt idx="164">
                  <c:v>1.7454354117337543</c:v>
                </c:pt>
                <c:pt idx="165">
                  <c:v>1.4110377190469285</c:v>
                </c:pt>
                <c:pt idx="166">
                  <c:v>1.3556816336620687</c:v>
                </c:pt>
                <c:pt idx="167">
                  <c:v>1.3287311887339608</c:v>
                </c:pt>
                <c:pt idx="168">
                  <c:v>1.3146069609857653</c:v>
                </c:pt>
                <c:pt idx="169">
                  <c:v>1.3248143962995396</c:v>
                </c:pt>
                <c:pt idx="170">
                  <c:v>1.332332713085864</c:v>
                </c:pt>
                <c:pt idx="171">
                  <c:v>1.356357662972981</c:v>
                </c:pt>
                <c:pt idx="172">
                  <c:v>1.3870004633893267</c:v>
                </c:pt>
                <c:pt idx="173">
                  <c:v>1.4265402215503264</c:v>
                </c:pt>
                <c:pt idx="174">
                  <c:v>1.4338226969091061</c:v>
                </c:pt>
                <c:pt idx="175">
                  <c:v>1.4452078832933219</c:v>
                </c:pt>
                <c:pt idx="176">
                  <c:v>1.450799838688007</c:v>
                </c:pt>
                <c:pt idx="177">
                  <c:v>1.4451537691875131</c:v>
                </c:pt>
                <c:pt idx="178">
                  <c:v>1.4974805297725369</c:v>
                </c:pt>
                <c:pt idx="179">
                  <c:v>1.5021220854073971</c:v>
                </c:pt>
                <c:pt idx="180">
                  <c:v>1.5052736845406527</c:v>
                </c:pt>
                <c:pt idx="181">
                  <c:v>1.5084221190757245</c:v>
                </c:pt>
                <c:pt idx="182">
                  <c:v>1.512407524249981</c:v>
                </c:pt>
                <c:pt idx="183">
                  <c:v>1.5170293626395084</c:v>
                </c:pt>
                <c:pt idx="184">
                  <c:v>1.5210649593465255</c:v>
                </c:pt>
                <c:pt idx="185">
                  <c:v>1.5255995774267397</c:v>
                </c:pt>
                <c:pt idx="186">
                  <c:v>1.5298509383930363</c:v>
                </c:pt>
                <c:pt idx="187">
                  <c:v>1.5353849420096037</c:v>
                </c:pt>
                <c:pt idx="188">
                  <c:v>1.539522961348847</c:v>
                </c:pt>
                <c:pt idx="189">
                  <c:v>1.5417169259706136</c:v>
                </c:pt>
                <c:pt idx="190">
                  <c:v>1.5435568727144424</c:v>
                </c:pt>
                <c:pt idx="191">
                  <c:v>1.5449953969553858</c:v>
                </c:pt>
                <c:pt idx="192">
                  <c:v>1.5474305893813987</c:v>
                </c:pt>
                <c:pt idx="193">
                  <c:v>1.5490643326157656</c:v>
                </c:pt>
                <c:pt idx="194">
                  <c:v>1.5506900033658912</c:v>
                </c:pt>
                <c:pt idx="195">
                  <c:v>1.552574276873895</c:v>
                </c:pt>
                <c:pt idx="196">
                  <c:v>1.5545957424716277</c:v>
                </c:pt>
                <c:pt idx="197">
                  <c:v>1.5566231570788776</c:v>
                </c:pt>
                <c:pt idx="198">
                  <c:v>1.5579077210294767</c:v>
                </c:pt>
                <c:pt idx="199">
                  <c:v>1.5590972282272482</c:v>
                </c:pt>
                <c:pt idx="200">
                  <c:v>1.5603803912396754</c:v>
                </c:pt>
                <c:pt idx="201">
                  <c:v>1.5621152547758268</c:v>
                </c:pt>
                <c:pt idx="202">
                  <c:v>1.5640967646607435</c:v>
                </c:pt>
                <c:pt idx="203">
                  <c:v>1.566063033888891</c:v>
                </c:pt>
                <c:pt idx="204">
                  <c:v>1.5700405083959472</c:v>
                </c:pt>
                <c:pt idx="205">
                  <c:v>1.5718844196860295</c:v>
                </c:pt>
                <c:pt idx="206">
                  <c:v>1.5732075028390375</c:v>
                </c:pt>
                <c:pt idx="207">
                  <c:v>1.5739462753421489</c:v>
                </c:pt>
                <c:pt idx="208">
                  <c:v>1.5774064391454734</c:v>
                </c:pt>
                <c:pt idx="209">
                  <c:v>1.578076572029379</c:v>
                </c:pt>
                <c:pt idx="210">
                  <c:v>1.5796458682212835</c:v>
                </c:pt>
                <c:pt idx="211">
                  <c:v>1.580770431816547</c:v>
                </c:pt>
                <c:pt idx="212">
                  <c:v>1.5828747154439133</c:v>
                </c:pt>
                <c:pt idx="213">
                  <c:v>1.5885615443819583</c:v>
                </c:pt>
                <c:pt idx="214">
                  <c:v>1.5886521678552163</c:v>
                </c:pt>
                <c:pt idx="215">
                  <c:v>1.588304980334567</c:v>
                </c:pt>
                <c:pt idx="216">
                  <c:v>1.5887740001607653</c:v>
                </c:pt>
                <c:pt idx="217">
                  <c:v>1.5889553670406449</c:v>
                </c:pt>
                <c:pt idx="218">
                  <c:v>1.5905354184447087</c:v>
                </c:pt>
                <c:pt idx="219">
                  <c:v>1.5932313516991998</c:v>
                </c:pt>
                <c:pt idx="220">
                  <c:v>1.5950031090311649</c:v>
                </c:pt>
                <c:pt idx="221">
                  <c:v>1.5958801550539679</c:v>
                </c:pt>
                <c:pt idx="222">
                  <c:v>1.5958610311741357</c:v>
                </c:pt>
                <c:pt idx="223">
                  <c:v>1.5961107164249899</c:v>
                </c:pt>
                <c:pt idx="224">
                  <c:v>1.5963845186720542</c:v>
                </c:pt>
                <c:pt idx="225">
                  <c:v>1.596804910970179</c:v>
                </c:pt>
                <c:pt idx="226">
                  <c:v>1.5982371999403489</c:v>
                </c:pt>
                <c:pt idx="227">
                  <c:v>1.5985123266989607</c:v>
                </c:pt>
                <c:pt idx="228">
                  <c:v>1.5980097979179482</c:v>
                </c:pt>
                <c:pt idx="229">
                  <c:v>1.5984019645573384</c:v>
                </c:pt>
                <c:pt idx="230">
                  <c:v>1.5996695741499649</c:v>
                </c:pt>
                <c:pt idx="231">
                  <c:v>1.6006144159626625</c:v>
                </c:pt>
                <c:pt idx="232">
                  <c:v>1.6003872222719642</c:v>
                </c:pt>
                <c:pt idx="233">
                  <c:v>1.5997262319185162</c:v>
                </c:pt>
                <c:pt idx="234">
                  <c:v>1.5988613235300817</c:v>
                </c:pt>
                <c:pt idx="235">
                  <c:v>1.5984177425093158</c:v>
                </c:pt>
                <c:pt idx="236">
                  <c:v>1.5987363195306499</c:v>
                </c:pt>
                <c:pt idx="237">
                  <c:v>1.5981807128543528</c:v>
                </c:pt>
                <c:pt idx="238">
                  <c:v>1.597185085988799</c:v>
                </c:pt>
                <c:pt idx="239">
                  <c:v>1.5960775757720738</c:v>
                </c:pt>
                <c:pt idx="240">
                  <c:v>1.5950878155872728</c:v>
                </c:pt>
                <c:pt idx="241">
                  <c:v>1.5928192015811933</c:v>
                </c:pt>
                <c:pt idx="242">
                  <c:v>1.5918376439662278</c:v>
                </c:pt>
                <c:pt idx="243">
                  <c:v>1.5919982218270892</c:v>
                </c:pt>
                <c:pt idx="244">
                  <c:v>1.5938719981071863</c:v>
                </c:pt>
                <c:pt idx="245">
                  <c:v>1.5969756797195276</c:v>
                </c:pt>
                <c:pt idx="246">
                  <c:v>1.6022381140597746</c:v>
                </c:pt>
                <c:pt idx="247">
                  <c:v>1.6029607559077275</c:v>
                </c:pt>
                <c:pt idx="248">
                  <c:v>1.6029602837377712</c:v>
                </c:pt>
                <c:pt idx="249">
                  <c:v>1.6032390082654451</c:v>
                </c:pt>
                <c:pt idx="250">
                  <c:v>1.6035782710365531</c:v>
                </c:pt>
                <c:pt idx="251">
                  <c:v>1.6043895651870672</c:v>
                </c:pt>
                <c:pt idx="252">
                  <c:v>1.6050806806162066</c:v>
                </c:pt>
                <c:pt idx="253">
                  <c:v>1.6047584435441689</c:v>
                </c:pt>
                <c:pt idx="254">
                  <c:v>1.602738419657896</c:v>
                </c:pt>
                <c:pt idx="255">
                  <c:v>1.6016645614520904</c:v>
                </c:pt>
                <c:pt idx="256">
                  <c:v>1.6001600016115261</c:v>
                </c:pt>
                <c:pt idx="257">
                  <c:v>1.5978314242477316</c:v>
                </c:pt>
                <c:pt idx="258">
                  <c:v>1.5957090081595358</c:v>
                </c:pt>
                <c:pt idx="259">
                  <c:v>1.5934313426881328</c:v>
                </c:pt>
                <c:pt idx="260">
                  <c:v>1.5886032322933099</c:v>
                </c:pt>
                <c:pt idx="261">
                  <c:v>1.5882942359487455</c:v>
                </c:pt>
                <c:pt idx="262">
                  <c:v>1.587244852368622</c:v>
                </c:pt>
                <c:pt idx="263">
                  <c:v>1.5850082092509949</c:v>
                </c:pt>
                <c:pt idx="264">
                  <c:v>1.5823499839011423</c:v>
                </c:pt>
                <c:pt idx="265">
                  <c:v>1.5808280930854273</c:v>
                </c:pt>
                <c:pt idx="266">
                  <c:v>1.5780540366000069</c:v>
                </c:pt>
                <c:pt idx="267">
                  <c:v>1.5770405447056541</c:v>
                </c:pt>
                <c:pt idx="268">
                  <c:v>1.575193815793906</c:v>
                </c:pt>
                <c:pt idx="269">
                  <c:v>1.5728791041943617</c:v>
                </c:pt>
                <c:pt idx="270">
                  <c:v>1.5704023908932188</c:v>
                </c:pt>
                <c:pt idx="271">
                  <c:v>1.5681652338890806</c:v>
                </c:pt>
                <c:pt idx="272">
                  <c:v>1.5665896309777763</c:v>
                </c:pt>
                <c:pt idx="273">
                  <c:v>1.5644018894986615</c:v>
                </c:pt>
                <c:pt idx="274">
                  <c:v>1.5621062404668804</c:v>
                </c:pt>
                <c:pt idx="275">
                  <c:v>1.5601876494452613</c:v>
                </c:pt>
                <c:pt idx="276">
                  <c:v>1.5581198521974429</c:v>
                </c:pt>
                <c:pt idx="277">
                  <c:v>1.5558570906683713</c:v>
                </c:pt>
                <c:pt idx="278">
                  <c:v>1.5532863039152991</c:v>
                </c:pt>
                <c:pt idx="279">
                  <c:v>1.551455952063383</c:v>
                </c:pt>
                <c:pt idx="280">
                  <c:v>1.5490926965141596</c:v>
                </c:pt>
                <c:pt idx="281">
                  <c:v>1.5467250943249655</c:v>
                </c:pt>
                <c:pt idx="282">
                  <c:v>1.5446885774323194</c:v>
                </c:pt>
                <c:pt idx="283">
                  <c:v>1.5422619516207439</c:v>
                </c:pt>
                <c:pt idx="284">
                  <c:v>1.5401059086974382</c:v>
                </c:pt>
                <c:pt idx="285">
                  <c:v>1.5380455576000001</c:v>
                </c:pt>
                <c:pt idx="286">
                  <c:v>1.5360449534636196</c:v>
                </c:pt>
                <c:pt idx="287">
                  <c:v>1.5338780908614618</c:v>
                </c:pt>
                <c:pt idx="288">
                  <c:v>1.5315981332530493</c:v>
                </c:pt>
                <c:pt idx="289">
                  <c:v>1.529660209675576</c:v>
                </c:pt>
                <c:pt idx="290">
                  <c:v>1.5273232677589195</c:v>
                </c:pt>
                <c:pt idx="291">
                  <c:v>1.5252810115077886</c:v>
                </c:pt>
                <c:pt idx="292">
                  <c:v>1.5205232698239897</c:v>
                </c:pt>
                <c:pt idx="293">
                  <c:v>1.5185745740212402</c:v>
                </c:pt>
                <c:pt idx="294">
                  <c:v>1.5162325606068807</c:v>
                </c:pt>
                <c:pt idx="295">
                  <c:v>1.514171283661276</c:v>
                </c:pt>
                <c:pt idx="296">
                  <c:v>1.5120767968545659</c:v>
                </c:pt>
                <c:pt idx="297">
                  <c:v>1.510165488374672</c:v>
                </c:pt>
                <c:pt idx="298">
                  <c:v>1.5081059311884313</c:v>
                </c:pt>
                <c:pt idx="299">
                  <c:v>1.5062230524880511</c:v>
                </c:pt>
                <c:pt idx="300">
                  <c:v>1.5039238439903369</c:v>
                </c:pt>
                <c:pt idx="301">
                  <c:v>1.5016392155323171</c:v>
                </c:pt>
                <c:pt idx="302">
                  <c:v>1.4996512074492696</c:v>
                </c:pt>
                <c:pt idx="303">
                  <c:v>1.4977605956098523</c:v>
                </c:pt>
                <c:pt idx="304">
                  <c:v>1.4959398261412891</c:v>
                </c:pt>
                <c:pt idx="305">
                  <c:v>1.494310801683395</c:v>
                </c:pt>
                <c:pt idx="306">
                  <c:v>1.4900649396028014</c:v>
                </c:pt>
                <c:pt idx="307">
                  <c:v>1.4880945461590622</c:v>
                </c:pt>
                <c:pt idx="308">
                  <c:v>1.4863847343991794</c:v>
                </c:pt>
                <c:pt idx="309">
                  <c:v>1.4844394455519074</c:v>
                </c:pt>
                <c:pt idx="310">
                  <c:v>1.482500558779791</c:v>
                </c:pt>
                <c:pt idx="311">
                  <c:v>1.4803665273876265</c:v>
                </c:pt>
                <c:pt idx="312">
                  <c:v>1.4783787208065713</c:v>
                </c:pt>
                <c:pt idx="313">
                  <c:v>1.4763101316678711</c:v>
                </c:pt>
                <c:pt idx="314">
                  <c:v>1.4745086437637098</c:v>
                </c:pt>
                <c:pt idx="315">
                  <c:v>1.4729585940403516</c:v>
                </c:pt>
                <c:pt idx="316">
                  <c:v>1.4714259942016041</c:v>
                </c:pt>
                <c:pt idx="317">
                  <c:v>1.4696830789012159</c:v>
                </c:pt>
                <c:pt idx="318">
                  <c:v>1.4677229296742997</c:v>
                </c:pt>
                <c:pt idx="319">
                  <c:v>1.4659755986616803</c:v>
                </c:pt>
                <c:pt idx="320">
                  <c:v>1.4640108064066653</c:v>
                </c:pt>
                <c:pt idx="321">
                  <c:v>1.46202548378529</c:v>
                </c:pt>
                <c:pt idx="322">
                  <c:v>1.4603563174912759</c:v>
                </c:pt>
                <c:pt idx="323">
                  <c:v>1.4583720101755631</c:v>
                </c:pt>
                <c:pt idx="324">
                  <c:v>1.4561666422532613</c:v>
                </c:pt>
                <c:pt idx="325">
                  <c:v>1.4543218763121664</c:v>
                </c:pt>
                <c:pt idx="326">
                  <c:v>1.4526114067985771</c:v>
                </c:pt>
                <c:pt idx="327">
                  <c:v>1.4506987350411176</c:v>
                </c:pt>
                <c:pt idx="328">
                  <c:v>1.448526623945706</c:v>
                </c:pt>
                <c:pt idx="329">
                  <c:v>1.4468273094363009</c:v>
                </c:pt>
                <c:pt idx="330">
                  <c:v>1.4448832162357816</c:v>
                </c:pt>
                <c:pt idx="331">
                  <c:v>1.441029603062743</c:v>
                </c:pt>
                <c:pt idx="332">
                  <c:v>1.4392329216768478</c:v>
                </c:pt>
                <c:pt idx="333">
                  <c:v>1.4373237262472509</c:v>
                </c:pt>
                <c:pt idx="334">
                  <c:v>1.4352625433848194</c:v>
                </c:pt>
                <c:pt idx="335">
                  <c:v>1.4336087303425806</c:v>
                </c:pt>
                <c:pt idx="336">
                  <c:v>1.4315984702603759</c:v>
                </c:pt>
                <c:pt idx="337">
                  <c:v>1.4296040517902453</c:v>
                </c:pt>
                <c:pt idx="338">
                  <c:v>1.4278749466756029</c:v>
                </c:pt>
                <c:pt idx="339">
                  <c:v>1.4261147682837405</c:v>
                </c:pt>
                <c:pt idx="340">
                  <c:v>1.4243349398205107</c:v>
                </c:pt>
                <c:pt idx="341">
                  <c:v>1.4226686346111748</c:v>
                </c:pt>
                <c:pt idx="342">
                  <c:v>1.4208997142995636</c:v>
                </c:pt>
                <c:pt idx="343">
                  <c:v>1.4188615944638725</c:v>
                </c:pt>
                <c:pt idx="344">
                  <c:v>1.4170002882876909</c:v>
                </c:pt>
                <c:pt idx="345">
                  <c:v>1.4150377714256883</c:v>
                </c:pt>
                <c:pt idx="346">
                  <c:v>1.4135136239814898</c:v>
                </c:pt>
                <c:pt idx="347">
                  <c:v>1.4117443748522449</c:v>
                </c:pt>
                <c:pt idx="348">
                  <c:v>1.410050428262845</c:v>
                </c:pt>
                <c:pt idx="349">
                  <c:v>1.4081471559106487</c:v>
                </c:pt>
                <c:pt idx="350">
                  <c:v>1.4064845051251686</c:v>
                </c:pt>
                <c:pt idx="351">
                  <c:v>1.4052328104656318</c:v>
                </c:pt>
                <c:pt idx="352">
                  <c:v>1.3771098642702471</c:v>
                </c:pt>
                <c:pt idx="353">
                  <c:v>1.3754268868719384</c:v>
                </c:pt>
                <c:pt idx="354">
                  <c:v>1.3739852300068085</c:v>
                </c:pt>
                <c:pt idx="355">
                  <c:v>1.3723509968289533</c:v>
                </c:pt>
                <c:pt idx="356">
                  <c:v>1.3705560867549462</c:v>
                </c:pt>
                <c:pt idx="357">
                  <c:v>1.3690414355266596</c:v>
                </c:pt>
                <c:pt idx="358">
                  <c:v>1.3673793451531779</c:v>
                </c:pt>
                <c:pt idx="359">
                  <c:v>1.3657009010335781</c:v>
                </c:pt>
                <c:pt idx="360">
                  <c:v>1.360704644895695</c:v>
                </c:pt>
                <c:pt idx="361">
                  <c:v>1.3589953989307668</c:v>
                </c:pt>
                <c:pt idx="362">
                  <c:v>1.3576739282242349</c:v>
                </c:pt>
                <c:pt idx="363">
                  <c:v>1.3560835795867632</c:v>
                </c:pt>
                <c:pt idx="364">
                  <c:v>1.3545388994911758</c:v>
                </c:pt>
                <c:pt idx="365">
                  <c:v>1.3514539862904829</c:v>
                </c:pt>
                <c:pt idx="366">
                  <c:v>1.3498253131291889</c:v>
                </c:pt>
                <c:pt idx="367">
                  <c:v>1.3483656430820796</c:v>
                </c:pt>
                <c:pt idx="368">
                  <c:v>1.3470415442719337</c:v>
                </c:pt>
                <c:pt idx="369">
                  <c:v>1.3453869310739828</c:v>
                </c:pt>
                <c:pt idx="370">
                  <c:v>1.3439824049690801</c:v>
                </c:pt>
                <c:pt idx="371">
                  <c:v>1.34055558917873</c:v>
                </c:pt>
                <c:pt idx="372">
                  <c:v>1.3390177582329099</c:v>
                </c:pt>
                <c:pt idx="373">
                  <c:v>1.3373653061178923</c:v>
                </c:pt>
                <c:pt idx="374">
                  <c:v>1.3358657732492387</c:v>
                </c:pt>
                <c:pt idx="375">
                  <c:v>1.334653324216645</c:v>
                </c:pt>
                <c:pt idx="376">
                  <c:v>1.3331287668308769</c:v>
                </c:pt>
                <c:pt idx="377">
                  <c:v>1.3314792475193491</c:v>
                </c:pt>
                <c:pt idx="378">
                  <c:v>1.3301696402943064</c:v>
                </c:pt>
                <c:pt idx="379">
                  <c:v>1.3286624302490402</c:v>
                </c:pt>
                <c:pt idx="380">
                  <c:v>1.3269749531074972</c:v>
                </c:pt>
                <c:pt idx="381">
                  <c:v>1.3255818570454851</c:v>
                </c:pt>
                <c:pt idx="382">
                  <c:v>1.3240613798913183</c:v>
                </c:pt>
                <c:pt idx="383">
                  <c:v>1.3226204376191575</c:v>
                </c:pt>
                <c:pt idx="384">
                  <c:v>1.3209934945839528</c:v>
                </c:pt>
                <c:pt idx="385">
                  <c:v>1.3196959201746725</c:v>
                </c:pt>
                <c:pt idx="386">
                  <c:v>1.3181300884181071</c:v>
                </c:pt>
                <c:pt idx="387">
                  <c:v>1.3148947449368711</c:v>
                </c:pt>
                <c:pt idx="388">
                  <c:v>1.3133715839138518</c:v>
                </c:pt>
                <c:pt idx="389">
                  <c:v>1.311708561400311</c:v>
                </c:pt>
                <c:pt idx="390">
                  <c:v>1.3103491702294463</c:v>
                </c:pt>
                <c:pt idx="391">
                  <c:v>1.3089686302822259</c:v>
                </c:pt>
                <c:pt idx="392">
                  <c:v>1.307411392117358</c:v>
                </c:pt>
                <c:pt idx="393">
                  <c:v>1.3058208308432913</c:v>
                </c:pt>
                <c:pt idx="394">
                  <c:v>1.3044280462711921</c:v>
                </c:pt>
                <c:pt idx="395">
                  <c:v>1.3028092011923327</c:v>
                </c:pt>
                <c:pt idx="396">
                  <c:v>1.3013679475623781</c:v>
                </c:pt>
                <c:pt idx="397">
                  <c:v>1.2986188556232339</c:v>
                </c:pt>
                <c:pt idx="398">
                  <c:v>1.2971865277096772</c:v>
                </c:pt>
                <c:pt idx="399">
                  <c:v>1.295519554649128</c:v>
                </c:pt>
                <c:pt idx="400">
                  <c:v>1.2941904772069874</c:v>
                </c:pt>
                <c:pt idx="401">
                  <c:v>1.2935973400400811</c:v>
                </c:pt>
                <c:pt idx="402">
                  <c:v>1.2925465362714799</c:v>
                </c:pt>
                <c:pt idx="403">
                  <c:v>1.2900098022158946</c:v>
                </c:pt>
                <c:pt idx="404">
                  <c:v>1.2886927176182408</c:v>
                </c:pt>
                <c:pt idx="405">
                  <c:v>1.2872371927746631</c:v>
                </c:pt>
                <c:pt idx="406">
                  <c:v>1.2859138732334185</c:v>
                </c:pt>
                <c:pt idx="407">
                  <c:v>1.2848439862427035</c:v>
                </c:pt>
                <c:pt idx="408">
                  <c:v>1.2843003290810358</c:v>
                </c:pt>
                <c:pt idx="409">
                  <c:v>1.2835081125733871</c:v>
                </c:pt>
                <c:pt idx="410">
                  <c:v>1.2824164993382108</c:v>
                </c:pt>
                <c:pt idx="411">
                  <c:v>1.2811220062296409</c:v>
                </c:pt>
                <c:pt idx="412">
                  <c:v>1.2800301360832509</c:v>
                </c:pt>
                <c:pt idx="413">
                  <c:v>1.2789181326879904</c:v>
                </c:pt>
                <c:pt idx="414">
                  <c:v>1.2776040047325703</c:v>
                </c:pt>
                <c:pt idx="415">
                  <c:v>1.2759802134860792</c:v>
                </c:pt>
                <c:pt idx="416">
                  <c:v>1.2748630219622581</c:v>
                </c:pt>
                <c:pt idx="417">
                  <c:v>1.2738696050927434</c:v>
                </c:pt>
                <c:pt idx="418">
                  <c:v>1.2724504632692906</c:v>
                </c:pt>
                <c:pt idx="419">
                  <c:v>1.271029546979447</c:v>
                </c:pt>
                <c:pt idx="420">
                  <c:v>1.2700405230880338</c:v>
                </c:pt>
                <c:pt idx="421">
                  <c:v>1.2685889149979215</c:v>
                </c:pt>
                <c:pt idx="422">
                  <c:v>1.2673255486703059</c:v>
                </c:pt>
                <c:pt idx="423">
                  <c:v>1.2659783373883933</c:v>
                </c:pt>
                <c:pt idx="424">
                  <c:v>1.2648503300530194</c:v>
                </c:pt>
                <c:pt idx="425">
                  <c:v>1.2635338673837622</c:v>
                </c:pt>
                <c:pt idx="426">
                  <c:v>1.2623190886052165</c:v>
                </c:pt>
                <c:pt idx="427">
                  <c:v>1.2612822811391022</c:v>
                </c:pt>
                <c:pt idx="428">
                  <c:v>1.2600415661062552</c:v>
                </c:pt>
                <c:pt idx="429">
                  <c:v>1.2588243096402996</c:v>
                </c:pt>
                <c:pt idx="430">
                  <c:v>1.2548733587015568</c:v>
                </c:pt>
                <c:pt idx="431">
                  <c:v>1.2538265383749361</c:v>
                </c:pt>
                <c:pt idx="432">
                  <c:v>1.2528940284268129</c:v>
                </c:pt>
                <c:pt idx="433">
                  <c:v>1.2535270238290308</c:v>
                </c:pt>
                <c:pt idx="434">
                  <c:v>1.2538112950677205</c:v>
                </c:pt>
                <c:pt idx="435">
                  <c:v>1.2538743705723292</c:v>
                </c:pt>
                <c:pt idx="436">
                  <c:v>1.2536617246181725</c:v>
                </c:pt>
                <c:pt idx="437">
                  <c:v>1.2531762798887045</c:v>
                </c:pt>
                <c:pt idx="438">
                  <c:v>1.2524447300255031</c:v>
                </c:pt>
                <c:pt idx="439">
                  <c:v>1.2521657522379466</c:v>
                </c:pt>
                <c:pt idx="440">
                  <c:v>1.2526655333769821</c:v>
                </c:pt>
                <c:pt idx="441">
                  <c:v>1.2524867589458364</c:v>
                </c:pt>
                <c:pt idx="442">
                  <c:v>1.2518492342523164</c:v>
                </c:pt>
                <c:pt idx="443">
                  <c:v>1.2511165164686209</c:v>
                </c:pt>
                <c:pt idx="444">
                  <c:v>1.2506945818145299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911808"/>
        <c:axId val="299921792"/>
      </c:lineChart>
      <c:lineChart>
        <c:grouping val="standard"/>
        <c:varyColors val="0"/>
        <c:ser>
          <c:idx val="1"/>
          <c:order val="1"/>
          <c:tx>
            <c:strRef>
              <c:f>'Suivi Conso'!$B$4</c:f>
              <c:strCache>
                <c:ptCount val="1"/>
                <c:pt idx="0">
                  <c:v>T° station
Niort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trendline>
            <c:trendlineType val="movingAvg"/>
            <c:period val="2"/>
            <c:dispRSqr val="0"/>
            <c:dispEq val="0"/>
          </c:trendline>
          <c:val>
            <c:numRef>
              <c:f>'Suivi Conso'!$B$6:$B$450</c:f>
              <c:numCache>
                <c:formatCode>General</c:formatCode>
                <c:ptCount val="445"/>
                <c:pt idx="0">
                  <c:v>4.7</c:v>
                </c:pt>
                <c:pt idx="1">
                  <c:v>1.3</c:v>
                </c:pt>
                <c:pt idx="2">
                  <c:v>4.3</c:v>
                </c:pt>
                <c:pt idx="3">
                  <c:v>0.6</c:v>
                </c:pt>
                <c:pt idx="4">
                  <c:v>-4</c:v>
                </c:pt>
                <c:pt idx="5">
                  <c:v>3.1</c:v>
                </c:pt>
                <c:pt idx="6">
                  <c:v>3.7</c:v>
                </c:pt>
                <c:pt idx="7">
                  <c:v>4.7</c:v>
                </c:pt>
                <c:pt idx="8">
                  <c:v>9.6</c:v>
                </c:pt>
                <c:pt idx="9">
                  <c:v>10.6</c:v>
                </c:pt>
                <c:pt idx="10">
                  <c:v>11.1</c:v>
                </c:pt>
                <c:pt idx="11">
                  <c:v>12.1</c:v>
                </c:pt>
                <c:pt idx="12">
                  <c:v>11.4</c:v>
                </c:pt>
                <c:pt idx="13">
                  <c:v>10.3</c:v>
                </c:pt>
                <c:pt idx="14">
                  <c:v>11.6</c:v>
                </c:pt>
                <c:pt idx="15">
                  <c:v>9.6</c:v>
                </c:pt>
                <c:pt idx="16">
                  <c:v>10.7</c:v>
                </c:pt>
                <c:pt idx="17">
                  <c:v>9.8000000000000007</c:v>
                </c:pt>
                <c:pt idx="18">
                  <c:v>8.8000000000000007</c:v>
                </c:pt>
                <c:pt idx="19">
                  <c:v>9.5</c:v>
                </c:pt>
                <c:pt idx="20">
                  <c:v>9.6999999999999993</c:v>
                </c:pt>
                <c:pt idx="21">
                  <c:v>9.8000000000000007</c:v>
                </c:pt>
                <c:pt idx="22">
                  <c:v>11</c:v>
                </c:pt>
                <c:pt idx="23">
                  <c:v>9.5</c:v>
                </c:pt>
                <c:pt idx="24">
                  <c:v>11.8</c:v>
                </c:pt>
                <c:pt idx="25">
                  <c:v>12.7</c:v>
                </c:pt>
                <c:pt idx="26">
                  <c:v>11.4</c:v>
                </c:pt>
                <c:pt idx="27">
                  <c:v>11.5</c:v>
                </c:pt>
                <c:pt idx="28">
                  <c:v>8.4</c:v>
                </c:pt>
                <c:pt idx="29">
                  <c:v>8.3000000000000007</c:v>
                </c:pt>
                <c:pt idx="30">
                  <c:v>10.8</c:v>
                </c:pt>
                <c:pt idx="31">
                  <c:v>7.3</c:v>
                </c:pt>
                <c:pt idx="32">
                  <c:v>8.5</c:v>
                </c:pt>
                <c:pt idx="33">
                  <c:v>7.2</c:v>
                </c:pt>
                <c:pt idx="34">
                  <c:v>7.4</c:v>
                </c:pt>
                <c:pt idx="35">
                  <c:v>2.9</c:v>
                </c:pt>
                <c:pt idx="36">
                  <c:v>6.1</c:v>
                </c:pt>
                <c:pt idx="37">
                  <c:v>-0.5</c:v>
                </c:pt>
                <c:pt idx="38">
                  <c:v>3.8</c:v>
                </c:pt>
                <c:pt idx="39">
                  <c:v>0.2</c:v>
                </c:pt>
                <c:pt idx="40">
                  <c:v>0.2</c:v>
                </c:pt>
                <c:pt idx="41">
                  <c:v>2.1</c:v>
                </c:pt>
                <c:pt idx="42">
                  <c:v>1</c:v>
                </c:pt>
                <c:pt idx="43">
                  <c:v>-0.4</c:v>
                </c:pt>
                <c:pt idx="44">
                  <c:v>-4</c:v>
                </c:pt>
                <c:pt idx="45">
                  <c:v>-2</c:v>
                </c:pt>
                <c:pt idx="46">
                  <c:v>-1.7</c:v>
                </c:pt>
                <c:pt idx="47">
                  <c:v>-5</c:v>
                </c:pt>
                <c:pt idx="48">
                  <c:v>0</c:v>
                </c:pt>
                <c:pt idx="49">
                  <c:v>-4</c:v>
                </c:pt>
                <c:pt idx="50">
                  <c:v>7.1</c:v>
                </c:pt>
                <c:pt idx="51">
                  <c:v>5.4</c:v>
                </c:pt>
                <c:pt idx="52">
                  <c:v>10.9</c:v>
                </c:pt>
                <c:pt idx="53">
                  <c:v>6.1</c:v>
                </c:pt>
                <c:pt idx="54">
                  <c:v>9.5</c:v>
                </c:pt>
                <c:pt idx="55">
                  <c:v>8.9</c:v>
                </c:pt>
                <c:pt idx="56">
                  <c:v>13.2</c:v>
                </c:pt>
                <c:pt idx="57">
                  <c:v>9.5</c:v>
                </c:pt>
                <c:pt idx="58">
                  <c:v>9.9</c:v>
                </c:pt>
                <c:pt idx="59">
                  <c:v>9.5</c:v>
                </c:pt>
                <c:pt idx="60">
                  <c:v>7.6</c:v>
                </c:pt>
                <c:pt idx="61">
                  <c:v>13.7</c:v>
                </c:pt>
                <c:pt idx="62">
                  <c:v>14.8</c:v>
                </c:pt>
                <c:pt idx="63">
                  <c:v>14</c:v>
                </c:pt>
                <c:pt idx="64">
                  <c:v>10.5</c:v>
                </c:pt>
                <c:pt idx="65">
                  <c:v>14.8</c:v>
                </c:pt>
                <c:pt idx="66">
                  <c:v>14.5</c:v>
                </c:pt>
                <c:pt idx="67">
                  <c:v>9.9</c:v>
                </c:pt>
                <c:pt idx="68">
                  <c:v>12.3</c:v>
                </c:pt>
                <c:pt idx="69">
                  <c:v>10.1</c:v>
                </c:pt>
                <c:pt idx="70">
                  <c:v>7.1</c:v>
                </c:pt>
                <c:pt idx="71">
                  <c:v>15.3</c:v>
                </c:pt>
                <c:pt idx="72">
                  <c:v>11.5</c:v>
                </c:pt>
                <c:pt idx="73">
                  <c:v>9.4</c:v>
                </c:pt>
                <c:pt idx="74">
                  <c:v>16.899999999999999</c:v>
                </c:pt>
                <c:pt idx="75">
                  <c:v>8.8000000000000007</c:v>
                </c:pt>
                <c:pt idx="76">
                  <c:v>10.199999999999999</c:v>
                </c:pt>
                <c:pt idx="77">
                  <c:v>13.4</c:v>
                </c:pt>
                <c:pt idx="78">
                  <c:v>9.8000000000000007</c:v>
                </c:pt>
                <c:pt idx="79">
                  <c:v>6.3</c:v>
                </c:pt>
                <c:pt idx="80">
                  <c:v>13.1</c:v>
                </c:pt>
                <c:pt idx="81">
                  <c:v>1.8</c:v>
                </c:pt>
                <c:pt idx="82">
                  <c:v>10.7</c:v>
                </c:pt>
                <c:pt idx="83">
                  <c:v>1.2</c:v>
                </c:pt>
                <c:pt idx="84">
                  <c:v>4.8</c:v>
                </c:pt>
                <c:pt idx="85">
                  <c:v>1.5</c:v>
                </c:pt>
                <c:pt idx="86">
                  <c:v>15.3</c:v>
                </c:pt>
                <c:pt idx="87">
                  <c:v>7.2</c:v>
                </c:pt>
                <c:pt idx="88">
                  <c:v>8</c:v>
                </c:pt>
                <c:pt idx="89">
                  <c:v>14.9</c:v>
                </c:pt>
                <c:pt idx="90">
                  <c:v>9.6999999999999993</c:v>
                </c:pt>
                <c:pt idx="91">
                  <c:v>8.9</c:v>
                </c:pt>
                <c:pt idx="92">
                  <c:v>12.7</c:v>
                </c:pt>
                <c:pt idx="93">
                  <c:v>5.7</c:v>
                </c:pt>
                <c:pt idx="94">
                  <c:v>12.5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9.6999999999999993</c:v>
                </c:pt>
                <c:pt idx="99">
                  <c:v>1.9</c:v>
                </c:pt>
                <c:pt idx="100">
                  <c:v>-0.7</c:v>
                </c:pt>
                <c:pt idx="101">
                  <c:v>8.4</c:v>
                </c:pt>
                <c:pt idx="102">
                  <c:v>-3.6</c:v>
                </c:pt>
                <c:pt idx="103">
                  <c:v>9</c:v>
                </c:pt>
                <c:pt idx="104">
                  <c:v>-0.4</c:v>
                </c:pt>
                <c:pt idx="105">
                  <c:v>7.9</c:v>
                </c:pt>
                <c:pt idx="106">
                  <c:v>11.2</c:v>
                </c:pt>
                <c:pt idx="107">
                  <c:v>10.4</c:v>
                </c:pt>
                <c:pt idx="108">
                  <c:v>3.2</c:v>
                </c:pt>
                <c:pt idx="109">
                  <c:v>10.199999999999999</c:v>
                </c:pt>
                <c:pt idx="110">
                  <c:v>7.9</c:v>
                </c:pt>
                <c:pt idx="111">
                  <c:v>2.7</c:v>
                </c:pt>
                <c:pt idx="112">
                  <c:v>11.8</c:v>
                </c:pt>
                <c:pt idx="113">
                  <c:v>8.8000000000000007</c:v>
                </c:pt>
                <c:pt idx="114">
                  <c:v>11.1</c:v>
                </c:pt>
                <c:pt idx="115">
                  <c:v>8.1999999999999993</c:v>
                </c:pt>
                <c:pt idx="116">
                  <c:v>14.2</c:v>
                </c:pt>
                <c:pt idx="117">
                  <c:v>13</c:v>
                </c:pt>
                <c:pt idx="118">
                  <c:v>8.9</c:v>
                </c:pt>
                <c:pt idx="119">
                  <c:v>2.4</c:v>
                </c:pt>
                <c:pt idx="120">
                  <c:v>7.5</c:v>
                </c:pt>
                <c:pt idx="121">
                  <c:v>5.5</c:v>
                </c:pt>
                <c:pt idx="122">
                  <c:v>3</c:v>
                </c:pt>
                <c:pt idx="123">
                  <c:v>2.1</c:v>
                </c:pt>
                <c:pt idx="124">
                  <c:v>-0.3</c:v>
                </c:pt>
                <c:pt idx="125">
                  <c:v>10.199999999999999</c:v>
                </c:pt>
                <c:pt idx="126">
                  <c:v>4.5999999999999996</c:v>
                </c:pt>
                <c:pt idx="127">
                  <c:v>15.9</c:v>
                </c:pt>
                <c:pt idx="128">
                  <c:v>9.1</c:v>
                </c:pt>
                <c:pt idx="129">
                  <c:v>9.1</c:v>
                </c:pt>
                <c:pt idx="130">
                  <c:v>13.9</c:v>
                </c:pt>
                <c:pt idx="131">
                  <c:v>9.9</c:v>
                </c:pt>
                <c:pt idx="132">
                  <c:v>11</c:v>
                </c:pt>
                <c:pt idx="133">
                  <c:v>11.2</c:v>
                </c:pt>
                <c:pt idx="134">
                  <c:v>10.6</c:v>
                </c:pt>
                <c:pt idx="135">
                  <c:v>12.4</c:v>
                </c:pt>
                <c:pt idx="136">
                  <c:v>12.4</c:v>
                </c:pt>
                <c:pt idx="137">
                  <c:v>17.2</c:v>
                </c:pt>
                <c:pt idx="138">
                  <c:v>2.7</c:v>
                </c:pt>
                <c:pt idx="139">
                  <c:v>6.4</c:v>
                </c:pt>
                <c:pt idx="140">
                  <c:v>5.9</c:v>
                </c:pt>
                <c:pt idx="141">
                  <c:v>-1.5</c:v>
                </c:pt>
                <c:pt idx="142">
                  <c:v>6.6</c:v>
                </c:pt>
                <c:pt idx="143">
                  <c:v>1.1000000000000001</c:v>
                </c:pt>
                <c:pt idx="144">
                  <c:v>5.8</c:v>
                </c:pt>
                <c:pt idx="145">
                  <c:v>8.4</c:v>
                </c:pt>
                <c:pt idx="146">
                  <c:v>5</c:v>
                </c:pt>
                <c:pt idx="147">
                  <c:v>-0.1</c:v>
                </c:pt>
                <c:pt idx="148">
                  <c:v>0.8</c:v>
                </c:pt>
                <c:pt idx="149">
                  <c:v>10.1</c:v>
                </c:pt>
                <c:pt idx="150">
                  <c:v>10.4</c:v>
                </c:pt>
                <c:pt idx="151">
                  <c:v>11.5</c:v>
                </c:pt>
                <c:pt idx="152">
                  <c:v>10.1</c:v>
                </c:pt>
                <c:pt idx="153">
                  <c:v>9.6</c:v>
                </c:pt>
                <c:pt idx="154">
                  <c:v>2.1</c:v>
                </c:pt>
                <c:pt idx="155">
                  <c:v>10.6</c:v>
                </c:pt>
                <c:pt idx="156">
                  <c:v>7</c:v>
                </c:pt>
                <c:pt idx="157">
                  <c:v>8.5</c:v>
                </c:pt>
                <c:pt idx="158">
                  <c:v>8.9</c:v>
                </c:pt>
                <c:pt idx="159">
                  <c:v>15.1</c:v>
                </c:pt>
                <c:pt idx="160">
                  <c:v>7.2</c:v>
                </c:pt>
                <c:pt idx="161">
                  <c:v>10.6</c:v>
                </c:pt>
                <c:pt idx="162">
                  <c:v>11.8</c:v>
                </c:pt>
                <c:pt idx="163">
                  <c:v>15.4</c:v>
                </c:pt>
                <c:pt idx="164">
                  <c:v>22.3</c:v>
                </c:pt>
                <c:pt idx="165">
                  <c:v>24.2</c:v>
                </c:pt>
                <c:pt idx="166">
                  <c:v>5</c:v>
                </c:pt>
                <c:pt idx="168">
                  <c:v>8.4</c:v>
                </c:pt>
                <c:pt idx="169">
                  <c:v>11.4</c:v>
                </c:pt>
                <c:pt idx="170">
                  <c:v>3.8</c:v>
                </c:pt>
                <c:pt idx="171">
                  <c:v>5.6</c:v>
                </c:pt>
                <c:pt idx="172">
                  <c:v>7.1</c:v>
                </c:pt>
                <c:pt idx="173">
                  <c:v>1.5</c:v>
                </c:pt>
                <c:pt idx="174">
                  <c:v>1.8</c:v>
                </c:pt>
                <c:pt idx="175">
                  <c:v>-0.7</c:v>
                </c:pt>
                <c:pt idx="176">
                  <c:v>11</c:v>
                </c:pt>
                <c:pt idx="177">
                  <c:v>10.6</c:v>
                </c:pt>
                <c:pt idx="178">
                  <c:v>4.5999999999999996</c:v>
                </c:pt>
                <c:pt idx="179">
                  <c:v>3.1</c:v>
                </c:pt>
                <c:pt idx="180">
                  <c:v>4.8</c:v>
                </c:pt>
                <c:pt idx="181">
                  <c:v>-1.5</c:v>
                </c:pt>
                <c:pt idx="182">
                  <c:v>-2.1</c:v>
                </c:pt>
                <c:pt idx="183">
                  <c:v>2</c:v>
                </c:pt>
                <c:pt idx="184">
                  <c:v>-0.7</c:v>
                </c:pt>
                <c:pt idx="185">
                  <c:v>-3.4</c:v>
                </c:pt>
                <c:pt idx="186">
                  <c:v>-1.1000000000000001</c:v>
                </c:pt>
                <c:pt idx="187">
                  <c:v>-1.8</c:v>
                </c:pt>
                <c:pt idx="188">
                  <c:v>5.4</c:v>
                </c:pt>
                <c:pt idx="189">
                  <c:v>5.7</c:v>
                </c:pt>
                <c:pt idx="190">
                  <c:v>7</c:v>
                </c:pt>
                <c:pt idx="191">
                  <c:v>7.1</c:v>
                </c:pt>
                <c:pt idx="192">
                  <c:v>4</c:v>
                </c:pt>
                <c:pt idx="193">
                  <c:v>7.6</c:v>
                </c:pt>
                <c:pt idx="194">
                  <c:v>3.7</c:v>
                </c:pt>
                <c:pt idx="195">
                  <c:v>7.3</c:v>
                </c:pt>
                <c:pt idx="196">
                  <c:v>-0.7</c:v>
                </c:pt>
                <c:pt idx="197">
                  <c:v>8.3000000000000007</c:v>
                </c:pt>
                <c:pt idx="198">
                  <c:v>7.6</c:v>
                </c:pt>
                <c:pt idx="199">
                  <c:v>-0.3</c:v>
                </c:pt>
                <c:pt idx="200">
                  <c:v>0.1</c:v>
                </c:pt>
                <c:pt idx="201">
                  <c:v>5.6</c:v>
                </c:pt>
                <c:pt idx="202">
                  <c:v>0.1</c:v>
                </c:pt>
                <c:pt idx="203">
                  <c:v>-0.9</c:v>
                </c:pt>
                <c:pt idx="204">
                  <c:v>5.5</c:v>
                </c:pt>
                <c:pt idx="205">
                  <c:v>2.6</c:v>
                </c:pt>
                <c:pt idx="206">
                  <c:v>11.2</c:v>
                </c:pt>
                <c:pt idx="207">
                  <c:v>10.9</c:v>
                </c:pt>
                <c:pt idx="208">
                  <c:v>11.2</c:v>
                </c:pt>
                <c:pt idx="209">
                  <c:v>6</c:v>
                </c:pt>
                <c:pt idx="210">
                  <c:v>8.3000000000000007</c:v>
                </c:pt>
                <c:pt idx="211">
                  <c:v>4.2</c:v>
                </c:pt>
                <c:pt idx="212">
                  <c:v>6.3</c:v>
                </c:pt>
                <c:pt idx="213">
                  <c:v>0.2</c:v>
                </c:pt>
                <c:pt idx="214">
                  <c:v>8.1</c:v>
                </c:pt>
                <c:pt idx="215">
                  <c:v>7.8</c:v>
                </c:pt>
                <c:pt idx="216">
                  <c:v>8.4</c:v>
                </c:pt>
                <c:pt idx="217">
                  <c:v>7</c:v>
                </c:pt>
                <c:pt idx="218">
                  <c:v>2.8</c:v>
                </c:pt>
                <c:pt idx="219">
                  <c:v>-3</c:v>
                </c:pt>
                <c:pt idx="220">
                  <c:v>6.5</c:v>
                </c:pt>
                <c:pt idx="221">
                  <c:v>8.3000000000000007</c:v>
                </c:pt>
                <c:pt idx="222">
                  <c:v>9.1999999999999993</c:v>
                </c:pt>
                <c:pt idx="223">
                  <c:v>10</c:v>
                </c:pt>
                <c:pt idx="224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924864"/>
        <c:axId val="299923328"/>
      </c:lineChart>
      <c:catAx>
        <c:axId val="29991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99921792"/>
        <c:crosses val="autoZero"/>
        <c:auto val="1"/>
        <c:lblAlgn val="ctr"/>
        <c:lblOffset val="100"/>
        <c:noMultiLvlLbl val="0"/>
      </c:catAx>
      <c:valAx>
        <c:axId val="299921792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299911808"/>
        <c:crosses val="autoZero"/>
        <c:crossBetween val="between"/>
      </c:valAx>
      <c:valAx>
        <c:axId val="299923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924864"/>
        <c:crosses val="max"/>
        <c:crossBetween val="between"/>
      </c:valAx>
      <c:catAx>
        <c:axId val="299924864"/>
        <c:scaling>
          <c:orientation val="minMax"/>
        </c:scaling>
        <c:delete val="1"/>
        <c:axPos val="b"/>
        <c:majorTickMark val="out"/>
        <c:minorTickMark val="none"/>
        <c:tickLblPos val="nextTo"/>
        <c:crossAx val="29992332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Conso'!$AJ$4</c:f>
              <c:strCache>
                <c:ptCount val="1"/>
                <c:pt idx="0">
                  <c:v>Conso HP + HC / an_x000d_
Cumul</c:v>
                </c:pt>
              </c:strCache>
            </c:strRef>
          </c:tx>
          <c:spPr>
            <a:ln w="57150"/>
          </c:spPr>
          <c:marker>
            <c:symbol val="none"/>
          </c:marker>
          <c:trendline>
            <c:spPr>
              <a:ln w="19050"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trendline>
            <c:spPr>
              <a:ln w="19050">
                <a:solidFill>
                  <a:schemeClr val="accent6"/>
                </a:solidFill>
              </a:ln>
            </c:spPr>
            <c:trendlineType val="movingAvg"/>
            <c:period val="2"/>
            <c:dispRSqr val="0"/>
            <c:dispEq val="0"/>
          </c:trendline>
          <c:val>
            <c:numRef>
              <c:f>'Suivi Conso'!$AJ$6:$AJ$750</c:f>
              <c:numCache>
                <c:formatCode>0.00000</c:formatCode>
                <c:ptCount val="745"/>
                <c:pt idx="0">
                  <c:v>24641.09409190686</c:v>
                </c:pt>
                <c:pt idx="1">
                  <c:v>24634.990924284455</c:v>
                </c:pt>
                <c:pt idx="2">
                  <c:v>24645.134072222289</c:v>
                </c:pt>
                <c:pt idx="3">
                  <c:v>24636.916518652124</c:v>
                </c:pt>
                <c:pt idx="4">
                  <c:v>24682.46525340739</c:v>
                </c:pt>
                <c:pt idx="5">
                  <c:v>24718.925229576518</c:v>
                </c:pt>
                <c:pt idx="6">
                  <c:v>24743.860378144625</c:v>
                </c:pt>
                <c:pt idx="7">
                  <c:v>24763.759630200311</c:v>
                </c:pt>
                <c:pt idx="8">
                  <c:v>24763.871933078768</c:v>
                </c:pt>
                <c:pt idx="9">
                  <c:v>24797.392816740325</c:v>
                </c:pt>
                <c:pt idx="10">
                  <c:v>24738.042189300013</c:v>
                </c:pt>
                <c:pt idx="11">
                  <c:v>24699.231726540635</c:v>
                </c:pt>
                <c:pt idx="12">
                  <c:v>24661.888734903696</c:v>
                </c:pt>
                <c:pt idx="13">
                  <c:v>24586.064718163492</c:v>
                </c:pt>
                <c:pt idx="14">
                  <c:v>24554.06154295048</c:v>
                </c:pt>
                <c:pt idx="15">
                  <c:v>24526.929078128909</c:v>
                </c:pt>
                <c:pt idx="16">
                  <c:v>24464.047182595266</c:v>
                </c:pt>
                <c:pt idx="17">
                  <c:v>24434.725427588841</c:v>
                </c:pt>
                <c:pt idx="18">
                  <c:v>24375.960296843066</c:v>
                </c:pt>
                <c:pt idx="19">
                  <c:v>24364.752622758435</c:v>
                </c:pt>
                <c:pt idx="20">
                  <c:v>24382.588365584455</c:v>
                </c:pt>
                <c:pt idx="21">
                  <c:v>24327.405602924129</c:v>
                </c:pt>
                <c:pt idx="22">
                  <c:v>24312.472926103481</c:v>
                </c:pt>
                <c:pt idx="23">
                  <c:v>24278.543046360592</c:v>
                </c:pt>
                <c:pt idx="24">
                  <c:v>24220.006559528807</c:v>
                </c:pt>
                <c:pt idx="25">
                  <c:v>24193.271881205139</c:v>
                </c:pt>
                <c:pt idx="26">
                  <c:v>24145.724863372994</c:v>
                </c:pt>
                <c:pt idx="27">
                  <c:v>24079.8618467858</c:v>
                </c:pt>
                <c:pt idx="28">
                  <c:v>24063.924442461368</c:v>
                </c:pt>
                <c:pt idx="29">
                  <c:v>24019.153127944173</c:v>
                </c:pt>
                <c:pt idx="30">
                  <c:v>24002.243657841704</c:v>
                </c:pt>
                <c:pt idx="31">
                  <c:v>23954.053335946377</c:v>
                </c:pt>
                <c:pt idx="32">
                  <c:v>23916.761466109743</c:v>
                </c:pt>
                <c:pt idx="33">
                  <c:v>23888.289473685356</c:v>
                </c:pt>
                <c:pt idx="34">
                  <c:v>23890.58308202395</c:v>
                </c:pt>
                <c:pt idx="35">
                  <c:v>23917.283717925526</c:v>
                </c:pt>
                <c:pt idx="36">
                  <c:v>23933.861056701124</c:v>
                </c:pt>
                <c:pt idx="37">
                  <c:v>23949.565722431438</c:v>
                </c:pt>
                <c:pt idx="38">
                  <c:v>24002.017919545451</c:v>
                </c:pt>
                <c:pt idx="39">
                  <c:v>24026.683040907159</c:v>
                </c:pt>
                <c:pt idx="40">
                  <c:v>24034.632438739791</c:v>
                </c:pt>
                <c:pt idx="41">
                  <c:v>24156.480024761386</c:v>
                </c:pt>
                <c:pt idx="42">
                  <c:v>24212.169709306381</c:v>
                </c:pt>
                <c:pt idx="43">
                  <c:v>24261.123208588502</c:v>
                </c:pt>
                <c:pt idx="44">
                  <c:v>24443.153464790637</c:v>
                </c:pt>
                <c:pt idx="45">
                  <c:v>24525.690982110504</c:v>
                </c:pt>
                <c:pt idx="46">
                  <c:v>24661.583577715006</c:v>
                </c:pt>
                <c:pt idx="47">
                  <c:v>24924.237970169885</c:v>
                </c:pt>
                <c:pt idx="48">
                  <c:v>25017.78480103517</c:v>
                </c:pt>
                <c:pt idx="49">
                  <c:v>25081.027316971482</c:v>
                </c:pt>
                <c:pt idx="50">
                  <c:v>25155.158258744159</c:v>
                </c:pt>
                <c:pt idx="51">
                  <c:v>25171.838604756718</c:v>
                </c:pt>
                <c:pt idx="52">
                  <c:v>25199.582385968104</c:v>
                </c:pt>
                <c:pt idx="53">
                  <c:v>25157.345189530966</c:v>
                </c:pt>
                <c:pt idx="54">
                  <c:v>25144.269407689913</c:v>
                </c:pt>
                <c:pt idx="55">
                  <c:v>25088.970331194469</c:v>
                </c:pt>
                <c:pt idx="56">
                  <c:v>25077.450419205841</c:v>
                </c:pt>
                <c:pt idx="57">
                  <c:v>25034.164217960999</c:v>
                </c:pt>
                <c:pt idx="58">
                  <c:v>24978.594249201858</c:v>
                </c:pt>
                <c:pt idx="59">
                  <c:v>24976.104681313536</c:v>
                </c:pt>
                <c:pt idx="60">
                  <c:v>24922.000589565843</c:v>
                </c:pt>
                <c:pt idx="61">
                  <c:v>24881.048338863602</c:v>
                </c:pt>
                <c:pt idx="62">
                  <c:v>24844.885463034901</c:v>
                </c:pt>
                <c:pt idx="63">
                  <c:v>24836.38848218643</c:v>
                </c:pt>
                <c:pt idx="64">
                  <c:v>24764.275048609335</c:v>
                </c:pt>
                <c:pt idx="65">
                  <c:v>24755.76731586711</c:v>
                </c:pt>
                <c:pt idx="66">
                  <c:v>24356.264198571116</c:v>
                </c:pt>
                <c:pt idx="67">
                  <c:v>24324.103290886389</c:v>
                </c:pt>
                <c:pt idx="68">
                  <c:v>24308.863494703022</c:v>
                </c:pt>
                <c:pt idx="69">
                  <c:v>24259.964478957827</c:v>
                </c:pt>
                <c:pt idx="70">
                  <c:v>24224.384828862163</c:v>
                </c:pt>
                <c:pt idx="71">
                  <c:v>24181.656277827595</c:v>
                </c:pt>
                <c:pt idx="72">
                  <c:v>24123.289176485298</c:v>
                </c:pt>
                <c:pt idx="73">
                  <c:v>24067.513214655959</c:v>
                </c:pt>
                <c:pt idx="74">
                  <c:v>24040.511843181997</c:v>
                </c:pt>
                <c:pt idx="75">
                  <c:v>23962.323957791785</c:v>
                </c:pt>
                <c:pt idx="76">
                  <c:v>23862.998871703501</c:v>
                </c:pt>
                <c:pt idx="77">
                  <c:v>23807.683680864124</c:v>
                </c:pt>
                <c:pt idx="78">
                  <c:v>23781.794456088232</c:v>
                </c:pt>
                <c:pt idx="79">
                  <c:v>23734.571898093825</c:v>
                </c:pt>
                <c:pt idx="80">
                  <c:v>23705.27635975345</c:v>
                </c:pt>
                <c:pt idx="81">
                  <c:v>23661.678619888909</c:v>
                </c:pt>
                <c:pt idx="82">
                  <c:v>23662.360853434038</c:v>
                </c:pt>
                <c:pt idx="83">
                  <c:v>23650.366687384518</c:v>
                </c:pt>
                <c:pt idx="84">
                  <c:v>23651.128275600888</c:v>
                </c:pt>
                <c:pt idx="85">
                  <c:v>23651.727228981094</c:v>
                </c:pt>
                <c:pt idx="86">
                  <c:v>23649.010519983309</c:v>
                </c:pt>
                <c:pt idx="87">
                  <c:v>23615.017064846928</c:v>
                </c:pt>
                <c:pt idx="88">
                  <c:v>23588.441846178652</c:v>
                </c:pt>
                <c:pt idx="89">
                  <c:v>23572.215990729754</c:v>
                </c:pt>
                <c:pt idx="90">
                  <c:v>23533.676690481509</c:v>
                </c:pt>
                <c:pt idx="91">
                  <c:v>23502.831627496842</c:v>
                </c:pt>
                <c:pt idx="92">
                  <c:v>23482.709959642925</c:v>
                </c:pt>
                <c:pt idx="93">
                  <c:v>23411.687039790871</c:v>
                </c:pt>
                <c:pt idx="94">
                  <c:v>23398.097165626445</c:v>
                </c:pt>
                <c:pt idx="95">
                  <c:v>23346.664748822859</c:v>
                </c:pt>
                <c:pt idx="96">
                  <c:v>23324.038057050842</c:v>
                </c:pt>
                <c:pt idx="97">
                  <c:v>23325.952033922204</c:v>
                </c:pt>
                <c:pt idx="98">
                  <c:v>23332.159411748849</c:v>
                </c:pt>
                <c:pt idx="99">
                  <c:v>23351.950589714688</c:v>
                </c:pt>
                <c:pt idx="100">
                  <c:v>23341.780355588169</c:v>
                </c:pt>
                <c:pt idx="101">
                  <c:v>23347.062005718712</c:v>
                </c:pt>
                <c:pt idx="102">
                  <c:v>23349.463417956351</c:v>
                </c:pt>
                <c:pt idx="103">
                  <c:v>23358.315660893466</c:v>
                </c:pt>
                <c:pt idx="104">
                  <c:v>23346.842976874315</c:v>
                </c:pt>
                <c:pt idx="105">
                  <c:v>23334.356774150801</c:v>
                </c:pt>
                <c:pt idx="106">
                  <c:v>23318.959330143945</c:v>
                </c:pt>
                <c:pt idx="107">
                  <c:v>23307.673197634624</c:v>
                </c:pt>
                <c:pt idx="108">
                  <c:v>23275.918112719297</c:v>
                </c:pt>
                <c:pt idx="109">
                  <c:v>23266.420060234494</c:v>
                </c:pt>
                <c:pt idx="110">
                  <c:v>23214.998013346758</c:v>
                </c:pt>
                <c:pt idx="111">
                  <c:v>23186.314481543213</c:v>
                </c:pt>
                <c:pt idx="112">
                  <c:v>23189.347315249746</c:v>
                </c:pt>
                <c:pt idx="113">
                  <c:v>23139.779833091481</c:v>
                </c:pt>
                <c:pt idx="114">
                  <c:v>23124.389183549298</c:v>
                </c:pt>
                <c:pt idx="115">
                  <c:v>23075.383024720497</c:v>
                </c:pt>
                <c:pt idx="116">
                  <c:v>23053.928370523659</c:v>
                </c:pt>
                <c:pt idx="117">
                  <c:v>23035.178232738177</c:v>
                </c:pt>
                <c:pt idx="118">
                  <c:v>22968.031814694485</c:v>
                </c:pt>
                <c:pt idx="119">
                  <c:v>22923.81631292135</c:v>
                </c:pt>
                <c:pt idx="120">
                  <c:v>22916.455696202898</c:v>
                </c:pt>
                <c:pt idx="121">
                  <c:v>22891.159856544749</c:v>
                </c:pt>
                <c:pt idx="122">
                  <c:v>22877.00597276774</c:v>
                </c:pt>
                <c:pt idx="123">
                  <c:v>22841.837703168188</c:v>
                </c:pt>
                <c:pt idx="124">
                  <c:v>22834.056173013145</c:v>
                </c:pt>
                <c:pt idx="125">
                  <c:v>22828.084302687857</c:v>
                </c:pt>
                <c:pt idx="126">
                  <c:v>22797.264728942027</c:v>
                </c:pt>
                <c:pt idx="127">
                  <c:v>22693.272353207361</c:v>
                </c:pt>
                <c:pt idx="128">
                  <c:v>22612.158404858877</c:v>
                </c:pt>
                <c:pt idx="129">
                  <c:v>22506.213973523183</c:v>
                </c:pt>
                <c:pt idx="130">
                  <c:v>22492.648494511643</c:v>
                </c:pt>
                <c:pt idx="131">
                  <c:v>22445.525557304798</c:v>
                </c:pt>
                <c:pt idx="132">
                  <c:v>22408.052340211409</c:v>
                </c:pt>
                <c:pt idx="133">
                  <c:v>22275.9926244622</c:v>
                </c:pt>
                <c:pt idx="134">
                  <c:v>22123.265300600433</c:v>
                </c:pt>
                <c:pt idx="135">
                  <c:v>21950.624133149329</c:v>
                </c:pt>
                <c:pt idx="136">
                  <c:v>21770.971337580122</c:v>
                </c:pt>
                <c:pt idx="137">
                  <c:v>21566.135761328718</c:v>
                </c:pt>
                <c:pt idx="138">
                  <c:v>21483.165441392448</c:v>
                </c:pt>
                <c:pt idx="139">
                  <c:v>21438.332108459465</c:v>
                </c:pt>
                <c:pt idx="140">
                  <c:v>21340.463458110804</c:v>
                </c:pt>
                <c:pt idx="141">
                  <c:v>21296.407527086576</c:v>
                </c:pt>
                <c:pt idx="142">
                  <c:v>21295.088806017477</c:v>
                </c:pt>
                <c:pt idx="143">
                  <c:v>21289.16637906801</c:v>
                </c:pt>
                <c:pt idx="144">
                  <c:v>21258.777956712216</c:v>
                </c:pt>
                <c:pt idx="145">
                  <c:v>21194.67186084282</c:v>
                </c:pt>
                <c:pt idx="146">
                  <c:v>21034.569815618019</c:v>
                </c:pt>
                <c:pt idx="147">
                  <c:v>21002.656350432462</c:v>
                </c:pt>
                <c:pt idx="148">
                  <c:v>20959.52840300107</c:v>
                </c:pt>
                <c:pt idx="149">
                  <c:v>20956.633811693235</c:v>
                </c:pt>
                <c:pt idx="150">
                  <c:v>20954.412236603628</c:v>
                </c:pt>
                <c:pt idx="151">
                  <c:v>20943.359794800399</c:v>
                </c:pt>
                <c:pt idx="152">
                  <c:v>20923.869682035081</c:v>
                </c:pt>
                <c:pt idx="153">
                  <c:v>20869.646147746102</c:v>
                </c:pt>
                <c:pt idx="154">
                  <c:v>20866.729342943949</c:v>
                </c:pt>
                <c:pt idx="155">
                  <c:v>20612.343405189786</c:v>
                </c:pt>
                <c:pt idx="156">
                  <c:v>20166.433223959</c:v>
                </c:pt>
                <c:pt idx="157">
                  <c:v>20057.492870106453</c:v>
                </c:pt>
                <c:pt idx="158">
                  <c:v>19937.891792844726</c:v>
                </c:pt>
                <c:pt idx="159">
                  <c:v>19664.168975288376</c:v>
                </c:pt>
                <c:pt idx="160">
                  <c:v>19320.76039290068</c:v>
                </c:pt>
                <c:pt idx="161">
                  <c:v>19259.257763802987</c:v>
                </c:pt>
                <c:pt idx="162">
                  <c:v>19163.516947264085</c:v>
                </c:pt>
                <c:pt idx="163">
                  <c:v>16420.10882806794</c:v>
                </c:pt>
                <c:pt idx="164">
                  <c:v>15290.014206787688</c:v>
                </c:pt>
                <c:pt idx="165">
                  <c:v>12360.690418851096</c:v>
                </c:pt>
                <c:pt idx="166">
                  <c:v>11875.771110879723</c:v>
                </c:pt>
                <c:pt idx="167">
                  <c:v>11639.685213309494</c:v>
                </c:pt>
                <c:pt idx="168">
                  <c:v>11515.956978235305</c:v>
                </c:pt>
                <c:pt idx="169">
                  <c:v>11605.374111583966</c:v>
                </c:pt>
                <c:pt idx="170">
                  <c:v>11671.234566632167</c:v>
                </c:pt>
                <c:pt idx="171">
                  <c:v>11881.693127643315</c:v>
                </c:pt>
                <c:pt idx="172">
                  <c:v>12150.124059290503</c:v>
                </c:pt>
                <c:pt idx="173">
                  <c:v>12496.492340780862</c:v>
                </c:pt>
                <c:pt idx="174">
                  <c:v>12560.286824923769</c:v>
                </c:pt>
                <c:pt idx="175">
                  <c:v>12660.021057649501</c:v>
                </c:pt>
                <c:pt idx="176">
                  <c:v>12709.00658690694</c:v>
                </c:pt>
                <c:pt idx="177">
                  <c:v>12659.547018082616</c:v>
                </c:pt>
                <c:pt idx="178">
                  <c:v>13117.929440807422</c:v>
                </c:pt>
                <c:pt idx="179">
                  <c:v>13158.589468168801</c:v>
                </c:pt>
                <c:pt idx="180">
                  <c:v>13186.197476576119</c:v>
                </c:pt>
                <c:pt idx="181">
                  <c:v>13213.77776310335</c:v>
                </c:pt>
                <c:pt idx="182">
                  <c:v>13248.689912429834</c:v>
                </c:pt>
                <c:pt idx="183">
                  <c:v>13289.177216722093</c:v>
                </c:pt>
                <c:pt idx="184">
                  <c:v>13324.529043875564</c:v>
                </c:pt>
                <c:pt idx="185">
                  <c:v>13364.252298258241</c:v>
                </c:pt>
                <c:pt idx="186">
                  <c:v>13401.494220323</c:v>
                </c:pt>
                <c:pt idx="187">
                  <c:v>13449.972092004131</c:v>
                </c:pt>
                <c:pt idx="188">
                  <c:v>13486.221141415901</c:v>
                </c:pt>
                <c:pt idx="189">
                  <c:v>13505.440271502577</c:v>
                </c:pt>
                <c:pt idx="190">
                  <c:v>13521.558204978515</c:v>
                </c:pt>
                <c:pt idx="191">
                  <c:v>13534.159677329179</c:v>
                </c:pt>
                <c:pt idx="192">
                  <c:v>13555.49196298105</c:v>
                </c:pt>
                <c:pt idx="193">
                  <c:v>13569.803553714106</c:v>
                </c:pt>
                <c:pt idx="194">
                  <c:v>13584.044429485208</c:v>
                </c:pt>
                <c:pt idx="195">
                  <c:v>13600.55066541532</c:v>
                </c:pt>
                <c:pt idx="196">
                  <c:v>13618.258704051457</c:v>
                </c:pt>
                <c:pt idx="197">
                  <c:v>13636.018856010965</c:v>
                </c:pt>
                <c:pt idx="198">
                  <c:v>13647.271636218215</c:v>
                </c:pt>
                <c:pt idx="199">
                  <c:v>13657.691719270693</c:v>
                </c:pt>
                <c:pt idx="200">
                  <c:v>13668.932227259556</c:v>
                </c:pt>
                <c:pt idx="201">
                  <c:v>13684.129631836244</c:v>
                </c:pt>
                <c:pt idx="202">
                  <c:v>13701.487658428116</c:v>
                </c:pt>
                <c:pt idx="203">
                  <c:v>13718.712176866684</c:v>
                </c:pt>
                <c:pt idx="204">
                  <c:v>13753.554853548498</c:v>
                </c:pt>
                <c:pt idx="205">
                  <c:v>13769.707516449618</c:v>
                </c:pt>
                <c:pt idx="206">
                  <c:v>13781.29772486997</c:v>
                </c:pt>
                <c:pt idx="207">
                  <c:v>13787.769371997223</c:v>
                </c:pt>
                <c:pt idx="208">
                  <c:v>13818.080406914347</c:v>
                </c:pt>
                <c:pt idx="209">
                  <c:v>13823.950770977361</c:v>
                </c:pt>
                <c:pt idx="210">
                  <c:v>13837.697805618443</c:v>
                </c:pt>
                <c:pt idx="211">
                  <c:v>13847.548982712951</c:v>
                </c:pt>
                <c:pt idx="212">
                  <c:v>13865.982507288682</c:v>
                </c:pt>
                <c:pt idx="213">
                  <c:v>13915.799128785953</c:v>
                </c:pt>
                <c:pt idx="214">
                  <c:v>13916.592990411695</c:v>
                </c:pt>
                <c:pt idx="215">
                  <c:v>13913.551627730809</c:v>
                </c:pt>
                <c:pt idx="216">
                  <c:v>13917.660241408306</c:v>
                </c:pt>
                <c:pt idx="217">
                  <c:v>13919.249015276047</c:v>
                </c:pt>
                <c:pt idx="218">
                  <c:v>13933.090265575647</c:v>
                </c:pt>
                <c:pt idx="219">
                  <c:v>13956.70664088499</c:v>
                </c:pt>
                <c:pt idx="220">
                  <c:v>13972.227235113005</c:v>
                </c:pt>
                <c:pt idx="221">
                  <c:v>13979.910158272758</c:v>
                </c:pt>
                <c:pt idx="222">
                  <c:v>13979.742633085429</c:v>
                </c:pt>
                <c:pt idx="223">
                  <c:v>13981.929875882912</c:v>
                </c:pt>
                <c:pt idx="224">
                  <c:v>13984.328383567195</c:v>
                </c:pt>
                <c:pt idx="225">
                  <c:v>13988.011020098767</c:v>
                </c:pt>
                <c:pt idx="226">
                  <c:v>14000.557871477457</c:v>
                </c:pt>
                <c:pt idx="227">
                  <c:v>14002.967981882895</c:v>
                </c:pt>
                <c:pt idx="228">
                  <c:v>13998.565829761226</c:v>
                </c:pt>
                <c:pt idx="229">
                  <c:v>14002.001209522283</c:v>
                </c:pt>
                <c:pt idx="230">
                  <c:v>14013.105469553691</c:v>
                </c:pt>
                <c:pt idx="231">
                  <c:v>14021.382283832923</c:v>
                </c:pt>
                <c:pt idx="232">
                  <c:v>14019.392067102406</c:v>
                </c:pt>
                <c:pt idx="233">
                  <c:v>14013.601791606203</c:v>
                </c:pt>
                <c:pt idx="234">
                  <c:v>14006.025194123516</c:v>
                </c:pt>
                <c:pt idx="235">
                  <c:v>14002.139424381607</c:v>
                </c:pt>
                <c:pt idx="236">
                  <c:v>14004.930159088492</c:v>
                </c:pt>
                <c:pt idx="237">
                  <c:v>14000.06304460413</c:v>
                </c:pt>
                <c:pt idx="238">
                  <c:v>13991.34135326188</c:v>
                </c:pt>
                <c:pt idx="239">
                  <c:v>13981.639563763367</c:v>
                </c:pt>
                <c:pt idx="240">
                  <c:v>13972.969264544508</c:v>
                </c:pt>
                <c:pt idx="241">
                  <c:v>13953.096205851254</c:v>
                </c:pt>
                <c:pt idx="242">
                  <c:v>13944.497761144155</c:v>
                </c:pt>
                <c:pt idx="243">
                  <c:v>13945.9044232053</c:v>
                </c:pt>
                <c:pt idx="244">
                  <c:v>13962.318703418952</c:v>
                </c:pt>
                <c:pt idx="245">
                  <c:v>13989.506954343062</c:v>
                </c:pt>
                <c:pt idx="246">
                  <c:v>14035.605879163624</c:v>
                </c:pt>
                <c:pt idx="247">
                  <c:v>14041.936221751694</c:v>
                </c:pt>
                <c:pt idx="248">
                  <c:v>14041.932085542878</c:v>
                </c:pt>
                <c:pt idx="249">
                  <c:v>14044.373712405297</c:v>
                </c:pt>
                <c:pt idx="250">
                  <c:v>14047.345654280203</c:v>
                </c:pt>
                <c:pt idx="251">
                  <c:v>14054.452591038709</c:v>
                </c:pt>
                <c:pt idx="252">
                  <c:v>14060.506762197971</c:v>
                </c:pt>
                <c:pt idx="253">
                  <c:v>14057.683965446919</c:v>
                </c:pt>
                <c:pt idx="254">
                  <c:v>14039.98855620317</c:v>
                </c:pt>
                <c:pt idx="255">
                  <c:v>14030.581558320311</c:v>
                </c:pt>
                <c:pt idx="256">
                  <c:v>14017.401614116967</c:v>
                </c:pt>
                <c:pt idx="257">
                  <c:v>13997.003276410129</c:v>
                </c:pt>
                <c:pt idx="258">
                  <c:v>13978.410911477535</c:v>
                </c:pt>
                <c:pt idx="259">
                  <c:v>13958.458561948044</c:v>
                </c:pt>
                <c:pt idx="260">
                  <c:v>13916.164314889395</c:v>
                </c:pt>
                <c:pt idx="261">
                  <c:v>13913.457506911011</c:v>
                </c:pt>
                <c:pt idx="262">
                  <c:v>13904.264906749129</c:v>
                </c:pt>
                <c:pt idx="263">
                  <c:v>13884.671913038714</c:v>
                </c:pt>
                <c:pt idx="264">
                  <c:v>13861.385858974007</c:v>
                </c:pt>
                <c:pt idx="265">
                  <c:v>13848.054095428342</c:v>
                </c:pt>
                <c:pt idx="266">
                  <c:v>13823.75336061606</c:v>
                </c:pt>
                <c:pt idx="267">
                  <c:v>13814.87517162153</c:v>
                </c:pt>
                <c:pt idx="268">
                  <c:v>13798.697826354617</c:v>
                </c:pt>
                <c:pt idx="269">
                  <c:v>13778.420952742608</c:v>
                </c:pt>
                <c:pt idx="270">
                  <c:v>13756.724944224596</c:v>
                </c:pt>
                <c:pt idx="271">
                  <c:v>13737.127448868345</c:v>
                </c:pt>
                <c:pt idx="272">
                  <c:v>13723.325167365319</c:v>
                </c:pt>
                <c:pt idx="273">
                  <c:v>13704.160552008276</c:v>
                </c:pt>
                <c:pt idx="274">
                  <c:v>13684.050666489873</c:v>
                </c:pt>
                <c:pt idx="275">
                  <c:v>13667.243809140487</c:v>
                </c:pt>
                <c:pt idx="276">
                  <c:v>13649.1299052496</c:v>
                </c:pt>
                <c:pt idx="277">
                  <c:v>13629.308114254933</c:v>
                </c:pt>
                <c:pt idx="278">
                  <c:v>13606.78802229802</c:v>
                </c:pt>
                <c:pt idx="279">
                  <c:v>13590.754140075236</c:v>
                </c:pt>
                <c:pt idx="280">
                  <c:v>13570.05202146404</c:v>
                </c:pt>
                <c:pt idx="281">
                  <c:v>13549.311826286697</c:v>
                </c:pt>
                <c:pt idx="282">
                  <c:v>13531.471938307117</c:v>
                </c:pt>
                <c:pt idx="283">
                  <c:v>13510.214696197716</c:v>
                </c:pt>
                <c:pt idx="284">
                  <c:v>13491.327760189561</c:v>
                </c:pt>
                <c:pt idx="285">
                  <c:v>13473.279084575999</c:v>
                </c:pt>
                <c:pt idx="286">
                  <c:v>13455.753792341307</c:v>
                </c:pt>
                <c:pt idx="287">
                  <c:v>13436.772075946405</c:v>
                </c:pt>
                <c:pt idx="288">
                  <c:v>13416.799647296712</c:v>
                </c:pt>
                <c:pt idx="289">
                  <c:v>13399.823436758046</c:v>
                </c:pt>
                <c:pt idx="290">
                  <c:v>13379.351825568134</c:v>
                </c:pt>
                <c:pt idx="291">
                  <c:v>13361.461660808229</c:v>
                </c:pt>
                <c:pt idx="292">
                  <c:v>13319.78384365815</c:v>
                </c:pt>
                <c:pt idx="293">
                  <c:v>13302.713268426063</c:v>
                </c:pt>
                <c:pt idx="294">
                  <c:v>13282.197230916276</c:v>
                </c:pt>
                <c:pt idx="295">
                  <c:v>13264.140444872777</c:v>
                </c:pt>
                <c:pt idx="296">
                  <c:v>13245.792740445997</c:v>
                </c:pt>
                <c:pt idx="297">
                  <c:v>13229.049678162128</c:v>
                </c:pt>
                <c:pt idx="298">
                  <c:v>13211.007957210657</c:v>
                </c:pt>
                <c:pt idx="299">
                  <c:v>13194.513939795326</c:v>
                </c:pt>
                <c:pt idx="300">
                  <c:v>13174.372873355351</c:v>
                </c:pt>
                <c:pt idx="301">
                  <c:v>13154.359528063096</c:v>
                </c:pt>
                <c:pt idx="302">
                  <c:v>13136.944577255603</c:v>
                </c:pt>
                <c:pt idx="303">
                  <c:v>13120.382817542308</c:v>
                </c:pt>
                <c:pt idx="304">
                  <c:v>13104.432876997693</c:v>
                </c:pt>
                <c:pt idx="305">
                  <c:v>13090.16262274654</c:v>
                </c:pt>
                <c:pt idx="306">
                  <c:v>13052.96887092054</c:v>
                </c:pt>
                <c:pt idx="307">
                  <c:v>13035.708224353386</c:v>
                </c:pt>
                <c:pt idx="308">
                  <c:v>13020.730273336811</c:v>
                </c:pt>
                <c:pt idx="309">
                  <c:v>13003.689543034709</c:v>
                </c:pt>
                <c:pt idx="310">
                  <c:v>12986.704894910969</c:v>
                </c:pt>
                <c:pt idx="311">
                  <c:v>12968.010779915607</c:v>
                </c:pt>
                <c:pt idx="312">
                  <c:v>12950.597594265562</c:v>
                </c:pt>
                <c:pt idx="313">
                  <c:v>12932.47675341055</c:v>
                </c:pt>
                <c:pt idx="314">
                  <c:v>12916.695719370098</c:v>
                </c:pt>
                <c:pt idx="315">
                  <c:v>12903.117283793481</c:v>
                </c:pt>
                <c:pt idx="316">
                  <c:v>12889.69170920605</c:v>
                </c:pt>
                <c:pt idx="317">
                  <c:v>12874.42377117465</c:v>
                </c:pt>
                <c:pt idx="318">
                  <c:v>12857.252863946864</c:v>
                </c:pt>
                <c:pt idx="319">
                  <c:v>12841.946244276318</c:v>
                </c:pt>
                <c:pt idx="320">
                  <c:v>12824.734664122388</c:v>
                </c:pt>
                <c:pt idx="321">
                  <c:v>12807.343237959141</c:v>
                </c:pt>
                <c:pt idx="322">
                  <c:v>12792.721341223578</c:v>
                </c:pt>
                <c:pt idx="323">
                  <c:v>12775.338809137935</c:v>
                </c:pt>
                <c:pt idx="324">
                  <c:v>12756.01978613857</c:v>
                </c:pt>
                <c:pt idx="325">
                  <c:v>12739.859636494579</c:v>
                </c:pt>
                <c:pt idx="326">
                  <c:v>12724.875923555535</c:v>
                </c:pt>
                <c:pt idx="327">
                  <c:v>12708.120918960189</c:v>
                </c:pt>
                <c:pt idx="328">
                  <c:v>12689.093225764384</c:v>
                </c:pt>
                <c:pt idx="329">
                  <c:v>12674.207230661998</c:v>
                </c:pt>
                <c:pt idx="330">
                  <c:v>12657.176974225446</c:v>
                </c:pt>
                <c:pt idx="331">
                  <c:v>12623.419322829628</c:v>
                </c:pt>
                <c:pt idx="332">
                  <c:v>12607.680393889188</c:v>
                </c:pt>
                <c:pt idx="333">
                  <c:v>12590.955841925917</c:v>
                </c:pt>
                <c:pt idx="334">
                  <c:v>12572.899880051018</c:v>
                </c:pt>
                <c:pt idx="335">
                  <c:v>12558.412477801006</c:v>
                </c:pt>
                <c:pt idx="336">
                  <c:v>12540.802599480894</c:v>
                </c:pt>
                <c:pt idx="337">
                  <c:v>12523.331493682548</c:v>
                </c:pt>
                <c:pt idx="338">
                  <c:v>12508.184532878282</c:v>
                </c:pt>
                <c:pt idx="339">
                  <c:v>12492.765370165569</c:v>
                </c:pt>
                <c:pt idx="340">
                  <c:v>12477.174072827675</c:v>
                </c:pt>
                <c:pt idx="341">
                  <c:v>12462.577239193894</c:v>
                </c:pt>
                <c:pt idx="342">
                  <c:v>12447.081497264177</c:v>
                </c:pt>
                <c:pt idx="343">
                  <c:v>12429.227567503523</c:v>
                </c:pt>
                <c:pt idx="344">
                  <c:v>12412.922525400174</c:v>
                </c:pt>
                <c:pt idx="345">
                  <c:v>12395.730877689031</c:v>
                </c:pt>
                <c:pt idx="346">
                  <c:v>12382.379346077852</c:v>
                </c:pt>
                <c:pt idx="347">
                  <c:v>12366.880723705666</c:v>
                </c:pt>
                <c:pt idx="348">
                  <c:v>12352.041751582523</c:v>
                </c:pt>
                <c:pt idx="349">
                  <c:v>12335.36908577728</c:v>
                </c:pt>
                <c:pt idx="350">
                  <c:v>12320.804264896478</c:v>
                </c:pt>
                <c:pt idx="351">
                  <c:v>12309.839419678936</c:v>
                </c:pt>
                <c:pt idx="352">
                  <c:v>12063.482411007364</c:v>
                </c:pt>
                <c:pt idx="353">
                  <c:v>12048.73952899818</c:v>
                </c:pt>
                <c:pt idx="354">
                  <c:v>12036.110614859643</c:v>
                </c:pt>
                <c:pt idx="355">
                  <c:v>12021.794732221631</c:v>
                </c:pt>
                <c:pt idx="356">
                  <c:v>12006.071319973329</c:v>
                </c:pt>
                <c:pt idx="357">
                  <c:v>11992.802975213539</c:v>
                </c:pt>
                <c:pt idx="358">
                  <c:v>11978.243063541839</c:v>
                </c:pt>
                <c:pt idx="359">
                  <c:v>11963.539893054141</c:v>
                </c:pt>
                <c:pt idx="360">
                  <c:v>11919.77268928629</c:v>
                </c:pt>
                <c:pt idx="361">
                  <c:v>11904.799694633517</c:v>
                </c:pt>
                <c:pt idx="362">
                  <c:v>11893.223611244299</c:v>
                </c:pt>
                <c:pt idx="363">
                  <c:v>11879.292157180045</c:v>
                </c:pt>
                <c:pt idx="364">
                  <c:v>11865.7607595427</c:v>
                </c:pt>
                <c:pt idx="365">
                  <c:v>11838.736919904632</c:v>
                </c:pt>
                <c:pt idx="366">
                  <c:v>11824.469743011696</c:v>
                </c:pt>
                <c:pt idx="367">
                  <c:v>11811.683033399018</c:v>
                </c:pt>
                <c:pt idx="368">
                  <c:v>11800.083927822137</c:v>
                </c:pt>
                <c:pt idx="369">
                  <c:v>11785.589516208089</c:v>
                </c:pt>
                <c:pt idx="370">
                  <c:v>11773.285867529141</c:v>
                </c:pt>
                <c:pt idx="371">
                  <c:v>11743.266961205674</c:v>
                </c:pt>
                <c:pt idx="372">
                  <c:v>11729.795562120293</c:v>
                </c:pt>
                <c:pt idx="373">
                  <c:v>11715.320081592734</c:v>
                </c:pt>
                <c:pt idx="374">
                  <c:v>11702.184173663332</c:v>
                </c:pt>
                <c:pt idx="375">
                  <c:v>11691.563120137809</c:v>
                </c:pt>
                <c:pt idx="376">
                  <c:v>11678.20799743848</c:v>
                </c:pt>
                <c:pt idx="377">
                  <c:v>11663.758208269499</c:v>
                </c:pt>
                <c:pt idx="378">
                  <c:v>11652.286048978123</c:v>
                </c:pt>
                <c:pt idx="379">
                  <c:v>11639.082888981591</c:v>
                </c:pt>
                <c:pt idx="380">
                  <c:v>11624.300589221675</c:v>
                </c:pt>
                <c:pt idx="381">
                  <c:v>11612.09706771845</c:v>
                </c:pt>
                <c:pt idx="382">
                  <c:v>11598.777687847951</c:v>
                </c:pt>
                <c:pt idx="383">
                  <c:v>11586.155033543819</c:v>
                </c:pt>
                <c:pt idx="384">
                  <c:v>11571.903012555427</c:v>
                </c:pt>
                <c:pt idx="385">
                  <c:v>11560.536260730132</c:v>
                </c:pt>
                <c:pt idx="386">
                  <c:v>11546.81957454262</c:v>
                </c:pt>
                <c:pt idx="387">
                  <c:v>11518.477965646991</c:v>
                </c:pt>
                <c:pt idx="388">
                  <c:v>11505.135075085342</c:v>
                </c:pt>
                <c:pt idx="389">
                  <c:v>11490.566997866725</c:v>
                </c:pt>
                <c:pt idx="390">
                  <c:v>11478.658731209949</c:v>
                </c:pt>
                <c:pt idx="391">
                  <c:v>11466.565201272299</c:v>
                </c:pt>
                <c:pt idx="392">
                  <c:v>11452.923794948056</c:v>
                </c:pt>
                <c:pt idx="393">
                  <c:v>11438.990478187232</c:v>
                </c:pt>
                <c:pt idx="394">
                  <c:v>11426.789685335643</c:v>
                </c:pt>
                <c:pt idx="395">
                  <c:v>11412.608602444834</c:v>
                </c:pt>
                <c:pt idx="396">
                  <c:v>11399.983220646433</c:v>
                </c:pt>
                <c:pt idx="397">
                  <c:v>11375.901175259529</c:v>
                </c:pt>
                <c:pt idx="398">
                  <c:v>11363.353982736773</c:v>
                </c:pt>
                <c:pt idx="399">
                  <c:v>11348.751298726364</c:v>
                </c:pt>
                <c:pt idx="400">
                  <c:v>11337.10858033321</c:v>
                </c:pt>
                <c:pt idx="401">
                  <c:v>11331.91269875111</c:v>
                </c:pt>
                <c:pt idx="402">
                  <c:v>11322.707657738163</c:v>
                </c:pt>
                <c:pt idx="403">
                  <c:v>11300.485867411237</c:v>
                </c:pt>
                <c:pt idx="404">
                  <c:v>11288.948206335788</c:v>
                </c:pt>
                <c:pt idx="405">
                  <c:v>11276.197808706049</c:v>
                </c:pt>
                <c:pt idx="406">
                  <c:v>11264.605529524746</c:v>
                </c:pt>
                <c:pt idx="407">
                  <c:v>11255.233319486082</c:v>
                </c:pt>
                <c:pt idx="408">
                  <c:v>11250.470882749874</c:v>
                </c:pt>
                <c:pt idx="409">
                  <c:v>11243.53106614287</c:v>
                </c:pt>
                <c:pt idx="410">
                  <c:v>11233.968534202726</c:v>
                </c:pt>
                <c:pt idx="411">
                  <c:v>11222.628774571655</c:v>
                </c:pt>
                <c:pt idx="412">
                  <c:v>11213.063992089277</c:v>
                </c:pt>
                <c:pt idx="413">
                  <c:v>11203.322842346795</c:v>
                </c:pt>
                <c:pt idx="414">
                  <c:v>11191.811081457316</c:v>
                </c:pt>
                <c:pt idx="415">
                  <c:v>11177.586670138053</c:v>
                </c:pt>
                <c:pt idx="416">
                  <c:v>11167.80007238938</c:v>
                </c:pt>
                <c:pt idx="417">
                  <c:v>11159.097740612431</c:v>
                </c:pt>
                <c:pt idx="418">
                  <c:v>11146.666058238985</c:v>
                </c:pt>
                <c:pt idx="419">
                  <c:v>11134.218831539956</c:v>
                </c:pt>
                <c:pt idx="420">
                  <c:v>11125.554982251177</c:v>
                </c:pt>
                <c:pt idx="421">
                  <c:v>11112.838895381792</c:v>
                </c:pt>
                <c:pt idx="422">
                  <c:v>11101.771806351881</c:v>
                </c:pt>
                <c:pt idx="423">
                  <c:v>11089.970235522325</c:v>
                </c:pt>
                <c:pt idx="424">
                  <c:v>11080.08889126445</c:v>
                </c:pt>
                <c:pt idx="425">
                  <c:v>11068.556678281757</c:v>
                </c:pt>
                <c:pt idx="426">
                  <c:v>11057.915216181696</c:v>
                </c:pt>
                <c:pt idx="427">
                  <c:v>11048.832782778536</c:v>
                </c:pt>
                <c:pt idx="428">
                  <c:v>11037.964119090795</c:v>
                </c:pt>
                <c:pt idx="429">
                  <c:v>11027.300952449024</c:v>
                </c:pt>
                <c:pt idx="430">
                  <c:v>10992.690622225638</c:v>
                </c:pt>
                <c:pt idx="431">
                  <c:v>10983.52047616444</c:v>
                </c:pt>
                <c:pt idx="432">
                  <c:v>10975.35168901888</c:v>
                </c:pt>
                <c:pt idx="433">
                  <c:v>10980.896728742309</c:v>
                </c:pt>
                <c:pt idx="434">
                  <c:v>10983.386944793232</c:v>
                </c:pt>
                <c:pt idx="435">
                  <c:v>10983.939486213603</c:v>
                </c:pt>
                <c:pt idx="436">
                  <c:v>10982.076707655191</c:v>
                </c:pt>
                <c:pt idx="437">
                  <c:v>10977.824211825053</c:v>
                </c:pt>
                <c:pt idx="438">
                  <c:v>10971.415835023407</c:v>
                </c:pt>
                <c:pt idx="439">
                  <c:v>10968.971989604413</c:v>
                </c:pt>
                <c:pt idx="440">
                  <c:v>10973.350072382364</c:v>
                </c:pt>
                <c:pt idx="441">
                  <c:v>10971.784008365528</c:v>
                </c:pt>
                <c:pt idx="442">
                  <c:v>10966.199292050293</c:v>
                </c:pt>
                <c:pt idx="443">
                  <c:v>10959.780684265119</c:v>
                </c:pt>
                <c:pt idx="444">
                  <c:v>10956.084536695282</c:v>
                </c:pt>
                <c:pt idx="445">
                  <c:v>10956.402104007231</c:v>
                </c:pt>
                <c:pt idx="446">
                  <c:v>10955.426745380135</c:v>
                </c:pt>
                <c:pt idx="447">
                  <c:v>10962.083138285805</c:v>
                </c:pt>
                <c:pt idx="448">
                  <c:v>10969.835721464744</c:v>
                </c:pt>
                <c:pt idx="449">
                  <c:v>10973.376721434783</c:v>
                </c:pt>
                <c:pt idx="450">
                  <c:v>10979.321791014212</c:v>
                </c:pt>
                <c:pt idx="451">
                  <c:v>10980.842884727876</c:v>
                </c:pt>
                <c:pt idx="452">
                  <c:v>10986.382384070412</c:v>
                </c:pt>
                <c:pt idx="453">
                  <c:v>10987.578201745057</c:v>
                </c:pt>
                <c:pt idx="454">
                  <c:v>10988.447634325672</c:v>
                </c:pt>
                <c:pt idx="455">
                  <c:v>10992.002630301742</c:v>
                </c:pt>
                <c:pt idx="456">
                  <c:v>10998.517331352805</c:v>
                </c:pt>
                <c:pt idx="457">
                  <c:v>11005.801813969567</c:v>
                </c:pt>
                <c:pt idx="458">
                  <c:v>11016.479787634225</c:v>
                </c:pt>
                <c:pt idx="459">
                  <c:v>11030.132347216841</c:v>
                </c:pt>
                <c:pt idx="460">
                  <c:v>11037.160229767318</c:v>
                </c:pt>
                <c:pt idx="461">
                  <c:v>11056.313980589712</c:v>
                </c:pt>
                <c:pt idx="462">
                  <c:v>11085.613753941088</c:v>
                </c:pt>
                <c:pt idx="463">
                  <c:v>11106.253376096414</c:v>
                </c:pt>
                <c:pt idx="464">
                  <c:v>11124.268454743711</c:v>
                </c:pt>
                <c:pt idx="465">
                  <c:v>11146.034888012833</c:v>
                </c:pt>
                <c:pt idx="466">
                  <c:v>11201.688216216216</c:v>
                </c:pt>
                <c:pt idx="467">
                  <c:v>11226.950267506929</c:v>
                </c:pt>
                <c:pt idx="468">
                  <c:v>11247.59438546186</c:v>
                </c:pt>
                <c:pt idx="469">
                  <c:v>11273.384822992371</c:v>
                </c:pt>
                <c:pt idx="470">
                  <c:v>11293.897582295365</c:v>
                </c:pt>
                <c:pt idx="471">
                  <c:v>11311.683341429796</c:v>
                </c:pt>
                <c:pt idx="472">
                  <c:v>-150082.21066987683</c:v>
                </c:pt>
                <c:pt idx="473">
                  <c:v>-149840.37833603076</c:v>
                </c:pt>
                <c:pt idx="474">
                  <c:v>-149566.20921395675</c:v>
                </c:pt>
                <c:pt idx="475">
                  <c:v>-149320.98585686684</c:v>
                </c:pt>
                <c:pt idx="476">
                  <c:v>-149092.52175992847</c:v>
                </c:pt>
                <c:pt idx="477">
                  <c:v>-148432.11201946417</c:v>
                </c:pt>
                <c:pt idx="478">
                  <c:v>-148237.8202834634</c:v>
                </c:pt>
                <c:pt idx="479">
                  <c:v>-148009.43643808944</c:v>
                </c:pt>
                <c:pt idx="480">
                  <c:v>-147603.44226182179</c:v>
                </c:pt>
                <c:pt idx="481">
                  <c:v>-147378.35014957245</c:v>
                </c:pt>
                <c:pt idx="482">
                  <c:v>-147158.83337474705</c:v>
                </c:pt>
                <c:pt idx="483">
                  <c:v>-146943.53369490342</c:v>
                </c:pt>
                <c:pt idx="484">
                  <c:v>-146731.71822851588</c:v>
                </c:pt>
                <c:pt idx="485">
                  <c:v>-146511.88652376417</c:v>
                </c:pt>
                <c:pt idx="486">
                  <c:v>-146263.40199169595</c:v>
                </c:pt>
                <c:pt idx="487">
                  <c:v>-146111.14987673401</c:v>
                </c:pt>
                <c:pt idx="488">
                  <c:v>-145894.94585710569</c:v>
                </c:pt>
                <c:pt idx="489">
                  <c:v>-145681.59775729969</c:v>
                </c:pt>
                <c:pt idx="490">
                  <c:v>-145463.03931608747</c:v>
                </c:pt>
                <c:pt idx="491">
                  <c:v>-145256.27046165848</c:v>
                </c:pt>
                <c:pt idx="492">
                  <c:v>-145039.78256083195</c:v>
                </c:pt>
                <c:pt idx="493">
                  <c:v>-144817.45859293567</c:v>
                </c:pt>
                <c:pt idx="494">
                  <c:v>-144611.75107171052</c:v>
                </c:pt>
                <c:pt idx="495">
                  <c:v>-144399.03205176757</c:v>
                </c:pt>
                <c:pt idx="496">
                  <c:v>-144172.50614922165</c:v>
                </c:pt>
                <c:pt idx="497">
                  <c:v>-143956.14597424035</c:v>
                </c:pt>
                <c:pt idx="498">
                  <c:v>-143754.08528884884</c:v>
                </c:pt>
                <c:pt idx="499">
                  <c:v>-143541.35041323479</c:v>
                </c:pt>
                <c:pt idx="500">
                  <c:v>-143244.47453359867</c:v>
                </c:pt>
                <c:pt idx="501">
                  <c:v>-143122.89536402814</c:v>
                </c:pt>
                <c:pt idx="502">
                  <c:v>-142908.41720838536</c:v>
                </c:pt>
                <c:pt idx="503">
                  <c:v>-142688.18878109302</c:v>
                </c:pt>
                <c:pt idx="504">
                  <c:v>-142433.93298875706</c:v>
                </c:pt>
                <c:pt idx="505">
                  <c:v>-142226.82756049462</c:v>
                </c:pt>
                <c:pt idx="506">
                  <c:v>-142001.45883318875</c:v>
                </c:pt>
                <c:pt idx="507">
                  <c:v>-141569.51507179957</c:v>
                </c:pt>
                <c:pt idx="508">
                  <c:v>-141344.61589958234</c:v>
                </c:pt>
                <c:pt idx="509">
                  <c:v>-141122.61370638286</c:v>
                </c:pt>
                <c:pt idx="510">
                  <c:v>-140905.94764913814</c:v>
                </c:pt>
                <c:pt idx="511">
                  <c:v>-140694.40887327748</c:v>
                </c:pt>
                <c:pt idx="512">
                  <c:v>-140476.89588388285</c:v>
                </c:pt>
                <c:pt idx="513">
                  <c:v>-140235.66851162384</c:v>
                </c:pt>
                <c:pt idx="514">
                  <c:v>-140054.03035558536</c:v>
                </c:pt>
                <c:pt idx="515">
                  <c:v>-139840.62009165919</c:v>
                </c:pt>
                <c:pt idx="516">
                  <c:v>-139603.33254856514</c:v>
                </c:pt>
                <c:pt idx="517">
                  <c:v>-139428.1128922225</c:v>
                </c:pt>
                <c:pt idx="518">
                  <c:v>-139223.6036060176</c:v>
                </c:pt>
                <c:pt idx="519">
                  <c:v>-139018.33051360698</c:v>
                </c:pt>
                <c:pt idx="520">
                  <c:v>-138805.18878133141</c:v>
                </c:pt>
                <c:pt idx="521">
                  <c:v>-138625.42717117348</c:v>
                </c:pt>
                <c:pt idx="522">
                  <c:v>-138419.28864374704</c:v>
                </c:pt>
                <c:pt idx="523">
                  <c:v>-138197.35980508194</c:v>
                </c:pt>
                <c:pt idx="524">
                  <c:v>-137985.63795001063</c:v>
                </c:pt>
                <c:pt idx="525">
                  <c:v>-137781.57632721335</c:v>
                </c:pt>
                <c:pt idx="526">
                  <c:v>-137580.79657751057</c:v>
                </c:pt>
                <c:pt idx="527">
                  <c:v>-137367.17550446084</c:v>
                </c:pt>
                <c:pt idx="528">
                  <c:v>-137185.09656969385</c:v>
                </c:pt>
                <c:pt idx="529">
                  <c:v>-136987.03085497345</c:v>
                </c:pt>
                <c:pt idx="530">
                  <c:v>-136795.02912867299</c:v>
                </c:pt>
                <c:pt idx="531">
                  <c:v>-136582.25334745663</c:v>
                </c:pt>
                <c:pt idx="532">
                  <c:v>-136400.33754326837</c:v>
                </c:pt>
                <c:pt idx="533">
                  <c:v>-136219.37264377822</c:v>
                </c:pt>
                <c:pt idx="534">
                  <c:v>-136024.08299726748</c:v>
                </c:pt>
                <c:pt idx="535">
                  <c:v>-135837.7188620535</c:v>
                </c:pt>
                <c:pt idx="536">
                  <c:v>-135647.95877487242</c:v>
                </c:pt>
                <c:pt idx="537">
                  <c:v>-135463.84667286224</c:v>
                </c:pt>
                <c:pt idx="538">
                  <c:v>-135274.96519570154</c:v>
                </c:pt>
                <c:pt idx="539">
                  <c:v>-135081.00256693957</c:v>
                </c:pt>
                <c:pt idx="540">
                  <c:v>-134892.43425252353</c:v>
                </c:pt>
                <c:pt idx="541">
                  <c:v>-134676.00256028262</c:v>
                </c:pt>
                <c:pt idx="542">
                  <c:v>-134489.14793016328</c:v>
                </c:pt>
                <c:pt idx="543">
                  <c:v>-134291.99126801538</c:v>
                </c:pt>
                <c:pt idx="544">
                  <c:v>-134086.73993332457</c:v>
                </c:pt>
                <c:pt idx="545">
                  <c:v>-133889.01953609122</c:v>
                </c:pt>
                <c:pt idx="546">
                  <c:v>-133691.98953222568</c:v>
                </c:pt>
                <c:pt idx="547">
                  <c:v>-133493.96666830266</c:v>
                </c:pt>
                <c:pt idx="548">
                  <c:v>-133294.96581022409</c:v>
                </c:pt>
                <c:pt idx="549">
                  <c:v>-133117.76654454463</c:v>
                </c:pt>
                <c:pt idx="550">
                  <c:v>-132929.92789636937</c:v>
                </c:pt>
                <c:pt idx="551">
                  <c:v>-132733.79016361435</c:v>
                </c:pt>
                <c:pt idx="552">
                  <c:v>-132548.18491928856</c:v>
                </c:pt>
                <c:pt idx="553">
                  <c:v>-132370.50865620575</c:v>
                </c:pt>
                <c:pt idx="554">
                  <c:v>-132195.53299128491</c:v>
                </c:pt>
                <c:pt idx="555">
                  <c:v>-131998.22019010235</c:v>
                </c:pt>
                <c:pt idx="556">
                  <c:v>-131837.22728170699</c:v>
                </c:pt>
                <c:pt idx="557">
                  <c:v>-131654.66047464064</c:v>
                </c:pt>
                <c:pt idx="558">
                  <c:v>-131470.19880599232</c:v>
                </c:pt>
                <c:pt idx="559">
                  <c:v>-131296.55509406325</c:v>
                </c:pt>
                <c:pt idx="560">
                  <c:v>-131123.23341868151</c:v>
                </c:pt>
                <c:pt idx="561">
                  <c:v>-130952.42391032979</c:v>
                </c:pt>
                <c:pt idx="562">
                  <c:v>-130756.46318985046</c:v>
                </c:pt>
                <c:pt idx="563">
                  <c:v>-130594.5578150892</c:v>
                </c:pt>
                <c:pt idx="564">
                  <c:v>-130421.91320654166</c:v>
                </c:pt>
                <c:pt idx="565">
                  <c:v>-130236.64721485412</c:v>
                </c:pt>
                <c:pt idx="566">
                  <c:v>-130074.60728140207</c:v>
                </c:pt>
                <c:pt idx="567">
                  <c:v>-129898.96317254769</c:v>
                </c:pt>
                <c:pt idx="568">
                  <c:v>-129706.08222046617</c:v>
                </c:pt>
                <c:pt idx="569">
                  <c:v>-129544.24292196945</c:v>
                </c:pt>
                <c:pt idx="570">
                  <c:v>-129381.2231614164</c:v>
                </c:pt>
                <c:pt idx="571">
                  <c:v>-129198.68345261866</c:v>
                </c:pt>
                <c:pt idx="572">
                  <c:v>-129029.92863160987</c:v>
                </c:pt>
                <c:pt idx="573">
                  <c:v>-128873.65018148848</c:v>
                </c:pt>
                <c:pt idx="574">
                  <c:v>-128538.5535512217</c:v>
                </c:pt>
                <c:pt idx="575">
                  <c:v>-128352.56081802644</c:v>
                </c:pt>
                <c:pt idx="576">
                  <c:v>-128189.86533149198</c:v>
                </c:pt>
                <c:pt idx="577">
                  <c:v>-128015.534270358</c:v>
                </c:pt>
                <c:pt idx="578">
                  <c:v>-127838.40341019204</c:v>
                </c:pt>
                <c:pt idx="579">
                  <c:v>-127675.79656396553</c:v>
                </c:pt>
                <c:pt idx="580">
                  <c:v>-127511.74519043391</c:v>
                </c:pt>
                <c:pt idx="581">
                  <c:v>-127310.55090673993</c:v>
                </c:pt>
                <c:pt idx="582">
                  <c:v>-127021.84951143488</c:v>
                </c:pt>
                <c:pt idx="583">
                  <c:v>-126865.3593137594</c:v>
                </c:pt>
                <c:pt idx="584">
                  <c:v>-126690.11760725699</c:v>
                </c:pt>
                <c:pt idx="585">
                  <c:v>-126533.08583301306</c:v>
                </c:pt>
                <c:pt idx="586">
                  <c:v>-126360.49224931048</c:v>
                </c:pt>
                <c:pt idx="587">
                  <c:v>-126194.14992205659</c:v>
                </c:pt>
                <c:pt idx="588">
                  <c:v>-126026.22522596973</c:v>
                </c:pt>
                <c:pt idx="589">
                  <c:v>-125875.36770468704</c:v>
                </c:pt>
                <c:pt idx="590">
                  <c:v>-125716.63253998003</c:v>
                </c:pt>
                <c:pt idx="591">
                  <c:v>-125557.25305738547</c:v>
                </c:pt>
                <c:pt idx="592">
                  <c:v>-125397.26468693344</c:v>
                </c:pt>
                <c:pt idx="593">
                  <c:v>-125244.19677789787</c:v>
                </c:pt>
                <c:pt idx="594">
                  <c:v>-125087.82772994692</c:v>
                </c:pt>
                <c:pt idx="595">
                  <c:v>-124885.45561807942</c:v>
                </c:pt>
                <c:pt idx="596">
                  <c:v>-124775.38893036253</c:v>
                </c:pt>
                <c:pt idx="597">
                  <c:v>-124620.27432181883</c:v>
                </c:pt>
                <c:pt idx="598">
                  <c:v>-124462.29875567685</c:v>
                </c:pt>
                <c:pt idx="599">
                  <c:v>-124301.77597579495</c:v>
                </c:pt>
                <c:pt idx="600">
                  <c:v>-124162.6973073354</c:v>
                </c:pt>
                <c:pt idx="601">
                  <c:v>-124012.17734040935</c:v>
                </c:pt>
                <c:pt idx="602">
                  <c:v>-123843.69315372498</c:v>
                </c:pt>
                <c:pt idx="603">
                  <c:v>-123713.74603539222</c:v>
                </c:pt>
                <c:pt idx="604">
                  <c:v>-123568.09882493767</c:v>
                </c:pt>
                <c:pt idx="605">
                  <c:v>-123419.00328775756</c:v>
                </c:pt>
                <c:pt idx="606">
                  <c:v>-123275.0371588774</c:v>
                </c:pt>
                <c:pt idx="607">
                  <c:v>-123125.50219408897</c:v>
                </c:pt>
                <c:pt idx="608">
                  <c:v>-122981.15380162036</c:v>
                </c:pt>
                <c:pt idx="609">
                  <c:v>-122837.32027342835</c:v>
                </c:pt>
                <c:pt idx="610">
                  <c:v>-122694.28530681628</c:v>
                </c:pt>
                <c:pt idx="611">
                  <c:v>-122550.89159875023</c:v>
                </c:pt>
                <c:pt idx="612">
                  <c:v>-122397.65928290559</c:v>
                </c:pt>
                <c:pt idx="613">
                  <c:v>-122254.83193243959</c:v>
                </c:pt>
                <c:pt idx="614">
                  <c:v>-122109.56671256156</c:v>
                </c:pt>
                <c:pt idx="615">
                  <c:v>-121960.35828784225</c:v>
                </c:pt>
                <c:pt idx="616">
                  <c:v>-121812.00806139622</c:v>
                </c:pt>
                <c:pt idx="617">
                  <c:v>-121671.72103743178</c:v>
                </c:pt>
                <c:pt idx="618">
                  <c:v>-121527.81049766151</c:v>
                </c:pt>
                <c:pt idx="619">
                  <c:v>-121375.00782626944</c:v>
                </c:pt>
                <c:pt idx="620">
                  <c:v>-121226.16868950255</c:v>
                </c:pt>
                <c:pt idx="621">
                  <c:v>-121096.28874301695</c:v>
                </c:pt>
                <c:pt idx="622">
                  <c:v>-120952.61126994772</c:v>
                </c:pt>
                <c:pt idx="623">
                  <c:v>-120813.84700407654</c:v>
                </c:pt>
                <c:pt idx="624">
                  <c:v>-120674.22217691674</c:v>
                </c:pt>
                <c:pt idx="625">
                  <c:v>-120537.18282610303</c:v>
                </c:pt>
                <c:pt idx="626">
                  <c:v>-120391.78101911112</c:v>
                </c:pt>
                <c:pt idx="627">
                  <c:v>-120256.10820830821</c:v>
                </c:pt>
                <c:pt idx="628">
                  <c:v>-120114.58929671209</c:v>
                </c:pt>
                <c:pt idx="629">
                  <c:v>-119982.11871265965</c:v>
                </c:pt>
                <c:pt idx="630">
                  <c:v>-119835.2984974079</c:v>
                </c:pt>
                <c:pt idx="631">
                  <c:v>-119702.4170284274</c:v>
                </c:pt>
                <c:pt idx="632">
                  <c:v>-119565.86768458907</c:v>
                </c:pt>
                <c:pt idx="633">
                  <c:v>-119419.40486530408</c:v>
                </c:pt>
                <c:pt idx="634">
                  <c:v>-119291.93631928439</c:v>
                </c:pt>
                <c:pt idx="635">
                  <c:v>-119158.33036430721</c:v>
                </c:pt>
                <c:pt idx="636">
                  <c:v>-119023.36126262073</c:v>
                </c:pt>
                <c:pt idx="637">
                  <c:v>-118883.56733497854</c:v>
                </c:pt>
                <c:pt idx="638">
                  <c:v>-118747.91090608515</c:v>
                </c:pt>
                <c:pt idx="639">
                  <c:v>-118614.44998854978</c:v>
                </c:pt>
                <c:pt idx="640">
                  <c:v>-118473.44716227386</c:v>
                </c:pt>
                <c:pt idx="641">
                  <c:v>-118340.18581148662</c:v>
                </c:pt>
                <c:pt idx="642">
                  <c:v>-118206.39999016337</c:v>
                </c:pt>
                <c:pt idx="643">
                  <c:v>-118078.07651414322</c:v>
                </c:pt>
                <c:pt idx="644">
                  <c:v>-117929.3646424521</c:v>
                </c:pt>
                <c:pt idx="645">
                  <c:v>-117811.90820515984</c:v>
                </c:pt>
                <c:pt idx="646">
                  <c:v>-117679.91901774623</c:v>
                </c:pt>
                <c:pt idx="647">
                  <c:v>-117545.92545490143</c:v>
                </c:pt>
                <c:pt idx="648">
                  <c:v>-117413.40491415867</c:v>
                </c:pt>
                <c:pt idx="649">
                  <c:v>-117283.09183754468</c:v>
                </c:pt>
                <c:pt idx="650">
                  <c:v>-117148.68858765453</c:v>
                </c:pt>
                <c:pt idx="651">
                  <c:v>-116888.33647763876</c:v>
                </c:pt>
                <c:pt idx="652">
                  <c:v>-116758.89516051936</c:v>
                </c:pt>
                <c:pt idx="653">
                  <c:v>-116601.61027860687</c:v>
                </c:pt>
                <c:pt idx="654">
                  <c:v>-116497.71904052273</c:v>
                </c:pt>
                <c:pt idx="655">
                  <c:v>-116366.56866328693</c:v>
                </c:pt>
                <c:pt idx="656">
                  <c:v>-116232.53995491671</c:v>
                </c:pt>
                <c:pt idx="657">
                  <c:v>-116101.57529664302</c:v>
                </c:pt>
                <c:pt idx="658">
                  <c:v>-115979.24986308879</c:v>
                </c:pt>
                <c:pt idx="659">
                  <c:v>-115851.90233198801</c:v>
                </c:pt>
                <c:pt idx="660">
                  <c:v>-115722.95253113416</c:v>
                </c:pt>
                <c:pt idx="661">
                  <c:v>-115590.79872454288</c:v>
                </c:pt>
                <c:pt idx="662">
                  <c:v>-115469.78740343795</c:v>
                </c:pt>
                <c:pt idx="663">
                  <c:v>-115339.63852438753</c:v>
                </c:pt>
                <c:pt idx="664">
                  <c:v>-115084.37564335701</c:v>
                </c:pt>
                <c:pt idx="665">
                  <c:v>-114958.63882332922</c:v>
                </c:pt>
                <c:pt idx="666">
                  <c:v>-114825.31507897215</c:v>
                </c:pt>
                <c:pt idx="667">
                  <c:v>-114703.5403539463</c:v>
                </c:pt>
                <c:pt idx="668">
                  <c:v>-114575.31893958907</c:v>
                </c:pt>
                <c:pt idx="669">
                  <c:v>-114426.55600918361</c:v>
                </c:pt>
                <c:pt idx="670">
                  <c:v>-114314.40843420569</c:v>
                </c:pt>
                <c:pt idx="671">
                  <c:v>-114199.77634902041</c:v>
                </c:pt>
                <c:pt idx="672">
                  <c:v>-114075.9335600655</c:v>
                </c:pt>
                <c:pt idx="673">
                  <c:v>-113942.70572840472</c:v>
                </c:pt>
                <c:pt idx="674">
                  <c:v>-113826.1874536164</c:v>
                </c:pt>
                <c:pt idx="675">
                  <c:v>-113700.23882593568</c:v>
                </c:pt>
                <c:pt idx="676">
                  <c:v>-113553.81023036959</c:v>
                </c:pt>
                <c:pt idx="677">
                  <c:v>-113446.35814782383</c:v>
                </c:pt>
                <c:pt idx="678">
                  <c:v>-113328.80053926278</c:v>
                </c:pt>
                <c:pt idx="679">
                  <c:v>-113195.64012464363</c:v>
                </c:pt>
                <c:pt idx="680">
                  <c:v>-111381.5742537215</c:v>
                </c:pt>
                <c:pt idx="681">
                  <c:v>-111273.58685731726</c:v>
                </c:pt>
                <c:pt idx="682">
                  <c:v>-111152.34701969883</c:v>
                </c:pt>
                <c:pt idx="683">
                  <c:v>-111029.8823622956</c:v>
                </c:pt>
                <c:pt idx="684">
                  <c:v>-110809.05083139161</c:v>
                </c:pt>
                <c:pt idx="685">
                  <c:v>-110692.2245379783</c:v>
                </c:pt>
                <c:pt idx="686">
                  <c:v>-110571.02094265346</c:v>
                </c:pt>
                <c:pt idx="687">
                  <c:v>-110456.52913103178</c:v>
                </c:pt>
                <c:pt idx="688">
                  <c:v>-110310.42599495816</c:v>
                </c:pt>
                <c:pt idx="689">
                  <c:v>-110218.46744983313</c:v>
                </c:pt>
                <c:pt idx="690">
                  <c:v>-110097.1417019029</c:v>
                </c:pt>
                <c:pt idx="691">
                  <c:v>-109980.2397696837</c:v>
                </c:pt>
                <c:pt idx="692">
                  <c:v>-109869.11714413732</c:v>
                </c:pt>
                <c:pt idx="693">
                  <c:v>-109756.13998473329</c:v>
                </c:pt>
                <c:pt idx="694">
                  <c:v>-109639.16536481016</c:v>
                </c:pt>
                <c:pt idx="695">
                  <c:v>-109521.02455982179</c:v>
                </c:pt>
                <c:pt idx="696">
                  <c:v>-109400.6067489062</c:v>
                </c:pt>
                <c:pt idx="697">
                  <c:v>-109287.36865256396</c:v>
                </c:pt>
                <c:pt idx="698">
                  <c:v>-109178.27369355212</c:v>
                </c:pt>
                <c:pt idx="699">
                  <c:v>-109065.14462368163</c:v>
                </c:pt>
                <c:pt idx="700">
                  <c:v>-108947.07800778333</c:v>
                </c:pt>
                <c:pt idx="701">
                  <c:v>-108833.22109352284</c:v>
                </c:pt>
                <c:pt idx="702">
                  <c:v>-108719.709880753</c:v>
                </c:pt>
                <c:pt idx="703">
                  <c:v>-108607.44094571755</c:v>
                </c:pt>
                <c:pt idx="704">
                  <c:v>-108382.90912556842</c:v>
                </c:pt>
                <c:pt idx="705">
                  <c:v>-108270.77226030041</c:v>
                </c:pt>
                <c:pt idx="706">
                  <c:v>-108149.27123726244</c:v>
                </c:pt>
                <c:pt idx="707">
                  <c:v>-108040.64738859152</c:v>
                </c:pt>
                <c:pt idx="708">
                  <c:v>-107933.36483453491</c:v>
                </c:pt>
                <c:pt idx="709">
                  <c:v>-107805.7864561278</c:v>
                </c:pt>
                <c:pt idx="710">
                  <c:v>-107693.46750733581</c:v>
                </c:pt>
                <c:pt idx="711">
                  <c:v>-107581.59305285025</c:v>
                </c:pt>
                <c:pt idx="712">
                  <c:v>-107484.08597978747</c:v>
                </c:pt>
                <c:pt idx="713">
                  <c:v>-107369.61403656106</c:v>
                </c:pt>
                <c:pt idx="714">
                  <c:v>-107259.09133795877</c:v>
                </c:pt>
                <c:pt idx="715">
                  <c:v>-107152.41805751072</c:v>
                </c:pt>
                <c:pt idx="716">
                  <c:v>-107041.03119245596</c:v>
                </c:pt>
                <c:pt idx="717">
                  <c:v>-106931.22413086676</c:v>
                </c:pt>
                <c:pt idx="718">
                  <c:v>-106819.85667099475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998592"/>
        <c:axId val="300004480"/>
      </c:lineChart>
      <c:lineChart>
        <c:grouping val="standard"/>
        <c:varyColors val="0"/>
        <c:ser>
          <c:idx val="1"/>
          <c:order val="1"/>
          <c:tx>
            <c:strRef>
              <c:f>'Suivi Conso'!$B$4</c:f>
              <c:strCache>
                <c:ptCount val="1"/>
                <c:pt idx="0">
                  <c:v>T° station
Niort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trendline>
            <c:trendlineType val="movingAvg"/>
            <c:period val="2"/>
            <c:dispRSqr val="0"/>
            <c:dispEq val="0"/>
          </c:trendline>
          <c:val>
            <c:numRef>
              <c:f>'Suivi Conso'!$B$6:$B$750</c:f>
              <c:numCache>
                <c:formatCode>General</c:formatCode>
                <c:ptCount val="745"/>
                <c:pt idx="0">
                  <c:v>4.7</c:v>
                </c:pt>
                <c:pt idx="1">
                  <c:v>1.3</c:v>
                </c:pt>
                <c:pt idx="2">
                  <c:v>4.3</c:v>
                </c:pt>
                <c:pt idx="3">
                  <c:v>0.6</c:v>
                </c:pt>
                <c:pt idx="4">
                  <c:v>-4</c:v>
                </c:pt>
                <c:pt idx="5">
                  <c:v>3.1</c:v>
                </c:pt>
                <c:pt idx="6">
                  <c:v>3.7</c:v>
                </c:pt>
                <c:pt idx="7">
                  <c:v>4.7</c:v>
                </c:pt>
                <c:pt idx="8">
                  <c:v>9.6</c:v>
                </c:pt>
                <c:pt idx="9">
                  <c:v>10.6</c:v>
                </c:pt>
                <c:pt idx="10">
                  <c:v>11.1</c:v>
                </c:pt>
                <c:pt idx="11">
                  <c:v>12.1</c:v>
                </c:pt>
                <c:pt idx="12">
                  <c:v>11.4</c:v>
                </c:pt>
                <c:pt idx="13">
                  <c:v>10.3</c:v>
                </c:pt>
                <c:pt idx="14">
                  <c:v>11.6</c:v>
                </c:pt>
                <c:pt idx="15">
                  <c:v>9.6</c:v>
                </c:pt>
                <c:pt idx="16">
                  <c:v>10.7</c:v>
                </c:pt>
                <c:pt idx="17">
                  <c:v>9.8000000000000007</c:v>
                </c:pt>
                <c:pt idx="18">
                  <c:v>8.8000000000000007</c:v>
                </c:pt>
                <c:pt idx="19">
                  <c:v>9.5</c:v>
                </c:pt>
                <c:pt idx="20">
                  <c:v>9.6999999999999993</c:v>
                </c:pt>
                <c:pt idx="21">
                  <c:v>9.8000000000000007</c:v>
                </c:pt>
                <c:pt idx="22">
                  <c:v>11</c:v>
                </c:pt>
                <c:pt idx="23">
                  <c:v>9.5</c:v>
                </c:pt>
                <c:pt idx="24">
                  <c:v>11.8</c:v>
                </c:pt>
                <c:pt idx="25">
                  <c:v>12.7</c:v>
                </c:pt>
                <c:pt idx="26">
                  <c:v>11.4</c:v>
                </c:pt>
                <c:pt idx="27">
                  <c:v>11.5</c:v>
                </c:pt>
                <c:pt idx="28">
                  <c:v>8.4</c:v>
                </c:pt>
                <c:pt idx="29">
                  <c:v>8.3000000000000007</c:v>
                </c:pt>
                <c:pt idx="30">
                  <c:v>10.8</c:v>
                </c:pt>
                <c:pt idx="31">
                  <c:v>7.3</c:v>
                </c:pt>
                <c:pt idx="32">
                  <c:v>8.5</c:v>
                </c:pt>
                <c:pt idx="33">
                  <c:v>7.2</c:v>
                </c:pt>
                <c:pt idx="34">
                  <c:v>7.4</c:v>
                </c:pt>
                <c:pt idx="35">
                  <c:v>2.9</c:v>
                </c:pt>
                <c:pt idx="36">
                  <c:v>6.1</c:v>
                </c:pt>
                <c:pt idx="37">
                  <c:v>-0.5</c:v>
                </c:pt>
                <c:pt idx="38">
                  <c:v>3.8</c:v>
                </c:pt>
                <c:pt idx="39">
                  <c:v>0.2</c:v>
                </c:pt>
                <c:pt idx="40">
                  <c:v>0.2</c:v>
                </c:pt>
                <c:pt idx="41">
                  <c:v>2.1</c:v>
                </c:pt>
                <c:pt idx="42">
                  <c:v>1</c:v>
                </c:pt>
                <c:pt idx="43">
                  <c:v>-0.4</c:v>
                </c:pt>
                <c:pt idx="44">
                  <c:v>-4</c:v>
                </c:pt>
                <c:pt idx="45">
                  <c:v>-2</c:v>
                </c:pt>
                <c:pt idx="46">
                  <c:v>-1.7</c:v>
                </c:pt>
                <c:pt idx="47">
                  <c:v>-5</c:v>
                </c:pt>
                <c:pt idx="48">
                  <c:v>0</c:v>
                </c:pt>
                <c:pt idx="49">
                  <c:v>-4</c:v>
                </c:pt>
                <c:pt idx="50">
                  <c:v>7.1</c:v>
                </c:pt>
                <c:pt idx="51">
                  <c:v>5.4</c:v>
                </c:pt>
                <c:pt idx="52">
                  <c:v>10.9</c:v>
                </c:pt>
                <c:pt idx="53">
                  <c:v>6.1</c:v>
                </c:pt>
                <c:pt idx="54">
                  <c:v>9.5</c:v>
                </c:pt>
                <c:pt idx="55">
                  <c:v>8.9</c:v>
                </c:pt>
                <c:pt idx="56">
                  <c:v>13.2</c:v>
                </c:pt>
                <c:pt idx="57">
                  <c:v>9.5</c:v>
                </c:pt>
                <c:pt idx="58">
                  <c:v>9.9</c:v>
                </c:pt>
                <c:pt idx="59">
                  <c:v>9.5</c:v>
                </c:pt>
                <c:pt idx="60">
                  <c:v>7.6</c:v>
                </c:pt>
                <c:pt idx="61">
                  <c:v>13.7</c:v>
                </c:pt>
                <c:pt idx="62">
                  <c:v>14.8</c:v>
                </c:pt>
                <c:pt idx="63">
                  <c:v>14</c:v>
                </c:pt>
                <c:pt idx="64">
                  <c:v>10.5</c:v>
                </c:pt>
                <c:pt idx="65">
                  <c:v>14.8</c:v>
                </c:pt>
                <c:pt idx="66">
                  <c:v>14.5</c:v>
                </c:pt>
                <c:pt idx="67">
                  <c:v>9.9</c:v>
                </c:pt>
                <c:pt idx="68">
                  <c:v>12.3</c:v>
                </c:pt>
                <c:pt idx="69">
                  <c:v>10.1</c:v>
                </c:pt>
                <c:pt idx="70">
                  <c:v>7.1</c:v>
                </c:pt>
                <c:pt idx="71">
                  <c:v>15.3</c:v>
                </c:pt>
                <c:pt idx="72">
                  <c:v>11.5</c:v>
                </c:pt>
                <c:pt idx="73">
                  <c:v>9.4</c:v>
                </c:pt>
                <c:pt idx="74">
                  <c:v>16.899999999999999</c:v>
                </c:pt>
                <c:pt idx="75">
                  <c:v>8.8000000000000007</c:v>
                </c:pt>
                <c:pt idx="76">
                  <c:v>10.199999999999999</c:v>
                </c:pt>
                <c:pt idx="77">
                  <c:v>13.4</c:v>
                </c:pt>
                <c:pt idx="78">
                  <c:v>9.8000000000000007</c:v>
                </c:pt>
                <c:pt idx="79">
                  <c:v>6.3</c:v>
                </c:pt>
                <c:pt idx="80">
                  <c:v>13.1</c:v>
                </c:pt>
                <c:pt idx="81">
                  <c:v>1.8</c:v>
                </c:pt>
                <c:pt idx="82">
                  <c:v>10.7</c:v>
                </c:pt>
                <c:pt idx="83">
                  <c:v>1.2</c:v>
                </c:pt>
                <c:pt idx="84">
                  <c:v>4.8</c:v>
                </c:pt>
                <c:pt idx="85">
                  <c:v>1.5</c:v>
                </c:pt>
                <c:pt idx="86">
                  <c:v>15.3</c:v>
                </c:pt>
                <c:pt idx="87">
                  <c:v>7.2</c:v>
                </c:pt>
                <c:pt idx="88">
                  <c:v>8</c:v>
                </c:pt>
                <c:pt idx="89">
                  <c:v>14.9</c:v>
                </c:pt>
                <c:pt idx="90">
                  <c:v>9.6999999999999993</c:v>
                </c:pt>
                <c:pt idx="91">
                  <c:v>8.9</c:v>
                </c:pt>
                <c:pt idx="92">
                  <c:v>12.7</c:v>
                </c:pt>
                <c:pt idx="93">
                  <c:v>5.7</c:v>
                </c:pt>
                <c:pt idx="94">
                  <c:v>12.5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9.6999999999999993</c:v>
                </c:pt>
                <c:pt idx="99">
                  <c:v>1.9</c:v>
                </c:pt>
                <c:pt idx="100">
                  <c:v>-0.7</c:v>
                </c:pt>
                <c:pt idx="101">
                  <c:v>8.4</c:v>
                </c:pt>
                <c:pt idx="102">
                  <c:v>-3.6</c:v>
                </c:pt>
                <c:pt idx="103">
                  <c:v>9</c:v>
                </c:pt>
                <c:pt idx="104">
                  <c:v>-0.4</c:v>
                </c:pt>
                <c:pt idx="105">
                  <c:v>7.9</c:v>
                </c:pt>
                <c:pt idx="106">
                  <c:v>11.2</c:v>
                </c:pt>
                <c:pt idx="107">
                  <c:v>10.4</c:v>
                </c:pt>
                <c:pt idx="108">
                  <c:v>3.2</c:v>
                </c:pt>
                <c:pt idx="109">
                  <c:v>10.199999999999999</c:v>
                </c:pt>
                <c:pt idx="110">
                  <c:v>7.9</c:v>
                </c:pt>
                <c:pt idx="111">
                  <c:v>2.7</c:v>
                </c:pt>
                <c:pt idx="112">
                  <c:v>11.8</c:v>
                </c:pt>
                <c:pt idx="113">
                  <c:v>8.8000000000000007</c:v>
                </c:pt>
                <c:pt idx="114">
                  <c:v>11.1</c:v>
                </c:pt>
                <c:pt idx="115">
                  <c:v>8.1999999999999993</c:v>
                </c:pt>
                <c:pt idx="116">
                  <c:v>14.2</c:v>
                </c:pt>
                <c:pt idx="117">
                  <c:v>13</c:v>
                </c:pt>
                <c:pt idx="118">
                  <c:v>8.9</c:v>
                </c:pt>
                <c:pt idx="119">
                  <c:v>2.4</c:v>
                </c:pt>
                <c:pt idx="120">
                  <c:v>7.5</c:v>
                </c:pt>
                <c:pt idx="121">
                  <c:v>5.5</c:v>
                </c:pt>
                <c:pt idx="122">
                  <c:v>3</c:v>
                </c:pt>
                <c:pt idx="123">
                  <c:v>2.1</c:v>
                </c:pt>
                <c:pt idx="124">
                  <c:v>-0.3</c:v>
                </c:pt>
                <c:pt idx="125">
                  <c:v>10.199999999999999</c:v>
                </c:pt>
                <c:pt idx="126">
                  <c:v>4.5999999999999996</c:v>
                </c:pt>
                <c:pt idx="127">
                  <c:v>15.9</c:v>
                </c:pt>
                <c:pt idx="128">
                  <c:v>9.1</c:v>
                </c:pt>
                <c:pt idx="129">
                  <c:v>9.1</c:v>
                </c:pt>
                <c:pt idx="130">
                  <c:v>13.9</c:v>
                </c:pt>
                <c:pt idx="131">
                  <c:v>9.9</c:v>
                </c:pt>
                <c:pt idx="132">
                  <c:v>11</c:v>
                </c:pt>
                <c:pt idx="133">
                  <c:v>11.2</c:v>
                </c:pt>
                <c:pt idx="134">
                  <c:v>10.6</c:v>
                </c:pt>
                <c:pt idx="135">
                  <c:v>12.4</c:v>
                </c:pt>
                <c:pt idx="136">
                  <c:v>12.4</c:v>
                </c:pt>
                <c:pt idx="137">
                  <c:v>17.2</c:v>
                </c:pt>
                <c:pt idx="138">
                  <c:v>2.7</c:v>
                </c:pt>
                <c:pt idx="139">
                  <c:v>6.4</c:v>
                </c:pt>
                <c:pt idx="140">
                  <c:v>5.9</c:v>
                </c:pt>
                <c:pt idx="141">
                  <c:v>-1.5</c:v>
                </c:pt>
                <c:pt idx="142">
                  <c:v>6.6</c:v>
                </c:pt>
                <c:pt idx="143">
                  <c:v>1.1000000000000001</c:v>
                </c:pt>
                <c:pt idx="144">
                  <c:v>5.8</c:v>
                </c:pt>
                <c:pt idx="145">
                  <c:v>8.4</c:v>
                </c:pt>
                <c:pt idx="146">
                  <c:v>5</c:v>
                </c:pt>
                <c:pt idx="147">
                  <c:v>-0.1</c:v>
                </c:pt>
                <c:pt idx="148">
                  <c:v>0.8</c:v>
                </c:pt>
                <c:pt idx="149">
                  <c:v>10.1</c:v>
                </c:pt>
                <c:pt idx="150">
                  <c:v>10.4</c:v>
                </c:pt>
                <c:pt idx="151">
                  <c:v>11.5</c:v>
                </c:pt>
                <c:pt idx="152">
                  <c:v>10.1</c:v>
                </c:pt>
                <c:pt idx="153">
                  <c:v>9.6</c:v>
                </c:pt>
                <c:pt idx="154">
                  <c:v>2.1</c:v>
                </c:pt>
                <c:pt idx="155">
                  <c:v>10.6</c:v>
                </c:pt>
                <c:pt idx="156">
                  <c:v>7</c:v>
                </c:pt>
                <c:pt idx="157">
                  <c:v>8.5</c:v>
                </c:pt>
                <c:pt idx="158">
                  <c:v>8.9</c:v>
                </c:pt>
                <c:pt idx="159">
                  <c:v>15.1</c:v>
                </c:pt>
                <c:pt idx="160">
                  <c:v>7.2</c:v>
                </c:pt>
                <c:pt idx="161">
                  <c:v>10.6</c:v>
                </c:pt>
                <c:pt idx="162">
                  <c:v>11.8</c:v>
                </c:pt>
                <c:pt idx="163">
                  <c:v>15.4</c:v>
                </c:pt>
                <c:pt idx="164">
                  <c:v>22.3</c:v>
                </c:pt>
                <c:pt idx="165">
                  <c:v>24.2</c:v>
                </c:pt>
                <c:pt idx="166">
                  <c:v>5</c:v>
                </c:pt>
                <c:pt idx="168">
                  <c:v>8.4</c:v>
                </c:pt>
                <c:pt idx="169">
                  <c:v>11.4</c:v>
                </c:pt>
                <c:pt idx="170">
                  <c:v>3.8</c:v>
                </c:pt>
                <c:pt idx="171">
                  <c:v>5.6</c:v>
                </c:pt>
                <c:pt idx="172">
                  <c:v>7.1</c:v>
                </c:pt>
                <c:pt idx="173">
                  <c:v>1.5</c:v>
                </c:pt>
                <c:pt idx="174">
                  <c:v>1.8</c:v>
                </c:pt>
                <c:pt idx="175">
                  <c:v>-0.7</c:v>
                </c:pt>
                <c:pt idx="176">
                  <c:v>11</c:v>
                </c:pt>
                <c:pt idx="177">
                  <c:v>10.6</c:v>
                </c:pt>
                <c:pt idx="178">
                  <c:v>4.5999999999999996</c:v>
                </c:pt>
                <c:pt idx="179">
                  <c:v>3.1</c:v>
                </c:pt>
                <c:pt idx="180">
                  <c:v>4.8</c:v>
                </c:pt>
                <c:pt idx="181">
                  <c:v>-1.5</c:v>
                </c:pt>
                <c:pt idx="182">
                  <c:v>-2.1</c:v>
                </c:pt>
                <c:pt idx="183">
                  <c:v>2</c:v>
                </c:pt>
                <c:pt idx="184">
                  <c:v>-0.7</c:v>
                </c:pt>
                <c:pt idx="185">
                  <c:v>-3.4</c:v>
                </c:pt>
                <c:pt idx="186">
                  <c:v>-1.1000000000000001</c:v>
                </c:pt>
                <c:pt idx="187">
                  <c:v>-1.8</c:v>
                </c:pt>
                <c:pt idx="188">
                  <c:v>5.4</c:v>
                </c:pt>
                <c:pt idx="189">
                  <c:v>5.7</c:v>
                </c:pt>
                <c:pt idx="190">
                  <c:v>7</c:v>
                </c:pt>
                <c:pt idx="191">
                  <c:v>7.1</c:v>
                </c:pt>
                <c:pt idx="192">
                  <c:v>4</c:v>
                </c:pt>
                <c:pt idx="193">
                  <c:v>7.6</c:v>
                </c:pt>
                <c:pt idx="194">
                  <c:v>3.7</c:v>
                </c:pt>
                <c:pt idx="195">
                  <c:v>7.3</c:v>
                </c:pt>
                <c:pt idx="196">
                  <c:v>-0.7</c:v>
                </c:pt>
                <c:pt idx="197">
                  <c:v>8.3000000000000007</c:v>
                </c:pt>
                <c:pt idx="198">
                  <c:v>7.6</c:v>
                </c:pt>
                <c:pt idx="199">
                  <c:v>-0.3</c:v>
                </c:pt>
                <c:pt idx="200">
                  <c:v>0.1</c:v>
                </c:pt>
                <c:pt idx="201">
                  <c:v>5.6</c:v>
                </c:pt>
                <c:pt idx="202">
                  <c:v>0.1</c:v>
                </c:pt>
                <c:pt idx="203">
                  <c:v>-0.9</c:v>
                </c:pt>
                <c:pt idx="204">
                  <c:v>5.5</c:v>
                </c:pt>
                <c:pt idx="205">
                  <c:v>2.6</c:v>
                </c:pt>
                <c:pt idx="206">
                  <c:v>11.2</c:v>
                </c:pt>
                <c:pt idx="207">
                  <c:v>10.9</c:v>
                </c:pt>
                <c:pt idx="208">
                  <c:v>11.2</c:v>
                </c:pt>
                <c:pt idx="209">
                  <c:v>6</c:v>
                </c:pt>
                <c:pt idx="210">
                  <c:v>8.3000000000000007</c:v>
                </c:pt>
                <c:pt idx="211">
                  <c:v>4.2</c:v>
                </c:pt>
                <c:pt idx="212">
                  <c:v>6.3</c:v>
                </c:pt>
                <c:pt idx="213">
                  <c:v>0.2</c:v>
                </c:pt>
                <c:pt idx="214">
                  <c:v>8.1</c:v>
                </c:pt>
                <c:pt idx="215">
                  <c:v>7.8</c:v>
                </c:pt>
                <c:pt idx="216">
                  <c:v>8.4</c:v>
                </c:pt>
                <c:pt idx="217">
                  <c:v>7</c:v>
                </c:pt>
                <c:pt idx="218">
                  <c:v>2.8</c:v>
                </c:pt>
                <c:pt idx="219">
                  <c:v>-3</c:v>
                </c:pt>
                <c:pt idx="220">
                  <c:v>6.5</c:v>
                </c:pt>
                <c:pt idx="221">
                  <c:v>8.3000000000000007</c:v>
                </c:pt>
                <c:pt idx="222">
                  <c:v>9.1999999999999993</c:v>
                </c:pt>
                <c:pt idx="223">
                  <c:v>10</c:v>
                </c:pt>
                <c:pt idx="224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007808"/>
        <c:axId val="300006016"/>
      </c:lineChart>
      <c:catAx>
        <c:axId val="299998592"/>
        <c:scaling>
          <c:orientation val="minMax"/>
        </c:scaling>
        <c:delete val="0"/>
        <c:axPos val="b"/>
        <c:majorTickMark val="out"/>
        <c:minorTickMark val="none"/>
        <c:tickLblPos val="nextTo"/>
        <c:crossAx val="300004480"/>
        <c:crosses val="autoZero"/>
        <c:auto val="1"/>
        <c:lblAlgn val="ctr"/>
        <c:lblOffset val="100"/>
        <c:noMultiLvlLbl val="0"/>
      </c:catAx>
      <c:valAx>
        <c:axId val="300004480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299998592"/>
        <c:crosses val="autoZero"/>
        <c:crossBetween val="between"/>
      </c:valAx>
      <c:valAx>
        <c:axId val="30000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00007808"/>
        <c:crosses val="max"/>
        <c:crossBetween val="between"/>
      </c:valAx>
      <c:catAx>
        <c:axId val="300007808"/>
        <c:scaling>
          <c:orientation val="minMax"/>
        </c:scaling>
        <c:delete val="1"/>
        <c:axPos val="b"/>
        <c:majorTickMark val="out"/>
        <c:minorTickMark val="none"/>
        <c:tickLblPos val="nextTo"/>
        <c:crossAx val="30000601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8129294698603388E-2"/>
          <c:y val="2.2806822776395771E-2"/>
          <c:w val="0.96199601754922293"/>
          <c:h val="0.96134893060038518"/>
        </c:manualLayout>
      </c:layout>
      <c:areaChart>
        <c:grouping val="stacke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</c:spPr>
          <c:cat>
            <c:numRef>
              <c:f>'Suivi Conso New'!#REF!</c:f>
              <c:numCache>
                <c:formatCode>d/m/yy\ h:mm;@</c:formatCode>
                <c:ptCount val="809"/>
                <c:pt idx="0">
                  <c:v>44588.306944444441</c:v>
                </c:pt>
                <c:pt idx="1">
                  <c:v>44589.354861111111</c:v>
                </c:pt>
                <c:pt idx="2">
                  <c:v>44590.316666666666</c:v>
                </c:pt>
                <c:pt idx="3">
                  <c:v>44591.369444444441</c:v>
                </c:pt>
                <c:pt idx="4">
                  <c:v>44592.310416666667</c:v>
                </c:pt>
                <c:pt idx="5">
                  <c:v>44593.308333333334</c:v>
                </c:pt>
                <c:pt idx="6">
                  <c:v>44594.327777777777</c:v>
                </c:pt>
                <c:pt idx="7">
                  <c:v>44595.347222222219</c:v>
                </c:pt>
                <c:pt idx="8">
                  <c:v>44596.349305555559</c:v>
                </c:pt>
                <c:pt idx="9">
                  <c:v>44597.365972222222</c:v>
                </c:pt>
                <c:pt idx="10">
                  <c:v>44598.431944444441</c:v>
                </c:pt>
                <c:pt idx="11">
                  <c:v>44599.319444444445</c:v>
                </c:pt>
                <c:pt idx="12">
                  <c:v>44600.311111111114</c:v>
                </c:pt>
                <c:pt idx="13">
                  <c:v>44601.356249999997</c:v>
                </c:pt>
                <c:pt idx="14">
                  <c:v>44602.35833333333</c:v>
                </c:pt>
                <c:pt idx="15">
                  <c:v>44603.345138888886</c:v>
                </c:pt>
                <c:pt idx="16">
                  <c:v>44604.306944444441</c:v>
                </c:pt>
                <c:pt idx="17">
                  <c:v>44606.317361111112</c:v>
                </c:pt>
                <c:pt idx="18">
                  <c:v>44607.304861111108</c:v>
                </c:pt>
                <c:pt idx="19">
                  <c:v>44608.324999999997</c:v>
                </c:pt>
                <c:pt idx="20">
                  <c:v>44609.369444444441</c:v>
                </c:pt>
                <c:pt idx="21">
                  <c:v>44612.501388888886</c:v>
                </c:pt>
                <c:pt idx="22">
                  <c:v>44613.348611111112</c:v>
                </c:pt>
                <c:pt idx="23">
                  <c:v>44614.397916666669</c:v>
                </c:pt>
                <c:pt idx="24">
                  <c:v>44616.357638888891</c:v>
                </c:pt>
                <c:pt idx="25">
                  <c:v>44617.413194444445</c:v>
                </c:pt>
                <c:pt idx="26">
                  <c:v>44620.315972222219</c:v>
                </c:pt>
                <c:pt idx="27">
                  <c:v>44621.313888888886</c:v>
                </c:pt>
                <c:pt idx="28">
                  <c:v>44622.354166666664</c:v>
                </c:pt>
                <c:pt idx="29">
                  <c:v>44623.352083333331</c:v>
                </c:pt>
                <c:pt idx="30">
                  <c:v>44624.350694444445</c:v>
                </c:pt>
                <c:pt idx="31">
                  <c:v>44625.352777777778</c:v>
                </c:pt>
                <c:pt idx="32">
                  <c:v>44627.323611111111</c:v>
                </c:pt>
                <c:pt idx="33">
                  <c:v>44628.318749999999</c:v>
                </c:pt>
                <c:pt idx="34">
                  <c:v>44629.32708333333</c:v>
                </c:pt>
                <c:pt idx="35">
                  <c:v>44630.350694444445</c:v>
                </c:pt>
                <c:pt idx="36">
                  <c:v>44631.377083333333</c:v>
                </c:pt>
                <c:pt idx="37">
                  <c:v>44632.318055555559</c:v>
                </c:pt>
                <c:pt idx="38">
                  <c:v>44633.4</c:v>
                </c:pt>
                <c:pt idx="39">
                  <c:v>44634.325694444444</c:v>
                </c:pt>
                <c:pt idx="40">
                  <c:v>44635.316666666666</c:v>
                </c:pt>
                <c:pt idx="41">
                  <c:v>44636.319444444445</c:v>
                </c:pt>
                <c:pt idx="42">
                  <c:v>44637.433333333334</c:v>
                </c:pt>
                <c:pt idx="43">
                  <c:v>44638.349305555559</c:v>
                </c:pt>
                <c:pt idx="44">
                  <c:v>44639.329861111109</c:v>
                </c:pt>
                <c:pt idx="45">
                  <c:v>44640.384027777778</c:v>
                </c:pt>
                <c:pt idx="46">
                  <c:v>44641.328472222223</c:v>
                </c:pt>
                <c:pt idx="47">
                  <c:v>44642.306250000001</c:v>
                </c:pt>
                <c:pt idx="48">
                  <c:v>44643.37222222222</c:v>
                </c:pt>
                <c:pt idx="49">
                  <c:v>44644.322916666664</c:v>
                </c:pt>
                <c:pt idx="50">
                  <c:v>44645.34375</c:v>
                </c:pt>
                <c:pt idx="51">
                  <c:v>44646.310416666667</c:v>
                </c:pt>
                <c:pt idx="52">
                  <c:v>44647.415277777778</c:v>
                </c:pt>
                <c:pt idx="53">
                  <c:v>44648.330555555556</c:v>
                </c:pt>
                <c:pt idx="54">
                  <c:v>44649.307638888888</c:v>
                </c:pt>
                <c:pt idx="55">
                  <c:v>44650.302083333336</c:v>
                </c:pt>
                <c:pt idx="56">
                  <c:v>44651.354166666664</c:v>
                </c:pt>
                <c:pt idx="57">
                  <c:v>44652.319444444445</c:v>
                </c:pt>
                <c:pt idx="58">
                  <c:v>44653.337500000001</c:v>
                </c:pt>
                <c:pt idx="59">
                  <c:v>44655.328472222223</c:v>
                </c:pt>
                <c:pt idx="60">
                  <c:v>44656.311111111114</c:v>
                </c:pt>
                <c:pt idx="61">
                  <c:v>44657.324999999997</c:v>
                </c:pt>
                <c:pt idx="62">
                  <c:v>44658.334027777775</c:v>
                </c:pt>
                <c:pt idx="63">
                  <c:v>44659.350694444445</c:v>
                </c:pt>
                <c:pt idx="64">
                  <c:v>44660.356249999997</c:v>
                </c:pt>
                <c:pt idx="65">
                  <c:v>44661.318749999999</c:v>
                </c:pt>
                <c:pt idx="66">
                  <c:v>44662.323611111111</c:v>
                </c:pt>
                <c:pt idx="67">
                  <c:v>44663.318055555559</c:v>
                </c:pt>
                <c:pt idx="68">
                  <c:v>44664.316666666666</c:v>
                </c:pt>
                <c:pt idx="69">
                  <c:v>44665.342361111114</c:v>
                </c:pt>
                <c:pt idx="70">
                  <c:v>44666.384722222225</c:v>
                </c:pt>
                <c:pt idx="71">
                  <c:v>44667.31527777778</c:v>
                </c:pt>
                <c:pt idx="72">
                  <c:v>44668.347916666666</c:v>
                </c:pt>
                <c:pt idx="73">
                  <c:v>44670.322222222225</c:v>
                </c:pt>
                <c:pt idx="74">
                  <c:v>44671.309027777781</c:v>
                </c:pt>
                <c:pt idx="75">
                  <c:v>44672.314583333333</c:v>
                </c:pt>
                <c:pt idx="76">
                  <c:v>44673.347222222219</c:v>
                </c:pt>
                <c:pt idx="77">
                  <c:v>44674.461111111108</c:v>
                </c:pt>
                <c:pt idx="78">
                  <c:v>44675.356249999997</c:v>
                </c:pt>
                <c:pt idx="79">
                  <c:v>44677.357638888891</c:v>
                </c:pt>
                <c:pt idx="80">
                  <c:v>44678.388888888891</c:v>
                </c:pt>
                <c:pt idx="81">
                  <c:v>44679.313888888886</c:v>
                </c:pt>
                <c:pt idx="82">
                  <c:v>44680.336111111108</c:v>
                </c:pt>
                <c:pt idx="83">
                  <c:v>44681.359722222223</c:v>
                </c:pt>
                <c:pt idx="84">
                  <c:v>44682.336805555555</c:v>
                </c:pt>
                <c:pt idx="85">
                  <c:v>44683.318055555559</c:v>
                </c:pt>
                <c:pt idx="86">
                  <c:v>44684.311111111114</c:v>
                </c:pt>
                <c:pt idx="87">
                  <c:v>44685.341666666667</c:v>
                </c:pt>
                <c:pt idx="88">
                  <c:v>44686.306944444441</c:v>
                </c:pt>
                <c:pt idx="89">
                  <c:v>44687.322916666664</c:v>
                </c:pt>
                <c:pt idx="90">
                  <c:v>44688.351388888892</c:v>
                </c:pt>
                <c:pt idx="91">
                  <c:v>44689.48333333333</c:v>
                </c:pt>
                <c:pt idx="92">
                  <c:v>44690.322916666664</c:v>
                </c:pt>
                <c:pt idx="93">
                  <c:v>44691.3125</c:v>
                </c:pt>
                <c:pt idx="94">
                  <c:v>44692.36041666667</c:v>
                </c:pt>
                <c:pt idx="95">
                  <c:v>44693.302083333336</c:v>
                </c:pt>
                <c:pt idx="96">
                  <c:v>44694.348611111112</c:v>
                </c:pt>
                <c:pt idx="97">
                  <c:v>44695.335416666669</c:v>
                </c:pt>
                <c:pt idx="98">
                  <c:v>44696.374305555553</c:v>
                </c:pt>
                <c:pt idx="99">
                  <c:v>44697.314583333333</c:v>
                </c:pt>
                <c:pt idx="100">
                  <c:v>44698.313194444447</c:v>
                </c:pt>
                <c:pt idx="101">
                  <c:v>44699.352777777778</c:v>
                </c:pt>
                <c:pt idx="102">
                  <c:v>44700.306944444441</c:v>
                </c:pt>
                <c:pt idx="103">
                  <c:v>44701.344444444447</c:v>
                </c:pt>
                <c:pt idx="104">
                  <c:v>44702.284722222219</c:v>
                </c:pt>
                <c:pt idx="105">
                  <c:v>44704.321527777778</c:v>
                </c:pt>
                <c:pt idx="106">
                  <c:v>44705.320138888892</c:v>
                </c:pt>
                <c:pt idx="107">
                  <c:v>44706.347222222219</c:v>
                </c:pt>
                <c:pt idx="108">
                  <c:v>44707.390277777777</c:v>
                </c:pt>
                <c:pt idx="109">
                  <c:v>44708.337500000001</c:v>
                </c:pt>
                <c:pt idx="110">
                  <c:v>44709.306250000001</c:v>
                </c:pt>
                <c:pt idx="111">
                  <c:v>44710.356944444444</c:v>
                </c:pt>
                <c:pt idx="112">
                  <c:v>44711.320833333331</c:v>
                </c:pt>
                <c:pt idx="113">
                  <c:v>44712.322916666664</c:v>
                </c:pt>
                <c:pt idx="114">
                  <c:v>44713.322916666664</c:v>
                </c:pt>
                <c:pt idx="115">
                  <c:v>44714.304166666669</c:v>
                </c:pt>
                <c:pt idx="116">
                  <c:v>44715.309027777781</c:v>
                </c:pt>
                <c:pt idx="117">
                  <c:v>44716.347222222219</c:v>
                </c:pt>
                <c:pt idx="118">
                  <c:v>44717.347222222219</c:v>
                </c:pt>
                <c:pt idx="119">
                  <c:v>44719.318055555559</c:v>
                </c:pt>
                <c:pt idx="120">
                  <c:v>44720.364583333336</c:v>
                </c:pt>
                <c:pt idx="121">
                  <c:v>44721.319444444445</c:v>
                </c:pt>
                <c:pt idx="122">
                  <c:v>44722.334027777775</c:v>
                </c:pt>
                <c:pt idx="123">
                  <c:v>44723.320833333331</c:v>
                </c:pt>
                <c:pt idx="124">
                  <c:v>44724.353472222225</c:v>
                </c:pt>
                <c:pt idx="125">
                  <c:v>44725.335416666669</c:v>
                </c:pt>
                <c:pt idx="126">
                  <c:v>44726.321527777778</c:v>
                </c:pt>
                <c:pt idx="127">
                  <c:v>44727.296527777777</c:v>
                </c:pt>
                <c:pt idx="128">
                  <c:v>44728.322222222225</c:v>
                </c:pt>
                <c:pt idx="129">
                  <c:v>44729.31527777778</c:v>
                </c:pt>
                <c:pt idx="130">
                  <c:v>44730.36041666667</c:v>
                </c:pt>
                <c:pt idx="131">
                  <c:v>44731.375694444447</c:v>
                </c:pt>
                <c:pt idx="132">
                  <c:v>44732.313888888886</c:v>
                </c:pt>
                <c:pt idx="133">
                  <c:v>44733.307638888888</c:v>
                </c:pt>
                <c:pt idx="134">
                  <c:v>44734.311805555553</c:v>
                </c:pt>
                <c:pt idx="135">
                  <c:v>44735.313194444447</c:v>
                </c:pt>
                <c:pt idx="136">
                  <c:v>44736.322222222225</c:v>
                </c:pt>
                <c:pt idx="137">
                  <c:v>44737.38958333333</c:v>
                </c:pt>
                <c:pt idx="138">
                  <c:v>44738.408333333333</c:v>
                </c:pt>
                <c:pt idx="139">
                  <c:v>44739.320833333331</c:v>
                </c:pt>
                <c:pt idx="140">
                  <c:v>44740.313194444447</c:v>
                </c:pt>
                <c:pt idx="141">
                  <c:v>44741.350694444445</c:v>
                </c:pt>
                <c:pt idx="142">
                  <c:v>44742.323611111111</c:v>
                </c:pt>
                <c:pt idx="143">
                  <c:v>44743.336111111108</c:v>
                </c:pt>
                <c:pt idx="144">
                  <c:v>44745.384722222225</c:v>
                </c:pt>
                <c:pt idx="145">
                  <c:v>44746.318749999999</c:v>
                </c:pt>
                <c:pt idx="146">
                  <c:v>44747.299305555556</c:v>
                </c:pt>
                <c:pt idx="147">
                  <c:v>44748.342361111114</c:v>
                </c:pt>
                <c:pt idx="148">
                  <c:v>44749.314583333333</c:v>
                </c:pt>
                <c:pt idx="149">
                  <c:v>44750.343055555553</c:v>
                </c:pt>
                <c:pt idx="150">
                  <c:v>44751.455555555556</c:v>
                </c:pt>
                <c:pt idx="151">
                  <c:v>44752.465277777781</c:v>
                </c:pt>
                <c:pt idx="152">
                  <c:v>44753.314583333333</c:v>
                </c:pt>
                <c:pt idx="153">
                  <c:v>44754.320138888892</c:v>
                </c:pt>
                <c:pt idx="154">
                  <c:v>44755.311805555553</c:v>
                </c:pt>
                <c:pt idx="155">
                  <c:v>44756.347222222219</c:v>
                </c:pt>
                <c:pt idx="156">
                  <c:v>44757.318055555559</c:v>
                </c:pt>
                <c:pt idx="157">
                  <c:v>44758.425694444442</c:v>
                </c:pt>
                <c:pt idx="158">
                  <c:v>44759.459722222222</c:v>
                </c:pt>
                <c:pt idx="159">
                  <c:v>44760.376388888886</c:v>
                </c:pt>
                <c:pt idx="160">
                  <c:v>44761.365972222222</c:v>
                </c:pt>
                <c:pt idx="161">
                  <c:v>44762.32708333333</c:v>
                </c:pt>
                <c:pt idx="162">
                  <c:v>44763.347222222219</c:v>
                </c:pt>
                <c:pt idx="163">
                  <c:v>44764.329861111109</c:v>
                </c:pt>
                <c:pt idx="164">
                  <c:v>44765.144444444442</c:v>
                </c:pt>
                <c:pt idx="165">
                  <c:v>44779.277777777781</c:v>
                </c:pt>
                <c:pt idx="166">
                  <c:v>44780.34097222222</c:v>
                </c:pt>
                <c:pt idx="167">
                  <c:v>44781.331944444442</c:v>
                </c:pt>
                <c:pt idx="168">
                  <c:v>44782.318055555559</c:v>
                </c:pt>
                <c:pt idx="169">
                  <c:v>44783.34652777778</c:v>
                </c:pt>
                <c:pt idx="170">
                  <c:v>44784.345833333333</c:v>
                </c:pt>
                <c:pt idx="171">
                  <c:v>44785.351388888892</c:v>
                </c:pt>
                <c:pt idx="172">
                  <c:v>44786.336111111108</c:v>
                </c:pt>
                <c:pt idx="173">
                  <c:v>44789.318055555559</c:v>
                </c:pt>
                <c:pt idx="174">
                  <c:v>44790.356944444444</c:v>
                </c:pt>
                <c:pt idx="175">
                  <c:v>44791.316666666666</c:v>
                </c:pt>
                <c:pt idx="176">
                  <c:v>44792.306944444441</c:v>
                </c:pt>
                <c:pt idx="177">
                  <c:v>44793.30972222222</c:v>
                </c:pt>
                <c:pt idx="178">
                  <c:v>44795.320138888892</c:v>
                </c:pt>
                <c:pt idx="179">
                  <c:v>44796.306250000001</c:v>
                </c:pt>
                <c:pt idx="180">
                  <c:v>44797.310416666667</c:v>
                </c:pt>
                <c:pt idx="181">
                  <c:v>44798.316666666666</c:v>
                </c:pt>
                <c:pt idx="182">
                  <c:v>44799.321527777778</c:v>
                </c:pt>
                <c:pt idx="183">
                  <c:v>44800.306944444441</c:v>
                </c:pt>
                <c:pt idx="184">
                  <c:v>44802.320833333331</c:v>
                </c:pt>
                <c:pt idx="185">
                  <c:v>44803.3125</c:v>
                </c:pt>
                <c:pt idx="186">
                  <c:v>44804.359722222223</c:v>
                </c:pt>
                <c:pt idx="187">
                  <c:v>44805.369444444441</c:v>
                </c:pt>
                <c:pt idx="188">
                  <c:v>44806.30972222222</c:v>
                </c:pt>
                <c:pt idx="189">
                  <c:v>44807.335416666669</c:v>
                </c:pt>
                <c:pt idx="190">
                  <c:v>44808.453472222223</c:v>
                </c:pt>
                <c:pt idx="191">
                  <c:v>44809.320138888892</c:v>
                </c:pt>
                <c:pt idx="192">
                  <c:v>44810.313194444447</c:v>
                </c:pt>
                <c:pt idx="193">
                  <c:v>44811.362500000003</c:v>
                </c:pt>
                <c:pt idx="194">
                  <c:v>44812.337500000001</c:v>
                </c:pt>
                <c:pt idx="195">
                  <c:v>44813.34375</c:v>
                </c:pt>
                <c:pt idx="196">
                  <c:v>44814.345833333333</c:v>
                </c:pt>
                <c:pt idx="197">
                  <c:v>44815.407638888886</c:v>
                </c:pt>
                <c:pt idx="198">
                  <c:v>44816.313888888886</c:v>
                </c:pt>
                <c:pt idx="199">
                  <c:v>44817.319444444445</c:v>
                </c:pt>
                <c:pt idx="200">
                  <c:v>44819.356249999997</c:v>
                </c:pt>
                <c:pt idx="201">
                  <c:v>44820.316666666666</c:v>
                </c:pt>
                <c:pt idx="202">
                  <c:v>44821.379166666666</c:v>
                </c:pt>
                <c:pt idx="203">
                  <c:v>44822.359722222223</c:v>
                </c:pt>
                <c:pt idx="204">
                  <c:v>44823.320833333331</c:v>
                </c:pt>
                <c:pt idx="205">
                  <c:v>44824.306944444441</c:v>
                </c:pt>
                <c:pt idx="206">
                  <c:v>44825.311805555553</c:v>
                </c:pt>
                <c:pt idx="207">
                  <c:v>44826.317361111112</c:v>
                </c:pt>
                <c:pt idx="208">
                  <c:v>44827.34097222222</c:v>
                </c:pt>
                <c:pt idx="209">
                  <c:v>44828.343055555553</c:v>
                </c:pt>
                <c:pt idx="210">
                  <c:v>44830.319444444445</c:v>
                </c:pt>
                <c:pt idx="211">
                  <c:v>44831.323611111111</c:v>
                </c:pt>
                <c:pt idx="212">
                  <c:v>44832.383333333331</c:v>
                </c:pt>
                <c:pt idx="213">
                  <c:v>44833.340277777781</c:v>
                </c:pt>
                <c:pt idx="214">
                  <c:v>44834.347222222219</c:v>
                </c:pt>
                <c:pt idx="215">
                  <c:v>44835.425000000003</c:v>
                </c:pt>
                <c:pt idx="216">
                  <c:v>44837.322222222225</c:v>
                </c:pt>
                <c:pt idx="217">
                  <c:v>44838.314583333333</c:v>
                </c:pt>
                <c:pt idx="218">
                  <c:v>44839.347222222219</c:v>
                </c:pt>
                <c:pt idx="219">
                  <c:v>44840.314583333333</c:v>
                </c:pt>
                <c:pt idx="220">
                  <c:v>44841.348611111112</c:v>
                </c:pt>
                <c:pt idx="221">
                  <c:v>44842.373611111114</c:v>
                </c:pt>
                <c:pt idx="222">
                  <c:v>44843.462500000001</c:v>
                </c:pt>
                <c:pt idx="223">
                  <c:v>44844.317361111112</c:v>
                </c:pt>
                <c:pt idx="224">
                  <c:v>44845.311111111114</c:v>
                </c:pt>
                <c:pt idx="225">
                  <c:v>44846.364583333336</c:v>
                </c:pt>
                <c:pt idx="226">
                  <c:v>44847.3</c:v>
                </c:pt>
                <c:pt idx="227">
                  <c:v>44848.30972222222</c:v>
                </c:pt>
                <c:pt idx="228">
                  <c:v>44849.548611111109</c:v>
                </c:pt>
                <c:pt idx="229">
                  <c:v>44850.394444444442</c:v>
                </c:pt>
                <c:pt idx="230">
                  <c:v>44851.307638888888</c:v>
                </c:pt>
                <c:pt idx="231">
                  <c:v>44852.31527777778</c:v>
                </c:pt>
                <c:pt idx="232">
                  <c:v>44853.39166666667</c:v>
                </c:pt>
                <c:pt idx="233">
                  <c:v>44854.307638888888</c:v>
                </c:pt>
                <c:pt idx="234">
                  <c:v>44855.338888888888</c:v>
                </c:pt>
                <c:pt idx="235">
                  <c:v>44856.338194444441</c:v>
                </c:pt>
                <c:pt idx="236">
                  <c:v>44857.45</c:v>
                </c:pt>
                <c:pt idx="237">
                  <c:v>44858.31527777778</c:v>
                </c:pt>
                <c:pt idx="238">
                  <c:v>44859.315972222219</c:v>
                </c:pt>
                <c:pt idx="239">
                  <c:v>44860.363194444442</c:v>
                </c:pt>
                <c:pt idx="240">
                  <c:v>44861.316666666666</c:v>
                </c:pt>
                <c:pt idx="241">
                  <c:v>44862.348611111112</c:v>
                </c:pt>
                <c:pt idx="242">
                  <c:v>44863.336805555555</c:v>
                </c:pt>
                <c:pt idx="243">
                  <c:v>44866.343055555553</c:v>
                </c:pt>
                <c:pt idx="244">
                  <c:v>44867.345833333333</c:v>
                </c:pt>
                <c:pt idx="245">
                  <c:v>44868.387499999997</c:v>
                </c:pt>
                <c:pt idx="246">
                  <c:v>44869.370833333334</c:v>
                </c:pt>
                <c:pt idx="247">
                  <c:v>44870.311805555553</c:v>
                </c:pt>
                <c:pt idx="248">
                  <c:v>44871.44027777778</c:v>
                </c:pt>
                <c:pt idx="249">
                  <c:v>44872.321527777778</c:v>
                </c:pt>
                <c:pt idx="250">
                  <c:v>44873.320138888892</c:v>
                </c:pt>
                <c:pt idx="251">
                  <c:v>44874.388888888891</c:v>
                </c:pt>
                <c:pt idx="252">
                  <c:v>44875.308333333334</c:v>
                </c:pt>
                <c:pt idx="253">
                  <c:v>44876.362500000003</c:v>
                </c:pt>
                <c:pt idx="254">
                  <c:v>44877.359722222223</c:v>
                </c:pt>
                <c:pt idx="255">
                  <c:v>44878.379166666666</c:v>
                </c:pt>
                <c:pt idx="256">
                  <c:v>44879.319444444445</c:v>
                </c:pt>
                <c:pt idx="257">
                  <c:v>44881.320138888892</c:v>
                </c:pt>
                <c:pt idx="258">
                  <c:v>44882.299305555556</c:v>
                </c:pt>
                <c:pt idx="259">
                  <c:v>44883.327777777777</c:v>
                </c:pt>
                <c:pt idx="260">
                  <c:v>44884.400694444441</c:v>
                </c:pt>
                <c:pt idx="261">
                  <c:v>44885.402083333334</c:v>
                </c:pt>
                <c:pt idx="262">
                  <c:v>44886.306250000001</c:v>
                </c:pt>
                <c:pt idx="263">
                  <c:v>44887.321527777778</c:v>
                </c:pt>
                <c:pt idx="264">
                  <c:v>44888.320833333331</c:v>
                </c:pt>
                <c:pt idx="265">
                  <c:v>44889.36041666667</c:v>
                </c:pt>
                <c:pt idx="266">
                  <c:v>44890.34652777778</c:v>
                </c:pt>
                <c:pt idx="267">
                  <c:v>44891.353472222225</c:v>
                </c:pt>
                <c:pt idx="268">
                  <c:v>44892.386111111111</c:v>
                </c:pt>
                <c:pt idx="269">
                  <c:v>44893.326388888891</c:v>
                </c:pt>
                <c:pt idx="270">
                  <c:v>44894.31527777778</c:v>
                </c:pt>
                <c:pt idx="271">
                  <c:v>44895.31527777778</c:v>
                </c:pt>
                <c:pt idx="272">
                  <c:v>44896.319444444445</c:v>
                </c:pt>
                <c:pt idx="273">
                  <c:v>44897.320138888892</c:v>
                </c:pt>
                <c:pt idx="274">
                  <c:v>44898.393055555556</c:v>
                </c:pt>
                <c:pt idx="275">
                  <c:v>44900.320833333331</c:v>
                </c:pt>
                <c:pt idx="276">
                  <c:v>44901.353472222225</c:v>
                </c:pt>
                <c:pt idx="277">
                  <c:v>44902.289583333331</c:v>
                </c:pt>
                <c:pt idx="278">
                  <c:v>44903.307638888888</c:v>
                </c:pt>
                <c:pt idx="279">
                  <c:v>44905.364583333336</c:v>
                </c:pt>
                <c:pt idx="280">
                  <c:v>44906.469444444447</c:v>
                </c:pt>
                <c:pt idx="281">
                  <c:v>44907.31527777778</c:v>
                </c:pt>
                <c:pt idx="282">
                  <c:v>44908.3125</c:v>
                </c:pt>
                <c:pt idx="283">
                  <c:v>44909.321527777778</c:v>
                </c:pt>
                <c:pt idx="284">
                  <c:v>44910.34097222222</c:v>
                </c:pt>
                <c:pt idx="285">
                  <c:v>44910.34097222222</c:v>
                </c:pt>
                <c:pt idx="286">
                  <c:v>44911.337500000001</c:v>
                </c:pt>
                <c:pt idx="287">
                  <c:v>44912.443749999999</c:v>
                </c:pt>
                <c:pt idx="288">
                  <c:v>44913.431944444441</c:v>
                </c:pt>
                <c:pt idx="289">
                  <c:v>44914.414583333331</c:v>
                </c:pt>
                <c:pt idx="290">
                  <c:v>44917.402083333334</c:v>
                </c:pt>
                <c:pt idx="291">
                  <c:v>44918.303472222222</c:v>
                </c:pt>
                <c:pt idx="292">
                  <c:v>44919.39166666667</c:v>
                </c:pt>
                <c:pt idx="293">
                  <c:v>44921.321527777778</c:v>
                </c:pt>
                <c:pt idx="294">
                  <c:v>44922.320833333331</c:v>
                </c:pt>
                <c:pt idx="295">
                  <c:v>44923.329861111109</c:v>
                </c:pt>
                <c:pt idx="296">
                  <c:v>44924.330555555556</c:v>
                </c:pt>
                <c:pt idx="297">
                  <c:v>44925.321527777778</c:v>
                </c:pt>
                <c:pt idx="298">
                  <c:v>44926.378472222219</c:v>
                </c:pt>
                <c:pt idx="299">
                  <c:v>44927.606944444444</c:v>
                </c:pt>
                <c:pt idx="300">
                  <c:v>44928.325694444444</c:v>
                </c:pt>
                <c:pt idx="301">
                  <c:v>44929.318055555559</c:v>
                </c:pt>
                <c:pt idx="302">
                  <c:v>44930.318749999999</c:v>
                </c:pt>
                <c:pt idx="303">
                  <c:v>44931.341666666667</c:v>
                </c:pt>
                <c:pt idx="304">
                  <c:v>44932.331944444442</c:v>
                </c:pt>
                <c:pt idx="305">
                  <c:v>44933.365277777775</c:v>
                </c:pt>
                <c:pt idx="306">
                  <c:v>44934.39166666667</c:v>
                </c:pt>
                <c:pt idx="307">
                  <c:v>44935.334722222222</c:v>
                </c:pt>
                <c:pt idx="308">
                  <c:v>44936.306944444441</c:v>
                </c:pt>
                <c:pt idx="309">
                  <c:v>44937.377083333333</c:v>
                </c:pt>
                <c:pt idx="310">
                  <c:v>44938.397222222222</c:v>
                </c:pt>
                <c:pt idx="311">
                  <c:v>44939.352777777778</c:v>
                </c:pt>
                <c:pt idx="312">
                  <c:v>44940.367361111108</c:v>
                </c:pt>
                <c:pt idx="313">
                  <c:v>44941.769444444442</c:v>
                </c:pt>
                <c:pt idx="314">
                  <c:v>44942.332638888889</c:v>
                </c:pt>
                <c:pt idx="315">
                  <c:v>44943.319444444445</c:v>
                </c:pt>
                <c:pt idx="316">
                  <c:v>44944.319444444445</c:v>
                </c:pt>
                <c:pt idx="317">
                  <c:v>44945.453472222223</c:v>
                </c:pt>
                <c:pt idx="318">
                  <c:v>44946.381944444445</c:v>
                </c:pt>
                <c:pt idx="319">
                  <c:v>44947.398611111108</c:v>
                </c:pt>
                <c:pt idx="320">
                  <c:v>44949.316666666666</c:v>
                </c:pt>
                <c:pt idx="321">
                  <c:v>44950.329861111109</c:v>
                </c:pt>
                <c:pt idx="322">
                  <c:v>44951.348611111112</c:v>
                </c:pt>
                <c:pt idx="323">
                  <c:v>44952.328472222223</c:v>
                </c:pt>
                <c:pt idx="324">
                  <c:v>44953.311805555553</c:v>
                </c:pt>
                <c:pt idx="325">
                  <c:v>44954.336111111108</c:v>
                </c:pt>
                <c:pt idx="326">
                  <c:v>44955.460416666669</c:v>
                </c:pt>
                <c:pt idx="327">
                  <c:v>44956.316666666666</c:v>
                </c:pt>
                <c:pt idx="328">
                  <c:v>44957.324999999997</c:v>
                </c:pt>
                <c:pt idx="329">
                  <c:v>44958.474305555559</c:v>
                </c:pt>
                <c:pt idx="330">
                  <c:v>44959.334027777775</c:v>
                </c:pt>
                <c:pt idx="331">
                  <c:v>44960.34375</c:v>
                </c:pt>
                <c:pt idx="332">
                  <c:v>44961.365972222222</c:v>
                </c:pt>
                <c:pt idx="333">
                  <c:v>44962.435416666667</c:v>
                </c:pt>
                <c:pt idx="334">
                  <c:v>44963.320138888892</c:v>
                </c:pt>
                <c:pt idx="335">
                  <c:v>44964.313888888886</c:v>
                </c:pt>
                <c:pt idx="336">
                  <c:v>44965.373611111114</c:v>
                </c:pt>
                <c:pt idx="337">
                  <c:v>44966.370833333334</c:v>
                </c:pt>
                <c:pt idx="338">
                  <c:v>44967.364583333336</c:v>
                </c:pt>
                <c:pt idx="339">
                  <c:v>44968.361111111109</c:v>
                </c:pt>
                <c:pt idx="340">
                  <c:v>44969.404861111114</c:v>
                </c:pt>
                <c:pt idx="341">
                  <c:v>44970.315972222219</c:v>
                </c:pt>
                <c:pt idx="342">
                  <c:v>44971.321527777778</c:v>
                </c:pt>
                <c:pt idx="343">
                  <c:v>44972.308333333334</c:v>
                </c:pt>
                <c:pt idx="344">
                  <c:v>44973.42083333333</c:v>
                </c:pt>
                <c:pt idx="345">
                  <c:v>44974.376388888886</c:v>
                </c:pt>
                <c:pt idx="346">
                  <c:v>44975.342361111114</c:v>
                </c:pt>
                <c:pt idx="347">
                  <c:v>44976.375694444447</c:v>
                </c:pt>
                <c:pt idx="348">
                  <c:v>44977.34097222222</c:v>
                </c:pt>
                <c:pt idx="349">
                  <c:v>44978.339583333334</c:v>
                </c:pt>
                <c:pt idx="350">
                  <c:v>44979.334722222222</c:v>
                </c:pt>
                <c:pt idx="351">
                  <c:v>44980.322916666664</c:v>
                </c:pt>
                <c:pt idx="352">
                  <c:v>44981.324999999997</c:v>
                </c:pt>
                <c:pt idx="353">
                  <c:v>44982.300694444442</c:v>
                </c:pt>
                <c:pt idx="354">
                  <c:v>44983.401388888888</c:v>
                </c:pt>
                <c:pt idx="355">
                  <c:v>44984.334722222222</c:v>
                </c:pt>
                <c:pt idx="356">
                  <c:v>44985.313194444447</c:v>
                </c:pt>
                <c:pt idx="357">
                  <c:v>44986.343055555553</c:v>
                </c:pt>
                <c:pt idx="358">
                  <c:v>44987.344444444447</c:v>
                </c:pt>
                <c:pt idx="359">
                  <c:v>44988.355555555558</c:v>
                </c:pt>
                <c:pt idx="360">
                  <c:v>44989.372916666667</c:v>
                </c:pt>
                <c:pt idx="361">
                  <c:v>44990.393750000003</c:v>
                </c:pt>
                <c:pt idx="362">
                  <c:v>44991.320833333331</c:v>
                </c:pt>
                <c:pt idx="363">
                  <c:v>44992.306944444441</c:v>
                </c:pt>
                <c:pt idx="364">
                  <c:v>44993.34652777778</c:v>
                </c:pt>
                <c:pt idx="365">
                  <c:v>44994.368750000001</c:v>
                </c:pt>
                <c:pt idx="366">
                  <c:v>44995.347916666666</c:v>
                </c:pt>
                <c:pt idx="367">
                  <c:v>44996.296527777777</c:v>
                </c:pt>
                <c:pt idx="368">
                  <c:v>44997.402083333334</c:v>
                </c:pt>
                <c:pt idx="369">
                  <c:v>44998.313888888886</c:v>
                </c:pt>
                <c:pt idx="370">
                  <c:v>44999.320138888892</c:v>
                </c:pt>
                <c:pt idx="371">
                  <c:v>45000.332638888889</c:v>
                </c:pt>
                <c:pt idx="372">
                  <c:v>45001.308333333334</c:v>
                </c:pt>
                <c:pt idx="373">
                  <c:v>45002.343055555553</c:v>
                </c:pt>
                <c:pt idx="374">
                  <c:v>45003.309027777781</c:v>
                </c:pt>
                <c:pt idx="375">
                  <c:v>45004.407638888886</c:v>
                </c:pt>
                <c:pt idx="376">
                  <c:v>45005.320138888892</c:v>
                </c:pt>
                <c:pt idx="377">
                  <c:v>45006.311111111114</c:v>
                </c:pt>
                <c:pt idx="378">
                  <c:v>45007.395833333336</c:v>
                </c:pt>
                <c:pt idx="379">
                  <c:v>45008.327777777777</c:v>
                </c:pt>
                <c:pt idx="380">
                  <c:v>45009.348611111112</c:v>
                </c:pt>
                <c:pt idx="381">
                  <c:v>45010.462500000001</c:v>
                </c:pt>
                <c:pt idx="382">
                  <c:v>45011.392361111109</c:v>
                </c:pt>
                <c:pt idx="383">
                  <c:v>45012.320833333331</c:v>
                </c:pt>
                <c:pt idx="384">
                  <c:v>45013.374305555553</c:v>
                </c:pt>
                <c:pt idx="385">
                  <c:v>45014.367361111108</c:v>
                </c:pt>
                <c:pt idx="386">
                  <c:v>45015.330555555556</c:v>
                </c:pt>
                <c:pt idx="387">
                  <c:v>45017.319444444445</c:v>
                </c:pt>
                <c:pt idx="388">
                  <c:v>45018.392361111109</c:v>
                </c:pt>
                <c:pt idx="389">
                  <c:v>45019.330555555556</c:v>
                </c:pt>
                <c:pt idx="390">
                  <c:v>45020.318749999999</c:v>
                </c:pt>
                <c:pt idx="391">
                  <c:v>45021.370833333334</c:v>
                </c:pt>
                <c:pt idx="392">
                  <c:v>45022.338888888888</c:v>
                </c:pt>
                <c:pt idx="393">
                  <c:v>45023.336111111108</c:v>
                </c:pt>
                <c:pt idx="394">
                  <c:v>45024.552777777775</c:v>
                </c:pt>
                <c:pt idx="395">
                  <c:v>45026.377083333333</c:v>
                </c:pt>
                <c:pt idx="396">
                  <c:v>45027.325694444444</c:v>
                </c:pt>
                <c:pt idx="397">
                  <c:v>45028.390277777777</c:v>
                </c:pt>
                <c:pt idx="398">
                  <c:v>45029.321527777778</c:v>
                </c:pt>
                <c:pt idx="399">
                  <c:v>45030.347916666666</c:v>
                </c:pt>
                <c:pt idx="400">
                  <c:v>45031.34375</c:v>
                </c:pt>
                <c:pt idx="401">
                  <c:v>45032.367361111108</c:v>
                </c:pt>
                <c:pt idx="402">
                  <c:v>45033.330555555556</c:v>
                </c:pt>
                <c:pt idx="403">
                  <c:v>45034.314583333333</c:v>
                </c:pt>
                <c:pt idx="404">
                  <c:v>45035.322916666664</c:v>
                </c:pt>
                <c:pt idx="405">
                  <c:v>45036.35833333333</c:v>
                </c:pt>
                <c:pt idx="406">
                  <c:v>45037.352083333331</c:v>
                </c:pt>
                <c:pt idx="407">
                  <c:v>45038.341666666667</c:v>
                </c:pt>
                <c:pt idx="408">
                  <c:v>45039.663888888892</c:v>
                </c:pt>
                <c:pt idx="409">
                  <c:v>45040.384722222225</c:v>
                </c:pt>
                <c:pt idx="410">
                  <c:v>45041.34097222222</c:v>
                </c:pt>
                <c:pt idx="411">
                  <c:v>45042.334027777775</c:v>
                </c:pt>
                <c:pt idx="412">
                  <c:v>45043.385416666664</c:v>
                </c:pt>
                <c:pt idx="413">
                  <c:v>45044.308333333334</c:v>
                </c:pt>
                <c:pt idx="414">
                  <c:v>45045.330555555556</c:v>
                </c:pt>
                <c:pt idx="415">
                  <c:v>45046.46875</c:v>
                </c:pt>
                <c:pt idx="416">
                  <c:v>45047.34652777778</c:v>
                </c:pt>
                <c:pt idx="417">
                  <c:v>45048.324305555558</c:v>
                </c:pt>
                <c:pt idx="418">
                  <c:v>45049.349305555559</c:v>
                </c:pt>
                <c:pt idx="419">
                  <c:v>45050.322916666664</c:v>
                </c:pt>
                <c:pt idx="420">
                  <c:v>45051.361805555556</c:v>
                </c:pt>
                <c:pt idx="421">
                  <c:v>45052.357638888891</c:v>
                </c:pt>
                <c:pt idx="422">
                  <c:v>45053.340277777781</c:v>
                </c:pt>
                <c:pt idx="423">
                  <c:v>45054.328472222223</c:v>
                </c:pt>
                <c:pt idx="424">
                  <c:v>45055.321527777778</c:v>
                </c:pt>
                <c:pt idx="425">
                  <c:v>45056.37222222222</c:v>
                </c:pt>
                <c:pt idx="426">
                  <c:v>45057.31527777778</c:v>
                </c:pt>
                <c:pt idx="427">
                  <c:v>45058.313888888886</c:v>
                </c:pt>
                <c:pt idx="428">
                  <c:v>45059.331250000003</c:v>
                </c:pt>
                <c:pt idx="429">
                  <c:v>45060.347916666666</c:v>
                </c:pt>
                <c:pt idx="430">
                  <c:v>45061.320833333331</c:v>
                </c:pt>
                <c:pt idx="431">
                  <c:v>45062.322222222225</c:v>
                </c:pt>
                <c:pt idx="432">
                  <c:v>45063.378472222219</c:v>
                </c:pt>
                <c:pt idx="433">
                  <c:v>45064.423611111109</c:v>
                </c:pt>
                <c:pt idx="434">
                  <c:v>45065.32708333333</c:v>
                </c:pt>
                <c:pt idx="435">
                  <c:v>45066.351388888892</c:v>
                </c:pt>
                <c:pt idx="436">
                  <c:v>45067.336111111108</c:v>
                </c:pt>
                <c:pt idx="437">
                  <c:v>45068.326388888891</c:v>
                </c:pt>
                <c:pt idx="438">
                  <c:v>45069.309027777781</c:v>
                </c:pt>
                <c:pt idx="439">
                  <c:v>45070.355555555558</c:v>
                </c:pt>
                <c:pt idx="440">
                  <c:v>45071.323611111111</c:v>
                </c:pt>
                <c:pt idx="441">
                  <c:v>45072.349305555559</c:v>
                </c:pt>
                <c:pt idx="442">
                  <c:v>45073.304166666669</c:v>
                </c:pt>
                <c:pt idx="443">
                  <c:v>45074.361805555556</c:v>
                </c:pt>
                <c:pt idx="444">
                  <c:v>45075.333333333336</c:v>
                </c:pt>
                <c:pt idx="445">
                  <c:v>45076.322222222225</c:v>
                </c:pt>
                <c:pt idx="446">
                  <c:v>45077.393750000003</c:v>
                </c:pt>
                <c:pt idx="447">
                  <c:v>45078.322222222225</c:v>
                </c:pt>
                <c:pt idx="448">
                  <c:v>45079.311111111114</c:v>
                </c:pt>
                <c:pt idx="449">
                  <c:v>45080.3125</c:v>
                </c:pt>
                <c:pt idx="450">
                  <c:v>45081.324999999997</c:v>
                </c:pt>
                <c:pt idx="451">
                  <c:v>45082.320833333331</c:v>
                </c:pt>
                <c:pt idx="452">
                  <c:v>45083.314583333333</c:v>
                </c:pt>
                <c:pt idx="453">
                  <c:v>45084.361805555556</c:v>
                </c:pt>
                <c:pt idx="454">
                  <c:v>45085.355555555558</c:v>
                </c:pt>
                <c:pt idx="455">
                  <c:v>45086.355555555558</c:v>
                </c:pt>
                <c:pt idx="456">
                  <c:v>45087.315972222219</c:v>
                </c:pt>
                <c:pt idx="457">
                  <c:v>45088.431944444441</c:v>
                </c:pt>
                <c:pt idx="458">
                  <c:v>45089.319444444445</c:v>
                </c:pt>
                <c:pt idx="459">
                  <c:v>45090.314583333333</c:v>
                </c:pt>
                <c:pt idx="460">
                  <c:v>45091.330555555556</c:v>
                </c:pt>
                <c:pt idx="461">
                  <c:v>45092.324999999997</c:v>
                </c:pt>
                <c:pt idx="462">
                  <c:v>45093.313888888886</c:v>
                </c:pt>
                <c:pt idx="463">
                  <c:v>45094.336805555555</c:v>
                </c:pt>
                <c:pt idx="464">
                  <c:v>45096.323611111111</c:v>
                </c:pt>
                <c:pt idx="465">
                  <c:v>45097.320833333331</c:v>
                </c:pt>
                <c:pt idx="466">
                  <c:v>45098.526388888888</c:v>
                </c:pt>
                <c:pt idx="467">
                  <c:v>45099.324305555558</c:v>
                </c:pt>
                <c:pt idx="468">
                  <c:v>45100.335416666669</c:v>
                </c:pt>
                <c:pt idx="469">
                  <c:v>45101.365277777775</c:v>
                </c:pt>
                <c:pt idx="470">
                  <c:v>45102.376388888886</c:v>
                </c:pt>
                <c:pt idx="471">
                  <c:v>45103.318055555559</c:v>
                </c:pt>
                <c:pt idx="472">
                  <c:v>45104.311111111114</c:v>
                </c:pt>
                <c:pt idx="473">
                  <c:v>45105.315972222219</c:v>
                </c:pt>
                <c:pt idx="474">
                  <c:v>45106.342361111114</c:v>
                </c:pt>
                <c:pt idx="475">
                  <c:v>45107.288194444445</c:v>
                </c:pt>
                <c:pt idx="476">
                  <c:v>45108.3125</c:v>
                </c:pt>
                <c:pt idx="477">
                  <c:v>45110.324305555558</c:v>
                </c:pt>
                <c:pt idx="478">
                  <c:v>45111.316666666666</c:v>
                </c:pt>
                <c:pt idx="479">
                  <c:v>45112.369444444441</c:v>
                </c:pt>
                <c:pt idx="480">
                  <c:v>45113.327777777777</c:v>
                </c:pt>
                <c:pt idx="481">
                  <c:v>45114.34375</c:v>
                </c:pt>
                <c:pt idx="482">
                  <c:v>45115.51666666667</c:v>
                </c:pt>
                <c:pt idx="483">
                  <c:v>45116.40625</c:v>
                </c:pt>
                <c:pt idx="484">
                  <c:v>45117.324305555558</c:v>
                </c:pt>
                <c:pt idx="485">
                  <c:v>45118.306944444441</c:v>
                </c:pt>
                <c:pt idx="486">
                  <c:v>45119.378472222219</c:v>
                </c:pt>
                <c:pt idx="487">
                  <c:v>45120.318055555559</c:v>
                </c:pt>
                <c:pt idx="488">
                  <c:v>45121.327777777777</c:v>
                </c:pt>
                <c:pt idx="489">
                  <c:v>45122.50277777778</c:v>
                </c:pt>
                <c:pt idx="490">
                  <c:v>45123.373611111114</c:v>
                </c:pt>
                <c:pt idx="491">
                  <c:v>45124.323611111111</c:v>
                </c:pt>
                <c:pt idx="492">
                  <c:v>45125.395833333336</c:v>
                </c:pt>
                <c:pt idx="493">
                  <c:v>45140.51666666667</c:v>
                </c:pt>
                <c:pt idx="494">
                  <c:v>45141.416666666664</c:v>
                </c:pt>
                <c:pt idx="495">
                  <c:v>45142.436111111114</c:v>
                </c:pt>
                <c:pt idx="496">
                  <c:v>45143.461805555555</c:v>
                </c:pt>
                <c:pt idx="497">
                  <c:v>45145.32708333333</c:v>
                </c:pt>
                <c:pt idx="498">
                  <c:v>45146.316666666666</c:v>
                </c:pt>
                <c:pt idx="499">
                  <c:v>45147.34652777778</c:v>
                </c:pt>
                <c:pt idx="500">
                  <c:v>45148.316666666666</c:v>
                </c:pt>
                <c:pt idx="501">
                  <c:v>45149.5625</c:v>
                </c:pt>
                <c:pt idx="502">
                  <c:v>45150.349305555559</c:v>
                </c:pt>
                <c:pt idx="503">
                  <c:v>45151.379166666666</c:v>
                </c:pt>
                <c:pt idx="504">
                  <c:v>45152.388888888891</c:v>
                </c:pt>
                <c:pt idx="505">
                  <c:v>45153.343055555553</c:v>
                </c:pt>
                <c:pt idx="506">
                  <c:v>45154.322222222225</c:v>
                </c:pt>
                <c:pt idx="507">
                  <c:v>45155.322222222225</c:v>
                </c:pt>
                <c:pt idx="508">
                  <c:v>45156.351388888892</c:v>
                </c:pt>
                <c:pt idx="509">
                  <c:v>45157.393055555556</c:v>
                </c:pt>
                <c:pt idx="510">
                  <c:v>45158.372916666667</c:v>
                </c:pt>
                <c:pt idx="511">
                  <c:v>45159.327777777777</c:v>
                </c:pt>
                <c:pt idx="512">
                  <c:v>45160.317361111112</c:v>
                </c:pt>
                <c:pt idx="513">
                  <c:v>45161.35</c:v>
                </c:pt>
                <c:pt idx="514">
                  <c:v>45162.340277777781</c:v>
                </c:pt>
                <c:pt idx="515">
                  <c:v>45163.339583333334</c:v>
                </c:pt>
                <c:pt idx="516">
                  <c:v>45164.326388888891</c:v>
                </c:pt>
                <c:pt idx="517">
                  <c:v>45166.322916666664</c:v>
                </c:pt>
                <c:pt idx="518">
                  <c:v>45167.318055555559</c:v>
                </c:pt>
                <c:pt idx="519">
                  <c:v>45168.397222222222</c:v>
                </c:pt>
                <c:pt idx="520">
                  <c:v>45169.364583333336</c:v>
                </c:pt>
                <c:pt idx="521">
                  <c:v>45170.324999999997</c:v>
                </c:pt>
                <c:pt idx="522">
                  <c:v>45171.439583333333</c:v>
                </c:pt>
                <c:pt idx="523">
                  <c:v>45172.44027777778</c:v>
                </c:pt>
                <c:pt idx="524">
                  <c:v>45173.442361111112</c:v>
                </c:pt>
                <c:pt idx="525">
                  <c:v>45174.317361111112</c:v>
                </c:pt>
                <c:pt idx="526">
                  <c:v>45175.354166666664</c:v>
                </c:pt>
                <c:pt idx="527">
                  <c:v>45176.339583333334</c:v>
                </c:pt>
                <c:pt idx="528">
                  <c:v>45177.308333333334</c:v>
                </c:pt>
                <c:pt idx="529">
                  <c:v>45178.319444444445</c:v>
                </c:pt>
                <c:pt idx="530">
                  <c:v>45179.311111111114</c:v>
                </c:pt>
                <c:pt idx="531">
                  <c:v>45180.315972222219</c:v>
                </c:pt>
                <c:pt idx="532">
                  <c:v>45181.3125</c:v>
                </c:pt>
                <c:pt idx="533">
                  <c:v>45182.32708333333</c:v>
                </c:pt>
                <c:pt idx="534">
                  <c:v>45184.34097222222</c:v>
                </c:pt>
                <c:pt idx="535">
                  <c:v>45185.288888888892</c:v>
                </c:pt>
                <c:pt idx="536">
                  <c:v>45186.450694444444</c:v>
                </c:pt>
                <c:pt idx="537">
                  <c:v>45187.308333333334</c:v>
                </c:pt>
                <c:pt idx="538">
                  <c:v>45188.311805555553</c:v>
                </c:pt>
                <c:pt idx="539">
                  <c:v>45189.361111111109</c:v>
                </c:pt>
                <c:pt idx="540">
                  <c:v>45190.333333333336</c:v>
                </c:pt>
                <c:pt idx="541">
                  <c:v>45191.354166666664</c:v>
                </c:pt>
                <c:pt idx="542">
                  <c:v>45192.313194444447</c:v>
                </c:pt>
                <c:pt idx="543">
                  <c:v>45193.35833333333</c:v>
                </c:pt>
                <c:pt idx="544">
                  <c:v>45194.318055555559</c:v>
                </c:pt>
                <c:pt idx="545">
                  <c:v>45195.310416666667</c:v>
                </c:pt>
                <c:pt idx="546">
                  <c:v>45196.371527777781</c:v>
                </c:pt>
                <c:pt idx="547">
                  <c:v>45197.386805555558</c:v>
                </c:pt>
                <c:pt idx="548">
                  <c:v>45198.34375</c:v>
                </c:pt>
                <c:pt idx="549">
                  <c:v>45199.290972222225</c:v>
                </c:pt>
                <c:pt idx="550">
                  <c:v>45200.377083333333</c:v>
                </c:pt>
                <c:pt idx="551">
                  <c:v>45201.31527777778</c:v>
                </c:pt>
                <c:pt idx="552">
                  <c:v>45202.70416666667</c:v>
                </c:pt>
                <c:pt idx="553">
                  <c:v>45203.35833333333</c:v>
                </c:pt>
                <c:pt idx="554">
                  <c:v>45204.311805555553</c:v>
                </c:pt>
                <c:pt idx="555">
                  <c:v>45205.328472222223</c:v>
                </c:pt>
                <c:pt idx="556">
                  <c:v>45206.290277777778</c:v>
                </c:pt>
                <c:pt idx="557">
                  <c:v>45207.324999999997</c:v>
                </c:pt>
                <c:pt idx="558">
                  <c:v>45208.321527777778</c:v>
                </c:pt>
                <c:pt idx="559">
                  <c:v>45209.320833333331</c:v>
                </c:pt>
                <c:pt idx="560">
                  <c:v>45210.334027777775</c:v>
                </c:pt>
                <c:pt idx="561">
                  <c:v>45211.316666666666</c:v>
                </c:pt>
                <c:pt idx="562">
                  <c:v>45212.355555555558</c:v>
                </c:pt>
                <c:pt idx="563">
                  <c:v>45213.417361111111</c:v>
                </c:pt>
                <c:pt idx="564">
                  <c:v>45214.334722222222</c:v>
                </c:pt>
                <c:pt idx="565">
                  <c:v>45215.318055555559</c:v>
                </c:pt>
                <c:pt idx="566">
                  <c:v>45216.308333333334</c:v>
                </c:pt>
                <c:pt idx="567">
                  <c:v>45217.365277777775</c:v>
                </c:pt>
                <c:pt idx="568">
                  <c:v>45218.395138888889</c:v>
                </c:pt>
                <c:pt idx="569">
                  <c:v>45219.388194444444</c:v>
                </c:pt>
                <c:pt idx="570">
                  <c:v>45222.529861111114</c:v>
                </c:pt>
                <c:pt idx="571">
                  <c:v>45223.430555555555</c:v>
                </c:pt>
                <c:pt idx="572">
                  <c:v>45224.377083333333</c:v>
                </c:pt>
                <c:pt idx="573">
                  <c:v>45225.35833333333</c:v>
                </c:pt>
                <c:pt idx="574">
                  <c:v>45226.388194444444</c:v>
                </c:pt>
                <c:pt idx="575">
                  <c:v>45227.307638888888</c:v>
                </c:pt>
                <c:pt idx="576">
                  <c:v>45228.490277777775</c:v>
                </c:pt>
                <c:pt idx="577">
                  <c:v>45229.354166666664</c:v>
                </c:pt>
                <c:pt idx="578">
                  <c:v>45230.311805555553</c:v>
                </c:pt>
                <c:pt idx="579">
                  <c:v>45231.464583333334</c:v>
                </c:pt>
                <c:pt idx="580">
                  <c:v>45232.385416666664</c:v>
                </c:pt>
                <c:pt idx="581">
                  <c:v>45233.374305555553</c:v>
                </c:pt>
                <c:pt idx="582">
                  <c:v>45234.430555555555</c:v>
                </c:pt>
                <c:pt idx="583">
                  <c:v>45235.345833333333</c:v>
                </c:pt>
                <c:pt idx="584">
                  <c:v>45236.318749999999</c:v>
                </c:pt>
                <c:pt idx="585">
                  <c:v>45237.31527777778</c:v>
                </c:pt>
                <c:pt idx="586">
                  <c:v>45238.338194444441</c:v>
                </c:pt>
                <c:pt idx="587">
                  <c:v>45239.313888888886</c:v>
                </c:pt>
                <c:pt idx="588">
                  <c:v>45240.320833333331</c:v>
                </c:pt>
                <c:pt idx="589">
                  <c:v>45241.438194444447</c:v>
                </c:pt>
                <c:pt idx="590">
                  <c:v>45242.368055555555</c:v>
                </c:pt>
                <c:pt idx="591">
                  <c:v>45243.317361111112</c:v>
                </c:pt>
                <c:pt idx="592">
                  <c:v>45244.319444444445</c:v>
                </c:pt>
                <c:pt idx="593">
                  <c:v>45245.347222222219</c:v>
                </c:pt>
                <c:pt idx="594">
                  <c:v>45246.356944444444</c:v>
                </c:pt>
                <c:pt idx="595">
                  <c:v>45247.345833333333</c:v>
                </c:pt>
                <c:pt idx="596">
                  <c:v>45248.334027777775</c:v>
                </c:pt>
                <c:pt idx="597">
                  <c:v>45249.386111111111</c:v>
                </c:pt>
                <c:pt idx="598">
                  <c:v>45250.320138888892</c:v>
                </c:pt>
                <c:pt idx="599">
                  <c:v>45252.334722222222</c:v>
                </c:pt>
                <c:pt idx="600">
                  <c:v>45253.330555555556</c:v>
                </c:pt>
                <c:pt idx="601">
                  <c:v>45254.302083333336</c:v>
                </c:pt>
                <c:pt idx="602">
                  <c:v>45255.324305555558</c:v>
                </c:pt>
                <c:pt idx="603">
                  <c:v>45257.379166666666</c:v>
                </c:pt>
                <c:pt idx="604">
                  <c:v>45258.31527777778</c:v>
                </c:pt>
                <c:pt idx="605">
                  <c:v>45259.315972222219</c:v>
                </c:pt>
                <c:pt idx="606">
                  <c:v>45260.352777777778</c:v>
                </c:pt>
                <c:pt idx="607">
                  <c:v>45261.542361111111</c:v>
                </c:pt>
                <c:pt idx="608">
                  <c:v>45262.390972222223</c:v>
                </c:pt>
                <c:pt idx="609">
                  <c:v>45263.449305555558</c:v>
                </c:pt>
                <c:pt idx="610">
                  <c:v>45264.308333333334</c:v>
                </c:pt>
                <c:pt idx="611">
                  <c:v>45265.311805555553</c:v>
                </c:pt>
                <c:pt idx="612">
                  <c:v>45266.301388888889</c:v>
                </c:pt>
                <c:pt idx="613">
                  <c:v>45267.321527777778</c:v>
                </c:pt>
                <c:pt idx="614">
                  <c:v>45268.384722222225</c:v>
                </c:pt>
                <c:pt idx="615">
                  <c:v>45269.329861111109</c:v>
                </c:pt>
                <c:pt idx="616">
                  <c:v>45270.357638888891</c:v>
                </c:pt>
                <c:pt idx="617">
                  <c:v>45271.310416666667</c:v>
                </c:pt>
                <c:pt idx="618">
                  <c:v>45272.308333333334</c:v>
                </c:pt>
                <c:pt idx="619">
                  <c:v>45273.319444444445</c:v>
                </c:pt>
                <c:pt idx="620">
                  <c:v>45274.347916666666</c:v>
                </c:pt>
                <c:pt idx="621">
                  <c:v>45275.344444444447</c:v>
                </c:pt>
                <c:pt idx="622">
                  <c:v>45276.429861111108</c:v>
                </c:pt>
                <c:pt idx="623">
                  <c:v>45277.426388888889</c:v>
                </c:pt>
                <c:pt idx="624">
                  <c:v>45278.326388888891</c:v>
                </c:pt>
                <c:pt idx="625">
                  <c:v>45279.300694444442</c:v>
                </c:pt>
                <c:pt idx="626">
                  <c:v>45280.315972222219</c:v>
                </c:pt>
                <c:pt idx="627">
                  <c:v>45281.352777777778</c:v>
                </c:pt>
                <c:pt idx="628">
                  <c:v>45282.324999999997</c:v>
                </c:pt>
                <c:pt idx="629">
                  <c:v>45283.302777777775</c:v>
                </c:pt>
                <c:pt idx="630">
                  <c:v>45284.306250000001</c:v>
                </c:pt>
                <c:pt idx="631">
                  <c:v>45285.868750000001</c:v>
                </c:pt>
                <c:pt idx="632">
                  <c:v>45286.334722222222</c:v>
                </c:pt>
                <c:pt idx="633">
                  <c:v>45287.332638888889</c:v>
                </c:pt>
                <c:pt idx="634">
                  <c:v>45288.311805555553</c:v>
                </c:pt>
                <c:pt idx="635">
                  <c:v>45289.336805555555</c:v>
                </c:pt>
                <c:pt idx="636">
                  <c:v>45290.31527777778</c:v>
                </c:pt>
                <c:pt idx="637">
                  <c:v>45291.348611111112</c:v>
                </c:pt>
                <c:pt idx="638">
                  <c:v>45292.552777777775</c:v>
                </c:pt>
                <c:pt idx="639">
                  <c:v>45293.330555555556</c:v>
                </c:pt>
                <c:pt idx="640">
                  <c:v>45294.32708333333</c:v>
                </c:pt>
                <c:pt idx="641">
                  <c:v>45295.330555555556</c:v>
                </c:pt>
                <c:pt idx="642">
                  <c:v>45296.323611111111</c:v>
                </c:pt>
                <c:pt idx="643">
                  <c:v>45297.34375</c:v>
                </c:pt>
                <c:pt idx="644">
                  <c:v>45298.322222222225</c:v>
                </c:pt>
                <c:pt idx="645">
                  <c:v>45299.318055555559</c:v>
                </c:pt>
                <c:pt idx="646">
                  <c:v>45300.310416666667</c:v>
                </c:pt>
                <c:pt idx="647">
                  <c:v>45301.325694444444</c:v>
                </c:pt>
                <c:pt idx="648">
                  <c:v>45302.342361111114</c:v>
                </c:pt>
                <c:pt idx="649">
                  <c:v>45303.322222222225</c:v>
                </c:pt>
                <c:pt idx="650">
                  <c:v>45304.341666666667</c:v>
                </c:pt>
                <c:pt idx="651">
                  <c:v>45305.398611111108</c:v>
                </c:pt>
                <c:pt idx="652">
                  <c:v>45306.29583333333</c:v>
                </c:pt>
                <c:pt idx="653">
                  <c:v>45307.306250000001</c:v>
                </c:pt>
                <c:pt idx="654">
                  <c:v>45308.323611111111</c:v>
                </c:pt>
                <c:pt idx="655">
                  <c:v>45309.32916666667</c:v>
                </c:pt>
                <c:pt idx="656">
                  <c:v>45310.303472222222</c:v>
                </c:pt>
                <c:pt idx="657">
                  <c:v>45311.304861111108</c:v>
                </c:pt>
                <c:pt idx="658">
                  <c:v>45312.343055555553</c:v>
                </c:pt>
                <c:pt idx="659">
                  <c:v>45313.324305555558</c:v>
                </c:pt>
                <c:pt idx="660">
                  <c:v>45314.319444444445</c:v>
                </c:pt>
                <c:pt idx="661">
                  <c:v>45315.316666666666</c:v>
                </c:pt>
                <c:pt idx="662">
                  <c:v>45316.324305555558</c:v>
                </c:pt>
                <c:pt idx="663">
                  <c:v>45317.313888888886</c:v>
                </c:pt>
                <c:pt idx="664">
                  <c:v>45318.303472222222</c:v>
                </c:pt>
                <c:pt idx="665">
                  <c:v>45319.316666666666</c:v>
                </c:pt>
                <c:pt idx="666">
                  <c:v>45320.31527777778</c:v>
                </c:pt>
                <c:pt idx="667">
                  <c:v>45321.309027777781</c:v>
                </c:pt>
                <c:pt idx="668">
                  <c:v>45322.324305555558</c:v>
                </c:pt>
                <c:pt idx="669">
                  <c:v>45323.319444444445</c:v>
                </c:pt>
                <c:pt idx="670">
                  <c:v>45324.313888888886</c:v>
                </c:pt>
                <c:pt idx="671">
                  <c:v>45325.363194444442</c:v>
                </c:pt>
                <c:pt idx="672">
                  <c:v>45326.386111111111</c:v>
                </c:pt>
                <c:pt idx="673">
                  <c:v>45327.318749999999</c:v>
                </c:pt>
                <c:pt idx="674">
                  <c:v>45328.317361111112</c:v>
                </c:pt>
                <c:pt idx="675">
                  <c:v>45329.332638888889</c:v>
                </c:pt>
                <c:pt idx="676">
                  <c:v>45330.336111111108</c:v>
                </c:pt>
                <c:pt idx="677">
                  <c:v>45331.336805555555</c:v>
                </c:pt>
                <c:pt idx="678">
                  <c:v>45332.34097222222</c:v>
                </c:pt>
                <c:pt idx="679">
                  <c:v>45333.381944444445</c:v>
                </c:pt>
                <c:pt idx="680">
                  <c:v>45334.313194444447</c:v>
                </c:pt>
                <c:pt idx="681">
                  <c:v>45335.317361111112</c:v>
                </c:pt>
                <c:pt idx="682">
                  <c:v>45336.31527777778</c:v>
                </c:pt>
                <c:pt idx="683">
                  <c:v>45337.368750000001</c:v>
                </c:pt>
                <c:pt idx="684">
                  <c:v>45338.34097222222</c:v>
                </c:pt>
                <c:pt idx="685">
                  <c:v>45339.379166666666</c:v>
                </c:pt>
                <c:pt idx="686">
                  <c:v>45340.314583333333</c:v>
                </c:pt>
                <c:pt idx="687">
                  <c:v>45341.321527777778</c:v>
                </c:pt>
                <c:pt idx="688">
                  <c:v>45342.318055555559</c:v>
                </c:pt>
                <c:pt idx="689">
                  <c:v>45343.314583333333</c:v>
                </c:pt>
                <c:pt idx="690">
                  <c:v>45344.333333333336</c:v>
                </c:pt>
                <c:pt idx="691">
                  <c:v>45345.313194444447</c:v>
                </c:pt>
                <c:pt idx="692">
                  <c:v>45346.320138888892</c:v>
                </c:pt>
                <c:pt idx="693">
                  <c:v>45347.338888888888</c:v>
                </c:pt>
                <c:pt idx="694">
                  <c:v>45348.344444444447</c:v>
                </c:pt>
                <c:pt idx="695">
                  <c:v>45349.325694444444</c:v>
                </c:pt>
                <c:pt idx="696">
                  <c:v>45350.329861111109</c:v>
                </c:pt>
                <c:pt idx="697">
                  <c:v>45351.289583333331</c:v>
                </c:pt>
                <c:pt idx="698">
                  <c:v>45352.338194444441</c:v>
                </c:pt>
                <c:pt idx="699">
                  <c:v>45353.354861111111</c:v>
                </c:pt>
                <c:pt idx="700">
                  <c:v>45354.340277777781</c:v>
                </c:pt>
                <c:pt idx="701">
                  <c:v>45355.313888888886</c:v>
                </c:pt>
                <c:pt idx="702">
                  <c:v>45356.30972222222</c:v>
                </c:pt>
                <c:pt idx="703">
                  <c:v>45357.340277777781</c:v>
                </c:pt>
                <c:pt idx="704">
                  <c:v>45358.311111111114</c:v>
                </c:pt>
                <c:pt idx="705">
                  <c:v>45359.347222222219</c:v>
                </c:pt>
                <c:pt idx="706">
                  <c:v>45360.330555555556</c:v>
                </c:pt>
                <c:pt idx="707">
                  <c:v>45361.347916666666</c:v>
                </c:pt>
                <c:pt idx="708">
                  <c:v>45362.320138888892</c:v>
                </c:pt>
                <c:pt idx="709">
                  <c:v>45363.318055555559</c:v>
                </c:pt>
                <c:pt idx="710">
                  <c:v>45364.369444444441</c:v>
                </c:pt>
                <c:pt idx="711">
                  <c:v>45365.330555555556</c:v>
                </c:pt>
                <c:pt idx="712">
                  <c:v>45366.332638888889</c:v>
                </c:pt>
                <c:pt idx="713">
                  <c:v>45367.34375</c:v>
                </c:pt>
                <c:pt idx="714">
                  <c:v>45368.365972222222</c:v>
                </c:pt>
                <c:pt idx="715">
                  <c:v>45369.311805555553</c:v>
                </c:pt>
                <c:pt idx="716">
                  <c:v>45370.314583333333</c:v>
                </c:pt>
                <c:pt idx="717">
                  <c:v>45371.327777777777</c:v>
                </c:pt>
                <c:pt idx="718">
                  <c:v>45372.307638888888</c:v>
                </c:pt>
                <c:pt idx="719">
                  <c:v>45373.333333333336</c:v>
                </c:pt>
                <c:pt idx="720">
                  <c:v>45374.322916666664</c:v>
                </c:pt>
                <c:pt idx="721">
                  <c:v>45375.324305555558</c:v>
                </c:pt>
                <c:pt idx="722">
                  <c:v>45376.317361111112</c:v>
                </c:pt>
                <c:pt idx="723">
                  <c:v>45377.306944444441</c:v>
                </c:pt>
                <c:pt idx="724">
                  <c:v>45378.350694444445</c:v>
                </c:pt>
                <c:pt idx="725">
                  <c:v>45379.306944444441</c:v>
                </c:pt>
                <c:pt idx="726">
                  <c:v>45380.338888888888</c:v>
                </c:pt>
                <c:pt idx="727">
                  <c:v>45381.339583333334</c:v>
                </c:pt>
                <c:pt idx="728">
                  <c:v>45383.348611111112</c:v>
                </c:pt>
                <c:pt idx="729">
                  <c:v>45384.314583333333</c:v>
                </c:pt>
                <c:pt idx="730">
                  <c:v>45385.36041666667</c:v>
                </c:pt>
                <c:pt idx="731">
                  <c:v>45386.311805555553</c:v>
                </c:pt>
                <c:pt idx="732">
                  <c:v>45387.331944444442</c:v>
                </c:pt>
                <c:pt idx="733">
                  <c:v>45388.274305555555</c:v>
                </c:pt>
                <c:pt idx="734">
                  <c:v>45389.361111111109</c:v>
                </c:pt>
                <c:pt idx="735">
                  <c:v>45390.361111111109</c:v>
                </c:pt>
                <c:pt idx="736">
                  <c:v>45391.302083333336</c:v>
                </c:pt>
                <c:pt idx="737">
                  <c:v>45392.32708333333</c:v>
                </c:pt>
                <c:pt idx="738">
                  <c:v>45393.306250000001</c:v>
                </c:pt>
                <c:pt idx="739">
                  <c:v>45394.352083333331</c:v>
                </c:pt>
                <c:pt idx="740">
                  <c:v>45395.335416666669</c:v>
                </c:pt>
                <c:pt idx="741">
                  <c:v>45396.327777777777</c:v>
                </c:pt>
                <c:pt idx="742">
                  <c:v>45397.324305555558</c:v>
                </c:pt>
                <c:pt idx="743">
                  <c:v>45398.3125</c:v>
                </c:pt>
                <c:pt idx="744">
                  <c:v>45399.320138888892</c:v>
                </c:pt>
                <c:pt idx="745">
                  <c:v>45400.354166666664</c:v>
                </c:pt>
                <c:pt idx="746">
                  <c:v>45401.311805555553</c:v>
                </c:pt>
                <c:pt idx="747">
                  <c:v>45402.357638888891</c:v>
                </c:pt>
                <c:pt idx="748">
                  <c:v>45403.313194444447</c:v>
                </c:pt>
                <c:pt idx="749">
                  <c:v>45404.318055555559</c:v>
                </c:pt>
                <c:pt idx="750">
                  <c:v>45405.311111111114</c:v>
                </c:pt>
                <c:pt idx="751">
                  <c:v>45406.315972222219</c:v>
                </c:pt>
                <c:pt idx="752">
                  <c:v>45407.34652777778</c:v>
                </c:pt>
                <c:pt idx="753">
                  <c:v>45408.349305555559</c:v>
                </c:pt>
                <c:pt idx="754">
                  <c:v>45409.368055555555</c:v>
                </c:pt>
                <c:pt idx="755">
                  <c:v>45410.32708333333</c:v>
                </c:pt>
                <c:pt idx="756">
                  <c:v>45411.31527777778</c:v>
                </c:pt>
                <c:pt idx="757">
                  <c:v>45413.475694444445</c:v>
                </c:pt>
                <c:pt idx="758">
                  <c:v>45414.311111111114</c:v>
                </c:pt>
                <c:pt idx="759">
                  <c:v>45415.318749999999</c:v>
                </c:pt>
                <c:pt idx="760">
                  <c:v>45416.310416666667</c:v>
                </c:pt>
                <c:pt idx="761">
                  <c:v>45417.327777777777</c:v>
                </c:pt>
                <c:pt idx="762">
                  <c:v>45418.319444444445</c:v>
                </c:pt>
                <c:pt idx="763">
                  <c:v>45419.311805555553</c:v>
                </c:pt>
                <c:pt idx="764">
                  <c:v>45420.340277777781</c:v>
                </c:pt>
                <c:pt idx="765">
                  <c:v>45421.313194444447</c:v>
                </c:pt>
                <c:pt idx="766">
                  <c:v>45422.332638888889</c:v>
                </c:pt>
                <c:pt idx="767">
                  <c:v>45423.311805555553</c:v>
                </c:pt>
                <c:pt idx="768">
                  <c:v>45424.32708333333</c:v>
                </c:pt>
                <c:pt idx="769">
                  <c:v>45425.313888888886</c:v>
                </c:pt>
                <c:pt idx="770">
                  <c:v>45426.319444444445</c:v>
                </c:pt>
                <c:pt idx="771">
                  <c:v>45427.338194444441</c:v>
                </c:pt>
                <c:pt idx="772">
                  <c:v>45428.338194444441</c:v>
                </c:pt>
                <c:pt idx="773">
                  <c:v>45429.321527777778</c:v>
                </c:pt>
                <c:pt idx="774">
                  <c:v>45430.336111111108</c:v>
                </c:pt>
                <c:pt idx="775">
                  <c:v>45432.377083333333</c:v>
                </c:pt>
                <c:pt idx="776">
                  <c:v>45433.311111111114</c:v>
                </c:pt>
                <c:pt idx="777">
                  <c:v>45434.345138888886</c:v>
                </c:pt>
                <c:pt idx="778">
                  <c:v>45435.3</c:v>
                </c:pt>
                <c:pt idx="779">
                  <c:v>45436.352083333331</c:v>
                </c:pt>
                <c:pt idx="780">
                  <c:v>45437.32708333333</c:v>
                </c:pt>
                <c:pt idx="781">
                  <c:v>45439.317361111112</c:v>
                </c:pt>
                <c:pt idx="782">
                  <c:v>45440.310416666667</c:v>
                </c:pt>
                <c:pt idx="783">
                  <c:v>45441.328472222223</c:v>
                </c:pt>
                <c:pt idx="784">
                  <c:v>45442.335416666669</c:v>
                </c:pt>
                <c:pt idx="785">
                  <c:v>45443.342361111114</c:v>
                </c:pt>
                <c:pt idx="786">
                  <c:v>45444.31527777778</c:v>
                </c:pt>
                <c:pt idx="787">
                  <c:v>45445.381249999999</c:v>
                </c:pt>
                <c:pt idx="788">
                  <c:v>45446.320138888892</c:v>
                </c:pt>
                <c:pt idx="789">
                  <c:v>45447.3125</c:v>
                </c:pt>
                <c:pt idx="790">
                  <c:v>45448.336111111108</c:v>
                </c:pt>
                <c:pt idx="791">
                  <c:v>45449.324305555558</c:v>
                </c:pt>
                <c:pt idx="792">
                  <c:v>45450.330555555556</c:v>
                </c:pt>
                <c:pt idx="793">
                  <c:v>45451.302083333336</c:v>
                </c:pt>
                <c:pt idx="794">
                  <c:v>45452.339583333334</c:v>
                </c:pt>
                <c:pt idx="795">
                  <c:v>45453.310416666667</c:v>
                </c:pt>
                <c:pt idx="796">
                  <c:v>45454.313194444447</c:v>
                </c:pt>
                <c:pt idx="797">
                  <c:v>45455.32708333333</c:v>
                </c:pt>
                <c:pt idx="798">
                  <c:v>45456.334722222222</c:v>
                </c:pt>
                <c:pt idx="799">
                  <c:v>45457.350694444445</c:v>
                </c:pt>
                <c:pt idx="800">
                  <c:v>45458.321527777778</c:v>
                </c:pt>
                <c:pt idx="801">
                  <c:v>45459.4375</c:v>
                </c:pt>
                <c:pt idx="802">
                  <c:v>45460.31527777778</c:v>
                </c:pt>
                <c:pt idx="803">
                  <c:v>45461.324999999997</c:v>
                </c:pt>
                <c:pt idx="804">
                  <c:v>45462.361111111109</c:v>
                </c:pt>
                <c:pt idx="805">
                  <c:v>45463.315972222219</c:v>
                </c:pt>
                <c:pt idx="806">
                  <c:v>45464.320833333331</c:v>
                </c:pt>
                <c:pt idx="807">
                  <c:v>45465.303472222222</c:v>
                </c:pt>
                <c:pt idx="808">
                  <c:v>45466.464583333334</c:v>
                </c:pt>
              </c:numCache>
            </c:numRef>
          </c:cat>
          <c:val>
            <c:numRef>
              <c:f>'Suivi Conso New'!#REF!</c:f>
              <c:numCache>
                <c:formatCode>0.00</c:formatCode>
                <c:ptCount val="809"/>
                <c:pt idx="0">
                  <c:v>-2.2999999999999998</c:v>
                </c:pt>
                <c:pt idx="1">
                  <c:v>-1.9</c:v>
                </c:pt>
                <c:pt idx="2">
                  <c:v>5.2</c:v>
                </c:pt>
                <c:pt idx="3">
                  <c:v>5.3</c:v>
                </c:pt>
                <c:pt idx="4">
                  <c:v>3.2</c:v>
                </c:pt>
                <c:pt idx="5">
                  <c:v>2.8</c:v>
                </c:pt>
                <c:pt idx="6">
                  <c:v>4</c:v>
                </c:pt>
                <c:pt idx="7">
                  <c:v>3.7</c:v>
                </c:pt>
                <c:pt idx="8">
                  <c:v>3.6</c:v>
                </c:pt>
                <c:pt idx="9">
                  <c:v>-1.4</c:v>
                </c:pt>
                <c:pt idx="10">
                  <c:v>-0.1</c:v>
                </c:pt>
                <c:pt idx="11">
                  <c:v>7.6</c:v>
                </c:pt>
                <c:pt idx="12">
                  <c:v>-0.5</c:v>
                </c:pt>
                <c:pt idx="13">
                  <c:v>-1</c:v>
                </c:pt>
                <c:pt idx="14">
                  <c:v>0.4</c:v>
                </c:pt>
                <c:pt idx="15">
                  <c:v>-0.6</c:v>
                </c:pt>
                <c:pt idx="16">
                  <c:v>-0.9</c:v>
                </c:pt>
                <c:pt idx="17">
                  <c:v>-2.5</c:v>
                </c:pt>
                <c:pt idx="18">
                  <c:v>2.2000000000000002</c:v>
                </c:pt>
                <c:pt idx="19">
                  <c:v>2.5</c:v>
                </c:pt>
                <c:pt idx="20">
                  <c:v>10.7</c:v>
                </c:pt>
                <c:pt idx="21">
                  <c:v>0</c:v>
                </c:pt>
                <c:pt idx="22">
                  <c:v>5.7</c:v>
                </c:pt>
                <c:pt idx="23">
                  <c:v>3</c:v>
                </c:pt>
                <c:pt idx="24">
                  <c:v>3.1</c:v>
                </c:pt>
                <c:pt idx="25">
                  <c:v>-0.4</c:v>
                </c:pt>
                <c:pt idx="26">
                  <c:v>-0.5</c:v>
                </c:pt>
                <c:pt idx="27">
                  <c:v>0.1</c:v>
                </c:pt>
                <c:pt idx="28">
                  <c:v>7.8</c:v>
                </c:pt>
                <c:pt idx="29">
                  <c:v>6.9</c:v>
                </c:pt>
                <c:pt idx="30">
                  <c:v>6.9</c:v>
                </c:pt>
                <c:pt idx="31">
                  <c:v>2.2000000000000002</c:v>
                </c:pt>
                <c:pt idx="32">
                  <c:v>-3</c:v>
                </c:pt>
                <c:pt idx="33">
                  <c:v>-2.9</c:v>
                </c:pt>
                <c:pt idx="34">
                  <c:v>5.8</c:v>
                </c:pt>
                <c:pt idx="35">
                  <c:v>5.8</c:v>
                </c:pt>
                <c:pt idx="36">
                  <c:v>7.6</c:v>
                </c:pt>
                <c:pt idx="37">
                  <c:v>6.6</c:v>
                </c:pt>
                <c:pt idx="765">
                  <c:v>7.3</c:v>
                </c:pt>
                <c:pt idx="766">
                  <c:v>7.8</c:v>
                </c:pt>
              </c:numCache>
            </c:numRef>
          </c:val>
        </c:ser>
        <c:ser>
          <c:idx val="2"/>
          <c:order val="1"/>
          <c:tx>
            <c:strRef>
              <c:f>'Suivi Conso New'!$O$3</c:f>
              <c:strCache>
                <c:ptCount val="1"/>
                <c:pt idx="0">
                  <c:v>Max-Min</c:v>
                </c:pt>
              </c:strCache>
            </c:strRef>
          </c:tx>
          <c:spPr>
            <a:gradFill>
              <a:gsLst>
                <a:gs pos="0">
                  <a:srgbClr val="FF0000">
                    <a:alpha val="50000"/>
                    <a:lumMod val="100000"/>
                  </a:srgbClr>
                </a:gs>
                <a:gs pos="50000">
                  <a:schemeClr val="bg1">
                    <a:alpha val="50000"/>
                  </a:schemeClr>
                </a:gs>
                <a:gs pos="100000">
                  <a:schemeClr val="tx2">
                    <a:alpha val="50000"/>
                  </a:schemeClr>
                </a:gs>
              </a:gsLst>
              <a:lin ang="5400000" scaled="0"/>
            </a:gradFill>
          </c:spPr>
          <c:cat>
            <c:numRef>
              <c:f>'Suivi Conso New'!#REF!</c:f>
              <c:numCache>
                <c:formatCode>d/m/yy\ h:mm;@</c:formatCode>
                <c:ptCount val="809"/>
                <c:pt idx="0">
                  <c:v>44588.306944444441</c:v>
                </c:pt>
                <c:pt idx="1">
                  <c:v>44589.354861111111</c:v>
                </c:pt>
                <c:pt idx="2">
                  <c:v>44590.316666666666</c:v>
                </c:pt>
                <c:pt idx="3">
                  <c:v>44591.369444444441</c:v>
                </c:pt>
                <c:pt idx="4">
                  <c:v>44592.310416666667</c:v>
                </c:pt>
                <c:pt idx="5">
                  <c:v>44593.308333333334</c:v>
                </c:pt>
                <c:pt idx="6">
                  <c:v>44594.327777777777</c:v>
                </c:pt>
                <c:pt idx="7">
                  <c:v>44595.347222222219</c:v>
                </c:pt>
                <c:pt idx="8">
                  <c:v>44596.349305555559</c:v>
                </c:pt>
                <c:pt idx="9">
                  <c:v>44597.365972222222</c:v>
                </c:pt>
                <c:pt idx="10">
                  <c:v>44598.431944444441</c:v>
                </c:pt>
                <c:pt idx="11">
                  <c:v>44599.319444444445</c:v>
                </c:pt>
                <c:pt idx="12">
                  <c:v>44600.311111111114</c:v>
                </c:pt>
                <c:pt idx="13">
                  <c:v>44601.356249999997</c:v>
                </c:pt>
                <c:pt idx="14">
                  <c:v>44602.35833333333</c:v>
                </c:pt>
                <c:pt idx="15">
                  <c:v>44603.345138888886</c:v>
                </c:pt>
                <c:pt idx="16">
                  <c:v>44604.306944444441</c:v>
                </c:pt>
                <c:pt idx="17">
                  <c:v>44606.317361111112</c:v>
                </c:pt>
                <c:pt idx="18">
                  <c:v>44607.304861111108</c:v>
                </c:pt>
                <c:pt idx="19">
                  <c:v>44608.324999999997</c:v>
                </c:pt>
                <c:pt idx="20">
                  <c:v>44609.369444444441</c:v>
                </c:pt>
                <c:pt idx="21">
                  <c:v>44612.501388888886</c:v>
                </c:pt>
                <c:pt idx="22">
                  <c:v>44613.348611111112</c:v>
                </c:pt>
                <c:pt idx="23">
                  <c:v>44614.397916666669</c:v>
                </c:pt>
                <c:pt idx="24">
                  <c:v>44616.357638888891</c:v>
                </c:pt>
                <c:pt idx="25">
                  <c:v>44617.413194444445</c:v>
                </c:pt>
                <c:pt idx="26">
                  <c:v>44620.315972222219</c:v>
                </c:pt>
                <c:pt idx="27">
                  <c:v>44621.313888888886</c:v>
                </c:pt>
                <c:pt idx="28">
                  <c:v>44622.354166666664</c:v>
                </c:pt>
                <c:pt idx="29">
                  <c:v>44623.352083333331</c:v>
                </c:pt>
                <c:pt idx="30">
                  <c:v>44624.350694444445</c:v>
                </c:pt>
                <c:pt idx="31">
                  <c:v>44625.352777777778</c:v>
                </c:pt>
                <c:pt idx="32">
                  <c:v>44627.323611111111</c:v>
                </c:pt>
                <c:pt idx="33">
                  <c:v>44628.318749999999</c:v>
                </c:pt>
                <c:pt idx="34">
                  <c:v>44629.32708333333</c:v>
                </c:pt>
                <c:pt idx="35">
                  <c:v>44630.350694444445</c:v>
                </c:pt>
                <c:pt idx="36">
                  <c:v>44631.377083333333</c:v>
                </c:pt>
                <c:pt idx="37">
                  <c:v>44632.318055555559</c:v>
                </c:pt>
                <c:pt idx="38">
                  <c:v>44633.4</c:v>
                </c:pt>
                <c:pt idx="39">
                  <c:v>44634.325694444444</c:v>
                </c:pt>
                <c:pt idx="40">
                  <c:v>44635.316666666666</c:v>
                </c:pt>
                <c:pt idx="41">
                  <c:v>44636.319444444445</c:v>
                </c:pt>
                <c:pt idx="42">
                  <c:v>44637.433333333334</c:v>
                </c:pt>
                <c:pt idx="43">
                  <c:v>44638.349305555559</c:v>
                </c:pt>
                <c:pt idx="44">
                  <c:v>44639.329861111109</c:v>
                </c:pt>
                <c:pt idx="45">
                  <c:v>44640.384027777778</c:v>
                </c:pt>
                <c:pt idx="46">
                  <c:v>44641.328472222223</c:v>
                </c:pt>
                <c:pt idx="47">
                  <c:v>44642.306250000001</c:v>
                </c:pt>
                <c:pt idx="48">
                  <c:v>44643.37222222222</c:v>
                </c:pt>
                <c:pt idx="49">
                  <c:v>44644.322916666664</c:v>
                </c:pt>
                <c:pt idx="50">
                  <c:v>44645.34375</c:v>
                </c:pt>
                <c:pt idx="51">
                  <c:v>44646.310416666667</c:v>
                </c:pt>
                <c:pt idx="52">
                  <c:v>44647.415277777778</c:v>
                </c:pt>
                <c:pt idx="53">
                  <c:v>44648.330555555556</c:v>
                </c:pt>
                <c:pt idx="54">
                  <c:v>44649.307638888888</c:v>
                </c:pt>
                <c:pt idx="55">
                  <c:v>44650.302083333336</c:v>
                </c:pt>
                <c:pt idx="56">
                  <c:v>44651.354166666664</c:v>
                </c:pt>
                <c:pt idx="57">
                  <c:v>44652.319444444445</c:v>
                </c:pt>
                <c:pt idx="58">
                  <c:v>44653.337500000001</c:v>
                </c:pt>
                <c:pt idx="59">
                  <c:v>44655.328472222223</c:v>
                </c:pt>
                <c:pt idx="60">
                  <c:v>44656.311111111114</c:v>
                </c:pt>
                <c:pt idx="61">
                  <c:v>44657.324999999997</c:v>
                </c:pt>
                <c:pt idx="62">
                  <c:v>44658.334027777775</c:v>
                </c:pt>
                <c:pt idx="63">
                  <c:v>44659.350694444445</c:v>
                </c:pt>
                <c:pt idx="64">
                  <c:v>44660.356249999997</c:v>
                </c:pt>
                <c:pt idx="65">
                  <c:v>44661.318749999999</c:v>
                </c:pt>
                <c:pt idx="66">
                  <c:v>44662.323611111111</c:v>
                </c:pt>
                <c:pt idx="67">
                  <c:v>44663.318055555559</c:v>
                </c:pt>
                <c:pt idx="68">
                  <c:v>44664.316666666666</c:v>
                </c:pt>
                <c:pt idx="69">
                  <c:v>44665.342361111114</c:v>
                </c:pt>
                <c:pt idx="70">
                  <c:v>44666.384722222225</c:v>
                </c:pt>
                <c:pt idx="71">
                  <c:v>44667.31527777778</c:v>
                </c:pt>
                <c:pt idx="72">
                  <c:v>44668.347916666666</c:v>
                </c:pt>
                <c:pt idx="73">
                  <c:v>44670.322222222225</c:v>
                </c:pt>
                <c:pt idx="74">
                  <c:v>44671.309027777781</c:v>
                </c:pt>
                <c:pt idx="75">
                  <c:v>44672.314583333333</c:v>
                </c:pt>
                <c:pt idx="76">
                  <c:v>44673.347222222219</c:v>
                </c:pt>
                <c:pt idx="77">
                  <c:v>44674.461111111108</c:v>
                </c:pt>
                <c:pt idx="78">
                  <c:v>44675.356249999997</c:v>
                </c:pt>
                <c:pt idx="79">
                  <c:v>44677.357638888891</c:v>
                </c:pt>
                <c:pt idx="80">
                  <c:v>44678.388888888891</c:v>
                </c:pt>
                <c:pt idx="81">
                  <c:v>44679.313888888886</c:v>
                </c:pt>
                <c:pt idx="82">
                  <c:v>44680.336111111108</c:v>
                </c:pt>
                <c:pt idx="83">
                  <c:v>44681.359722222223</c:v>
                </c:pt>
                <c:pt idx="84">
                  <c:v>44682.336805555555</c:v>
                </c:pt>
                <c:pt idx="85">
                  <c:v>44683.318055555559</c:v>
                </c:pt>
                <c:pt idx="86">
                  <c:v>44684.311111111114</c:v>
                </c:pt>
                <c:pt idx="87">
                  <c:v>44685.341666666667</c:v>
                </c:pt>
                <c:pt idx="88">
                  <c:v>44686.306944444441</c:v>
                </c:pt>
                <c:pt idx="89">
                  <c:v>44687.322916666664</c:v>
                </c:pt>
                <c:pt idx="90">
                  <c:v>44688.351388888892</c:v>
                </c:pt>
                <c:pt idx="91">
                  <c:v>44689.48333333333</c:v>
                </c:pt>
                <c:pt idx="92">
                  <c:v>44690.322916666664</c:v>
                </c:pt>
                <c:pt idx="93">
                  <c:v>44691.3125</c:v>
                </c:pt>
                <c:pt idx="94">
                  <c:v>44692.36041666667</c:v>
                </c:pt>
                <c:pt idx="95">
                  <c:v>44693.302083333336</c:v>
                </c:pt>
                <c:pt idx="96">
                  <c:v>44694.348611111112</c:v>
                </c:pt>
                <c:pt idx="97">
                  <c:v>44695.335416666669</c:v>
                </c:pt>
                <c:pt idx="98">
                  <c:v>44696.374305555553</c:v>
                </c:pt>
                <c:pt idx="99">
                  <c:v>44697.314583333333</c:v>
                </c:pt>
                <c:pt idx="100">
                  <c:v>44698.313194444447</c:v>
                </c:pt>
                <c:pt idx="101">
                  <c:v>44699.352777777778</c:v>
                </c:pt>
                <c:pt idx="102">
                  <c:v>44700.306944444441</c:v>
                </c:pt>
                <c:pt idx="103">
                  <c:v>44701.344444444447</c:v>
                </c:pt>
                <c:pt idx="104">
                  <c:v>44702.284722222219</c:v>
                </c:pt>
                <c:pt idx="105">
                  <c:v>44704.321527777778</c:v>
                </c:pt>
                <c:pt idx="106">
                  <c:v>44705.320138888892</c:v>
                </c:pt>
                <c:pt idx="107">
                  <c:v>44706.347222222219</c:v>
                </c:pt>
                <c:pt idx="108">
                  <c:v>44707.390277777777</c:v>
                </c:pt>
                <c:pt idx="109">
                  <c:v>44708.337500000001</c:v>
                </c:pt>
                <c:pt idx="110">
                  <c:v>44709.306250000001</c:v>
                </c:pt>
                <c:pt idx="111">
                  <c:v>44710.356944444444</c:v>
                </c:pt>
                <c:pt idx="112">
                  <c:v>44711.320833333331</c:v>
                </c:pt>
                <c:pt idx="113">
                  <c:v>44712.322916666664</c:v>
                </c:pt>
                <c:pt idx="114">
                  <c:v>44713.322916666664</c:v>
                </c:pt>
                <c:pt idx="115">
                  <c:v>44714.304166666669</c:v>
                </c:pt>
                <c:pt idx="116">
                  <c:v>44715.309027777781</c:v>
                </c:pt>
                <c:pt idx="117">
                  <c:v>44716.347222222219</c:v>
                </c:pt>
                <c:pt idx="118">
                  <c:v>44717.347222222219</c:v>
                </c:pt>
                <c:pt idx="119">
                  <c:v>44719.318055555559</c:v>
                </c:pt>
                <c:pt idx="120">
                  <c:v>44720.364583333336</c:v>
                </c:pt>
                <c:pt idx="121">
                  <c:v>44721.319444444445</c:v>
                </c:pt>
                <c:pt idx="122">
                  <c:v>44722.334027777775</c:v>
                </c:pt>
                <c:pt idx="123">
                  <c:v>44723.320833333331</c:v>
                </c:pt>
                <c:pt idx="124">
                  <c:v>44724.353472222225</c:v>
                </c:pt>
                <c:pt idx="125">
                  <c:v>44725.335416666669</c:v>
                </c:pt>
                <c:pt idx="126">
                  <c:v>44726.321527777778</c:v>
                </c:pt>
                <c:pt idx="127">
                  <c:v>44727.296527777777</c:v>
                </c:pt>
                <c:pt idx="128">
                  <c:v>44728.322222222225</c:v>
                </c:pt>
                <c:pt idx="129">
                  <c:v>44729.31527777778</c:v>
                </c:pt>
                <c:pt idx="130">
                  <c:v>44730.36041666667</c:v>
                </c:pt>
                <c:pt idx="131">
                  <c:v>44731.375694444447</c:v>
                </c:pt>
                <c:pt idx="132">
                  <c:v>44732.313888888886</c:v>
                </c:pt>
                <c:pt idx="133">
                  <c:v>44733.307638888888</c:v>
                </c:pt>
                <c:pt idx="134">
                  <c:v>44734.311805555553</c:v>
                </c:pt>
                <c:pt idx="135">
                  <c:v>44735.313194444447</c:v>
                </c:pt>
                <c:pt idx="136">
                  <c:v>44736.322222222225</c:v>
                </c:pt>
                <c:pt idx="137">
                  <c:v>44737.38958333333</c:v>
                </c:pt>
                <c:pt idx="138">
                  <c:v>44738.408333333333</c:v>
                </c:pt>
                <c:pt idx="139">
                  <c:v>44739.320833333331</c:v>
                </c:pt>
                <c:pt idx="140">
                  <c:v>44740.313194444447</c:v>
                </c:pt>
                <c:pt idx="141">
                  <c:v>44741.350694444445</c:v>
                </c:pt>
                <c:pt idx="142">
                  <c:v>44742.323611111111</c:v>
                </c:pt>
                <c:pt idx="143">
                  <c:v>44743.336111111108</c:v>
                </c:pt>
                <c:pt idx="144">
                  <c:v>44745.384722222225</c:v>
                </c:pt>
                <c:pt idx="145">
                  <c:v>44746.318749999999</c:v>
                </c:pt>
                <c:pt idx="146">
                  <c:v>44747.299305555556</c:v>
                </c:pt>
                <c:pt idx="147">
                  <c:v>44748.342361111114</c:v>
                </c:pt>
                <c:pt idx="148">
                  <c:v>44749.314583333333</c:v>
                </c:pt>
                <c:pt idx="149">
                  <c:v>44750.343055555553</c:v>
                </c:pt>
                <c:pt idx="150">
                  <c:v>44751.455555555556</c:v>
                </c:pt>
                <c:pt idx="151">
                  <c:v>44752.465277777781</c:v>
                </c:pt>
                <c:pt idx="152">
                  <c:v>44753.314583333333</c:v>
                </c:pt>
                <c:pt idx="153">
                  <c:v>44754.320138888892</c:v>
                </c:pt>
                <c:pt idx="154">
                  <c:v>44755.311805555553</c:v>
                </c:pt>
                <c:pt idx="155">
                  <c:v>44756.347222222219</c:v>
                </c:pt>
                <c:pt idx="156">
                  <c:v>44757.318055555559</c:v>
                </c:pt>
                <c:pt idx="157">
                  <c:v>44758.425694444442</c:v>
                </c:pt>
                <c:pt idx="158">
                  <c:v>44759.459722222222</c:v>
                </c:pt>
                <c:pt idx="159">
                  <c:v>44760.376388888886</c:v>
                </c:pt>
                <c:pt idx="160">
                  <c:v>44761.365972222222</c:v>
                </c:pt>
                <c:pt idx="161">
                  <c:v>44762.32708333333</c:v>
                </c:pt>
                <c:pt idx="162">
                  <c:v>44763.347222222219</c:v>
                </c:pt>
                <c:pt idx="163">
                  <c:v>44764.329861111109</c:v>
                </c:pt>
                <c:pt idx="164">
                  <c:v>44765.144444444442</c:v>
                </c:pt>
                <c:pt idx="165">
                  <c:v>44779.277777777781</c:v>
                </c:pt>
                <c:pt idx="166">
                  <c:v>44780.34097222222</c:v>
                </c:pt>
                <c:pt idx="167">
                  <c:v>44781.331944444442</c:v>
                </c:pt>
                <c:pt idx="168">
                  <c:v>44782.318055555559</c:v>
                </c:pt>
                <c:pt idx="169">
                  <c:v>44783.34652777778</c:v>
                </c:pt>
                <c:pt idx="170">
                  <c:v>44784.345833333333</c:v>
                </c:pt>
                <c:pt idx="171">
                  <c:v>44785.351388888892</c:v>
                </c:pt>
                <c:pt idx="172">
                  <c:v>44786.336111111108</c:v>
                </c:pt>
                <c:pt idx="173">
                  <c:v>44789.318055555559</c:v>
                </c:pt>
                <c:pt idx="174">
                  <c:v>44790.356944444444</c:v>
                </c:pt>
                <c:pt idx="175">
                  <c:v>44791.316666666666</c:v>
                </c:pt>
                <c:pt idx="176">
                  <c:v>44792.306944444441</c:v>
                </c:pt>
                <c:pt idx="177">
                  <c:v>44793.30972222222</c:v>
                </c:pt>
                <c:pt idx="178">
                  <c:v>44795.320138888892</c:v>
                </c:pt>
                <c:pt idx="179">
                  <c:v>44796.306250000001</c:v>
                </c:pt>
                <c:pt idx="180">
                  <c:v>44797.310416666667</c:v>
                </c:pt>
                <c:pt idx="181">
                  <c:v>44798.316666666666</c:v>
                </c:pt>
                <c:pt idx="182">
                  <c:v>44799.321527777778</c:v>
                </c:pt>
                <c:pt idx="183">
                  <c:v>44800.306944444441</c:v>
                </c:pt>
                <c:pt idx="184">
                  <c:v>44802.320833333331</c:v>
                </c:pt>
                <c:pt idx="185">
                  <c:v>44803.3125</c:v>
                </c:pt>
                <c:pt idx="186">
                  <c:v>44804.359722222223</c:v>
                </c:pt>
                <c:pt idx="187">
                  <c:v>44805.369444444441</c:v>
                </c:pt>
                <c:pt idx="188">
                  <c:v>44806.30972222222</c:v>
                </c:pt>
                <c:pt idx="189">
                  <c:v>44807.335416666669</c:v>
                </c:pt>
                <c:pt idx="190">
                  <c:v>44808.453472222223</c:v>
                </c:pt>
                <c:pt idx="191">
                  <c:v>44809.320138888892</c:v>
                </c:pt>
                <c:pt idx="192">
                  <c:v>44810.313194444447</c:v>
                </c:pt>
                <c:pt idx="193">
                  <c:v>44811.362500000003</c:v>
                </c:pt>
                <c:pt idx="194">
                  <c:v>44812.337500000001</c:v>
                </c:pt>
                <c:pt idx="195">
                  <c:v>44813.34375</c:v>
                </c:pt>
                <c:pt idx="196">
                  <c:v>44814.345833333333</c:v>
                </c:pt>
                <c:pt idx="197">
                  <c:v>44815.407638888886</c:v>
                </c:pt>
                <c:pt idx="198">
                  <c:v>44816.313888888886</c:v>
                </c:pt>
                <c:pt idx="199">
                  <c:v>44817.319444444445</c:v>
                </c:pt>
                <c:pt idx="200">
                  <c:v>44819.356249999997</c:v>
                </c:pt>
                <c:pt idx="201">
                  <c:v>44820.316666666666</c:v>
                </c:pt>
                <c:pt idx="202">
                  <c:v>44821.379166666666</c:v>
                </c:pt>
                <c:pt idx="203">
                  <c:v>44822.359722222223</c:v>
                </c:pt>
                <c:pt idx="204">
                  <c:v>44823.320833333331</c:v>
                </c:pt>
                <c:pt idx="205">
                  <c:v>44824.306944444441</c:v>
                </c:pt>
                <c:pt idx="206">
                  <c:v>44825.311805555553</c:v>
                </c:pt>
                <c:pt idx="207">
                  <c:v>44826.317361111112</c:v>
                </c:pt>
                <c:pt idx="208">
                  <c:v>44827.34097222222</c:v>
                </c:pt>
                <c:pt idx="209">
                  <c:v>44828.343055555553</c:v>
                </c:pt>
                <c:pt idx="210">
                  <c:v>44830.319444444445</c:v>
                </c:pt>
                <c:pt idx="211">
                  <c:v>44831.323611111111</c:v>
                </c:pt>
                <c:pt idx="212">
                  <c:v>44832.383333333331</c:v>
                </c:pt>
                <c:pt idx="213">
                  <c:v>44833.340277777781</c:v>
                </c:pt>
                <c:pt idx="214">
                  <c:v>44834.347222222219</c:v>
                </c:pt>
                <c:pt idx="215">
                  <c:v>44835.425000000003</c:v>
                </c:pt>
                <c:pt idx="216">
                  <c:v>44837.322222222225</c:v>
                </c:pt>
                <c:pt idx="217">
                  <c:v>44838.314583333333</c:v>
                </c:pt>
                <c:pt idx="218">
                  <c:v>44839.347222222219</c:v>
                </c:pt>
                <c:pt idx="219">
                  <c:v>44840.314583333333</c:v>
                </c:pt>
                <c:pt idx="220">
                  <c:v>44841.348611111112</c:v>
                </c:pt>
                <c:pt idx="221">
                  <c:v>44842.373611111114</c:v>
                </c:pt>
                <c:pt idx="222">
                  <c:v>44843.462500000001</c:v>
                </c:pt>
                <c:pt idx="223">
                  <c:v>44844.317361111112</c:v>
                </c:pt>
                <c:pt idx="224">
                  <c:v>44845.311111111114</c:v>
                </c:pt>
                <c:pt idx="225">
                  <c:v>44846.364583333336</c:v>
                </c:pt>
                <c:pt idx="226">
                  <c:v>44847.3</c:v>
                </c:pt>
                <c:pt idx="227">
                  <c:v>44848.30972222222</c:v>
                </c:pt>
                <c:pt idx="228">
                  <c:v>44849.548611111109</c:v>
                </c:pt>
                <c:pt idx="229">
                  <c:v>44850.394444444442</c:v>
                </c:pt>
                <c:pt idx="230">
                  <c:v>44851.307638888888</c:v>
                </c:pt>
                <c:pt idx="231">
                  <c:v>44852.31527777778</c:v>
                </c:pt>
                <c:pt idx="232">
                  <c:v>44853.39166666667</c:v>
                </c:pt>
                <c:pt idx="233">
                  <c:v>44854.307638888888</c:v>
                </c:pt>
                <c:pt idx="234">
                  <c:v>44855.338888888888</c:v>
                </c:pt>
                <c:pt idx="235">
                  <c:v>44856.338194444441</c:v>
                </c:pt>
                <c:pt idx="236">
                  <c:v>44857.45</c:v>
                </c:pt>
                <c:pt idx="237">
                  <c:v>44858.31527777778</c:v>
                </c:pt>
                <c:pt idx="238">
                  <c:v>44859.315972222219</c:v>
                </c:pt>
                <c:pt idx="239">
                  <c:v>44860.363194444442</c:v>
                </c:pt>
                <c:pt idx="240">
                  <c:v>44861.316666666666</c:v>
                </c:pt>
                <c:pt idx="241">
                  <c:v>44862.348611111112</c:v>
                </c:pt>
                <c:pt idx="242">
                  <c:v>44863.336805555555</c:v>
                </c:pt>
                <c:pt idx="243">
                  <c:v>44866.343055555553</c:v>
                </c:pt>
                <c:pt idx="244">
                  <c:v>44867.345833333333</c:v>
                </c:pt>
                <c:pt idx="245">
                  <c:v>44868.387499999997</c:v>
                </c:pt>
                <c:pt idx="246">
                  <c:v>44869.370833333334</c:v>
                </c:pt>
                <c:pt idx="247">
                  <c:v>44870.311805555553</c:v>
                </c:pt>
                <c:pt idx="248">
                  <c:v>44871.44027777778</c:v>
                </c:pt>
                <c:pt idx="249">
                  <c:v>44872.321527777778</c:v>
                </c:pt>
                <c:pt idx="250">
                  <c:v>44873.320138888892</c:v>
                </c:pt>
                <c:pt idx="251">
                  <c:v>44874.388888888891</c:v>
                </c:pt>
                <c:pt idx="252">
                  <c:v>44875.308333333334</c:v>
                </c:pt>
                <c:pt idx="253">
                  <c:v>44876.362500000003</c:v>
                </c:pt>
                <c:pt idx="254">
                  <c:v>44877.359722222223</c:v>
                </c:pt>
                <c:pt idx="255">
                  <c:v>44878.379166666666</c:v>
                </c:pt>
                <c:pt idx="256">
                  <c:v>44879.319444444445</c:v>
                </c:pt>
                <c:pt idx="257">
                  <c:v>44881.320138888892</c:v>
                </c:pt>
                <c:pt idx="258">
                  <c:v>44882.299305555556</c:v>
                </c:pt>
                <c:pt idx="259">
                  <c:v>44883.327777777777</c:v>
                </c:pt>
                <c:pt idx="260">
                  <c:v>44884.400694444441</c:v>
                </c:pt>
                <c:pt idx="261">
                  <c:v>44885.402083333334</c:v>
                </c:pt>
                <c:pt idx="262">
                  <c:v>44886.306250000001</c:v>
                </c:pt>
                <c:pt idx="263">
                  <c:v>44887.321527777778</c:v>
                </c:pt>
                <c:pt idx="264">
                  <c:v>44888.320833333331</c:v>
                </c:pt>
                <c:pt idx="265">
                  <c:v>44889.36041666667</c:v>
                </c:pt>
                <c:pt idx="266">
                  <c:v>44890.34652777778</c:v>
                </c:pt>
                <c:pt idx="267">
                  <c:v>44891.353472222225</c:v>
                </c:pt>
                <c:pt idx="268">
                  <c:v>44892.386111111111</c:v>
                </c:pt>
                <c:pt idx="269">
                  <c:v>44893.326388888891</c:v>
                </c:pt>
                <c:pt idx="270">
                  <c:v>44894.31527777778</c:v>
                </c:pt>
                <c:pt idx="271">
                  <c:v>44895.31527777778</c:v>
                </c:pt>
                <c:pt idx="272">
                  <c:v>44896.319444444445</c:v>
                </c:pt>
                <c:pt idx="273">
                  <c:v>44897.320138888892</c:v>
                </c:pt>
                <c:pt idx="274">
                  <c:v>44898.393055555556</c:v>
                </c:pt>
                <c:pt idx="275">
                  <c:v>44900.320833333331</c:v>
                </c:pt>
                <c:pt idx="276">
                  <c:v>44901.353472222225</c:v>
                </c:pt>
                <c:pt idx="277">
                  <c:v>44902.289583333331</c:v>
                </c:pt>
                <c:pt idx="278">
                  <c:v>44903.307638888888</c:v>
                </c:pt>
                <c:pt idx="279">
                  <c:v>44905.364583333336</c:v>
                </c:pt>
                <c:pt idx="280">
                  <c:v>44906.469444444447</c:v>
                </c:pt>
                <c:pt idx="281">
                  <c:v>44907.31527777778</c:v>
                </c:pt>
                <c:pt idx="282">
                  <c:v>44908.3125</c:v>
                </c:pt>
                <c:pt idx="283">
                  <c:v>44909.321527777778</c:v>
                </c:pt>
                <c:pt idx="284">
                  <c:v>44910.34097222222</c:v>
                </c:pt>
                <c:pt idx="285">
                  <c:v>44910.34097222222</c:v>
                </c:pt>
                <c:pt idx="286">
                  <c:v>44911.337500000001</c:v>
                </c:pt>
                <c:pt idx="287">
                  <c:v>44912.443749999999</c:v>
                </c:pt>
                <c:pt idx="288">
                  <c:v>44913.431944444441</c:v>
                </c:pt>
                <c:pt idx="289">
                  <c:v>44914.414583333331</c:v>
                </c:pt>
                <c:pt idx="290">
                  <c:v>44917.402083333334</c:v>
                </c:pt>
                <c:pt idx="291">
                  <c:v>44918.303472222222</c:v>
                </c:pt>
                <c:pt idx="292">
                  <c:v>44919.39166666667</c:v>
                </c:pt>
                <c:pt idx="293">
                  <c:v>44921.321527777778</c:v>
                </c:pt>
                <c:pt idx="294">
                  <c:v>44922.320833333331</c:v>
                </c:pt>
                <c:pt idx="295">
                  <c:v>44923.329861111109</c:v>
                </c:pt>
                <c:pt idx="296">
                  <c:v>44924.330555555556</c:v>
                </c:pt>
                <c:pt idx="297">
                  <c:v>44925.321527777778</c:v>
                </c:pt>
                <c:pt idx="298">
                  <c:v>44926.378472222219</c:v>
                </c:pt>
                <c:pt idx="299">
                  <c:v>44927.606944444444</c:v>
                </c:pt>
                <c:pt idx="300">
                  <c:v>44928.325694444444</c:v>
                </c:pt>
                <c:pt idx="301">
                  <c:v>44929.318055555559</c:v>
                </c:pt>
                <c:pt idx="302">
                  <c:v>44930.318749999999</c:v>
                </c:pt>
                <c:pt idx="303">
                  <c:v>44931.341666666667</c:v>
                </c:pt>
                <c:pt idx="304">
                  <c:v>44932.331944444442</c:v>
                </c:pt>
                <c:pt idx="305">
                  <c:v>44933.365277777775</c:v>
                </c:pt>
                <c:pt idx="306">
                  <c:v>44934.39166666667</c:v>
                </c:pt>
                <c:pt idx="307">
                  <c:v>44935.334722222222</c:v>
                </c:pt>
                <c:pt idx="308">
                  <c:v>44936.306944444441</c:v>
                </c:pt>
                <c:pt idx="309">
                  <c:v>44937.377083333333</c:v>
                </c:pt>
                <c:pt idx="310">
                  <c:v>44938.397222222222</c:v>
                </c:pt>
                <c:pt idx="311">
                  <c:v>44939.352777777778</c:v>
                </c:pt>
                <c:pt idx="312">
                  <c:v>44940.367361111108</c:v>
                </c:pt>
                <c:pt idx="313">
                  <c:v>44941.769444444442</c:v>
                </c:pt>
                <c:pt idx="314">
                  <c:v>44942.332638888889</c:v>
                </c:pt>
                <c:pt idx="315">
                  <c:v>44943.319444444445</c:v>
                </c:pt>
                <c:pt idx="316">
                  <c:v>44944.319444444445</c:v>
                </c:pt>
                <c:pt idx="317">
                  <c:v>44945.453472222223</c:v>
                </c:pt>
                <c:pt idx="318">
                  <c:v>44946.381944444445</c:v>
                </c:pt>
                <c:pt idx="319">
                  <c:v>44947.398611111108</c:v>
                </c:pt>
                <c:pt idx="320">
                  <c:v>44949.316666666666</c:v>
                </c:pt>
                <c:pt idx="321">
                  <c:v>44950.329861111109</c:v>
                </c:pt>
                <c:pt idx="322">
                  <c:v>44951.348611111112</c:v>
                </c:pt>
                <c:pt idx="323">
                  <c:v>44952.328472222223</c:v>
                </c:pt>
                <c:pt idx="324">
                  <c:v>44953.311805555553</c:v>
                </c:pt>
                <c:pt idx="325">
                  <c:v>44954.336111111108</c:v>
                </c:pt>
                <c:pt idx="326">
                  <c:v>44955.460416666669</c:v>
                </c:pt>
                <c:pt idx="327">
                  <c:v>44956.316666666666</c:v>
                </c:pt>
                <c:pt idx="328">
                  <c:v>44957.324999999997</c:v>
                </c:pt>
                <c:pt idx="329">
                  <c:v>44958.474305555559</c:v>
                </c:pt>
                <c:pt idx="330">
                  <c:v>44959.334027777775</c:v>
                </c:pt>
                <c:pt idx="331">
                  <c:v>44960.34375</c:v>
                </c:pt>
                <c:pt idx="332">
                  <c:v>44961.365972222222</c:v>
                </c:pt>
                <c:pt idx="333">
                  <c:v>44962.435416666667</c:v>
                </c:pt>
                <c:pt idx="334">
                  <c:v>44963.320138888892</c:v>
                </c:pt>
                <c:pt idx="335">
                  <c:v>44964.313888888886</c:v>
                </c:pt>
                <c:pt idx="336">
                  <c:v>44965.373611111114</c:v>
                </c:pt>
                <c:pt idx="337">
                  <c:v>44966.370833333334</c:v>
                </c:pt>
                <c:pt idx="338">
                  <c:v>44967.364583333336</c:v>
                </c:pt>
                <c:pt idx="339">
                  <c:v>44968.361111111109</c:v>
                </c:pt>
                <c:pt idx="340">
                  <c:v>44969.404861111114</c:v>
                </c:pt>
                <c:pt idx="341">
                  <c:v>44970.315972222219</c:v>
                </c:pt>
                <c:pt idx="342">
                  <c:v>44971.321527777778</c:v>
                </c:pt>
                <c:pt idx="343">
                  <c:v>44972.308333333334</c:v>
                </c:pt>
                <c:pt idx="344">
                  <c:v>44973.42083333333</c:v>
                </c:pt>
                <c:pt idx="345">
                  <c:v>44974.376388888886</c:v>
                </c:pt>
                <c:pt idx="346">
                  <c:v>44975.342361111114</c:v>
                </c:pt>
                <c:pt idx="347">
                  <c:v>44976.375694444447</c:v>
                </c:pt>
                <c:pt idx="348">
                  <c:v>44977.34097222222</c:v>
                </c:pt>
                <c:pt idx="349">
                  <c:v>44978.339583333334</c:v>
                </c:pt>
                <c:pt idx="350">
                  <c:v>44979.334722222222</c:v>
                </c:pt>
                <c:pt idx="351">
                  <c:v>44980.322916666664</c:v>
                </c:pt>
                <c:pt idx="352">
                  <c:v>44981.324999999997</c:v>
                </c:pt>
                <c:pt idx="353">
                  <c:v>44982.300694444442</c:v>
                </c:pt>
                <c:pt idx="354">
                  <c:v>44983.401388888888</c:v>
                </c:pt>
                <c:pt idx="355">
                  <c:v>44984.334722222222</c:v>
                </c:pt>
                <c:pt idx="356">
                  <c:v>44985.313194444447</c:v>
                </c:pt>
                <c:pt idx="357">
                  <c:v>44986.343055555553</c:v>
                </c:pt>
                <c:pt idx="358">
                  <c:v>44987.344444444447</c:v>
                </c:pt>
                <c:pt idx="359">
                  <c:v>44988.355555555558</c:v>
                </c:pt>
                <c:pt idx="360">
                  <c:v>44989.372916666667</c:v>
                </c:pt>
                <c:pt idx="361">
                  <c:v>44990.393750000003</c:v>
                </c:pt>
                <c:pt idx="362">
                  <c:v>44991.320833333331</c:v>
                </c:pt>
                <c:pt idx="363">
                  <c:v>44992.306944444441</c:v>
                </c:pt>
                <c:pt idx="364">
                  <c:v>44993.34652777778</c:v>
                </c:pt>
                <c:pt idx="365">
                  <c:v>44994.368750000001</c:v>
                </c:pt>
                <c:pt idx="366">
                  <c:v>44995.347916666666</c:v>
                </c:pt>
                <c:pt idx="367">
                  <c:v>44996.296527777777</c:v>
                </c:pt>
                <c:pt idx="368">
                  <c:v>44997.402083333334</c:v>
                </c:pt>
                <c:pt idx="369">
                  <c:v>44998.313888888886</c:v>
                </c:pt>
                <c:pt idx="370">
                  <c:v>44999.320138888892</c:v>
                </c:pt>
                <c:pt idx="371">
                  <c:v>45000.332638888889</c:v>
                </c:pt>
                <c:pt idx="372">
                  <c:v>45001.308333333334</c:v>
                </c:pt>
                <c:pt idx="373">
                  <c:v>45002.343055555553</c:v>
                </c:pt>
                <c:pt idx="374">
                  <c:v>45003.309027777781</c:v>
                </c:pt>
                <c:pt idx="375">
                  <c:v>45004.407638888886</c:v>
                </c:pt>
                <c:pt idx="376">
                  <c:v>45005.320138888892</c:v>
                </c:pt>
                <c:pt idx="377">
                  <c:v>45006.311111111114</c:v>
                </c:pt>
                <c:pt idx="378">
                  <c:v>45007.395833333336</c:v>
                </c:pt>
                <c:pt idx="379">
                  <c:v>45008.327777777777</c:v>
                </c:pt>
                <c:pt idx="380">
                  <c:v>45009.348611111112</c:v>
                </c:pt>
                <c:pt idx="381">
                  <c:v>45010.462500000001</c:v>
                </c:pt>
                <c:pt idx="382">
                  <c:v>45011.392361111109</c:v>
                </c:pt>
                <c:pt idx="383">
                  <c:v>45012.320833333331</c:v>
                </c:pt>
                <c:pt idx="384">
                  <c:v>45013.374305555553</c:v>
                </c:pt>
                <c:pt idx="385">
                  <c:v>45014.367361111108</c:v>
                </c:pt>
                <c:pt idx="386">
                  <c:v>45015.330555555556</c:v>
                </c:pt>
                <c:pt idx="387">
                  <c:v>45017.319444444445</c:v>
                </c:pt>
                <c:pt idx="388">
                  <c:v>45018.392361111109</c:v>
                </c:pt>
                <c:pt idx="389">
                  <c:v>45019.330555555556</c:v>
                </c:pt>
                <c:pt idx="390">
                  <c:v>45020.318749999999</c:v>
                </c:pt>
                <c:pt idx="391">
                  <c:v>45021.370833333334</c:v>
                </c:pt>
                <c:pt idx="392">
                  <c:v>45022.338888888888</c:v>
                </c:pt>
                <c:pt idx="393">
                  <c:v>45023.336111111108</c:v>
                </c:pt>
                <c:pt idx="394">
                  <c:v>45024.552777777775</c:v>
                </c:pt>
                <c:pt idx="395">
                  <c:v>45026.377083333333</c:v>
                </c:pt>
                <c:pt idx="396">
                  <c:v>45027.325694444444</c:v>
                </c:pt>
                <c:pt idx="397">
                  <c:v>45028.390277777777</c:v>
                </c:pt>
                <c:pt idx="398">
                  <c:v>45029.321527777778</c:v>
                </c:pt>
                <c:pt idx="399">
                  <c:v>45030.347916666666</c:v>
                </c:pt>
                <c:pt idx="400">
                  <c:v>45031.34375</c:v>
                </c:pt>
                <c:pt idx="401">
                  <c:v>45032.367361111108</c:v>
                </c:pt>
                <c:pt idx="402">
                  <c:v>45033.330555555556</c:v>
                </c:pt>
                <c:pt idx="403">
                  <c:v>45034.314583333333</c:v>
                </c:pt>
                <c:pt idx="404">
                  <c:v>45035.322916666664</c:v>
                </c:pt>
                <c:pt idx="405">
                  <c:v>45036.35833333333</c:v>
                </c:pt>
                <c:pt idx="406">
                  <c:v>45037.352083333331</c:v>
                </c:pt>
                <c:pt idx="407">
                  <c:v>45038.341666666667</c:v>
                </c:pt>
                <c:pt idx="408">
                  <c:v>45039.663888888892</c:v>
                </c:pt>
                <c:pt idx="409">
                  <c:v>45040.384722222225</c:v>
                </c:pt>
                <c:pt idx="410">
                  <c:v>45041.34097222222</c:v>
                </c:pt>
                <c:pt idx="411">
                  <c:v>45042.334027777775</c:v>
                </c:pt>
                <c:pt idx="412">
                  <c:v>45043.385416666664</c:v>
                </c:pt>
                <c:pt idx="413">
                  <c:v>45044.308333333334</c:v>
                </c:pt>
                <c:pt idx="414">
                  <c:v>45045.330555555556</c:v>
                </c:pt>
                <c:pt idx="415">
                  <c:v>45046.46875</c:v>
                </c:pt>
                <c:pt idx="416">
                  <c:v>45047.34652777778</c:v>
                </c:pt>
                <c:pt idx="417">
                  <c:v>45048.324305555558</c:v>
                </c:pt>
                <c:pt idx="418">
                  <c:v>45049.349305555559</c:v>
                </c:pt>
                <c:pt idx="419">
                  <c:v>45050.322916666664</c:v>
                </c:pt>
                <c:pt idx="420">
                  <c:v>45051.361805555556</c:v>
                </c:pt>
                <c:pt idx="421">
                  <c:v>45052.357638888891</c:v>
                </c:pt>
                <c:pt idx="422">
                  <c:v>45053.340277777781</c:v>
                </c:pt>
                <c:pt idx="423">
                  <c:v>45054.328472222223</c:v>
                </c:pt>
                <c:pt idx="424">
                  <c:v>45055.321527777778</c:v>
                </c:pt>
                <c:pt idx="425">
                  <c:v>45056.37222222222</c:v>
                </c:pt>
                <c:pt idx="426">
                  <c:v>45057.31527777778</c:v>
                </c:pt>
                <c:pt idx="427">
                  <c:v>45058.313888888886</c:v>
                </c:pt>
                <c:pt idx="428">
                  <c:v>45059.331250000003</c:v>
                </c:pt>
                <c:pt idx="429">
                  <c:v>45060.347916666666</c:v>
                </c:pt>
                <c:pt idx="430">
                  <c:v>45061.320833333331</c:v>
                </c:pt>
                <c:pt idx="431">
                  <c:v>45062.322222222225</c:v>
                </c:pt>
                <c:pt idx="432">
                  <c:v>45063.378472222219</c:v>
                </c:pt>
                <c:pt idx="433">
                  <c:v>45064.423611111109</c:v>
                </c:pt>
                <c:pt idx="434">
                  <c:v>45065.32708333333</c:v>
                </c:pt>
                <c:pt idx="435">
                  <c:v>45066.351388888892</c:v>
                </c:pt>
                <c:pt idx="436">
                  <c:v>45067.336111111108</c:v>
                </c:pt>
                <c:pt idx="437">
                  <c:v>45068.326388888891</c:v>
                </c:pt>
                <c:pt idx="438">
                  <c:v>45069.309027777781</c:v>
                </c:pt>
                <c:pt idx="439">
                  <c:v>45070.355555555558</c:v>
                </c:pt>
                <c:pt idx="440">
                  <c:v>45071.323611111111</c:v>
                </c:pt>
                <c:pt idx="441">
                  <c:v>45072.349305555559</c:v>
                </c:pt>
                <c:pt idx="442">
                  <c:v>45073.304166666669</c:v>
                </c:pt>
                <c:pt idx="443">
                  <c:v>45074.361805555556</c:v>
                </c:pt>
                <c:pt idx="444">
                  <c:v>45075.333333333336</c:v>
                </c:pt>
                <c:pt idx="445">
                  <c:v>45076.322222222225</c:v>
                </c:pt>
                <c:pt idx="446">
                  <c:v>45077.393750000003</c:v>
                </c:pt>
                <c:pt idx="447">
                  <c:v>45078.322222222225</c:v>
                </c:pt>
                <c:pt idx="448">
                  <c:v>45079.311111111114</c:v>
                </c:pt>
                <c:pt idx="449">
                  <c:v>45080.3125</c:v>
                </c:pt>
                <c:pt idx="450">
                  <c:v>45081.324999999997</c:v>
                </c:pt>
                <c:pt idx="451">
                  <c:v>45082.320833333331</c:v>
                </c:pt>
                <c:pt idx="452">
                  <c:v>45083.314583333333</c:v>
                </c:pt>
                <c:pt idx="453">
                  <c:v>45084.361805555556</c:v>
                </c:pt>
                <c:pt idx="454">
                  <c:v>45085.355555555558</c:v>
                </c:pt>
                <c:pt idx="455">
                  <c:v>45086.355555555558</c:v>
                </c:pt>
                <c:pt idx="456">
                  <c:v>45087.315972222219</c:v>
                </c:pt>
                <c:pt idx="457">
                  <c:v>45088.431944444441</c:v>
                </c:pt>
                <c:pt idx="458">
                  <c:v>45089.319444444445</c:v>
                </c:pt>
                <c:pt idx="459">
                  <c:v>45090.314583333333</c:v>
                </c:pt>
                <c:pt idx="460">
                  <c:v>45091.330555555556</c:v>
                </c:pt>
                <c:pt idx="461">
                  <c:v>45092.324999999997</c:v>
                </c:pt>
                <c:pt idx="462">
                  <c:v>45093.313888888886</c:v>
                </c:pt>
                <c:pt idx="463">
                  <c:v>45094.336805555555</c:v>
                </c:pt>
                <c:pt idx="464">
                  <c:v>45096.323611111111</c:v>
                </c:pt>
                <c:pt idx="465">
                  <c:v>45097.320833333331</c:v>
                </c:pt>
                <c:pt idx="466">
                  <c:v>45098.526388888888</c:v>
                </c:pt>
                <c:pt idx="467">
                  <c:v>45099.324305555558</c:v>
                </c:pt>
                <c:pt idx="468">
                  <c:v>45100.335416666669</c:v>
                </c:pt>
                <c:pt idx="469">
                  <c:v>45101.365277777775</c:v>
                </c:pt>
                <c:pt idx="470">
                  <c:v>45102.376388888886</c:v>
                </c:pt>
                <c:pt idx="471">
                  <c:v>45103.318055555559</c:v>
                </c:pt>
                <c:pt idx="472">
                  <c:v>45104.311111111114</c:v>
                </c:pt>
                <c:pt idx="473">
                  <c:v>45105.315972222219</c:v>
                </c:pt>
                <c:pt idx="474">
                  <c:v>45106.342361111114</c:v>
                </c:pt>
                <c:pt idx="475">
                  <c:v>45107.288194444445</c:v>
                </c:pt>
                <c:pt idx="476">
                  <c:v>45108.3125</c:v>
                </c:pt>
                <c:pt idx="477">
                  <c:v>45110.324305555558</c:v>
                </c:pt>
                <c:pt idx="478">
                  <c:v>45111.316666666666</c:v>
                </c:pt>
                <c:pt idx="479">
                  <c:v>45112.369444444441</c:v>
                </c:pt>
                <c:pt idx="480">
                  <c:v>45113.327777777777</c:v>
                </c:pt>
                <c:pt idx="481">
                  <c:v>45114.34375</c:v>
                </c:pt>
                <c:pt idx="482">
                  <c:v>45115.51666666667</c:v>
                </c:pt>
                <c:pt idx="483">
                  <c:v>45116.40625</c:v>
                </c:pt>
                <c:pt idx="484">
                  <c:v>45117.324305555558</c:v>
                </c:pt>
                <c:pt idx="485">
                  <c:v>45118.306944444441</c:v>
                </c:pt>
                <c:pt idx="486">
                  <c:v>45119.378472222219</c:v>
                </c:pt>
                <c:pt idx="487">
                  <c:v>45120.318055555559</c:v>
                </c:pt>
                <c:pt idx="488">
                  <c:v>45121.327777777777</c:v>
                </c:pt>
                <c:pt idx="489">
                  <c:v>45122.50277777778</c:v>
                </c:pt>
                <c:pt idx="490">
                  <c:v>45123.373611111114</c:v>
                </c:pt>
                <c:pt idx="491">
                  <c:v>45124.323611111111</c:v>
                </c:pt>
                <c:pt idx="492">
                  <c:v>45125.395833333336</c:v>
                </c:pt>
                <c:pt idx="493">
                  <c:v>45140.51666666667</c:v>
                </c:pt>
                <c:pt idx="494">
                  <c:v>45141.416666666664</c:v>
                </c:pt>
                <c:pt idx="495">
                  <c:v>45142.436111111114</c:v>
                </c:pt>
                <c:pt idx="496">
                  <c:v>45143.461805555555</c:v>
                </c:pt>
                <c:pt idx="497">
                  <c:v>45145.32708333333</c:v>
                </c:pt>
                <c:pt idx="498">
                  <c:v>45146.316666666666</c:v>
                </c:pt>
                <c:pt idx="499">
                  <c:v>45147.34652777778</c:v>
                </c:pt>
                <c:pt idx="500">
                  <c:v>45148.316666666666</c:v>
                </c:pt>
                <c:pt idx="501">
                  <c:v>45149.5625</c:v>
                </c:pt>
                <c:pt idx="502">
                  <c:v>45150.349305555559</c:v>
                </c:pt>
                <c:pt idx="503">
                  <c:v>45151.379166666666</c:v>
                </c:pt>
                <c:pt idx="504">
                  <c:v>45152.388888888891</c:v>
                </c:pt>
                <c:pt idx="505">
                  <c:v>45153.343055555553</c:v>
                </c:pt>
                <c:pt idx="506">
                  <c:v>45154.322222222225</c:v>
                </c:pt>
                <c:pt idx="507">
                  <c:v>45155.322222222225</c:v>
                </c:pt>
                <c:pt idx="508">
                  <c:v>45156.351388888892</c:v>
                </c:pt>
                <c:pt idx="509">
                  <c:v>45157.393055555556</c:v>
                </c:pt>
                <c:pt idx="510">
                  <c:v>45158.372916666667</c:v>
                </c:pt>
                <c:pt idx="511">
                  <c:v>45159.327777777777</c:v>
                </c:pt>
                <c:pt idx="512">
                  <c:v>45160.317361111112</c:v>
                </c:pt>
                <c:pt idx="513">
                  <c:v>45161.35</c:v>
                </c:pt>
                <c:pt idx="514">
                  <c:v>45162.340277777781</c:v>
                </c:pt>
                <c:pt idx="515">
                  <c:v>45163.339583333334</c:v>
                </c:pt>
                <c:pt idx="516">
                  <c:v>45164.326388888891</c:v>
                </c:pt>
                <c:pt idx="517">
                  <c:v>45166.322916666664</c:v>
                </c:pt>
                <c:pt idx="518">
                  <c:v>45167.318055555559</c:v>
                </c:pt>
                <c:pt idx="519">
                  <c:v>45168.397222222222</c:v>
                </c:pt>
                <c:pt idx="520">
                  <c:v>45169.364583333336</c:v>
                </c:pt>
                <c:pt idx="521">
                  <c:v>45170.324999999997</c:v>
                </c:pt>
                <c:pt idx="522">
                  <c:v>45171.439583333333</c:v>
                </c:pt>
                <c:pt idx="523">
                  <c:v>45172.44027777778</c:v>
                </c:pt>
                <c:pt idx="524">
                  <c:v>45173.442361111112</c:v>
                </c:pt>
                <c:pt idx="525">
                  <c:v>45174.317361111112</c:v>
                </c:pt>
                <c:pt idx="526">
                  <c:v>45175.354166666664</c:v>
                </c:pt>
                <c:pt idx="527">
                  <c:v>45176.339583333334</c:v>
                </c:pt>
                <c:pt idx="528">
                  <c:v>45177.308333333334</c:v>
                </c:pt>
                <c:pt idx="529">
                  <c:v>45178.319444444445</c:v>
                </c:pt>
                <c:pt idx="530">
                  <c:v>45179.311111111114</c:v>
                </c:pt>
                <c:pt idx="531">
                  <c:v>45180.315972222219</c:v>
                </c:pt>
                <c:pt idx="532">
                  <c:v>45181.3125</c:v>
                </c:pt>
                <c:pt idx="533">
                  <c:v>45182.32708333333</c:v>
                </c:pt>
                <c:pt idx="534">
                  <c:v>45184.34097222222</c:v>
                </c:pt>
                <c:pt idx="535">
                  <c:v>45185.288888888892</c:v>
                </c:pt>
                <c:pt idx="536">
                  <c:v>45186.450694444444</c:v>
                </c:pt>
                <c:pt idx="537">
                  <c:v>45187.308333333334</c:v>
                </c:pt>
                <c:pt idx="538">
                  <c:v>45188.311805555553</c:v>
                </c:pt>
                <c:pt idx="539">
                  <c:v>45189.361111111109</c:v>
                </c:pt>
                <c:pt idx="540">
                  <c:v>45190.333333333336</c:v>
                </c:pt>
                <c:pt idx="541">
                  <c:v>45191.354166666664</c:v>
                </c:pt>
                <c:pt idx="542">
                  <c:v>45192.313194444447</c:v>
                </c:pt>
                <c:pt idx="543">
                  <c:v>45193.35833333333</c:v>
                </c:pt>
                <c:pt idx="544">
                  <c:v>45194.318055555559</c:v>
                </c:pt>
                <c:pt idx="545">
                  <c:v>45195.310416666667</c:v>
                </c:pt>
                <c:pt idx="546">
                  <c:v>45196.371527777781</c:v>
                </c:pt>
                <c:pt idx="547">
                  <c:v>45197.386805555558</c:v>
                </c:pt>
                <c:pt idx="548">
                  <c:v>45198.34375</c:v>
                </c:pt>
                <c:pt idx="549">
                  <c:v>45199.290972222225</c:v>
                </c:pt>
                <c:pt idx="550">
                  <c:v>45200.377083333333</c:v>
                </c:pt>
                <c:pt idx="551">
                  <c:v>45201.31527777778</c:v>
                </c:pt>
                <c:pt idx="552">
                  <c:v>45202.70416666667</c:v>
                </c:pt>
                <c:pt idx="553">
                  <c:v>45203.35833333333</c:v>
                </c:pt>
                <c:pt idx="554">
                  <c:v>45204.311805555553</c:v>
                </c:pt>
                <c:pt idx="555">
                  <c:v>45205.328472222223</c:v>
                </c:pt>
                <c:pt idx="556">
                  <c:v>45206.290277777778</c:v>
                </c:pt>
                <c:pt idx="557">
                  <c:v>45207.324999999997</c:v>
                </c:pt>
                <c:pt idx="558">
                  <c:v>45208.321527777778</c:v>
                </c:pt>
                <c:pt idx="559">
                  <c:v>45209.320833333331</c:v>
                </c:pt>
                <c:pt idx="560">
                  <c:v>45210.334027777775</c:v>
                </c:pt>
                <c:pt idx="561">
                  <c:v>45211.316666666666</c:v>
                </c:pt>
                <c:pt idx="562">
                  <c:v>45212.355555555558</c:v>
                </c:pt>
                <c:pt idx="563">
                  <c:v>45213.417361111111</c:v>
                </c:pt>
                <c:pt idx="564">
                  <c:v>45214.334722222222</c:v>
                </c:pt>
                <c:pt idx="565">
                  <c:v>45215.318055555559</c:v>
                </c:pt>
                <c:pt idx="566">
                  <c:v>45216.308333333334</c:v>
                </c:pt>
                <c:pt idx="567">
                  <c:v>45217.365277777775</c:v>
                </c:pt>
                <c:pt idx="568">
                  <c:v>45218.395138888889</c:v>
                </c:pt>
                <c:pt idx="569">
                  <c:v>45219.388194444444</c:v>
                </c:pt>
                <c:pt idx="570">
                  <c:v>45222.529861111114</c:v>
                </c:pt>
                <c:pt idx="571">
                  <c:v>45223.430555555555</c:v>
                </c:pt>
                <c:pt idx="572">
                  <c:v>45224.377083333333</c:v>
                </c:pt>
                <c:pt idx="573">
                  <c:v>45225.35833333333</c:v>
                </c:pt>
                <c:pt idx="574">
                  <c:v>45226.388194444444</c:v>
                </c:pt>
                <c:pt idx="575">
                  <c:v>45227.307638888888</c:v>
                </c:pt>
                <c:pt idx="576">
                  <c:v>45228.490277777775</c:v>
                </c:pt>
                <c:pt idx="577">
                  <c:v>45229.354166666664</c:v>
                </c:pt>
                <c:pt idx="578">
                  <c:v>45230.311805555553</c:v>
                </c:pt>
                <c:pt idx="579">
                  <c:v>45231.464583333334</c:v>
                </c:pt>
                <c:pt idx="580">
                  <c:v>45232.385416666664</c:v>
                </c:pt>
                <c:pt idx="581">
                  <c:v>45233.374305555553</c:v>
                </c:pt>
                <c:pt idx="582">
                  <c:v>45234.430555555555</c:v>
                </c:pt>
                <c:pt idx="583">
                  <c:v>45235.345833333333</c:v>
                </c:pt>
                <c:pt idx="584">
                  <c:v>45236.318749999999</c:v>
                </c:pt>
                <c:pt idx="585">
                  <c:v>45237.31527777778</c:v>
                </c:pt>
                <c:pt idx="586">
                  <c:v>45238.338194444441</c:v>
                </c:pt>
                <c:pt idx="587">
                  <c:v>45239.313888888886</c:v>
                </c:pt>
                <c:pt idx="588">
                  <c:v>45240.320833333331</c:v>
                </c:pt>
                <c:pt idx="589">
                  <c:v>45241.438194444447</c:v>
                </c:pt>
                <c:pt idx="590">
                  <c:v>45242.368055555555</c:v>
                </c:pt>
                <c:pt idx="591">
                  <c:v>45243.317361111112</c:v>
                </c:pt>
                <c:pt idx="592">
                  <c:v>45244.319444444445</c:v>
                </c:pt>
                <c:pt idx="593">
                  <c:v>45245.347222222219</c:v>
                </c:pt>
                <c:pt idx="594">
                  <c:v>45246.356944444444</c:v>
                </c:pt>
                <c:pt idx="595">
                  <c:v>45247.345833333333</c:v>
                </c:pt>
                <c:pt idx="596">
                  <c:v>45248.334027777775</c:v>
                </c:pt>
                <c:pt idx="597">
                  <c:v>45249.386111111111</c:v>
                </c:pt>
                <c:pt idx="598">
                  <c:v>45250.320138888892</c:v>
                </c:pt>
                <c:pt idx="599">
                  <c:v>45252.334722222222</c:v>
                </c:pt>
                <c:pt idx="600">
                  <c:v>45253.330555555556</c:v>
                </c:pt>
                <c:pt idx="601">
                  <c:v>45254.302083333336</c:v>
                </c:pt>
                <c:pt idx="602">
                  <c:v>45255.324305555558</c:v>
                </c:pt>
                <c:pt idx="603">
                  <c:v>45257.379166666666</c:v>
                </c:pt>
                <c:pt idx="604">
                  <c:v>45258.31527777778</c:v>
                </c:pt>
                <c:pt idx="605">
                  <c:v>45259.315972222219</c:v>
                </c:pt>
                <c:pt idx="606">
                  <c:v>45260.352777777778</c:v>
                </c:pt>
                <c:pt idx="607">
                  <c:v>45261.542361111111</c:v>
                </c:pt>
                <c:pt idx="608">
                  <c:v>45262.390972222223</c:v>
                </c:pt>
                <c:pt idx="609">
                  <c:v>45263.449305555558</c:v>
                </c:pt>
                <c:pt idx="610">
                  <c:v>45264.308333333334</c:v>
                </c:pt>
                <c:pt idx="611">
                  <c:v>45265.311805555553</c:v>
                </c:pt>
                <c:pt idx="612">
                  <c:v>45266.301388888889</c:v>
                </c:pt>
                <c:pt idx="613">
                  <c:v>45267.321527777778</c:v>
                </c:pt>
                <c:pt idx="614">
                  <c:v>45268.384722222225</c:v>
                </c:pt>
                <c:pt idx="615">
                  <c:v>45269.329861111109</c:v>
                </c:pt>
                <c:pt idx="616">
                  <c:v>45270.357638888891</c:v>
                </c:pt>
                <c:pt idx="617">
                  <c:v>45271.310416666667</c:v>
                </c:pt>
                <c:pt idx="618">
                  <c:v>45272.308333333334</c:v>
                </c:pt>
                <c:pt idx="619">
                  <c:v>45273.319444444445</c:v>
                </c:pt>
                <c:pt idx="620">
                  <c:v>45274.347916666666</c:v>
                </c:pt>
                <c:pt idx="621">
                  <c:v>45275.344444444447</c:v>
                </c:pt>
                <c:pt idx="622">
                  <c:v>45276.429861111108</c:v>
                </c:pt>
                <c:pt idx="623">
                  <c:v>45277.426388888889</c:v>
                </c:pt>
                <c:pt idx="624">
                  <c:v>45278.326388888891</c:v>
                </c:pt>
                <c:pt idx="625">
                  <c:v>45279.300694444442</c:v>
                </c:pt>
                <c:pt idx="626">
                  <c:v>45280.315972222219</c:v>
                </c:pt>
                <c:pt idx="627">
                  <c:v>45281.352777777778</c:v>
                </c:pt>
                <c:pt idx="628">
                  <c:v>45282.324999999997</c:v>
                </c:pt>
                <c:pt idx="629">
                  <c:v>45283.302777777775</c:v>
                </c:pt>
                <c:pt idx="630">
                  <c:v>45284.306250000001</c:v>
                </c:pt>
                <c:pt idx="631">
                  <c:v>45285.868750000001</c:v>
                </c:pt>
                <c:pt idx="632">
                  <c:v>45286.334722222222</c:v>
                </c:pt>
                <c:pt idx="633">
                  <c:v>45287.332638888889</c:v>
                </c:pt>
                <c:pt idx="634">
                  <c:v>45288.311805555553</c:v>
                </c:pt>
                <c:pt idx="635">
                  <c:v>45289.336805555555</c:v>
                </c:pt>
                <c:pt idx="636">
                  <c:v>45290.31527777778</c:v>
                </c:pt>
                <c:pt idx="637">
                  <c:v>45291.348611111112</c:v>
                </c:pt>
                <c:pt idx="638">
                  <c:v>45292.552777777775</c:v>
                </c:pt>
                <c:pt idx="639">
                  <c:v>45293.330555555556</c:v>
                </c:pt>
                <c:pt idx="640">
                  <c:v>45294.32708333333</c:v>
                </c:pt>
                <c:pt idx="641">
                  <c:v>45295.330555555556</c:v>
                </c:pt>
                <c:pt idx="642">
                  <c:v>45296.323611111111</c:v>
                </c:pt>
                <c:pt idx="643">
                  <c:v>45297.34375</c:v>
                </c:pt>
                <c:pt idx="644">
                  <c:v>45298.322222222225</c:v>
                </c:pt>
                <c:pt idx="645">
                  <c:v>45299.318055555559</c:v>
                </c:pt>
                <c:pt idx="646">
                  <c:v>45300.310416666667</c:v>
                </c:pt>
                <c:pt idx="647">
                  <c:v>45301.325694444444</c:v>
                </c:pt>
                <c:pt idx="648">
                  <c:v>45302.342361111114</c:v>
                </c:pt>
                <c:pt idx="649">
                  <c:v>45303.322222222225</c:v>
                </c:pt>
                <c:pt idx="650">
                  <c:v>45304.341666666667</c:v>
                </c:pt>
                <c:pt idx="651">
                  <c:v>45305.398611111108</c:v>
                </c:pt>
                <c:pt idx="652">
                  <c:v>45306.29583333333</c:v>
                </c:pt>
                <c:pt idx="653">
                  <c:v>45307.306250000001</c:v>
                </c:pt>
                <c:pt idx="654">
                  <c:v>45308.323611111111</c:v>
                </c:pt>
                <c:pt idx="655">
                  <c:v>45309.32916666667</c:v>
                </c:pt>
                <c:pt idx="656">
                  <c:v>45310.303472222222</c:v>
                </c:pt>
                <c:pt idx="657">
                  <c:v>45311.304861111108</c:v>
                </c:pt>
                <c:pt idx="658">
                  <c:v>45312.343055555553</c:v>
                </c:pt>
                <c:pt idx="659">
                  <c:v>45313.324305555558</c:v>
                </c:pt>
                <c:pt idx="660">
                  <c:v>45314.319444444445</c:v>
                </c:pt>
                <c:pt idx="661">
                  <c:v>45315.316666666666</c:v>
                </c:pt>
                <c:pt idx="662">
                  <c:v>45316.324305555558</c:v>
                </c:pt>
                <c:pt idx="663">
                  <c:v>45317.313888888886</c:v>
                </c:pt>
                <c:pt idx="664">
                  <c:v>45318.303472222222</c:v>
                </c:pt>
                <c:pt idx="665">
                  <c:v>45319.316666666666</c:v>
                </c:pt>
                <c:pt idx="666">
                  <c:v>45320.31527777778</c:v>
                </c:pt>
                <c:pt idx="667">
                  <c:v>45321.309027777781</c:v>
                </c:pt>
                <c:pt idx="668">
                  <c:v>45322.324305555558</c:v>
                </c:pt>
                <c:pt idx="669">
                  <c:v>45323.319444444445</c:v>
                </c:pt>
                <c:pt idx="670">
                  <c:v>45324.313888888886</c:v>
                </c:pt>
                <c:pt idx="671">
                  <c:v>45325.363194444442</c:v>
                </c:pt>
                <c:pt idx="672">
                  <c:v>45326.386111111111</c:v>
                </c:pt>
                <c:pt idx="673">
                  <c:v>45327.318749999999</c:v>
                </c:pt>
                <c:pt idx="674">
                  <c:v>45328.317361111112</c:v>
                </c:pt>
                <c:pt idx="675">
                  <c:v>45329.332638888889</c:v>
                </c:pt>
                <c:pt idx="676">
                  <c:v>45330.336111111108</c:v>
                </c:pt>
                <c:pt idx="677">
                  <c:v>45331.336805555555</c:v>
                </c:pt>
                <c:pt idx="678">
                  <c:v>45332.34097222222</c:v>
                </c:pt>
                <c:pt idx="679">
                  <c:v>45333.381944444445</c:v>
                </c:pt>
                <c:pt idx="680">
                  <c:v>45334.313194444447</c:v>
                </c:pt>
                <c:pt idx="681">
                  <c:v>45335.317361111112</c:v>
                </c:pt>
                <c:pt idx="682">
                  <c:v>45336.31527777778</c:v>
                </c:pt>
                <c:pt idx="683">
                  <c:v>45337.368750000001</c:v>
                </c:pt>
                <c:pt idx="684">
                  <c:v>45338.34097222222</c:v>
                </c:pt>
                <c:pt idx="685">
                  <c:v>45339.379166666666</c:v>
                </c:pt>
                <c:pt idx="686">
                  <c:v>45340.314583333333</c:v>
                </c:pt>
                <c:pt idx="687">
                  <c:v>45341.321527777778</c:v>
                </c:pt>
                <c:pt idx="688">
                  <c:v>45342.318055555559</c:v>
                </c:pt>
                <c:pt idx="689">
                  <c:v>45343.314583333333</c:v>
                </c:pt>
                <c:pt idx="690">
                  <c:v>45344.333333333336</c:v>
                </c:pt>
                <c:pt idx="691">
                  <c:v>45345.313194444447</c:v>
                </c:pt>
                <c:pt idx="692">
                  <c:v>45346.320138888892</c:v>
                </c:pt>
                <c:pt idx="693">
                  <c:v>45347.338888888888</c:v>
                </c:pt>
                <c:pt idx="694">
                  <c:v>45348.344444444447</c:v>
                </c:pt>
                <c:pt idx="695">
                  <c:v>45349.325694444444</c:v>
                </c:pt>
                <c:pt idx="696">
                  <c:v>45350.329861111109</c:v>
                </c:pt>
                <c:pt idx="697">
                  <c:v>45351.289583333331</c:v>
                </c:pt>
                <c:pt idx="698">
                  <c:v>45352.338194444441</c:v>
                </c:pt>
                <c:pt idx="699">
                  <c:v>45353.354861111111</c:v>
                </c:pt>
                <c:pt idx="700">
                  <c:v>45354.340277777781</c:v>
                </c:pt>
                <c:pt idx="701">
                  <c:v>45355.313888888886</c:v>
                </c:pt>
                <c:pt idx="702">
                  <c:v>45356.30972222222</c:v>
                </c:pt>
                <c:pt idx="703">
                  <c:v>45357.340277777781</c:v>
                </c:pt>
                <c:pt idx="704">
                  <c:v>45358.311111111114</c:v>
                </c:pt>
                <c:pt idx="705">
                  <c:v>45359.347222222219</c:v>
                </c:pt>
                <c:pt idx="706">
                  <c:v>45360.330555555556</c:v>
                </c:pt>
                <c:pt idx="707">
                  <c:v>45361.347916666666</c:v>
                </c:pt>
                <c:pt idx="708">
                  <c:v>45362.320138888892</c:v>
                </c:pt>
                <c:pt idx="709">
                  <c:v>45363.318055555559</c:v>
                </c:pt>
                <c:pt idx="710">
                  <c:v>45364.369444444441</c:v>
                </c:pt>
                <c:pt idx="711">
                  <c:v>45365.330555555556</c:v>
                </c:pt>
                <c:pt idx="712">
                  <c:v>45366.332638888889</c:v>
                </c:pt>
                <c:pt idx="713">
                  <c:v>45367.34375</c:v>
                </c:pt>
                <c:pt idx="714">
                  <c:v>45368.365972222222</c:v>
                </c:pt>
                <c:pt idx="715">
                  <c:v>45369.311805555553</c:v>
                </c:pt>
                <c:pt idx="716">
                  <c:v>45370.314583333333</c:v>
                </c:pt>
                <c:pt idx="717">
                  <c:v>45371.327777777777</c:v>
                </c:pt>
                <c:pt idx="718">
                  <c:v>45372.307638888888</c:v>
                </c:pt>
                <c:pt idx="719">
                  <c:v>45373.333333333336</c:v>
                </c:pt>
                <c:pt idx="720">
                  <c:v>45374.322916666664</c:v>
                </c:pt>
                <c:pt idx="721">
                  <c:v>45375.324305555558</c:v>
                </c:pt>
                <c:pt idx="722">
                  <c:v>45376.317361111112</c:v>
                </c:pt>
                <c:pt idx="723">
                  <c:v>45377.306944444441</c:v>
                </c:pt>
                <c:pt idx="724">
                  <c:v>45378.350694444445</c:v>
                </c:pt>
                <c:pt idx="725">
                  <c:v>45379.306944444441</c:v>
                </c:pt>
                <c:pt idx="726">
                  <c:v>45380.338888888888</c:v>
                </c:pt>
                <c:pt idx="727">
                  <c:v>45381.339583333334</c:v>
                </c:pt>
                <c:pt idx="728">
                  <c:v>45383.348611111112</c:v>
                </c:pt>
                <c:pt idx="729">
                  <c:v>45384.314583333333</c:v>
                </c:pt>
                <c:pt idx="730">
                  <c:v>45385.36041666667</c:v>
                </c:pt>
                <c:pt idx="731">
                  <c:v>45386.311805555553</c:v>
                </c:pt>
                <c:pt idx="732">
                  <c:v>45387.331944444442</c:v>
                </c:pt>
                <c:pt idx="733">
                  <c:v>45388.274305555555</c:v>
                </c:pt>
                <c:pt idx="734">
                  <c:v>45389.361111111109</c:v>
                </c:pt>
                <c:pt idx="735">
                  <c:v>45390.361111111109</c:v>
                </c:pt>
                <c:pt idx="736">
                  <c:v>45391.302083333336</c:v>
                </c:pt>
                <c:pt idx="737">
                  <c:v>45392.32708333333</c:v>
                </c:pt>
                <c:pt idx="738">
                  <c:v>45393.306250000001</c:v>
                </c:pt>
                <c:pt idx="739">
                  <c:v>45394.352083333331</c:v>
                </c:pt>
                <c:pt idx="740">
                  <c:v>45395.335416666669</c:v>
                </c:pt>
                <c:pt idx="741">
                  <c:v>45396.327777777777</c:v>
                </c:pt>
                <c:pt idx="742">
                  <c:v>45397.324305555558</c:v>
                </c:pt>
                <c:pt idx="743">
                  <c:v>45398.3125</c:v>
                </c:pt>
                <c:pt idx="744">
                  <c:v>45399.320138888892</c:v>
                </c:pt>
                <c:pt idx="745">
                  <c:v>45400.354166666664</c:v>
                </c:pt>
                <c:pt idx="746">
                  <c:v>45401.311805555553</c:v>
                </c:pt>
                <c:pt idx="747">
                  <c:v>45402.357638888891</c:v>
                </c:pt>
                <c:pt idx="748">
                  <c:v>45403.313194444447</c:v>
                </c:pt>
                <c:pt idx="749">
                  <c:v>45404.318055555559</c:v>
                </c:pt>
                <c:pt idx="750">
                  <c:v>45405.311111111114</c:v>
                </c:pt>
                <c:pt idx="751">
                  <c:v>45406.315972222219</c:v>
                </c:pt>
                <c:pt idx="752">
                  <c:v>45407.34652777778</c:v>
                </c:pt>
                <c:pt idx="753">
                  <c:v>45408.349305555559</c:v>
                </c:pt>
                <c:pt idx="754">
                  <c:v>45409.368055555555</c:v>
                </c:pt>
                <c:pt idx="755">
                  <c:v>45410.32708333333</c:v>
                </c:pt>
                <c:pt idx="756">
                  <c:v>45411.31527777778</c:v>
                </c:pt>
                <c:pt idx="757">
                  <c:v>45413.475694444445</c:v>
                </c:pt>
                <c:pt idx="758">
                  <c:v>45414.311111111114</c:v>
                </c:pt>
                <c:pt idx="759">
                  <c:v>45415.318749999999</c:v>
                </c:pt>
                <c:pt idx="760">
                  <c:v>45416.310416666667</c:v>
                </c:pt>
                <c:pt idx="761">
                  <c:v>45417.327777777777</c:v>
                </c:pt>
                <c:pt idx="762">
                  <c:v>45418.319444444445</c:v>
                </c:pt>
                <c:pt idx="763">
                  <c:v>45419.311805555553</c:v>
                </c:pt>
                <c:pt idx="764">
                  <c:v>45420.340277777781</c:v>
                </c:pt>
                <c:pt idx="765">
                  <c:v>45421.313194444447</c:v>
                </c:pt>
                <c:pt idx="766">
                  <c:v>45422.332638888889</c:v>
                </c:pt>
                <c:pt idx="767">
                  <c:v>45423.311805555553</c:v>
                </c:pt>
                <c:pt idx="768">
                  <c:v>45424.32708333333</c:v>
                </c:pt>
                <c:pt idx="769">
                  <c:v>45425.313888888886</c:v>
                </c:pt>
                <c:pt idx="770">
                  <c:v>45426.319444444445</c:v>
                </c:pt>
                <c:pt idx="771">
                  <c:v>45427.338194444441</c:v>
                </c:pt>
                <c:pt idx="772">
                  <c:v>45428.338194444441</c:v>
                </c:pt>
                <c:pt idx="773">
                  <c:v>45429.321527777778</c:v>
                </c:pt>
                <c:pt idx="774">
                  <c:v>45430.336111111108</c:v>
                </c:pt>
                <c:pt idx="775">
                  <c:v>45432.377083333333</c:v>
                </c:pt>
                <c:pt idx="776">
                  <c:v>45433.311111111114</c:v>
                </c:pt>
                <c:pt idx="777">
                  <c:v>45434.345138888886</c:v>
                </c:pt>
                <c:pt idx="778">
                  <c:v>45435.3</c:v>
                </c:pt>
                <c:pt idx="779">
                  <c:v>45436.352083333331</c:v>
                </c:pt>
                <c:pt idx="780">
                  <c:v>45437.32708333333</c:v>
                </c:pt>
                <c:pt idx="781">
                  <c:v>45439.317361111112</c:v>
                </c:pt>
                <c:pt idx="782">
                  <c:v>45440.310416666667</c:v>
                </c:pt>
                <c:pt idx="783">
                  <c:v>45441.328472222223</c:v>
                </c:pt>
                <c:pt idx="784">
                  <c:v>45442.335416666669</c:v>
                </c:pt>
                <c:pt idx="785">
                  <c:v>45443.342361111114</c:v>
                </c:pt>
                <c:pt idx="786">
                  <c:v>45444.31527777778</c:v>
                </c:pt>
                <c:pt idx="787">
                  <c:v>45445.381249999999</c:v>
                </c:pt>
                <c:pt idx="788">
                  <c:v>45446.320138888892</c:v>
                </c:pt>
                <c:pt idx="789">
                  <c:v>45447.3125</c:v>
                </c:pt>
                <c:pt idx="790">
                  <c:v>45448.336111111108</c:v>
                </c:pt>
                <c:pt idx="791">
                  <c:v>45449.324305555558</c:v>
                </c:pt>
                <c:pt idx="792">
                  <c:v>45450.330555555556</c:v>
                </c:pt>
                <c:pt idx="793">
                  <c:v>45451.302083333336</c:v>
                </c:pt>
                <c:pt idx="794">
                  <c:v>45452.339583333334</c:v>
                </c:pt>
                <c:pt idx="795">
                  <c:v>45453.310416666667</c:v>
                </c:pt>
                <c:pt idx="796">
                  <c:v>45454.313194444447</c:v>
                </c:pt>
                <c:pt idx="797">
                  <c:v>45455.32708333333</c:v>
                </c:pt>
                <c:pt idx="798">
                  <c:v>45456.334722222222</c:v>
                </c:pt>
                <c:pt idx="799">
                  <c:v>45457.350694444445</c:v>
                </c:pt>
                <c:pt idx="800">
                  <c:v>45458.321527777778</c:v>
                </c:pt>
                <c:pt idx="801">
                  <c:v>45459.4375</c:v>
                </c:pt>
                <c:pt idx="802">
                  <c:v>45460.31527777778</c:v>
                </c:pt>
                <c:pt idx="803">
                  <c:v>45461.324999999997</c:v>
                </c:pt>
                <c:pt idx="804">
                  <c:v>45462.361111111109</c:v>
                </c:pt>
                <c:pt idx="805">
                  <c:v>45463.315972222219</c:v>
                </c:pt>
                <c:pt idx="806">
                  <c:v>45464.320833333331</c:v>
                </c:pt>
                <c:pt idx="807">
                  <c:v>45465.303472222222</c:v>
                </c:pt>
                <c:pt idx="808">
                  <c:v>45466.464583333334</c:v>
                </c:pt>
              </c:numCache>
            </c:numRef>
          </c:cat>
          <c:val>
            <c:numRef>
              <c:f>'Suivi Conso New'!#REF!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153856"/>
        <c:axId val="299574016"/>
      </c:areaChart>
      <c:lineChart>
        <c:grouping val="standard"/>
        <c:varyColors val="0"/>
        <c:ser>
          <c:idx val="3"/>
          <c:order val="2"/>
          <c:tx>
            <c:strRef>
              <c:f>'Suivi Conso New'!$Z$3</c:f>
              <c:strCache>
                <c:ptCount val="1"/>
                <c:pt idx="0">
                  <c:v> HP + HC / heure_x000d_
Instantané</c:v>
                </c:pt>
              </c:strCache>
            </c:strRef>
          </c:tx>
          <c:marker>
            <c:symbol val="none"/>
          </c:marker>
          <c:cat>
            <c:numRef>
              <c:f>'Suivi Conso New'!#REF!</c:f>
              <c:numCache>
                <c:formatCode>d/m/yy\ h:mm;@</c:formatCode>
                <c:ptCount val="809"/>
                <c:pt idx="0">
                  <c:v>44588.306944444441</c:v>
                </c:pt>
                <c:pt idx="1">
                  <c:v>44589.354861111111</c:v>
                </c:pt>
                <c:pt idx="2">
                  <c:v>44590.316666666666</c:v>
                </c:pt>
                <c:pt idx="3">
                  <c:v>44591.369444444441</c:v>
                </c:pt>
                <c:pt idx="4">
                  <c:v>44592.310416666667</c:v>
                </c:pt>
                <c:pt idx="5">
                  <c:v>44593.308333333334</c:v>
                </c:pt>
                <c:pt idx="6">
                  <c:v>44594.327777777777</c:v>
                </c:pt>
                <c:pt idx="7">
                  <c:v>44595.347222222219</c:v>
                </c:pt>
                <c:pt idx="8">
                  <c:v>44596.349305555559</c:v>
                </c:pt>
                <c:pt idx="9">
                  <c:v>44597.365972222222</c:v>
                </c:pt>
                <c:pt idx="10">
                  <c:v>44598.431944444441</c:v>
                </c:pt>
                <c:pt idx="11">
                  <c:v>44599.319444444445</c:v>
                </c:pt>
                <c:pt idx="12">
                  <c:v>44600.311111111114</c:v>
                </c:pt>
                <c:pt idx="13">
                  <c:v>44601.356249999997</c:v>
                </c:pt>
                <c:pt idx="14">
                  <c:v>44602.35833333333</c:v>
                </c:pt>
                <c:pt idx="15">
                  <c:v>44603.345138888886</c:v>
                </c:pt>
                <c:pt idx="16">
                  <c:v>44604.306944444441</c:v>
                </c:pt>
                <c:pt idx="17">
                  <c:v>44606.317361111112</c:v>
                </c:pt>
                <c:pt idx="18">
                  <c:v>44607.304861111108</c:v>
                </c:pt>
                <c:pt idx="19">
                  <c:v>44608.324999999997</c:v>
                </c:pt>
                <c:pt idx="20">
                  <c:v>44609.369444444441</c:v>
                </c:pt>
                <c:pt idx="21">
                  <c:v>44612.501388888886</c:v>
                </c:pt>
                <c:pt idx="22">
                  <c:v>44613.348611111112</c:v>
                </c:pt>
                <c:pt idx="23">
                  <c:v>44614.397916666669</c:v>
                </c:pt>
                <c:pt idx="24">
                  <c:v>44616.357638888891</c:v>
                </c:pt>
                <c:pt idx="25">
                  <c:v>44617.413194444445</c:v>
                </c:pt>
                <c:pt idx="26">
                  <c:v>44620.315972222219</c:v>
                </c:pt>
                <c:pt idx="27">
                  <c:v>44621.313888888886</c:v>
                </c:pt>
                <c:pt idx="28">
                  <c:v>44622.354166666664</c:v>
                </c:pt>
                <c:pt idx="29">
                  <c:v>44623.352083333331</c:v>
                </c:pt>
                <c:pt idx="30">
                  <c:v>44624.350694444445</c:v>
                </c:pt>
                <c:pt idx="31">
                  <c:v>44625.352777777778</c:v>
                </c:pt>
                <c:pt idx="32">
                  <c:v>44627.323611111111</c:v>
                </c:pt>
                <c:pt idx="33">
                  <c:v>44628.318749999999</c:v>
                </c:pt>
                <c:pt idx="34">
                  <c:v>44629.32708333333</c:v>
                </c:pt>
                <c:pt idx="35">
                  <c:v>44630.350694444445</c:v>
                </c:pt>
                <c:pt idx="36">
                  <c:v>44631.377083333333</c:v>
                </c:pt>
                <c:pt idx="37">
                  <c:v>44632.318055555559</c:v>
                </c:pt>
                <c:pt idx="38">
                  <c:v>44633.4</c:v>
                </c:pt>
                <c:pt idx="39">
                  <c:v>44634.325694444444</c:v>
                </c:pt>
                <c:pt idx="40">
                  <c:v>44635.316666666666</c:v>
                </c:pt>
                <c:pt idx="41">
                  <c:v>44636.319444444445</c:v>
                </c:pt>
                <c:pt idx="42">
                  <c:v>44637.433333333334</c:v>
                </c:pt>
                <c:pt idx="43">
                  <c:v>44638.349305555559</c:v>
                </c:pt>
                <c:pt idx="44">
                  <c:v>44639.329861111109</c:v>
                </c:pt>
                <c:pt idx="45">
                  <c:v>44640.384027777778</c:v>
                </c:pt>
                <c:pt idx="46">
                  <c:v>44641.328472222223</c:v>
                </c:pt>
                <c:pt idx="47">
                  <c:v>44642.306250000001</c:v>
                </c:pt>
                <c:pt idx="48">
                  <c:v>44643.37222222222</c:v>
                </c:pt>
                <c:pt idx="49">
                  <c:v>44644.322916666664</c:v>
                </c:pt>
                <c:pt idx="50">
                  <c:v>44645.34375</c:v>
                </c:pt>
                <c:pt idx="51">
                  <c:v>44646.310416666667</c:v>
                </c:pt>
                <c:pt idx="52">
                  <c:v>44647.415277777778</c:v>
                </c:pt>
                <c:pt idx="53">
                  <c:v>44648.330555555556</c:v>
                </c:pt>
                <c:pt idx="54">
                  <c:v>44649.307638888888</c:v>
                </c:pt>
                <c:pt idx="55">
                  <c:v>44650.302083333336</c:v>
                </c:pt>
                <c:pt idx="56">
                  <c:v>44651.354166666664</c:v>
                </c:pt>
                <c:pt idx="57">
                  <c:v>44652.319444444445</c:v>
                </c:pt>
                <c:pt idx="58">
                  <c:v>44653.337500000001</c:v>
                </c:pt>
                <c:pt idx="59">
                  <c:v>44655.328472222223</c:v>
                </c:pt>
                <c:pt idx="60">
                  <c:v>44656.311111111114</c:v>
                </c:pt>
                <c:pt idx="61">
                  <c:v>44657.324999999997</c:v>
                </c:pt>
                <c:pt idx="62">
                  <c:v>44658.334027777775</c:v>
                </c:pt>
                <c:pt idx="63">
                  <c:v>44659.350694444445</c:v>
                </c:pt>
                <c:pt idx="64">
                  <c:v>44660.356249999997</c:v>
                </c:pt>
                <c:pt idx="65">
                  <c:v>44661.318749999999</c:v>
                </c:pt>
                <c:pt idx="66">
                  <c:v>44662.323611111111</c:v>
                </c:pt>
                <c:pt idx="67">
                  <c:v>44663.318055555559</c:v>
                </c:pt>
                <c:pt idx="68">
                  <c:v>44664.316666666666</c:v>
                </c:pt>
                <c:pt idx="69">
                  <c:v>44665.342361111114</c:v>
                </c:pt>
                <c:pt idx="70">
                  <c:v>44666.384722222225</c:v>
                </c:pt>
                <c:pt idx="71">
                  <c:v>44667.31527777778</c:v>
                </c:pt>
                <c:pt idx="72">
                  <c:v>44668.347916666666</c:v>
                </c:pt>
                <c:pt idx="73">
                  <c:v>44670.322222222225</c:v>
                </c:pt>
                <c:pt idx="74">
                  <c:v>44671.309027777781</c:v>
                </c:pt>
                <c:pt idx="75">
                  <c:v>44672.314583333333</c:v>
                </c:pt>
                <c:pt idx="76">
                  <c:v>44673.347222222219</c:v>
                </c:pt>
                <c:pt idx="77">
                  <c:v>44674.461111111108</c:v>
                </c:pt>
                <c:pt idx="78">
                  <c:v>44675.356249999997</c:v>
                </c:pt>
                <c:pt idx="79">
                  <c:v>44677.357638888891</c:v>
                </c:pt>
                <c:pt idx="80">
                  <c:v>44678.388888888891</c:v>
                </c:pt>
                <c:pt idx="81">
                  <c:v>44679.313888888886</c:v>
                </c:pt>
                <c:pt idx="82">
                  <c:v>44680.336111111108</c:v>
                </c:pt>
                <c:pt idx="83">
                  <c:v>44681.359722222223</c:v>
                </c:pt>
                <c:pt idx="84">
                  <c:v>44682.336805555555</c:v>
                </c:pt>
                <c:pt idx="85">
                  <c:v>44683.318055555559</c:v>
                </c:pt>
                <c:pt idx="86">
                  <c:v>44684.311111111114</c:v>
                </c:pt>
                <c:pt idx="87">
                  <c:v>44685.341666666667</c:v>
                </c:pt>
                <c:pt idx="88">
                  <c:v>44686.306944444441</c:v>
                </c:pt>
                <c:pt idx="89">
                  <c:v>44687.322916666664</c:v>
                </c:pt>
                <c:pt idx="90">
                  <c:v>44688.351388888892</c:v>
                </c:pt>
                <c:pt idx="91">
                  <c:v>44689.48333333333</c:v>
                </c:pt>
                <c:pt idx="92">
                  <c:v>44690.322916666664</c:v>
                </c:pt>
                <c:pt idx="93">
                  <c:v>44691.3125</c:v>
                </c:pt>
                <c:pt idx="94">
                  <c:v>44692.36041666667</c:v>
                </c:pt>
                <c:pt idx="95">
                  <c:v>44693.302083333336</c:v>
                </c:pt>
                <c:pt idx="96">
                  <c:v>44694.348611111112</c:v>
                </c:pt>
                <c:pt idx="97">
                  <c:v>44695.335416666669</c:v>
                </c:pt>
                <c:pt idx="98">
                  <c:v>44696.374305555553</c:v>
                </c:pt>
                <c:pt idx="99">
                  <c:v>44697.314583333333</c:v>
                </c:pt>
                <c:pt idx="100">
                  <c:v>44698.313194444447</c:v>
                </c:pt>
                <c:pt idx="101">
                  <c:v>44699.352777777778</c:v>
                </c:pt>
                <c:pt idx="102">
                  <c:v>44700.306944444441</c:v>
                </c:pt>
                <c:pt idx="103">
                  <c:v>44701.344444444447</c:v>
                </c:pt>
                <c:pt idx="104">
                  <c:v>44702.284722222219</c:v>
                </c:pt>
                <c:pt idx="105">
                  <c:v>44704.321527777778</c:v>
                </c:pt>
                <c:pt idx="106">
                  <c:v>44705.320138888892</c:v>
                </c:pt>
                <c:pt idx="107">
                  <c:v>44706.347222222219</c:v>
                </c:pt>
                <c:pt idx="108">
                  <c:v>44707.390277777777</c:v>
                </c:pt>
                <c:pt idx="109">
                  <c:v>44708.337500000001</c:v>
                </c:pt>
                <c:pt idx="110">
                  <c:v>44709.306250000001</c:v>
                </c:pt>
                <c:pt idx="111">
                  <c:v>44710.356944444444</c:v>
                </c:pt>
                <c:pt idx="112">
                  <c:v>44711.320833333331</c:v>
                </c:pt>
                <c:pt idx="113">
                  <c:v>44712.322916666664</c:v>
                </c:pt>
                <c:pt idx="114">
                  <c:v>44713.322916666664</c:v>
                </c:pt>
                <c:pt idx="115">
                  <c:v>44714.304166666669</c:v>
                </c:pt>
                <c:pt idx="116">
                  <c:v>44715.309027777781</c:v>
                </c:pt>
                <c:pt idx="117">
                  <c:v>44716.347222222219</c:v>
                </c:pt>
                <c:pt idx="118">
                  <c:v>44717.347222222219</c:v>
                </c:pt>
                <c:pt idx="119">
                  <c:v>44719.318055555559</c:v>
                </c:pt>
                <c:pt idx="120">
                  <c:v>44720.364583333336</c:v>
                </c:pt>
                <c:pt idx="121">
                  <c:v>44721.319444444445</c:v>
                </c:pt>
                <c:pt idx="122">
                  <c:v>44722.334027777775</c:v>
                </c:pt>
                <c:pt idx="123">
                  <c:v>44723.320833333331</c:v>
                </c:pt>
                <c:pt idx="124">
                  <c:v>44724.353472222225</c:v>
                </c:pt>
                <c:pt idx="125">
                  <c:v>44725.335416666669</c:v>
                </c:pt>
                <c:pt idx="126">
                  <c:v>44726.321527777778</c:v>
                </c:pt>
                <c:pt idx="127">
                  <c:v>44727.296527777777</c:v>
                </c:pt>
                <c:pt idx="128">
                  <c:v>44728.322222222225</c:v>
                </c:pt>
                <c:pt idx="129">
                  <c:v>44729.31527777778</c:v>
                </c:pt>
                <c:pt idx="130">
                  <c:v>44730.36041666667</c:v>
                </c:pt>
                <c:pt idx="131">
                  <c:v>44731.375694444447</c:v>
                </c:pt>
                <c:pt idx="132">
                  <c:v>44732.313888888886</c:v>
                </c:pt>
                <c:pt idx="133">
                  <c:v>44733.307638888888</c:v>
                </c:pt>
                <c:pt idx="134">
                  <c:v>44734.311805555553</c:v>
                </c:pt>
                <c:pt idx="135">
                  <c:v>44735.313194444447</c:v>
                </c:pt>
                <c:pt idx="136">
                  <c:v>44736.322222222225</c:v>
                </c:pt>
                <c:pt idx="137">
                  <c:v>44737.38958333333</c:v>
                </c:pt>
                <c:pt idx="138">
                  <c:v>44738.408333333333</c:v>
                </c:pt>
                <c:pt idx="139">
                  <c:v>44739.320833333331</c:v>
                </c:pt>
                <c:pt idx="140">
                  <c:v>44740.313194444447</c:v>
                </c:pt>
                <c:pt idx="141">
                  <c:v>44741.350694444445</c:v>
                </c:pt>
                <c:pt idx="142">
                  <c:v>44742.323611111111</c:v>
                </c:pt>
                <c:pt idx="143">
                  <c:v>44743.336111111108</c:v>
                </c:pt>
                <c:pt idx="144">
                  <c:v>44745.384722222225</c:v>
                </c:pt>
                <c:pt idx="145">
                  <c:v>44746.318749999999</c:v>
                </c:pt>
                <c:pt idx="146">
                  <c:v>44747.299305555556</c:v>
                </c:pt>
                <c:pt idx="147">
                  <c:v>44748.342361111114</c:v>
                </c:pt>
                <c:pt idx="148">
                  <c:v>44749.314583333333</c:v>
                </c:pt>
                <c:pt idx="149">
                  <c:v>44750.343055555553</c:v>
                </c:pt>
                <c:pt idx="150">
                  <c:v>44751.455555555556</c:v>
                </c:pt>
                <c:pt idx="151">
                  <c:v>44752.465277777781</c:v>
                </c:pt>
                <c:pt idx="152">
                  <c:v>44753.314583333333</c:v>
                </c:pt>
                <c:pt idx="153">
                  <c:v>44754.320138888892</c:v>
                </c:pt>
                <c:pt idx="154">
                  <c:v>44755.311805555553</c:v>
                </c:pt>
                <c:pt idx="155">
                  <c:v>44756.347222222219</c:v>
                </c:pt>
                <c:pt idx="156">
                  <c:v>44757.318055555559</c:v>
                </c:pt>
                <c:pt idx="157">
                  <c:v>44758.425694444442</c:v>
                </c:pt>
                <c:pt idx="158">
                  <c:v>44759.459722222222</c:v>
                </c:pt>
                <c:pt idx="159">
                  <c:v>44760.376388888886</c:v>
                </c:pt>
                <c:pt idx="160">
                  <c:v>44761.365972222222</c:v>
                </c:pt>
                <c:pt idx="161">
                  <c:v>44762.32708333333</c:v>
                </c:pt>
                <c:pt idx="162">
                  <c:v>44763.347222222219</c:v>
                </c:pt>
                <c:pt idx="163">
                  <c:v>44764.329861111109</c:v>
                </c:pt>
                <c:pt idx="164">
                  <c:v>44765.144444444442</c:v>
                </c:pt>
                <c:pt idx="165">
                  <c:v>44779.277777777781</c:v>
                </c:pt>
                <c:pt idx="166">
                  <c:v>44780.34097222222</c:v>
                </c:pt>
                <c:pt idx="167">
                  <c:v>44781.331944444442</c:v>
                </c:pt>
                <c:pt idx="168">
                  <c:v>44782.318055555559</c:v>
                </c:pt>
                <c:pt idx="169">
                  <c:v>44783.34652777778</c:v>
                </c:pt>
                <c:pt idx="170">
                  <c:v>44784.345833333333</c:v>
                </c:pt>
                <c:pt idx="171">
                  <c:v>44785.351388888892</c:v>
                </c:pt>
                <c:pt idx="172">
                  <c:v>44786.336111111108</c:v>
                </c:pt>
                <c:pt idx="173">
                  <c:v>44789.318055555559</c:v>
                </c:pt>
                <c:pt idx="174">
                  <c:v>44790.356944444444</c:v>
                </c:pt>
                <c:pt idx="175">
                  <c:v>44791.316666666666</c:v>
                </c:pt>
                <c:pt idx="176">
                  <c:v>44792.306944444441</c:v>
                </c:pt>
                <c:pt idx="177">
                  <c:v>44793.30972222222</c:v>
                </c:pt>
                <c:pt idx="178">
                  <c:v>44795.320138888892</c:v>
                </c:pt>
                <c:pt idx="179">
                  <c:v>44796.306250000001</c:v>
                </c:pt>
                <c:pt idx="180">
                  <c:v>44797.310416666667</c:v>
                </c:pt>
                <c:pt idx="181">
                  <c:v>44798.316666666666</c:v>
                </c:pt>
                <c:pt idx="182">
                  <c:v>44799.321527777778</c:v>
                </c:pt>
                <c:pt idx="183">
                  <c:v>44800.306944444441</c:v>
                </c:pt>
                <c:pt idx="184">
                  <c:v>44802.320833333331</c:v>
                </c:pt>
                <c:pt idx="185">
                  <c:v>44803.3125</c:v>
                </c:pt>
                <c:pt idx="186">
                  <c:v>44804.359722222223</c:v>
                </c:pt>
                <c:pt idx="187">
                  <c:v>44805.369444444441</c:v>
                </c:pt>
                <c:pt idx="188">
                  <c:v>44806.30972222222</c:v>
                </c:pt>
                <c:pt idx="189">
                  <c:v>44807.335416666669</c:v>
                </c:pt>
                <c:pt idx="190">
                  <c:v>44808.453472222223</c:v>
                </c:pt>
                <c:pt idx="191">
                  <c:v>44809.320138888892</c:v>
                </c:pt>
                <c:pt idx="192">
                  <c:v>44810.313194444447</c:v>
                </c:pt>
                <c:pt idx="193">
                  <c:v>44811.362500000003</c:v>
                </c:pt>
                <c:pt idx="194">
                  <c:v>44812.337500000001</c:v>
                </c:pt>
                <c:pt idx="195">
                  <c:v>44813.34375</c:v>
                </c:pt>
                <c:pt idx="196">
                  <c:v>44814.345833333333</c:v>
                </c:pt>
                <c:pt idx="197">
                  <c:v>44815.407638888886</c:v>
                </c:pt>
                <c:pt idx="198">
                  <c:v>44816.313888888886</c:v>
                </c:pt>
                <c:pt idx="199">
                  <c:v>44817.319444444445</c:v>
                </c:pt>
                <c:pt idx="200">
                  <c:v>44819.356249999997</c:v>
                </c:pt>
                <c:pt idx="201">
                  <c:v>44820.316666666666</c:v>
                </c:pt>
                <c:pt idx="202">
                  <c:v>44821.379166666666</c:v>
                </c:pt>
                <c:pt idx="203">
                  <c:v>44822.359722222223</c:v>
                </c:pt>
                <c:pt idx="204">
                  <c:v>44823.320833333331</c:v>
                </c:pt>
                <c:pt idx="205">
                  <c:v>44824.306944444441</c:v>
                </c:pt>
                <c:pt idx="206">
                  <c:v>44825.311805555553</c:v>
                </c:pt>
                <c:pt idx="207">
                  <c:v>44826.317361111112</c:v>
                </c:pt>
                <c:pt idx="208">
                  <c:v>44827.34097222222</c:v>
                </c:pt>
                <c:pt idx="209">
                  <c:v>44828.343055555553</c:v>
                </c:pt>
                <c:pt idx="210">
                  <c:v>44830.319444444445</c:v>
                </c:pt>
                <c:pt idx="211">
                  <c:v>44831.323611111111</c:v>
                </c:pt>
                <c:pt idx="212">
                  <c:v>44832.383333333331</c:v>
                </c:pt>
                <c:pt idx="213">
                  <c:v>44833.340277777781</c:v>
                </c:pt>
                <c:pt idx="214">
                  <c:v>44834.347222222219</c:v>
                </c:pt>
                <c:pt idx="215">
                  <c:v>44835.425000000003</c:v>
                </c:pt>
                <c:pt idx="216">
                  <c:v>44837.322222222225</c:v>
                </c:pt>
                <c:pt idx="217">
                  <c:v>44838.314583333333</c:v>
                </c:pt>
                <c:pt idx="218">
                  <c:v>44839.347222222219</c:v>
                </c:pt>
                <c:pt idx="219">
                  <c:v>44840.314583333333</c:v>
                </c:pt>
                <c:pt idx="220">
                  <c:v>44841.348611111112</c:v>
                </c:pt>
                <c:pt idx="221">
                  <c:v>44842.373611111114</c:v>
                </c:pt>
                <c:pt idx="222">
                  <c:v>44843.462500000001</c:v>
                </c:pt>
                <c:pt idx="223">
                  <c:v>44844.317361111112</c:v>
                </c:pt>
                <c:pt idx="224">
                  <c:v>44845.311111111114</c:v>
                </c:pt>
                <c:pt idx="225">
                  <c:v>44846.364583333336</c:v>
                </c:pt>
                <c:pt idx="226">
                  <c:v>44847.3</c:v>
                </c:pt>
                <c:pt idx="227">
                  <c:v>44848.30972222222</c:v>
                </c:pt>
                <c:pt idx="228">
                  <c:v>44849.548611111109</c:v>
                </c:pt>
                <c:pt idx="229">
                  <c:v>44850.394444444442</c:v>
                </c:pt>
                <c:pt idx="230">
                  <c:v>44851.307638888888</c:v>
                </c:pt>
                <c:pt idx="231">
                  <c:v>44852.31527777778</c:v>
                </c:pt>
                <c:pt idx="232">
                  <c:v>44853.39166666667</c:v>
                </c:pt>
                <c:pt idx="233">
                  <c:v>44854.307638888888</c:v>
                </c:pt>
                <c:pt idx="234">
                  <c:v>44855.338888888888</c:v>
                </c:pt>
                <c:pt idx="235">
                  <c:v>44856.338194444441</c:v>
                </c:pt>
                <c:pt idx="236">
                  <c:v>44857.45</c:v>
                </c:pt>
                <c:pt idx="237">
                  <c:v>44858.31527777778</c:v>
                </c:pt>
                <c:pt idx="238">
                  <c:v>44859.315972222219</c:v>
                </c:pt>
                <c:pt idx="239">
                  <c:v>44860.363194444442</c:v>
                </c:pt>
                <c:pt idx="240">
                  <c:v>44861.316666666666</c:v>
                </c:pt>
                <c:pt idx="241">
                  <c:v>44862.348611111112</c:v>
                </c:pt>
                <c:pt idx="242">
                  <c:v>44863.336805555555</c:v>
                </c:pt>
                <c:pt idx="243">
                  <c:v>44866.343055555553</c:v>
                </c:pt>
                <c:pt idx="244">
                  <c:v>44867.345833333333</c:v>
                </c:pt>
                <c:pt idx="245">
                  <c:v>44868.387499999997</c:v>
                </c:pt>
                <c:pt idx="246">
                  <c:v>44869.370833333334</c:v>
                </c:pt>
                <c:pt idx="247">
                  <c:v>44870.311805555553</c:v>
                </c:pt>
                <c:pt idx="248">
                  <c:v>44871.44027777778</c:v>
                </c:pt>
                <c:pt idx="249">
                  <c:v>44872.321527777778</c:v>
                </c:pt>
                <c:pt idx="250">
                  <c:v>44873.320138888892</c:v>
                </c:pt>
                <c:pt idx="251">
                  <c:v>44874.388888888891</c:v>
                </c:pt>
                <c:pt idx="252">
                  <c:v>44875.308333333334</c:v>
                </c:pt>
                <c:pt idx="253">
                  <c:v>44876.362500000003</c:v>
                </c:pt>
                <c:pt idx="254">
                  <c:v>44877.359722222223</c:v>
                </c:pt>
                <c:pt idx="255">
                  <c:v>44878.379166666666</c:v>
                </c:pt>
                <c:pt idx="256">
                  <c:v>44879.319444444445</c:v>
                </c:pt>
                <c:pt idx="257">
                  <c:v>44881.320138888892</c:v>
                </c:pt>
                <c:pt idx="258">
                  <c:v>44882.299305555556</c:v>
                </c:pt>
                <c:pt idx="259">
                  <c:v>44883.327777777777</c:v>
                </c:pt>
                <c:pt idx="260">
                  <c:v>44884.400694444441</c:v>
                </c:pt>
                <c:pt idx="261">
                  <c:v>44885.402083333334</c:v>
                </c:pt>
                <c:pt idx="262">
                  <c:v>44886.306250000001</c:v>
                </c:pt>
                <c:pt idx="263">
                  <c:v>44887.321527777778</c:v>
                </c:pt>
                <c:pt idx="264">
                  <c:v>44888.320833333331</c:v>
                </c:pt>
                <c:pt idx="265">
                  <c:v>44889.36041666667</c:v>
                </c:pt>
                <c:pt idx="266">
                  <c:v>44890.34652777778</c:v>
                </c:pt>
                <c:pt idx="267">
                  <c:v>44891.353472222225</c:v>
                </c:pt>
                <c:pt idx="268">
                  <c:v>44892.386111111111</c:v>
                </c:pt>
                <c:pt idx="269">
                  <c:v>44893.326388888891</c:v>
                </c:pt>
                <c:pt idx="270">
                  <c:v>44894.31527777778</c:v>
                </c:pt>
                <c:pt idx="271">
                  <c:v>44895.31527777778</c:v>
                </c:pt>
                <c:pt idx="272">
                  <c:v>44896.319444444445</c:v>
                </c:pt>
                <c:pt idx="273">
                  <c:v>44897.320138888892</c:v>
                </c:pt>
                <c:pt idx="274">
                  <c:v>44898.393055555556</c:v>
                </c:pt>
                <c:pt idx="275">
                  <c:v>44900.320833333331</c:v>
                </c:pt>
                <c:pt idx="276">
                  <c:v>44901.353472222225</c:v>
                </c:pt>
                <c:pt idx="277">
                  <c:v>44902.289583333331</c:v>
                </c:pt>
                <c:pt idx="278">
                  <c:v>44903.307638888888</c:v>
                </c:pt>
                <c:pt idx="279">
                  <c:v>44905.364583333336</c:v>
                </c:pt>
                <c:pt idx="280">
                  <c:v>44906.469444444447</c:v>
                </c:pt>
                <c:pt idx="281">
                  <c:v>44907.31527777778</c:v>
                </c:pt>
                <c:pt idx="282">
                  <c:v>44908.3125</c:v>
                </c:pt>
                <c:pt idx="283">
                  <c:v>44909.321527777778</c:v>
                </c:pt>
                <c:pt idx="284">
                  <c:v>44910.34097222222</c:v>
                </c:pt>
                <c:pt idx="285">
                  <c:v>44910.34097222222</c:v>
                </c:pt>
                <c:pt idx="286">
                  <c:v>44911.337500000001</c:v>
                </c:pt>
                <c:pt idx="287">
                  <c:v>44912.443749999999</c:v>
                </c:pt>
                <c:pt idx="288">
                  <c:v>44913.431944444441</c:v>
                </c:pt>
                <c:pt idx="289">
                  <c:v>44914.414583333331</c:v>
                </c:pt>
                <c:pt idx="290">
                  <c:v>44917.402083333334</c:v>
                </c:pt>
                <c:pt idx="291">
                  <c:v>44918.303472222222</c:v>
                </c:pt>
                <c:pt idx="292">
                  <c:v>44919.39166666667</c:v>
                </c:pt>
                <c:pt idx="293">
                  <c:v>44921.321527777778</c:v>
                </c:pt>
                <c:pt idx="294">
                  <c:v>44922.320833333331</c:v>
                </c:pt>
                <c:pt idx="295">
                  <c:v>44923.329861111109</c:v>
                </c:pt>
                <c:pt idx="296">
                  <c:v>44924.330555555556</c:v>
                </c:pt>
                <c:pt idx="297">
                  <c:v>44925.321527777778</c:v>
                </c:pt>
                <c:pt idx="298">
                  <c:v>44926.378472222219</c:v>
                </c:pt>
                <c:pt idx="299">
                  <c:v>44927.606944444444</c:v>
                </c:pt>
                <c:pt idx="300">
                  <c:v>44928.325694444444</c:v>
                </c:pt>
                <c:pt idx="301">
                  <c:v>44929.318055555559</c:v>
                </c:pt>
                <c:pt idx="302">
                  <c:v>44930.318749999999</c:v>
                </c:pt>
                <c:pt idx="303">
                  <c:v>44931.341666666667</c:v>
                </c:pt>
                <c:pt idx="304">
                  <c:v>44932.331944444442</c:v>
                </c:pt>
                <c:pt idx="305">
                  <c:v>44933.365277777775</c:v>
                </c:pt>
                <c:pt idx="306">
                  <c:v>44934.39166666667</c:v>
                </c:pt>
                <c:pt idx="307">
                  <c:v>44935.334722222222</c:v>
                </c:pt>
                <c:pt idx="308">
                  <c:v>44936.306944444441</c:v>
                </c:pt>
                <c:pt idx="309">
                  <c:v>44937.377083333333</c:v>
                </c:pt>
                <c:pt idx="310">
                  <c:v>44938.397222222222</c:v>
                </c:pt>
                <c:pt idx="311">
                  <c:v>44939.352777777778</c:v>
                </c:pt>
                <c:pt idx="312">
                  <c:v>44940.367361111108</c:v>
                </c:pt>
                <c:pt idx="313">
                  <c:v>44941.769444444442</c:v>
                </c:pt>
                <c:pt idx="314">
                  <c:v>44942.332638888889</c:v>
                </c:pt>
                <c:pt idx="315">
                  <c:v>44943.319444444445</c:v>
                </c:pt>
                <c:pt idx="316">
                  <c:v>44944.319444444445</c:v>
                </c:pt>
                <c:pt idx="317">
                  <c:v>44945.453472222223</c:v>
                </c:pt>
                <c:pt idx="318">
                  <c:v>44946.381944444445</c:v>
                </c:pt>
                <c:pt idx="319">
                  <c:v>44947.398611111108</c:v>
                </c:pt>
                <c:pt idx="320">
                  <c:v>44949.316666666666</c:v>
                </c:pt>
                <c:pt idx="321">
                  <c:v>44950.329861111109</c:v>
                </c:pt>
                <c:pt idx="322">
                  <c:v>44951.348611111112</c:v>
                </c:pt>
                <c:pt idx="323">
                  <c:v>44952.328472222223</c:v>
                </c:pt>
                <c:pt idx="324">
                  <c:v>44953.311805555553</c:v>
                </c:pt>
                <c:pt idx="325">
                  <c:v>44954.336111111108</c:v>
                </c:pt>
                <c:pt idx="326">
                  <c:v>44955.460416666669</c:v>
                </c:pt>
                <c:pt idx="327">
                  <c:v>44956.316666666666</c:v>
                </c:pt>
                <c:pt idx="328">
                  <c:v>44957.324999999997</c:v>
                </c:pt>
                <c:pt idx="329">
                  <c:v>44958.474305555559</c:v>
                </c:pt>
                <c:pt idx="330">
                  <c:v>44959.334027777775</c:v>
                </c:pt>
                <c:pt idx="331">
                  <c:v>44960.34375</c:v>
                </c:pt>
                <c:pt idx="332">
                  <c:v>44961.365972222222</c:v>
                </c:pt>
                <c:pt idx="333">
                  <c:v>44962.435416666667</c:v>
                </c:pt>
                <c:pt idx="334">
                  <c:v>44963.320138888892</c:v>
                </c:pt>
                <c:pt idx="335">
                  <c:v>44964.313888888886</c:v>
                </c:pt>
                <c:pt idx="336">
                  <c:v>44965.373611111114</c:v>
                </c:pt>
                <c:pt idx="337">
                  <c:v>44966.370833333334</c:v>
                </c:pt>
                <c:pt idx="338">
                  <c:v>44967.364583333336</c:v>
                </c:pt>
                <c:pt idx="339">
                  <c:v>44968.361111111109</c:v>
                </c:pt>
                <c:pt idx="340">
                  <c:v>44969.404861111114</c:v>
                </c:pt>
                <c:pt idx="341">
                  <c:v>44970.315972222219</c:v>
                </c:pt>
                <c:pt idx="342">
                  <c:v>44971.321527777778</c:v>
                </c:pt>
                <c:pt idx="343">
                  <c:v>44972.308333333334</c:v>
                </c:pt>
                <c:pt idx="344">
                  <c:v>44973.42083333333</c:v>
                </c:pt>
                <c:pt idx="345">
                  <c:v>44974.376388888886</c:v>
                </c:pt>
                <c:pt idx="346">
                  <c:v>44975.342361111114</c:v>
                </c:pt>
                <c:pt idx="347">
                  <c:v>44976.375694444447</c:v>
                </c:pt>
                <c:pt idx="348">
                  <c:v>44977.34097222222</c:v>
                </c:pt>
                <c:pt idx="349">
                  <c:v>44978.339583333334</c:v>
                </c:pt>
                <c:pt idx="350">
                  <c:v>44979.334722222222</c:v>
                </c:pt>
                <c:pt idx="351">
                  <c:v>44980.322916666664</c:v>
                </c:pt>
                <c:pt idx="352">
                  <c:v>44981.324999999997</c:v>
                </c:pt>
                <c:pt idx="353">
                  <c:v>44982.300694444442</c:v>
                </c:pt>
                <c:pt idx="354">
                  <c:v>44983.401388888888</c:v>
                </c:pt>
                <c:pt idx="355">
                  <c:v>44984.334722222222</c:v>
                </c:pt>
                <c:pt idx="356">
                  <c:v>44985.313194444447</c:v>
                </c:pt>
                <c:pt idx="357">
                  <c:v>44986.343055555553</c:v>
                </c:pt>
                <c:pt idx="358">
                  <c:v>44987.344444444447</c:v>
                </c:pt>
                <c:pt idx="359">
                  <c:v>44988.355555555558</c:v>
                </c:pt>
                <c:pt idx="360">
                  <c:v>44989.372916666667</c:v>
                </c:pt>
                <c:pt idx="361">
                  <c:v>44990.393750000003</c:v>
                </c:pt>
                <c:pt idx="362">
                  <c:v>44991.320833333331</c:v>
                </c:pt>
                <c:pt idx="363">
                  <c:v>44992.306944444441</c:v>
                </c:pt>
                <c:pt idx="364">
                  <c:v>44993.34652777778</c:v>
                </c:pt>
                <c:pt idx="365">
                  <c:v>44994.368750000001</c:v>
                </c:pt>
                <c:pt idx="366">
                  <c:v>44995.347916666666</c:v>
                </c:pt>
                <c:pt idx="367">
                  <c:v>44996.296527777777</c:v>
                </c:pt>
                <c:pt idx="368">
                  <c:v>44997.402083333334</c:v>
                </c:pt>
                <c:pt idx="369">
                  <c:v>44998.313888888886</c:v>
                </c:pt>
                <c:pt idx="370">
                  <c:v>44999.320138888892</c:v>
                </c:pt>
                <c:pt idx="371">
                  <c:v>45000.332638888889</c:v>
                </c:pt>
                <c:pt idx="372">
                  <c:v>45001.308333333334</c:v>
                </c:pt>
                <c:pt idx="373">
                  <c:v>45002.343055555553</c:v>
                </c:pt>
                <c:pt idx="374">
                  <c:v>45003.309027777781</c:v>
                </c:pt>
                <c:pt idx="375">
                  <c:v>45004.407638888886</c:v>
                </c:pt>
                <c:pt idx="376">
                  <c:v>45005.320138888892</c:v>
                </c:pt>
                <c:pt idx="377">
                  <c:v>45006.311111111114</c:v>
                </c:pt>
                <c:pt idx="378">
                  <c:v>45007.395833333336</c:v>
                </c:pt>
                <c:pt idx="379">
                  <c:v>45008.327777777777</c:v>
                </c:pt>
                <c:pt idx="380">
                  <c:v>45009.348611111112</c:v>
                </c:pt>
                <c:pt idx="381">
                  <c:v>45010.462500000001</c:v>
                </c:pt>
                <c:pt idx="382">
                  <c:v>45011.392361111109</c:v>
                </c:pt>
                <c:pt idx="383">
                  <c:v>45012.320833333331</c:v>
                </c:pt>
                <c:pt idx="384">
                  <c:v>45013.374305555553</c:v>
                </c:pt>
                <c:pt idx="385">
                  <c:v>45014.367361111108</c:v>
                </c:pt>
                <c:pt idx="386">
                  <c:v>45015.330555555556</c:v>
                </c:pt>
                <c:pt idx="387">
                  <c:v>45017.319444444445</c:v>
                </c:pt>
                <c:pt idx="388">
                  <c:v>45018.392361111109</c:v>
                </c:pt>
                <c:pt idx="389">
                  <c:v>45019.330555555556</c:v>
                </c:pt>
                <c:pt idx="390">
                  <c:v>45020.318749999999</c:v>
                </c:pt>
                <c:pt idx="391">
                  <c:v>45021.370833333334</c:v>
                </c:pt>
                <c:pt idx="392">
                  <c:v>45022.338888888888</c:v>
                </c:pt>
                <c:pt idx="393">
                  <c:v>45023.336111111108</c:v>
                </c:pt>
                <c:pt idx="394">
                  <c:v>45024.552777777775</c:v>
                </c:pt>
                <c:pt idx="395">
                  <c:v>45026.377083333333</c:v>
                </c:pt>
                <c:pt idx="396">
                  <c:v>45027.325694444444</c:v>
                </c:pt>
                <c:pt idx="397">
                  <c:v>45028.390277777777</c:v>
                </c:pt>
                <c:pt idx="398">
                  <c:v>45029.321527777778</c:v>
                </c:pt>
                <c:pt idx="399">
                  <c:v>45030.347916666666</c:v>
                </c:pt>
                <c:pt idx="400">
                  <c:v>45031.34375</c:v>
                </c:pt>
                <c:pt idx="401">
                  <c:v>45032.367361111108</c:v>
                </c:pt>
                <c:pt idx="402">
                  <c:v>45033.330555555556</c:v>
                </c:pt>
                <c:pt idx="403">
                  <c:v>45034.314583333333</c:v>
                </c:pt>
                <c:pt idx="404">
                  <c:v>45035.322916666664</c:v>
                </c:pt>
                <c:pt idx="405">
                  <c:v>45036.35833333333</c:v>
                </c:pt>
                <c:pt idx="406">
                  <c:v>45037.352083333331</c:v>
                </c:pt>
                <c:pt idx="407">
                  <c:v>45038.341666666667</c:v>
                </c:pt>
                <c:pt idx="408">
                  <c:v>45039.663888888892</c:v>
                </c:pt>
                <c:pt idx="409">
                  <c:v>45040.384722222225</c:v>
                </c:pt>
                <c:pt idx="410">
                  <c:v>45041.34097222222</c:v>
                </c:pt>
                <c:pt idx="411">
                  <c:v>45042.334027777775</c:v>
                </c:pt>
                <c:pt idx="412">
                  <c:v>45043.385416666664</c:v>
                </c:pt>
                <c:pt idx="413">
                  <c:v>45044.308333333334</c:v>
                </c:pt>
                <c:pt idx="414">
                  <c:v>45045.330555555556</c:v>
                </c:pt>
                <c:pt idx="415">
                  <c:v>45046.46875</c:v>
                </c:pt>
                <c:pt idx="416">
                  <c:v>45047.34652777778</c:v>
                </c:pt>
                <c:pt idx="417">
                  <c:v>45048.324305555558</c:v>
                </c:pt>
                <c:pt idx="418">
                  <c:v>45049.349305555559</c:v>
                </c:pt>
                <c:pt idx="419">
                  <c:v>45050.322916666664</c:v>
                </c:pt>
                <c:pt idx="420">
                  <c:v>45051.361805555556</c:v>
                </c:pt>
                <c:pt idx="421">
                  <c:v>45052.357638888891</c:v>
                </c:pt>
                <c:pt idx="422">
                  <c:v>45053.340277777781</c:v>
                </c:pt>
                <c:pt idx="423">
                  <c:v>45054.328472222223</c:v>
                </c:pt>
                <c:pt idx="424">
                  <c:v>45055.321527777778</c:v>
                </c:pt>
                <c:pt idx="425">
                  <c:v>45056.37222222222</c:v>
                </c:pt>
                <c:pt idx="426">
                  <c:v>45057.31527777778</c:v>
                </c:pt>
                <c:pt idx="427">
                  <c:v>45058.313888888886</c:v>
                </c:pt>
                <c:pt idx="428">
                  <c:v>45059.331250000003</c:v>
                </c:pt>
                <c:pt idx="429">
                  <c:v>45060.347916666666</c:v>
                </c:pt>
                <c:pt idx="430">
                  <c:v>45061.320833333331</c:v>
                </c:pt>
                <c:pt idx="431">
                  <c:v>45062.322222222225</c:v>
                </c:pt>
                <c:pt idx="432">
                  <c:v>45063.378472222219</c:v>
                </c:pt>
                <c:pt idx="433">
                  <c:v>45064.423611111109</c:v>
                </c:pt>
                <c:pt idx="434">
                  <c:v>45065.32708333333</c:v>
                </c:pt>
                <c:pt idx="435">
                  <c:v>45066.351388888892</c:v>
                </c:pt>
                <c:pt idx="436">
                  <c:v>45067.336111111108</c:v>
                </c:pt>
                <c:pt idx="437">
                  <c:v>45068.326388888891</c:v>
                </c:pt>
                <c:pt idx="438">
                  <c:v>45069.309027777781</c:v>
                </c:pt>
                <c:pt idx="439">
                  <c:v>45070.355555555558</c:v>
                </c:pt>
                <c:pt idx="440">
                  <c:v>45071.323611111111</c:v>
                </c:pt>
                <c:pt idx="441">
                  <c:v>45072.349305555559</c:v>
                </c:pt>
                <c:pt idx="442">
                  <c:v>45073.304166666669</c:v>
                </c:pt>
                <c:pt idx="443">
                  <c:v>45074.361805555556</c:v>
                </c:pt>
                <c:pt idx="444">
                  <c:v>45075.333333333336</c:v>
                </c:pt>
                <c:pt idx="445">
                  <c:v>45076.322222222225</c:v>
                </c:pt>
                <c:pt idx="446">
                  <c:v>45077.393750000003</c:v>
                </c:pt>
                <c:pt idx="447">
                  <c:v>45078.322222222225</c:v>
                </c:pt>
                <c:pt idx="448">
                  <c:v>45079.311111111114</c:v>
                </c:pt>
                <c:pt idx="449">
                  <c:v>45080.3125</c:v>
                </c:pt>
                <c:pt idx="450">
                  <c:v>45081.324999999997</c:v>
                </c:pt>
                <c:pt idx="451">
                  <c:v>45082.320833333331</c:v>
                </c:pt>
                <c:pt idx="452">
                  <c:v>45083.314583333333</c:v>
                </c:pt>
                <c:pt idx="453">
                  <c:v>45084.361805555556</c:v>
                </c:pt>
                <c:pt idx="454">
                  <c:v>45085.355555555558</c:v>
                </c:pt>
                <c:pt idx="455">
                  <c:v>45086.355555555558</c:v>
                </c:pt>
                <c:pt idx="456">
                  <c:v>45087.315972222219</c:v>
                </c:pt>
                <c:pt idx="457">
                  <c:v>45088.431944444441</c:v>
                </c:pt>
                <c:pt idx="458">
                  <c:v>45089.319444444445</c:v>
                </c:pt>
                <c:pt idx="459">
                  <c:v>45090.314583333333</c:v>
                </c:pt>
                <c:pt idx="460">
                  <c:v>45091.330555555556</c:v>
                </c:pt>
                <c:pt idx="461">
                  <c:v>45092.324999999997</c:v>
                </c:pt>
                <c:pt idx="462">
                  <c:v>45093.313888888886</c:v>
                </c:pt>
                <c:pt idx="463">
                  <c:v>45094.336805555555</c:v>
                </c:pt>
                <c:pt idx="464">
                  <c:v>45096.323611111111</c:v>
                </c:pt>
                <c:pt idx="465">
                  <c:v>45097.320833333331</c:v>
                </c:pt>
                <c:pt idx="466">
                  <c:v>45098.526388888888</c:v>
                </c:pt>
                <c:pt idx="467">
                  <c:v>45099.324305555558</c:v>
                </c:pt>
                <c:pt idx="468">
                  <c:v>45100.335416666669</c:v>
                </c:pt>
                <c:pt idx="469">
                  <c:v>45101.365277777775</c:v>
                </c:pt>
                <c:pt idx="470">
                  <c:v>45102.376388888886</c:v>
                </c:pt>
                <c:pt idx="471">
                  <c:v>45103.318055555559</c:v>
                </c:pt>
                <c:pt idx="472">
                  <c:v>45104.311111111114</c:v>
                </c:pt>
                <c:pt idx="473">
                  <c:v>45105.315972222219</c:v>
                </c:pt>
                <c:pt idx="474">
                  <c:v>45106.342361111114</c:v>
                </c:pt>
                <c:pt idx="475">
                  <c:v>45107.288194444445</c:v>
                </c:pt>
                <c:pt idx="476">
                  <c:v>45108.3125</c:v>
                </c:pt>
                <c:pt idx="477">
                  <c:v>45110.324305555558</c:v>
                </c:pt>
                <c:pt idx="478">
                  <c:v>45111.316666666666</c:v>
                </c:pt>
                <c:pt idx="479">
                  <c:v>45112.369444444441</c:v>
                </c:pt>
                <c:pt idx="480">
                  <c:v>45113.327777777777</c:v>
                </c:pt>
                <c:pt idx="481">
                  <c:v>45114.34375</c:v>
                </c:pt>
                <c:pt idx="482">
                  <c:v>45115.51666666667</c:v>
                </c:pt>
                <c:pt idx="483">
                  <c:v>45116.40625</c:v>
                </c:pt>
                <c:pt idx="484">
                  <c:v>45117.324305555558</c:v>
                </c:pt>
                <c:pt idx="485">
                  <c:v>45118.306944444441</c:v>
                </c:pt>
                <c:pt idx="486">
                  <c:v>45119.378472222219</c:v>
                </c:pt>
                <c:pt idx="487">
                  <c:v>45120.318055555559</c:v>
                </c:pt>
                <c:pt idx="488">
                  <c:v>45121.327777777777</c:v>
                </c:pt>
                <c:pt idx="489">
                  <c:v>45122.50277777778</c:v>
                </c:pt>
                <c:pt idx="490">
                  <c:v>45123.373611111114</c:v>
                </c:pt>
                <c:pt idx="491">
                  <c:v>45124.323611111111</c:v>
                </c:pt>
                <c:pt idx="492">
                  <c:v>45125.395833333336</c:v>
                </c:pt>
                <c:pt idx="493">
                  <c:v>45140.51666666667</c:v>
                </c:pt>
                <c:pt idx="494">
                  <c:v>45141.416666666664</c:v>
                </c:pt>
                <c:pt idx="495">
                  <c:v>45142.436111111114</c:v>
                </c:pt>
                <c:pt idx="496">
                  <c:v>45143.461805555555</c:v>
                </c:pt>
                <c:pt idx="497">
                  <c:v>45145.32708333333</c:v>
                </c:pt>
                <c:pt idx="498">
                  <c:v>45146.316666666666</c:v>
                </c:pt>
                <c:pt idx="499">
                  <c:v>45147.34652777778</c:v>
                </c:pt>
                <c:pt idx="500">
                  <c:v>45148.316666666666</c:v>
                </c:pt>
                <c:pt idx="501">
                  <c:v>45149.5625</c:v>
                </c:pt>
                <c:pt idx="502">
                  <c:v>45150.349305555559</c:v>
                </c:pt>
                <c:pt idx="503">
                  <c:v>45151.379166666666</c:v>
                </c:pt>
                <c:pt idx="504">
                  <c:v>45152.388888888891</c:v>
                </c:pt>
                <c:pt idx="505">
                  <c:v>45153.343055555553</c:v>
                </c:pt>
                <c:pt idx="506">
                  <c:v>45154.322222222225</c:v>
                </c:pt>
                <c:pt idx="507">
                  <c:v>45155.322222222225</c:v>
                </c:pt>
                <c:pt idx="508">
                  <c:v>45156.351388888892</c:v>
                </c:pt>
                <c:pt idx="509">
                  <c:v>45157.393055555556</c:v>
                </c:pt>
                <c:pt idx="510">
                  <c:v>45158.372916666667</c:v>
                </c:pt>
                <c:pt idx="511">
                  <c:v>45159.327777777777</c:v>
                </c:pt>
                <c:pt idx="512">
                  <c:v>45160.317361111112</c:v>
                </c:pt>
                <c:pt idx="513">
                  <c:v>45161.35</c:v>
                </c:pt>
                <c:pt idx="514">
                  <c:v>45162.340277777781</c:v>
                </c:pt>
                <c:pt idx="515">
                  <c:v>45163.339583333334</c:v>
                </c:pt>
                <c:pt idx="516">
                  <c:v>45164.326388888891</c:v>
                </c:pt>
                <c:pt idx="517">
                  <c:v>45166.322916666664</c:v>
                </c:pt>
                <c:pt idx="518">
                  <c:v>45167.318055555559</c:v>
                </c:pt>
                <c:pt idx="519">
                  <c:v>45168.397222222222</c:v>
                </c:pt>
                <c:pt idx="520">
                  <c:v>45169.364583333336</c:v>
                </c:pt>
                <c:pt idx="521">
                  <c:v>45170.324999999997</c:v>
                </c:pt>
                <c:pt idx="522">
                  <c:v>45171.439583333333</c:v>
                </c:pt>
                <c:pt idx="523">
                  <c:v>45172.44027777778</c:v>
                </c:pt>
                <c:pt idx="524">
                  <c:v>45173.442361111112</c:v>
                </c:pt>
                <c:pt idx="525">
                  <c:v>45174.317361111112</c:v>
                </c:pt>
                <c:pt idx="526">
                  <c:v>45175.354166666664</c:v>
                </c:pt>
                <c:pt idx="527">
                  <c:v>45176.339583333334</c:v>
                </c:pt>
                <c:pt idx="528">
                  <c:v>45177.308333333334</c:v>
                </c:pt>
                <c:pt idx="529">
                  <c:v>45178.319444444445</c:v>
                </c:pt>
                <c:pt idx="530">
                  <c:v>45179.311111111114</c:v>
                </c:pt>
                <c:pt idx="531">
                  <c:v>45180.315972222219</c:v>
                </c:pt>
                <c:pt idx="532">
                  <c:v>45181.3125</c:v>
                </c:pt>
                <c:pt idx="533">
                  <c:v>45182.32708333333</c:v>
                </c:pt>
                <c:pt idx="534">
                  <c:v>45184.34097222222</c:v>
                </c:pt>
                <c:pt idx="535">
                  <c:v>45185.288888888892</c:v>
                </c:pt>
                <c:pt idx="536">
                  <c:v>45186.450694444444</c:v>
                </c:pt>
                <c:pt idx="537">
                  <c:v>45187.308333333334</c:v>
                </c:pt>
                <c:pt idx="538">
                  <c:v>45188.311805555553</c:v>
                </c:pt>
                <c:pt idx="539">
                  <c:v>45189.361111111109</c:v>
                </c:pt>
                <c:pt idx="540">
                  <c:v>45190.333333333336</c:v>
                </c:pt>
                <c:pt idx="541">
                  <c:v>45191.354166666664</c:v>
                </c:pt>
                <c:pt idx="542">
                  <c:v>45192.313194444447</c:v>
                </c:pt>
                <c:pt idx="543">
                  <c:v>45193.35833333333</c:v>
                </c:pt>
                <c:pt idx="544">
                  <c:v>45194.318055555559</c:v>
                </c:pt>
                <c:pt idx="545">
                  <c:v>45195.310416666667</c:v>
                </c:pt>
                <c:pt idx="546">
                  <c:v>45196.371527777781</c:v>
                </c:pt>
                <c:pt idx="547">
                  <c:v>45197.386805555558</c:v>
                </c:pt>
                <c:pt idx="548">
                  <c:v>45198.34375</c:v>
                </c:pt>
                <c:pt idx="549">
                  <c:v>45199.290972222225</c:v>
                </c:pt>
                <c:pt idx="550">
                  <c:v>45200.377083333333</c:v>
                </c:pt>
                <c:pt idx="551">
                  <c:v>45201.31527777778</c:v>
                </c:pt>
                <c:pt idx="552">
                  <c:v>45202.70416666667</c:v>
                </c:pt>
                <c:pt idx="553">
                  <c:v>45203.35833333333</c:v>
                </c:pt>
                <c:pt idx="554">
                  <c:v>45204.311805555553</c:v>
                </c:pt>
                <c:pt idx="555">
                  <c:v>45205.328472222223</c:v>
                </c:pt>
                <c:pt idx="556">
                  <c:v>45206.290277777778</c:v>
                </c:pt>
                <c:pt idx="557">
                  <c:v>45207.324999999997</c:v>
                </c:pt>
                <c:pt idx="558">
                  <c:v>45208.321527777778</c:v>
                </c:pt>
                <c:pt idx="559">
                  <c:v>45209.320833333331</c:v>
                </c:pt>
                <c:pt idx="560">
                  <c:v>45210.334027777775</c:v>
                </c:pt>
                <c:pt idx="561">
                  <c:v>45211.316666666666</c:v>
                </c:pt>
                <c:pt idx="562">
                  <c:v>45212.355555555558</c:v>
                </c:pt>
                <c:pt idx="563">
                  <c:v>45213.417361111111</c:v>
                </c:pt>
                <c:pt idx="564">
                  <c:v>45214.334722222222</c:v>
                </c:pt>
                <c:pt idx="565">
                  <c:v>45215.318055555559</c:v>
                </c:pt>
                <c:pt idx="566">
                  <c:v>45216.308333333334</c:v>
                </c:pt>
                <c:pt idx="567">
                  <c:v>45217.365277777775</c:v>
                </c:pt>
                <c:pt idx="568">
                  <c:v>45218.395138888889</c:v>
                </c:pt>
                <c:pt idx="569">
                  <c:v>45219.388194444444</c:v>
                </c:pt>
                <c:pt idx="570">
                  <c:v>45222.529861111114</c:v>
                </c:pt>
                <c:pt idx="571">
                  <c:v>45223.430555555555</c:v>
                </c:pt>
                <c:pt idx="572">
                  <c:v>45224.377083333333</c:v>
                </c:pt>
                <c:pt idx="573">
                  <c:v>45225.35833333333</c:v>
                </c:pt>
                <c:pt idx="574">
                  <c:v>45226.388194444444</c:v>
                </c:pt>
                <c:pt idx="575">
                  <c:v>45227.307638888888</c:v>
                </c:pt>
                <c:pt idx="576">
                  <c:v>45228.490277777775</c:v>
                </c:pt>
                <c:pt idx="577">
                  <c:v>45229.354166666664</c:v>
                </c:pt>
                <c:pt idx="578">
                  <c:v>45230.311805555553</c:v>
                </c:pt>
                <c:pt idx="579">
                  <c:v>45231.464583333334</c:v>
                </c:pt>
                <c:pt idx="580">
                  <c:v>45232.385416666664</c:v>
                </c:pt>
                <c:pt idx="581">
                  <c:v>45233.374305555553</c:v>
                </c:pt>
                <c:pt idx="582">
                  <c:v>45234.430555555555</c:v>
                </c:pt>
                <c:pt idx="583">
                  <c:v>45235.345833333333</c:v>
                </c:pt>
                <c:pt idx="584">
                  <c:v>45236.318749999999</c:v>
                </c:pt>
                <c:pt idx="585">
                  <c:v>45237.31527777778</c:v>
                </c:pt>
                <c:pt idx="586">
                  <c:v>45238.338194444441</c:v>
                </c:pt>
                <c:pt idx="587">
                  <c:v>45239.313888888886</c:v>
                </c:pt>
                <c:pt idx="588">
                  <c:v>45240.320833333331</c:v>
                </c:pt>
                <c:pt idx="589">
                  <c:v>45241.438194444447</c:v>
                </c:pt>
                <c:pt idx="590">
                  <c:v>45242.368055555555</c:v>
                </c:pt>
                <c:pt idx="591">
                  <c:v>45243.317361111112</c:v>
                </c:pt>
                <c:pt idx="592">
                  <c:v>45244.319444444445</c:v>
                </c:pt>
                <c:pt idx="593">
                  <c:v>45245.347222222219</c:v>
                </c:pt>
                <c:pt idx="594">
                  <c:v>45246.356944444444</c:v>
                </c:pt>
                <c:pt idx="595">
                  <c:v>45247.345833333333</c:v>
                </c:pt>
                <c:pt idx="596">
                  <c:v>45248.334027777775</c:v>
                </c:pt>
                <c:pt idx="597">
                  <c:v>45249.386111111111</c:v>
                </c:pt>
                <c:pt idx="598">
                  <c:v>45250.320138888892</c:v>
                </c:pt>
                <c:pt idx="599">
                  <c:v>45252.334722222222</c:v>
                </c:pt>
                <c:pt idx="600">
                  <c:v>45253.330555555556</c:v>
                </c:pt>
                <c:pt idx="601">
                  <c:v>45254.302083333336</c:v>
                </c:pt>
                <c:pt idx="602">
                  <c:v>45255.324305555558</c:v>
                </c:pt>
                <c:pt idx="603">
                  <c:v>45257.379166666666</c:v>
                </c:pt>
                <c:pt idx="604">
                  <c:v>45258.31527777778</c:v>
                </c:pt>
                <c:pt idx="605">
                  <c:v>45259.315972222219</c:v>
                </c:pt>
                <c:pt idx="606">
                  <c:v>45260.352777777778</c:v>
                </c:pt>
                <c:pt idx="607">
                  <c:v>45261.542361111111</c:v>
                </c:pt>
                <c:pt idx="608">
                  <c:v>45262.390972222223</c:v>
                </c:pt>
                <c:pt idx="609">
                  <c:v>45263.449305555558</c:v>
                </c:pt>
                <c:pt idx="610">
                  <c:v>45264.308333333334</c:v>
                </c:pt>
                <c:pt idx="611">
                  <c:v>45265.311805555553</c:v>
                </c:pt>
                <c:pt idx="612">
                  <c:v>45266.301388888889</c:v>
                </c:pt>
                <c:pt idx="613">
                  <c:v>45267.321527777778</c:v>
                </c:pt>
                <c:pt idx="614">
                  <c:v>45268.384722222225</c:v>
                </c:pt>
                <c:pt idx="615">
                  <c:v>45269.329861111109</c:v>
                </c:pt>
                <c:pt idx="616">
                  <c:v>45270.357638888891</c:v>
                </c:pt>
                <c:pt idx="617">
                  <c:v>45271.310416666667</c:v>
                </c:pt>
                <c:pt idx="618">
                  <c:v>45272.308333333334</c:v>
                </c:pt>
                <c:pt idx="619">
                  <c:v>45273.319444444445</c:v>
                </c:pt>
                <c:pt idx="620">
                  <c:v>45274.347916666666</c:v>
                </c:pt>
                <c:pt idx="621">
                  <c:v>45275.344444444447</c:v>
                </c:pt>
                <c:pt idx="622">
                  <c:v>45276.429861111108</c:v>
                </c:pt>
                <c:pt idx="623">
                  <c:v>45277.426388888889</c:v>
                </c:pt>
                <c:pt idx="624">
                  <c:v>45278.326388888891</c:v>
                </c:pt>
                <c:pt idx="625">
                  <c:v>45279.300694444442</c:v>
                </c:pt>
                <c:pt idx="626">
                  <c:v>45280.315972222219</c:v>
                </c:pt>
                <c:pt idx="627">
                  <c:v>45281.352777777778</c:v>
                </c:pt>
                <c:pt idx="628">
                  <c:v>45282.324999999997</c:v>
                </c:pt>
                <c:pt idx="629">
                  <c:v>45283.302777777775</c:v>
                </c:pt>
                <c:pt idx="630">
                  <c:v>45284.306250000001</c:v>
                </c:pt>
                <c:pt idx="631">
                  <c:v>45285.868750000001</c:v>
                </c:pt>
                <c:pt idx="632">
                  <c:v>45286.334722222222</c:v>
                </c:pt>
                <c:pt idx="633">
                  <c:v>45287.332638888889</c:v>
                </c:pt>
                <c:pt idx="634">
                  <c:v>45288.311805555553</c:v>
                </c:pt>
                <c:pt idx="635">
                  <c:v>45289.336805555555</c:v>
                </c:pt>
                <c:pt idx="636">
                  <c:v>45290.31527777778</c:v>
                </c:pt>
                <c:pt idx="637">
                  <c:v>45291.348611111112</c:v>
                </c:pt>
                <c:pt idx="638">
                  <c:v>45292.552777777775</c:v>
                </c:pt>
                <c:pt idx="639">
                  <c:v>45293.330555555556</c:v>
                </c:pt>
                <c:pt idx="640">
                  <c:v>45294.32708333333</c:v>
                </c:pt>
                <c:pt idx="641">
                  <c:v>45295.330555555556</c:v>
                </c:pt>
                <c:pt idx="642">
                  <c:v>45296.323611111111</c:v>
                </c:pt>
                <c:pt idx="643">
                  <c:v>45297.34375</c:v>
                </c:pt>
                <c:pt idx="644">
                  <c:v>45298.322222222225</c:v>
                </c:pt>
                <c:pt idx="645">
                  <c:v>45299.318055555559</c:v>
                </c:pt>
                <c:pt idx="646">
                  <c:v>45300.310416666667</c:v>
                </c:pt>
                <c:pt idx="647">
                  <c:v>45301.325694444444</c:v>
                </c:pt>
                <c:pt idx="648">
                  <c:v>45302.342361111114</c:v>
                </c:pt>
                <c:pt idx="649">
                  <c:v>45303.322222222225</c:v>
                </c:pt>
                <c:pt idx="650">
                  <c:v>45304.341666666667</c:v>
                </c:pt>
                <c:pt idx="651">
                  <c:v>45305.398611111108</c:v>
                </c:pt>
                <c:pt idx="652">
                  <c:v>45306.29583333333</c:v>
                </c:pt>
                <c:pt idx="653">
                  <c:v>45307.306250000001</c:v>
                </c:pt>
                <c:pt idx="654">
                  <c:v>45308.323611111111</c:v>
                </c:pt>
                <c:pt idx="655">
                  <c:v>45309.32916666667</c:v>
                </c:pt>
                <c:pt idx="656">
                  <c:v>45310.303472222222</c:v>
                </c:pt>
                <c:pt idx="657">
                  <c:v>45311.304861111108</c:v>
                </c:pt>
                <c:pt idx="658">
                  <c:v>45312.343055555553</c:v>
                </c:pt>
                <c:pt idx="659">
                  <c:v>45313.324305555558</c:v>
                </c:pt>
                <c:pt idx="660">
                  <c:v>45314.319444444445</c:v>
                </c:pt>
                <c:pt idx="661">
                  <c:v>45315.316666666666</c:v>
                </c:pt>
                <c:pt idx="662">
                  <c:v>45316.324305555558</c:v>
                </c:pt>
                <c:pt idx="663">
                  <c:v>45317.313888888886</c:v>
                </c:pt>
                <c:pt idx="664">
                  <c:v>45318.303472222222</c:v>
                </c:pt>
                <c:pt idx="665">
                  <c:v>45319.316666666666</c:v>
                </c:pt>
                <c:pt idx="666">
                  <c:v>45320.31527777778</c:v>
                </c:pt>
                <c:pt idx="667">
                  <c:v>45321.309027777781</c:v>
                </c:pt>
                <c:pt idx="668">
                  <c:v>45322.324305555558</c:v>
                </c:pt>
                <c:pt idx="669">
                  <c:v>45323.319444444445</c:v>
                </c:pt>
                <c:pt idx="670">
                  <c:v>45324.313888888886</c:v>
                </c:pt>
                <c:pt idx="671">
                  <c:v>45325.363194444442</c:v>
                </c:pt>
                <c:pt idx="672">
                  <c:v>45326.386111111111</c:v>
                </c:pt>
                <c:pt idx="673">
                  <c:v>45327.318749999999</c:v>
                </c:pt>
                <c:pt idx="674">
                  <c:v>45328.317361111112</c:v>
                </c:pt>
                <c:pt idx="675">
                  <c:v>45329.332638888889</c:v>
                </c:pt>
                <c:pt idx="676">
                  <c:v>45330.336111111108</c:v>
                </c:pt>
                <c:pt idx="677">
                  <c:v>45331.336805555555</c:v>
                </c:pt>
                <c:pt idx="678">
                  <c:v>45332.34097222222</c:v>
                </c:pt>
                <c:pt idx="679">
                  <c:v>45333.381944444445</c:v>
                </c:pt>
                <c:pt idx="680">
                  <c:v>45334.313194444447</c:v>
                </c:pt>
                <c:pt idx="681">
                  <c:v>45335.317361111112</c:v>
                </c:pt>
                <c:pt idx="682">
                  <c:v>45336.31527777778</c:v>
                </c:pt>
                <c:pt idx="683">
                  <c:v>45337.368750000001</c:v>
                </c:pt>
                <c:pt idx="684">
                  <c:v>45338.34097222222</c:v>
                </c:pt>
                <c:pt idx="685">
                  <c:v>45339.379166666666</c:v>
                </c:pt>
                <c:pt idx="686">
                  <c:v>45340.314583333333</c:v>
                </c:pt>
                <c:pt idx="687">
                  <c:v>45341.321527777778</c:v>
                </c:pt>
                <c:pt idx="688">
                  <c:v>45342.318055555559</c:v>
                </c:pt>
                <c:pt idx="689">
                  <c:v>45343.314583333333</c:v>
                </c:pt>
                <c:pt idx="690">
                  <c:v>45344.333333333336</c:v>
                </c:pt>
                <c:pt idx="691">
                  <c:v>45345.313194444447</c:v>
                </c:pt>
                <c:pt idx="692">
                  <c:v>45346.320138888892</c:v>
                </c:pt>
                <c:pt idx="693">
                  <c:v>45347.338888888888</c:v>
                </c:pt>
                <c:pt idx="694">
                  <c:v>45348.344444444447</c:v>
                </c:pt>
                <c:pt idx="695">
                  <c:v>45349.325694444444</c:v>
                </c:pt>
                <c:pt idx="696">
                  <c:v>45350.329861111109</c:v>
                </c:pt>
                <c:pt idx="697">
                  <c:v>45351.289583333331</c:v>
                </c:pt>
                <c:pt idx="698">
                  <c:v>45352.338194444441</c:v>
                </c:pt>
                <c:pt idx="699">
                  <c:v>45353.354861111111</c:v>
                </c:pt>
                <c:pt idx="700">
                  <c:v>45354.340277777781</c:v>
                </c:pt>
                <c:pt idx="701">
                  <c:v>45355.313888888886</c:v>
                </c:pt>
                <c:pt idx="702">
                  <c:v>45356.30972222222</c:v>
                </c:pt>
                <c:pt idx="703">
                  <c:v>45357.340277777781</c:v>
                </c:pt>
                <c:pt idx="704">
                  <c:v>45358.311111111114</c:v>
                </c:pt>
                <c:pt idx="705">
                  <c:v>45359.347222222219</c:v>
                </c:pt>
                <c:pt idx="706">
                  <c:v>45360.330555555556</c:v>
                </c:pt>
                <c:pt idx="707">
                  <c:v>45361.347916666666</c:v>
                </c:pt>
                <c:pt idx="708">
                  <c:v>45362.320138888892</c:v>
                </c:pt>
                <c:pt idx="709">
                  <c:v>45363.318055555559</c:v>
                </c:pt>
                <c:pt idx="710">
                  <c:v>45364.369444444441</c:v>
                </c:pt>
                <c:pt idx="711">
                  <c:v>45365.330555555556</c:v>
                </c:pt>
                <c:pt idx="712">
                  <c:v>45366.332638888889</c:v>
                </c:pt>
                <c:pt idx="713">
                  <c:v>45367.34375</c:v>
                </c:pt>
                <c:pt idx="714">
                  <c:v>45368.365972222222</c:v>
                </c:pt>
                <c:pt idx="715">
                  <c:v>45369.311805555553</c:v>
                </c:pt>
                <c:pt idx="716">
                  <c:v>45370.314583333333</c:v>
                </c:pt>
                <c:pt idx="717">
                  <c:v>45371.327777777777</c:v>
                </c:pt>
                <c:pt idx="718">
                  <c:v>45372.307638888888</c:v>
                </c:pt>
                <c:pt idx="719">
                  <c:v>45373.333333333336</c:v>
                </c:pt>
                <c:pt idx="720">
                  <c:v>45374.322916666664</c:v>
                </c:pt>
                <c:pt idx="721">
                  <c:v>45375.324305555558</c:v>
                </c:pt>
                <c:pt idx="722">
                  <c:v>45376.317361111112</c:v>
                </c:pt>
                <c:pt idx="723">
                  <c:v>45377.306944444441</c:v>
                </c:pt>
                <c:pt idx="724">
                  <c:v>45378.350694444445</c:v>
                </c:pt>
                <c:pt idx="725">
                  <c:v>45379.306944444441</c:v>
                </c:pt>
                <c:pt idx="726">
                  <c:v>45380.338888888888</c:v>
                </c:pt>
                <c:pt idx="727">
                  <c:v>45381.339583333334</c:v>
                </c:pt>
                <c:pt idx="728">
                  <c:v>45383.348611111112</c:v>
                </c:pt>
                <c:pt idx="729">
                  <c:v>45384.314583333333</c:v>
                </c:pt>
                <c:pt idx="730">
                  <c:v>45385.36041666667</c:v>
                </c:pt>
                <c:pt idx="731">
                  <c:v>45386.311805555553</c:v>
                </c:pt>
                <c:pt idx="732">
                  <c:v>45387.331944444442</c:v>
                </c:pt>
                <c:pt idx="733">
                  <c:v>45388.274305555555</c:v>
                </c:pt>
                <c:pt idx="734">
                  <c:v>45389.361111111109</c:v>
                </c:pt>
                <c:pt idx="735">
                  <c:v>45390.361111111109</c:v>
                </c:pt>
                <c:pt idx="736">
                  <c:v>45391.302083333336</c:v>
                </c:pt>
                <c:pt idx="737">
                  <c:v>45392.32708333333</c:v>
                </c:pt>
                <c:pt idx="738">
                  <c:v>45393.306250000001</c:v>
                </c:pt>
                <c:pt idx="739">
                  <c:v>45394.352083333331</c:v>
                </c:pt>
                <c:pt idx="740">
                  <c:v>45395.335416666669</c:v>
                </c:pt>
                <c:pt idx="741">
                  <c:v>45396.327777777777</c:v>
                </c:pt>
                <c:pt idx="742">
                  <c:v>45397.324305555558</c:v>
                </c:pt>
                <c:pt idx="743">
                  <c:v>45398.3125</c:v>
                </c:pt>
                <c:pt idx="744">
                  <c:v>45399.320138888892</c:v>
                </c:pt>
                <c:pt idx="745">
                  <c:v>45400.354166666664</c:v>
                </c:pt>
                <c:pt idx="746">
                  <c:v>45401.311805555553</c:v>
                </c:pt>
                <c:pt idx="747">
                  <c:v>45402.357638888891</c:v>
                </c:pt>
                <c:pt idx="748">
                  <c:v>45403.313194444447</c:v>
                </c:pt>
                <c:pt idx="749">
                  <c:v>45404.318055555559</c:v>
                </c:pt>
                <c:pt idx="750">
                  <c:v>45405.311111111114</c:v>
                </c:pt>
                <c:pt idx="751">
                  <c:v>45406.315972222219</c:v>
                </c:pt>
                <c:pt idx="752">
                  <c:v>45407.34652777778</c:v>
                </c:pt>
                <c:pt idx="753">
                  <c:v>45408.349305555559</c:v>
                </c:pt>
                <c:pt idx="754">
                  <c:v>45409.368055555555</c:v>
                </c:pt>
                <c:pt idx="755">
                  <c:v>45410.32708333333</c:v>
                </c:pt>
                <c:pt idx="756">
                  <c:v>45411.31527777778</c:v>
                </c:pt>
                <c:pt idx="757">
                  <c:v>45413.475694444445</c:v>
                </c:pt>
                <c:pt idx="758">
                  <c:v>45414.311111111114</c:v>
                </c:pt>
                <c:pt idx="759">
                  <c:v>45415.318749999999</c:v>
                </c:pt>
                <c:pt idx="760">
                  <c:v>45416.310416666667</c:v>
                </c:pt>
                <c:pt idx="761">
                  <c:v>45417.327777777777</c:v>
                </c:pt>
                <c:pt idx="762">
                  <c:v>45418.319444444445</c:v>
                </c:pt>
                <c:pt idx="763">
                  <c:v>45419.311805555553</c:v>
                </c:pt>
                <c:pt idx="764">
                  <c:v>45420.340277777781</c:v>
                </c:pt>
                <c:pt idx="765">
                  <c:v>45421.313194444447</c:v>
                </c:pt>
                <c:pt idx="766">
                  <c:v>45422.332638888889</c:v>
                </c:pt>
                <c:pt idx="767">
                  <c:v>45423.311805555553</c:v>
                </c:pt>
                <c:pt idx="768">
                  <c:v>45424.32708333333</c:v>
                </c:pt>
                <c:pt idx="769">
                  <c:v>45425.313888888886</c:v>
                </c:pt>
                <c:pt idx="770">
                  <c:v>45426.319444444445</c:v>
                </c:pt>
                <c:pt idx="771">
                  <c:v>45427.338194444441</c:v>
                </c:pt>
                <c:pt idx="772">
                  <c:v>45428.338194444441</c:v>
                </c:pt>
                <c:pt idx="773">
                  <c:v>45429.321527777778</c:v>
                </c:pt>
                <c:pt idx="774">
                  <c:v>45430.336111111108</c:v>
                </c:pt>
                <c:pt idx="775">
                  <c:v>45432.377083333333</c:v>
                </c:pt>
                <c:pt idx="776">
                  <c:v>45433.311111111114</c:v>
                </c:pt>
                <c:pt idx="777">
                  <c:v>45434.345138888886</c:v>
                </c:pt>
                <c:pt idx="778">
                  <c:v>45435.3</c:v>
                </c:pt>
                <c:pt idx="779">
                  <c:v>45436.352083333331</c:v>
                </c:pt>
                <c:pt idx="780">
                  <c:v>45437.32708333333</c:v>
                </c:pt>
                <c:pt idx="781">
                  <c:v>45439.317361111112</c:v>
                </c:pt>
                <c:pt idx="782">
                  <c:v>45440.310416666667</c:v>
                </c:pt>
                <c:pt idx="783">
                  <c:v>45441.328472222223</c:v>
                </c:pt>
                <c:pt idx="784">
                  <c:v>45442.335416666669</c:v>
                </c:pt>
                <c:pt idx="785">
                  <c:v>45443.342361111114</c:v>
                </c:pt>
                <c:pt idx="786">
                  <c:v>45444.31527777778</c:v>
                </c:pt>
                <c:pt idx="787">
                  <c:v>45445.381249999999</c:v>
                </c:pt>
                <c:pt idx="788">
                  <c:v>45446.320138888892</c:v>
                </c:pt>
                <c:pt idx="789">
                  <c:v>45447.3125</c:v>
                </c:pt>
                <c:pt idx="790">
                  <c:v>45448.336111111108</c:v>
                </c:pt>
                <c:pt idx="791">
                  <c:v>45449.324305555558</c:v>
                </c:pt>
                <c:pt idx="792">
                  <c:v>45450.330555555556</c:v>
                </c:pt>
                <c:pt idx="793">
                  <c:v>45451.302083333336</c:v>
                </c:pt>
                <c:pt idx="794">
                  <c:v>45452.339583333334</c:v>
                </c:pt>
                <c:pt idx="795">
                  <c:v>45453.310416666667</c:v>
                </c:pt>
                <c:pt idx="796">
                  <c:v>45454.313194444447</c:v>
                </c:pt>
                <c:pt idx="797">
                  <c:v>45455.32708333333</c:v>
                </c:pt>
                <c:pt idx="798">
                  <c:v>45456.334722222222</c:v>
                </c:pt>
                <c:pt idx="799">
                  <c:v>45457.350694444445</c:v>
                </c:pt>
                <c:pt idx="800">
                  <c:v>45458.321527777778</c:v>
                </c:pt>
                <c:pt idx="801">
                  <c:v>45459.4375</c:v>
                </c:pt>
                <c:pt idx="802">
                  <c:v>45460.31527777778</c:v>
                </c:pt>
                <c:pt idx="803">
                  <c:v>45461.324999999997</c:v>
                </c:pt>
                <c:pt idx="804">
                  <c:v>45462.361111111109</c:v>
                </c:pt>
                <c:pt idx="805">
                  <c:v>45463.315972222219</c:v>
                </c:pt>
                <c:pt idx="806">
                  <c:v>45464.320833333331</c:v>
                </c:pt>
                <c:pt idx="807">
                  <c:v>45465.303472222222</c:v>
                </c:pt>
                <c:pt idx="808">
                  <c:v>45466.464583333334</c:v>
                </c:pt>
              </c:numCache>
            </c:numRef>
          </c:cat>
          <c:val>
            <c:numRef>
              <c:f>'Suivi Conso New'!#REF!</c:f>
              <c:numCache>
                <c:formatCode>General</c:formatCode>
                <c:ptCount val="809"/>
                <c:pt idx="0">
                  <c:v>3.8108680310559007</c:v>
                </c:pt>
                <c:pt idx="1">
                  <c:v>3.1411530815007564</c:v>
                </c:pt>
                <c:pt idx="2">
                  <c:v>2.4693140794244584</c:v>
                </c:pt>
                <c:pt idx="3">
                  <c:v>2.2559366754672849</c:v>
                </c:pt>
                <c:pt idx="4">
                  <c:v>2.1697416974076535</c:v>
                </c:pt>
                <c:pt idx="5">
                  <c:v>2.5469728601240229</c:v>
                </c:pt>
                <c:pt idx="6">
                  <c:v>2.2070844686694007</c:v>
                </c:pt>
                <c:pt idx="7">
                  <c:v>2.2070844686694007</c:v>
                </c:pt>
                <c:pt idx="8">
                  <c:v>2.3284823284665488</c:v>
                </c:pt>
                <c:pt idx="9">
                  <c:v>2.3770491803369418</c:v>
                </c:pt>
                <c:pt idx="10">
                  <c:v>2.3452768729712843</c:v>
                </c:pt>
                <c:pt idx="11">
                  <c:v>2.1596244131349169</c:v>
                </c:pt>
                <c:pt idx="12">
                  <c:v>2.0588235294077366</c:v>
                </c:pt>
                <c:pt idx="13">
                  <c:v>2.0730897010079028</c:v>
                </c:pt>
                <c:pt idx="14">
                  <c:v>2.2869022869033939</c:v>
                </c:pt>
                <c:pt idx="15">
                  <c:v>2.4067558057690066</c:v>
                </c:pt>
                <c:pt idx="16">
                  <c:v>2.4259927797854326</c:v>
                </c:pt>
                <c:pt idx="17">
                  <c:v>2.4041450777144067</c:v>
                </c:pt>
                <c:pt idx="18">
                  <c:v>2.3628691983226822</c:v>
                </c:pt>
                <c:pt idx="19">
                  <c:v>2.1238938053093981</c:v>
                </c:pt>
                <c:pt idx="20">
                  <c:v>1.8750000000011611</c:v>
                </c:pt>
                <c:pt idx="21">
                  <c:v>2.0487804878043492</c:v>
                </c:pt>
                <c:pt idx="22">
                  <c:v>1.9180327868760947</c:v>
                </c:pt>
                <c:pt idx="23">
                  <c:v>2.2236929185955852</c:v>
                </c:pt>
                <c:pt idx="24">
                  <c:v>1.8284904323178071</c:v>
                </c:pt>
                <c:pt idx="25">
                  <c:v>2.4473684210545059</c:v>
                </c:pt>
                <c:pt idx="26">
                  <c:v>2.4401913875632069</c:v>
                </c:pt>
                <c:pt idx="27">
                  <c:v>1.6283924843415885</c:v>
                </c:pt>
                <c:pt idx="28">
                  <c:v>1.4419225634174422</c:v>
                </c:pt>
                <c:pt idx="29">
                  <c:v>1.7954070981202128</c:v>
                </c:pt>
                <c:pt idx="30">
                  <c:v>1.6689847009689804</c:v>
                </c:pt>
                <c:pt idx="31">
                  <c:v>2.2869022869033939</c:v>
                </c:pt>
                <c:pt idx="32">
                  <c:v>2.1987315010576238</c:v>
                </c:pt>
                <c:pt idx="33">
                  <c:v>2.3866015352438557</c:v>
                </c:pt>
                <c:pt idx="34">
                  <c:v>1.9834710743839818</c:v>
                </c:pt>
                <c:pt idx="35">
                  <c:v>1.5875169606447692</c:v>
                </c:pt>
                <c:pt idx="36">
                  <c:v>1.7050067659020134</c:v>
                </c:pt>
                <c:pt idx="37">
                  <c:v>1.7269372693652751</c:v>
                </c:pt>
                <c:pt idx="38">
                  <c:v>1.7715019255490128</c:v>
                </c:pt>
                <c:pt idx="39">
                  <c:v>2.295573893478581</c:v>
                </c:pt>
                <c:pt idx="40">
                  <c:v>1.7238962859150686</c:v>
                </c:pt>
                <c:pt idx="41">
                  <c:v>1.37119113573164</c:v>
                </c:pt>
                <c:pt idx="42">
                  <c:v>1.7581047381543582</c:v>
                </c:pt>
                <c:pt idx="43">
                  <c:v>2.2289613343379049</c:v>
                </c:pt>
                <c:pt idx="44">
                  <c:v>2.0396600566679863</c:v>
                </c:pt>
                <c:pt idx="45">
                  <c:v>1.5019762845822158</c:v>
                </c:pt>
                <c:pt idx="46">
                  <c:v>1.2794117647047871</c:v>
                </c:pt>
                <c:pt idx="47">
                  <c:v>1.1931818181814235</c:v>
                </c:pt>
                <c:pt idx="48">
                  <c:v>1.4071661237827704</c:v>
                </c:pt>
                <c:pt idx="49">
                  <c:v>1.7531044558083511</c:v>
                </c:pt>
                <c:pt idx="50">
                  <c:v>1.3469387755070039</c:v>
                </c:pt>
                <c:pt idx="51">
                  <c:v>1.1206896551718515</c:v>
                </c:pt>
                <c:pt idx="52">
                  <c:v>1.131363922061762</c:v>
                </c:pt>
                <c:pt idx="53">
                  <c:v>1.0925644916536352</c:v>
                </c:pt>
                <c:pt idx="54">
                  <c:v>0.5117270788922742</c:v>
                </c:pt>
                <c:pt idx="55">
                  <c:v>1.1312849161968868</c:v>
                </c:pt>
                <c:pt idx="56">
                  <c:v>1.6633663366413323</c:v>
                </c:pt>
                <c:pt idx="57">
                  <c:v>2.5035971222937712</c:v>
                </c:pt>
                <c:pt idx="58">
                  <c:v>3.0286493860826598</c:v>
                </c:pt>
                <c:pt idx="59">
                  <c:v>2.8461806766659663</c:v>
                </c:pt>
                <c:pt idx="60">
                  <c:v>1.9505300353324795</c:v>
                </c:pt>
                <c:pt idx="61">
                  <c:v>1.602739726036343</c:v>
                </c:pt>
                <c:pt idx="62">
                  <c:v>1.7343427391598021</c:v>
                </c:pt>
                <c:pt idx="63">
                  <c:v>1.7622950819613274</c:v>
                </c:pt>
                <c:pt idx="64">
                  <c:v>1.9889502762504496</c:v>
                </c:pt>
                <c:pt idx="65">
                  <c:v>1.9480519480490028</c:v>
                </c:pt>
                <c:pt idx="66">
                  <c:v>1.4512785072545245</c:v>
                </c:pt>
                <c:pt idx="67">
                  <c:v>0.62849162010938153</c:v>
                </c:pt>
                <c:pt idx="68">
                  <c:v>1.0848400556377416</c:v>
                </c:pt>
                <c:pt idx="69">
                  <c:v>0.89370345294191889</c:v>
                </c:pt>
                <c:pt idx="70">
                  <c:v>0.51965356429055365</c:v>
                </c:pt>
                <c:pt idx="71">
                  <c:v>0.49253731343326373</c:v>
                </c:pt>
                <c:pt idx="72">
                  <c:v>0.52454606590590191</c:v>
                </c:pt>
                <c:pt idx="73">
                  <c:v>0.40098487513118047</c:v>
                </c:pt>
                <c:pt idx="74">
                  <c:v>1.4356087262481794</c:v>
                </c:pt>
                <c:pt idx="75">
                  <c:v>1.0773480663023269</c:v>
                </c:pt>
                <c:pt idx="76">
                  <c:v>0.52454606590590191</c:v>
                </c:pt>
                <c:pt idx="77">
                  <c:v>0.41147132169570089</c:v>
                </c:pt>
                <c:pt idx="78">
                  <c:v>0.74476338246689422</c:v>
                </c:pt>
                <c:pt idx="79">
                  <c:v>0.89521165856841223</c:v>
                </c:pt>
                <c:pt idx="80">
                  <c:v>1.0909090909090908</c:v>
                </c:pt>
                <c:pt idx="81">
                  <c:v>0.58558558558834928</c:v>
                </c:pt>
                <c:pt idx="82">
                  <c:v>0.44836956521753313</c:v>
                </c:pt>
                <c:pt idx="83">
                  <c:v>0.36635006784110058</c:v>
                </c:pt>
                <c:pt idx="84">
                  <c:v>0.42643923241022846</c:v>
                </c:pt>
                <c:pt idx="85">
                  <c:v>0.76433121018768235</c:v>
                </c:pt>
                <c:pt idx="86">
                  <c:v>0.46153846153883726</c:v>
                </c:pt>
                <c:pt idx="87">
                  <c:v>0.44474393531094991</c:v>
                </c:pt>
                <c:pt idx="88">
                  <c:v>0.5611510791390405</c:v>
                </c:pt>
                <c:pt idx="89">
                  <c:v>0.53315105946625496</c:v>
                </c:pt>
                <c:pt idx="90">
                  <c:v>0.44564483456885357</c:v>
                </c:pt>
                <c:pt idx="91">
                  <c:v>0.40490797546243618</c:v>
                </c:pt>
                <c:pt idx="92">
                  <c:v>0.44665012406896282</c:v>
                </c:pt>
                <c:pt idx="93">
                  <c:v>0.33684210526233233</c:v>
                </c:pt>
                <c:pt idx="94">
                  <c:v>0.39761431411401982</c:v>
                </c:pt>
                <c:pt idx="95">
                  <c:v>0.44247787610665051</c:v>
                </c:pt>
                <c:pt idx="96">
                  <c:v>0.35832780358366556</c:v>
                </c:pt>
                <c:pt idx="97">
                  <c:v>0.42223786066122926</c:v>
                </c:pt>
                <c:pt idx="98">
                  <c:v>0.52139037433366064</c:v>
                </c:pt>
                <c:pt idx="99">
                  <c:v>0.4431314623329875</c:v>
                </c:pt>
                <c:pt idx="100">
                  <c:v>0.41724617524224511</c:v>
                </c:pt>
                <c:pt idx="101">
                  <c:v>0.40080160320716085</c:v>
                </c:pt>
                <c:pt idx="102">
                  <c:v>0.4803493449801195</c:v>
                </c:pt>
                <c:pt idx="103">
                  <c:v>0.3614457831305023</c:v>
                </c:pt>
                <c:pt idx="104">
                  <c:v>0.39881831610277485</c:v>
                </c:pt>
                <c:pt idx="105">
                  <c:v>0.30685305148258718</c:v>
                </c:pt>
                <c:pt idx="106">
                  <c:v>0.5006954102906942</c:v>
                </c:pt>
                <c:pt idx="107">
                  <c:v>0.32454361054965991</c:v>
                </c:pt>
                <c:pt idx="108">
                  <c:v>0.47936085219610458</c:v>
                </c:pt>
                <c:pt idx="109">
                  <c:v>0.35190615835681016</c:v>
                </c:pt>
                <c:pt idx="110">
                  <c:v>0.4731182795698925</c:v>
                </c:pt>
                <c:pt idx="111">
                  <c:v>0.47587574355680129</c:v>
                </c:pt>
                <c:pt idx="112">
                  <c:v>0.47550432276720872</c:v>
                </c:pt>
                <c:pt idx="113">
                  <c:v>0.29106029106043196</c:v>
                </c:pt>
                <c:pt idx="114">
                  <c:v>0.29166666666666669</c:v>
                </c:pt>
                <c:pt idx="115">
                  <c:v>0.42462845010426792</c:v>
                </c:pt>
                <c:pt idx="116">
                  <c:v>0.49758120248726551</c:v>
                </c:pt>
                <c:pt idx="117">
                  <c:v>0.56187290970249693</c:v>
                </c:pt>
                <c:pt idx="118">
                  <c:v>0.625</c:v>
                </c:pt>
                <c:pt idx="119">
                  <c:v>0.33826638477684712</c:v>
                </c:pt>
                <c:pt idx="120">
                  <c:v>0.47777040477822075</c:v>
                </c:pt>
                <c:pt idx="121">
                  <c:v>0.5236363636372503</c:v>
                </c:pt>
                <c:pt idx="122">
                  <c:v>0.45174537987830854</c:v>
                </c:pt>
                <c:pt idx="123">
                  <c:v>0.42223786066122926</c:v>
                </c:pt>
                <c:pt idx="124">
                  <c:v>0.36314727639383493</c:v>
                </c:pt>
                <c:pt idx="125">
                  <c:v>0.38189533239063345</c:v>
                </c:pt>
                <c:pt idx="126">
                  <c:v>0.33802816901463878</c:v>
                </c:pt>
                <c:pt idx="127">
                  <c:v>0.47008547008617169</c:v>
                </c:pt>
                <c:pt idx="128">
                  <c:v>0.64996614759412275</c:v>
                </c:pt>
                <c:pt idx="129">
                  <c:v>0.62937062937114174</c:v>
                </c:pt>
                <c:pt idx="130">
                  <c:v>0.5581395348828575</c:v>
                </c:pt>
                <c:pt idx="131">
                  <c:v>0.41039671682672291</c:v>
                </c:pt>
                <c:pt idx="132">
                  <c:v>0.44411547002457846</c:v>
                </c:pt>
                <c:pt idx="133">
                  <c:v>0.37735849056548515</c:v>
                </c:pt>
                <c:pt idx="134">
                  <c:v>0.3734439834028504</c:v>
                </c:pt>
                <c:pt idx="135">
                  <c:v>0.54091539528188182</c:v>
                </c:pt>
                <c:pt idx="136">
                  <c:v>0.37164487267710045</c:v>
                </c:pt>
                <c:pt idx="137">
                  <c:v>0.31229668184950576</c:v>
                </c:pt>
                <c:pt idx="138">
                  <c:v>0.44989775050996217</c:v>
                </c:pt>
                <c:pt idx="139">
                  <c:v>0.41095890411024438</c:v>
                </c:pt>
                <c:pt idx="140">
                  <c:v>0.37788663400819622</c:v>
                </c:pt>
                <c:pt idx="141">
                  <c:v>0.28112449799236217</c:v>
                </c:pt>
                <c:pt idx="142">
                  <c:v>0.47109207708826417</c:v>
                </c:pt>
                <c:pt idx="143">
                  <c:v>0.370370370371435</c:v>
                </c:pt>
                <c:pt idx="144">
                  <c:v>0.38644067796503417</c:v>
                </c:pt>
                <c:pt idx="145">
                  <c:v>0.35687732342161882</c:v>
                </c:pt>
                <c:pt idx="146">
                  <c:v>0.33994334277547528</c:v>
                </c:pt>
                <c:pt idx="147">
                  <c:v>0.31957390146406972</c:v>
                </c:pt>
                <c:pt idx="148">
                  <c:v>0.4714285714301395</c:v>
                </c:pt>
                <c:pt idx="149">
                  <c:v>0.32410533423418642</c:v>
                </c:pt>
                <c:pt idx="150">
                  <c:v>0.41198501872551396</c:v>
                </c:pt>
                <c:pt idx="151">
                  <c:v>0.45392022008136795</c:v>
                </c:pt>
                <c:pt idx="152">
                  <c:v>0.24529844644424662</c:v>
                </c:pt>
                <c:pt idx="153">
                  <c:v>0.41436464088251207</c:v>
                </c:pt>
                <c:pt idx="154">
                  <c:v>0.46218487395206664</c:v>
                </c:pt>
                <c:pt idx="155">
                  <c:v>0.44265593561409683</c:v>
                </c:pt>
                <c:pt idx="156">
                  <c:v>0.21459227467661054</c:v>
                </c:pt>
                <c:pt idx="157">
                  <c:v>0.45141065830951638</c:v>
                </c:pt>
                <c:pt idx="158">
                  <c:v>0.32236400268581222</c:v>
                </c:pt>
                <c:pt idx="159">
                  <c:v>0.45454545454665718</c:v>
                </c:pt>
                <c:pt idx="160">
                  <c:v>0.37894736842012389</c:v>
                </c:pt>
                <c:pt idx="161">
                  <c:v>0.39017341040587139</c:v>
                </c:pt>
                <c:pt idx="162">
                  <c:v>0.32675289312452277</c:v>
                </c:pt>
                <c:pt idx="163">
                  <c:v>0.42402826855053904</c:v>
                </c:pt>
                <c:pt idx="164">
                  <c:v>0.51150895140695418</c:v>
                </c:pt>
                <c:pt idx="165">
                  <c:v>0.21816037735840821</c:v>
                </c:pt>
                <c:pt idx="166">
                  <c:v>0.43109079033514797</c:v>
                </c:pt>
                <c:pt idx="167">
                  <c:v>0.50455501051172735</c:v>
                </c:pt>
                <c:pt idx="168">
                  <c:v>0.3802816901386627</c:v>
                </c:pt>
                <c:pt idx="169">
                  <c:v>0.32410533423418642</c:v>
                </c:pt>
                <c:pt idx="170">
                  <c:v>0.45865184155767547</c:v>
                </c:pt>
                <c:pt idx="171">
                  <c:v>0.37292817679426088</c:v>
                </c:pt>
                <c:pt idx="172">
                  <c:v>0.33850493653243652</c:v>
                </c:pt>
                <c:pt idx="173">
                  <c:v>0.34932463903042976</c:v>
                </c:pt>
                <c:pt idx="174">
                  <c:v>0.36096256684638045</c:v>
                </c:pt>
                <c:pt idx="175">
                  <c:v>0.52098408104214367</c:v>
                </c:pt>
                <c:pt idx="176">
                  <c:v>0.3786816269294605</c:v>
                </c:pt>
                <c:pt idx="177">
                  <c:v>0.41551246537322423</c:v>
                </c:pt>
                <c:pt idx="178">
                  <c:v>0.41450777201972527</c:v>
                </c:pt>
                <c:pt idx="179">
                  <c:v>0.33802816901463878</c:v>
                </c:pt>
                <c:pt idx="180">
                  <c:v>0.45643153527015051</c:v>
                </c:pt>
                <c:pt idx="181">
                  <c:v>0.53830227743349068</c:v>
                </c:pt>
                <c:pt idx="182">
                  <c:v>0.33172080165817702</c:v>
                </c:pt>
                <c:pt idx="183">
                  <c:v>0.46511627907159903</c:v>
                </c:pt>
                <c:pt idx="184">
                  <c:v>0.28965517241356054</c:v>
                </c:pt>
                <c:pt idx="185">
                  <c:v>0.37815126050346182</c:v>
                </c:pt>
                <c:pt idx="186">
                  <c:v>0.35809018567600553</c:v>
                </c:pt>
                <c:pt idx="187">
                  <c:v>0.4126547455314899</c:v>
                </c:pt>
                <c:pt idx="188">
                  <c:v>0.53175775479958498</c:v>
                </c:pt>
                <c:pt idx="189">
                  <c:v>0.40622884224632677</c:v>
                </c:pt>
                <c:pt idx="190">
                  <c:v>0.40993788819905419</c:v>
                </c:pt>
                <c:pt idx="191">
                  <c:v>0.38461538461452355</c:v>
                </c:pt>
                <c:pt idx="192">
                  <c:v>0.37762237762268502</c:v>
                </c:pt>
                <c:pt idx="193">
                  <c:v>0.31767041694222642</c:v>
                </c:pt>
                <c:pt idx="194">
                  <c:v>0.42735042735106515</c:v>
                </c:pt>
                <c:pt idx="195">
                  <c:v>0.37267080745395509</c:v>
                </c:pt>
                <c:pt idx="196">
                  <c:v>0.41580041580061705</c:v>
                </c:pt>
                <c:pt idx="197">
                  <c:v>0.35317200784901975</c:v>
                </c:pt>
                <c:pt idx="198">
                  <c:v>0.41379310344827586</c:v>
                </c:pt>
                <c:pt idx="199">
                  <c:v>0.33149171270600969</c:v>
                </c:pt>
                <c:pt idx="200">
                  <c:v>0.30685305148368336</c:v>
                </c:pt>
                <c:pt idx="201">
                  <c:v>0.30368763557422379</c:v>
                </c:pt>
                <c:pt idx="202">
                  <c:v>0.31372549019607843</c:v>
                </c:pt>
                <c:pt idx="203">
                  <c:v>0.42492917846934408</c:v>
                </c:pt>
                <c:pt idx="204">
                  <c:v>0.39017341040587139</c:v>
                </c:pt>
                <c:pt idx="205">
                  <c:v>0.29577464788780888</c:v>
                </c:pt>
                <c:pt idx="206">
                  <c:v>0.2902557014509049</c:v>
                </c:pt>
                <c:pt idx="207">
                  <c:v>0.41436464088251207</c:v>
                </c:pt>
                <c:pt idx="208">
                  <c:v>0.28493894165621475</c:v>
                </c:pt>
                <c:pt idx="209">
                  <c:v>0.37422037422055537</c:v>
                </c:pt>
                <c:pt idx="210">
                  <c:v>0.40056219255032605</c:v>
                </c:pt>
                <c:pt idx="211">
                  <c:v>0.3734439834028504</c:v>
                </c:pt>
                <c:pt idx="212">
                  <c:v>0.27522935779862706</c:v>
                </c:pt>
                <c:pt idx="213">
                  <c:v>0.39187227866261271</c:v>
                </c:pt>
                <c:pt idx="214">
                  <c:v>0.91034482759205393</c:v>
                </c:pt>
                <c:pt idx="215">
                  <c:v>0.65721649484161415</c:v>
                </c:pt>
                <c:pt idx="216">
                  <c:v>0.41727672035146207</c:v>
                </c:pt>
                <c:pt idx="217">
                  <c:v>0.41987403778996324</c:v>
                </c:pt>
                <c:pt idx="218">
                  <c:v>0.36314727639639366</c:v>
                </c:pt>
                <c:pt idx="219">
                  <c:v>0.38765254845546709</c:v>
                </c:pt>
                <c:pt idx="220">
                  <c:v>0.60443250503589785</c:v>
                </c:pt>
                <c:pt idx="221">
                  <c:v>0.93495934959216853</c:v>
                </c:pt>
                <c:pt idx="222">
                  <c:v>0.80357142857238317</c:v>
                </c:pt>
                <c:pt idx="223">
                  <c:v>0.43866774979699602</c:v>
                </c:pt>
                <c:pt idx="224">
                  <c:v>0.41928721173942796</c:v>
                </c:pt>
                <c:pt idx="225">
                  <c:v>0.59327620303248274</c:v>
                </c:pt>
                <c:pt idx="226">
                  <c:v>0.48997772828482389</c:v>
                </c:pt>
                <c:pt idx="227">
                  <c:v>0.4126547455314899</c:v>
                </c:pt>
                <c:pt idx="228">
                  <c:v>0.40358744394613566</c:v>
                </c:pt>
                <c:pt idx="229">
                  <c:v>0.39408866995096492</c:v>
                </c:pt>
                <c:pt idx="230">
                  <c:v>0.54752851710978145</c:v>
                </c:pt>
                <c:pt idx="231">
                  <c:v>0.33080634045385016</c:v>
                </c:pt>
                <c:pt idx="232">
                  <c:v>0.3870967741929669</c:v>
                </c:pt>
                <c:pt idx="233">
                  <c:v>0.54586808188300662</c:v>
                </c:pt>
                <c:pt idx="234">
                  <c:v>0.32323232323232326</c:v>
                </c:pt>
                <c:pt idx="235">
                  <c:v>0.41695621959788681</c:v>
                </c:pt>
                <c:pt idx="236">
                  <c:v>0.44971892567119376</c:v>
                </c:pt>
                <c:pt idx="237">
                  <c:v>0.38523274478121899</c:v>
                </c:pt>
                <c:pt idx="238">
                  <c:v>0.37473976405461817</c:v>
                </c:pt>
                <c:pt idx="239">
                  <c:v>0.47745358090134077</c:v>
                </c:pt>
                <c:pt idx="240">
                  <c:v>0.52439912600083416</c:v>
                </c:pt>
                <c:pt idx="241">
                  <c:v>0.44414535666120608</c:v>
                </c:pt>
                <c:pt idx="242">
                  <c:v>0.4216444132124218</c:v>
                </c:pt>
                <c:pt idx="243">
                  <c:v>0.36036036036053481</c:v>
                </c:pt>
                <c:pt idx="244">
                  <c:v>0.54016620498519152</c:v>
                </c:pt>
                <c:pt idx="245">
                  <c:v>0.64000000000149015</c:v>
                </c:pt>
                <c:pt idx="246">
                  <c:v>1.6949152542305996</c:v>
                </c:pt>
                <c:pt idx="247">
                  <c:v>1.4612546125511472</c:v>
                </c:pt>
                <c:pt idx="248">
                  <c:v>1.2923076923030632</c:v>
                </c:pt>
                <c:pt idx="249">
                  <c:v>1.0874704491743725</c:v>
                </c:pt>
                <c:pt idx="250">
                  <c:v>0.91794158553293925</c:v>
                </c:pt>
                <c:pt idx="251">
                  <c:v>0.77972709551763086</c:v>
                </c:pt>
                <c:pt idx="252">
                  <c:v>1.0422960725082859</c:v>
                </c:pt>
                <c:pt idx="253">
                  <c:v>1.5810276679812798</c:v>
                </c:pt>
                <c:pt idx="254">
                  <c:v>1.1281337047373881</c:v>
                </c:pt>
                <c:pt idx="255">
                  <c:v>0.81743869209977804</c:v>
                </c:pt>
                <c:pt idx="256">
                  <c:v>0.70901033973278005</c:v>
                </c:pt>
                <c:pt idx="257">
                  <c:v>1.1037834085374529</c:v>
                </c:pt>
                <c:pt idx="258">
                  <c:v>1.276595744684013</c:v>
                </c:pt>
                <c:pt idx="259">
                  <c:v>1.1748818365989258</c:v>
                </c:pt>
                <c:pt idx="260">
                  <c:v>1.7475728155379309</c:v>
                </c:pt>
                <c:pt idx="261">
                  <c:v>1.872399445206514</c:v>
                </c:pt>
                <c:pt idx="262">
                  <c:v>1.5668202764968553</c:v>
                </c:pt>
                <c:pt idx="263">
                  <c:v>1.7236662106722362</c:v>
                </c:pt>
                <c:pt idx="264">
                  <c:v>1.3759555246730264</c:v>
                </c:pt>
                <c:pt idx="265">
                  <c:v>1.683366733458294</c:v>
                </c:pt>
                <c:pt idx="266">
                  <c:v>1.3521126760585551</c:v>
                </c:pt>
                <c:pt idx="267">
                  <c:v>1.3241379310334196</c:v>
                </c:pt>
                <c:pt idx="268">
                  <c:v>1.5332885003403287</c:v>
                </c:pt>
                <c:pt idx="269">
                  <c:v>1.8168389955652489</c:v>
                </c:pt>
                <c:pt idx="270">
                  <c:v>1.8539325842693597</c:v>
                </c:pt>
                <c:pt idx="271">
                  <c:v>2.125</c:v>
                </c:pt>
                <c:pt idx="272">
                  <c:v>2.3651452282180525</c:v>
                </c:pt>
                <c:pt idx="273">
                  <c:v>1.8320610686981458</c:v>
                </c:pt>
                <c:pt idx="274">
                  <c:v>2.7184466019478926</c:v>
                </c:pt>
                <c:pt idx="275">
                  <c:v>2.5072046109543731</c:v>
                </c:pt>
                <c:pt idx="276">
                  <c:v>2.9051782111506794</c:v>
                </c:pt>
                <c:pt idx="277">
                  <c:v>2.8486646884410765</c:v>
                </c:pt>
                <c:pt idx="278">
                  <c:v>3.0286493860826598</c:v>
                </c:pt>
                <c:pt idx="279">
                  <c:v>3.5043889263947445</c:v>
                </c:pt>
                <c:pt idx="280">
                  <c:v>3.1678189817729336</c:v>
                </c:pt>
                <c:pt idx="281">
                  <c:v>3.3004926108393313</c:v>
                </c:pt>
                <c:pt idx="282">
                  <c:v>3.426183844017253</c:v>
                </c:pt>
                <c:pt idx="283">
                  <c:v>2.9731589814168036</c:v>
                </c:pt>
                <c:pt idx="284">
                  <c:v>2.7384196185342566</c:v>
                </c:pt>
                <c:pt idx="286">
                  <c:v>3.0522648083524646</c:v>
                </c:pt>
                <c:pt idx="287">
                  <c:v>3.5404896421938719</c:v>
                </c:pt>
                <c:pt idx="288">
                  <c:v>3.6261419536268273</c:v>
                </c:pt>
                <c:pt idx="289">
                  <c:v>2.3745583038830187</c:v>
                </c:pt>
                <c:pt idx="290">
                  <c:v>1.5202231520208342</c:v>
                </c:pt>
                <c:pt idx="291">
                  <c:v>1.1556240369816275</c:v>
                </c:pt>
                <c:pt idx="292">
                  <c:v>0.72750478621321257</c:v>
                </c:pt>
                <c:pt idx="293">
                  <c:v>0.84202950701825297</c:v>
                </c:pt>
                <c:pt idx="294">
                  <c:v>2.1681723419090115</c:v>
                </c:pt>
                <c:pt idx="295">
                  <c:v>1.5691672401922019</c:v>
                </c:pt>
                <c:pt idx="296">
                  <c:v>1.4156835530849308</c:v>
                </c:pt>
                <c:pt idx="297">
                  <c:v>1.3454800280312729</c:v>
                </c:pt>
                <c:pt idx="298">
                  <c:v>0.90670170828163232</c:v>
                </c:pt>
                <c:pt idx="299">
                  <c:v>0.47484454493964445</c:v>
                </c:pt>
                <c:pt idx="300">
                  <c:v>1.3333333333333333</c:v>
                </c:pt>
                <c:pt idx="301">
                  <c:v>1.8894331700409812</c:v>
                </c:pt>
                <c:pt idx="302">
                  <c:v>1.5405968077800969</c:v>
                </c:pt>
                <c:pt idx="303">
                  <c:v>1.6293279022372353</c:v>
                </c:pt>
                <c:pt idx="304">
                  <c:v>1.2622720897648685</c:v>
                </c:pt>
                <c:pt idx="305">
                  <c:v>1.3709677419361275</c:v>
                </c:pt>
                <c:pt idx="306">
                  <c:v>2.0297699593927701</c:v>
                </c:pt>
                <c:pt idx="307">
                  <c:v>2.209131075119168</c:v>
                </c:pt>
                <c:pt idx="308">
                  <c:v>2.3142857142934119</c:v>
                </c:pt>
                <c:pt idx="309">
                  <c:v>1.7521090201117775</c:v>
                </c:pt>
                <c:pt idx="310">
                  <c:v>1.8379850238254405</c:v>
                </c:pt>
                <c:pt idx="311">
                  <c:v>1.8313953488359698</c:v>
                </c:pt>
                <c:pt idx="312">
                  <c:v>1.7248459958989963</c:v>
                </c:pt>
                <c:pt idx="313">
                  <c:v>1.9613670133715999</c:v>
                </c:pt>
                <c:pt idx="314">
                  <c:v>2.3674475955515204</c:v>
                </c:pt>
                <c:pt idx="315">
                  <c:v>2.5334271639673753</c:v>
                </c:pt>
                <c:pt idx="316">
                  <c:v>2.8333333333333335</c:v>
                </c:pt>
                <c:pt idx="317">
                  <c:v>3.2333129210033644</c:v>
                </c:pt>
                <c:pt idx="318">
                  <c:v>3.1862378459248197</c:v>
                </c:pt>
                <c:pt idx="319">
                  <c:v>3.1147540983725444</c:v>
                </c:pt>
                <c:pt idx="320">
                  <c:v>3.4974656046304902</c:v>
                </c:pt>
                <c:pt idx="321">
                  <c:v>3.2899246058965481</c:v>
                </c:pt>
                <c:pt idx="322">
                  <c:v>2.9856850715661127</c:v>
                </c:pt>
                <c:pt idx="323">
                  <c:v>3.3167965981578824</c:v>
                </c:pt>
                <c:pt idx="324">
                  <c:v>2.8389830508572604</c:v>
                </c:pt>
                <c:pt idx="325">
                  <c:v>2.6440677966122563</c:v>
                </c:pt>
                <c:pt idx="326">
                  <c:v>2.8906732550828509</c:v>
                </c:pt>
                <c:pt idx="327">
                  <c:v>2.7250608272598709</c:v>
                </c:pt>
                <c:pt idx="328">
                  <c:v>2.7272727272779753</c:v>
                </c:pt>
                <c:pt idx="329">
                  <c:v>2.3202416918298434</c:v>
                </c:pt>
                <c:pt idx="330">
                  <c:v>2.1324717286097474</c:v>
                </c:pt>
                <c:pt idx="331">
                  <c:v>2.0632737276425814</c:v>
                </c:pt>
                <c:pt idx="332">
                  <c:v>1.9565217391310536</c:v>
                </c:pt>
                <c:pt idx="333">
                  <c:v>1.8701298701284563</c:v>
                </c:pt>
                <c:pt idx="334">
                  <c:v>2.2605965463042219</c:v>
                </c:pt>
                <c:pt idx="335">
                  <c:v>2.6834381551519861</c:v>
                </c:pt>
                <c:pt idx="336">
                  <c:v>2.9095674967083665</c:v>
                </c:pt>
                <c:pt idx="337">
                  <c:v>3.2172701949918103</c:v>
                </c:pt>
                <c:pt idx="338">
                  <c:v>2.641509433958396</c:v>
                </c:pt>
                <c:pt idx="339">
                  <c:v>2.3414634146436439</c:v>
                </c:pt>
                <c:pt idx="340">
                  <c:v>2.6746506985916074</c:v>
                </c:pt>
                <c:pt idx="341">
                  <c:v>2.2865853658686723</c:v>
                </c:pt>
                <c:pt idx="342">
                  <c:v>2.0718232044125604</c:v>
                </c:pt>
                <c:pt idx="343">
                  <c:v>1.9000703729755317</c:v>
                </c:pt>
                <c:pt idx="344">
                  <c:v>1.6479400749128337</c:v>
                </c:pt>
                <c:pt idx="345">
                  <c:v>1.6133720930221638</c:v>
                </c:pt>
                <c:pt idx="346">
                  <c:v>1.3803019410417492</c:v>
                </c:pt>
                <c:pt idx="347">
                  <c:v>1.5725806451620286</c:v>
                </c:pt>
                <c:pt idx="348">
                  <c:v>1.9856115107996819</c:v>
                </c:pt>
                <c:pt idx="349">
                  <c:v>1.7524339360174295</c:v>
                </c:pt>
                <c:pt idx="350">
                  <c:v>1.3398464759263753</c:v>
                </c:pt>
                <c:pt idx="351">
                  <c:v>1.9395643007771404</c:v>
                </c:pt>
                <c:pt idx="352">
                  <c:v>2.2037422037432703</c:v>
                </c:pt>
                <c:pt idx="353">
                  <c:v>2.2206405693931779</c:v>
                </c:pt>
                <c:pt idx="354">
                  <c:v>2.5741324921116742</c:v>
                </c:pt>
                <c:pt idx="355">
                  <c:v>2.9464285714255087</c:v>
                </c:pt>
                <c:pt idx="356">
                  <c:v>3.1085876508079626</c:v>
                </c:pt>
                <c:pt idx="357">
                  <c:v>2.9534726905052291</c:v>
                </c:pt>
                <c:pt idx="358">
                  <c:v>2.8294036060898438</c:v>
                </c:pt>
                <c:pt idx="359">
                  <c:v>2.6373626373630592</c:v>
                </c:pt>
                <c:pt idx="360">
                  <c:v>2.6621160409598623</c:v>
                </c:pt>
                <c:pt idx="361">
                  <c:v>2.7346938775445233</c:v>
                </c:pt>
                <c:pt idx="362">
                  <c:v>2.4269662921475299</c:v>
                </c:pt>
                <c:pt idx="363">
                  <c:v>2.4084507042293013</c:v>
                </c:pt>
                <c:pt idx="364">
                  <c:v>2.2845691382648274</c:v>
                </c:pt>
                <c:pt idx="365">
                  <c:v>1.6711956521744418</c:v>
                </c:pt>
                <c:pt idx="366">
                  <c:v>1.7021276595786841</c:v>
                </c:pt>
                <c:pt idx="367">
                  <c:v>2.0204978038070793</c:v>
                </c:pt>
                <c:pt idx="368">
                  <c:v>1.5075376884393448</c:v>
                </c:pt>
                <c:pt idx="369">
                  <c:v>1.3709063214069621</c:v>
                </c:pt>
                <c:pt idx="370">
                  <c:v>1.863354037256302</c:v>
                </c:pt>
                <c:pt idx="371">
                  <c:v>1.9753086419809867</c:v>
                </c:pt>
                <c:pt idx="372">
                  <c:v>1.6227758007103992</c:v>
                </c:pt>
                <c:pt idx="373">
                  <c:v>0.68456375839140116</c:v>
                </c:pt>
                <c:pt idx="374">
                  <c:v>1.5959741193295225</c:v>
                </c:pt>
                <c:pt idx="375">
                  <c:v>1.7825537294660911</c:v>
                </c:pt>
                <c:pt idx="376">
                  <c:v>1.7351598173405298</c:v>
                </c:pt>
                <c:pt idx="377">
                  <c:v>1.4716187806592049</c:v>
                </c:pt>
                <c:pt idx="378">
                  <c:v>1.1907810499363345</c:v>
                </c:pt>
                <c:pt idx="379">
                  <c:v>1.52011922504306</c:v>
                </c:pt>
                <c:pt idx="380">
                  <c:v>1.3877551020375192</c:v>
                </c:pt>
                <c:pt idx="381">
                  <c:v>1.5336658354112487</c:v>
                </c:pt>
                <c:pt idx="382">
                  <c:v>1.6579536967941257</c:v>
                </c:pt>
                <c:pt idx="383">
                  <c:v>1.8399401645481352</c:v>
                </c:pt>
                <c:pt idx="384">
                  <c:v>1.6611733684909515</c:v>
                </c:pt>
                <c:pt idx="385">
                  <c:v>1.3846153846165119</c:v>
                </c:pt>
                <c:pt idx="386">
                  <c:v>0.69214131218189867</c:v>
                </c:pt>
                <c:pt idx="387">
                  <c:v>1.3407821229049188</c:v>
                </c:pt>
                <c:pt idx="388">
                  <c:v>1.8640776699071264</c:v>
                </c:pt>
                <c:pt idx="389">
                  <c:v>1.9096965210908772</c:v>
                </c:pt>
                <c:pt idx="390">
                  <c:v>2.2347153900258356</c:v>
                </c:pt>
                <c:pt idx="391">
                  <c:v>1.5049504950460357</c:v>
                </c:pt>
                <c:pt idx="392">
                  <c:v>1.5064562410365212</c:v>
                </c:pt>
                <c:pt idx="393">
                  <c:v>1.211699164347565</c:v>
                </c:pt>
                <c:pt idx="394">
                  <c:v>1.3356164383556319</c:v>
                </c:pt>
                <c:pt idx="395">
                  <c:v>0.70803197563679365</c:v>
                </c:pt>
                <c:pt idx="396">
                  <c:v>1.4055636896049248</c:v>
                </c:pt>
                <c:pt idx="397">
                  <c:v>1.4090019569478045</c:v>
                </c:pt>
                <c:pt idx="398">
                  <c:v>1.8344519015631289</c:v>
                </c:pt>
                <c:pt idx="399">
                  <c:v>1.826792963466443</c:v>
                </c:pt>
                <c:pt idx="400">
                  <c:v>1.7573221757305055</c:v>
                </c:pt>
                <c:pt idx="401">
                  <c:v>1.5061058344685636</c:v>
                </c:pt>
                <c:pt idx="402">
                  <c:v>0.82191780821600469</c:v>
                </c:pt>
                <c:pt idx="403">
                  <c:v>1.3126323218081435</c:v>
                </c:pt>
                <c:pt idx="404">
                  <c:v>1.0330578512416573</c:v>
                </c:pt>
                <c:pt idx="405">
                  <c:v>0.72434607645943117</c:v>
                </c:pt>
                <c:pt idx="406">
                  <c:v>0.71278825995702755</c:v>
                </c:pt>
                <c:pt idx="407">
                  <c:v>1.1368421052603717</c:v>
                </c:pt>
                <c:pt idx="408">
                  <c:v>0.69327731092301326</c:v>
                </c:pt>
                <c:pt idx="409">
                  <c:v>0.69364161849757655</c:v>
                </c:pt>
                <c:pt idx="410">
                  <c:v>1.6557734204868619</c:v>
                </c:pt>
                <c:pt idx="411">
                  <c:v>1.3846153846165119</c:v>
                </c:pt>
                <c:pt idx="412">
                  <c:v>0.79260237780701148</c:v>
                </c:pt>
                <c:pt idx="413">
                  <c:v>0.63205417606990943</c:v>
                </c:pt>
                <c:pt idx="414">
                  <c:v>0.32608695652184227</c:v>
                </c:pt>
                <c:pt idx="415">
                  <c:v>0.4392922513730379</c:v>
                </c:pt>
                <c:pt idx="416">
                  <c:v>0.47468354430283566</c:v>
                </c:pt>
                <c:pt idx="417">
                  <c:v>0.59659090909071177</c:v>
                </c:pt>
                <c:pt idx="418">
                  <c:v>0.28455284552805132</c:v>
                </c:pt>
                <c:pt idx="419">
                  <c:v>0.55634807418316179</c:v>
                </c:pt>
                <c:pt idx="420">
                  <c:v>0.20053475935769577</c:v>
                </c:pt>
                <c:pt idx="421">
                  <c:v>0.33472803347247726</c:v>
                </c:pt>
                <c:pt idx="422">
                  <c:v>0.50883392226064683</c:v>
                </c:pt>
                <c:pt idx="423">
                  <c:v>0.3794799718911796</c:v>
                </c:pt>
                <c:pt idx="424">
                  <c:v>0.37762237762268502</c:v>
                </c:pt>
                <c:pt idx="425">
                  <c:v>0.55518836748293487</c:v>
                </c:pt>
                <c:pt idx="426">
                  <c:v>1.1487481590531043</c:v>
                </c:pt>
                <c:pt idx="427">
                  <c:v>0.58414464534339927</c:v>
                </c:pt>
                <c:pt idx="428">
                  <c:v>0.73720136518361268</c:v>
                </c:pt>
                <c:pt idx="429">
                  <c:v>0.69672131147806915</c:v>
                </c:pt>
                <c:pt idx="430">
                  <c:v>0.55674518201340306</c:v>
                </c:pt>
                <c:pt idx="431">
                  <c:v>0.54091539528188182</c:v>
                </c:pt>
                <c:pt idx="432">
                  <c:v>0.67061143984590466</c:v>
                </c:pt>
                <c:pt idx="433">
                  <c:v>0.47840531561387784</c:v>
                </c:pt>
                <c:pt idx="434">
                  <c:v>0.64565718678067152</c:v>
                </c:pt>
                <c:pt idx="435">
                  <c:v>0.32542372881150455</c:v>
                </c:pt>
                <c:pt idx="436">
                  <c:v>0.42313117066554562</c:v>
                </c:pt>
                <c:pt idx="437">
                  <c:v>0.46283309957705115</c:v>
                </c:pt>
                <c:pt idx="438">
                  <c:v>0.3392226148404312</c:v>
                </c:pt>
                <c:pt idx="439">
                  <c:v>0.3185136031854805</c:v>
                </c:pt>
                <c:pt idx="440">
                  <c:v>0.47345767575433523</c:v>
                </c:pt>
                <c:pt idx="441">
                  <c:v>0.2843601895724287</c:v>
                </c:pt>
                <c:pt idx="442">
                  <c:v>0.39272727272793773</c:v>
                </c:pt>
                <c:pt idx="443">
                  <c:v>0.43335521996113407</c:v>
                </c:pt>
                <c:pt idx="444">
                  <c:v>0.25732666190088704</c:v>
                </c:pt>
                <c:pt idx="445">
                  <c:v>0.42134831460667266</c:v>
                </c:pt>
                <c:pt idx="446">
                  <c:v>0.31108230719368446</c:v>
                </c:pt>
                <c:pt idx="447">
                  <c:v>0.4038893044130053</c:v>
                </c:pt>
                <c:pt idx="448">
                  <c:v>0.21067415730333633</c:v>
                </c:pt>
                <c:pt idx="449">
                  <c:v>0.20804438280223542</c:v>
                </c:pt>
                <c:pt idx="450">
                  <c:v>0.5761316872444544</c:v>
                </c:pt>
                <c:pt idx="451">
                  <c:v>0.41841004184059655</c:v>
                </c:pt>
                <c:pt idx="452">
                  <c:v>0.25157232704365678</c:v>
                </c:pt>
                <c:pt idx="453">
                  <c:v>0.31830238726756049</c:v>
                </c:pt>
                <c:pt idx="454">
                  <c:v>0.29350104821759954</c:v>
                </c:pt>
                <c:pt idx="455">
                  <c:v>0.29166666666666669</c:v>
                </c:pt>
                <c:pt idx="456">
                  <c:v>0.30368763557652451</c:v>
                </c:pt>
                <c:pt idx="457">
                  <c:v>0.29869321717494651</c:v>
                </c:pt>
                <c:pt idx="458">
                  <c:v>0.234741784036404</c:v>
                </c:pt>
                <c:pt idx="459">
                  <c:v>0.29309141660889459</c:v>
                </c:pt>
                <c:pt idx="460">
                  <c:v>0.24606971975365616</c:v>
                </c:pt>
                <c:pt idx="461">
                  <c:v>0.41899441340931998</c:v>
                </c:pt>
                <c:pt idx="462">
                  <c:v>0.29494382022467086</c:v>
                </c:pt>
                <c:pt idx="463">
                  <c:v>0.28513238289151621</c:v>
                </c:pt>
                <c:pt idx="464">
                  <c:v>0.2936036350925294</c:v>
                </c:pt>
                <c:pt idx="465">
                  <c:v>0.20891364902544224</c:v>
                </c:pt>
                <c:pt idx="466">
                  <c:v>0.3110599078339345</c:v>
                </c:pt>
                <c:pt idx="467">
                  <c:v>0.31331592689161714</c:v>
                </c:pt>
                <c:pt idx="468">
                  <c:v>0.28846153846158457</c:v>
                </c:pt>
                <c:pt idx="469">
                  <c:v>0.3641267700622885</c:v>
                </c:pt>
                <c:pt idx="470">
                  <c:v>0.3296703296703824</c:v>
                </c:pt>
                <c:pt idx="471">
                  <c:v>0.39823008849290847</c:v>
                </c:pt>
                <c:pt idx="472">
                  <c:v>0.25174825174845672</c:v>
                </c:pt>
                <c:pt idx="473">
                  <c:v>0.29025570145300655</c:v>
                </c:pt>
                <c:pt idx="474">
                  <c:v>0.36535859269069859</c:v>
                </c:pt>
                <c:pt idx="475">
                  <c:v>0.308370044053496</c:v>
                </c:pt>
                <c:pt idx="476">
                  <c:v>0.24406779661036213</c:v>
                </c:pt>
                <c:pt idx="477">
                  <c:v>0.26924404556409565</c:v>
                </c:pt>
                <c:pt idx="478">
                  <c:v>0.29391182645297426</c:v>
                </c:pt>
                <c:pt idx="479">
                  <c:v>0.31662269129365406</c:v>
                </c:pt>
                <c:pt idx="480">
                  <c:v>0.39130434782509665</c:v>
                </c:pt>
                <c:pt idx="481">
                  <c:v>0.32809295967154156</c:v>
                </c:pt>
                <c:pt idx="482">
                  <c:v>0.42628774422611942</c:v>
                </c:pt>
                <c:pt idx="483">
                  <c:v>0.37470725995459181</c:v>
                </c:pt>
                <c:pt idx="484">
                  <c:v>0.27231467473462612</c:v>
                </c:pt>
                <c:pt idx="485">
                  <c:v>0.42402826855367876</c:v>
                </c:pt>
                <c:pt idx="486">
                  <c:v>0.27219701879447389</c:v>
                </c:pt>
                <c:pt idx="487">
                  <c:v>0.26607538802468444</c:v>
                </c:pt>
                <c:pt idx="488">
                  <c:v>0.3713892709783409</c:v>
                </c:pt>
                <c:pt idx="489">
                  <c:v>0.39007092198484944</c:v>
                </c:pt>
                <c:pt idx="490">
                  <c:v>0.28708133971259886</c:v>
                </c:pt>
                <c:pt idx="491">
                  <c:v>0.35087719298353109</c:v>
                </c:pt>
                <c:pt idx="492">
                  <c:v>0.42746113989534168</c:v>
                </c:pt>
                <c:pt idx="493">
                  <c:v>0.19564618352161875</c:v>
                </c:pt>
                <c:pt idx="494">
                  <c:v>0.41666666666936147</c:v>
                </c:pt>
                <c:pt idx="495">
                  <c:v>0.32697547683757755</c:v>
                </c:pt>
                <c:pt idx="496">
                  <c:v>0.40622884224920841</c:v>
                </c:pt>
                <c:pt idx="497">
                  <c:v>0.33507073715608648</c:v>
                </c:pt>
                <c:pt idx="498">
                  <c:v>0.33684210526233233</c:v>
                </c:pt>
                <c:pt idx="499">
                  <c:v>0.32366824005308081</c:v>
                </c:pt>
                <c:pt idx="500">
                  <c:v>0.38654259126809593</c:v>
                </c:pt>
                <c:pt idx="501">
                  <c:v>0.3344481605348566</c:v>
                </c:pt>
                <c:pt idx="502">
                  <c:v>0.31774051191383268</c:v>
                </c:pt>
                <c:pt idx="503">
                  <c:v>0.44504383007613041</c:v>
                </c:pt>
                <c:pt idx="504">
                  <c:v>0.24759284731710979</c:v>
                </c:pt>
                <c:pt idx="505">
                  <c:v>0.3493449781673596</c:v>
                </c:pt>
                <c:pt idx="506">
                  <c:v>0.25531914893490543</c:v>
                </c:pt>
                <c:pt idx="507">
                  <c:v>0.45833333333333331</c:v>
                </c:pt>
                <c:pt idx="508">
                  <c:v>0.24291497975697052</c:v>
                </c:pt>
                <c:pt idx="509">
                  <c:v>0.36000000000083821</c:v>
                </c:pt>
                <c:pt idx="510">
                  <c:v>0.382707299787448</c:v>
                </c:pt>
                <c:pt idx="511">
                  <c:v>0.26181818181862515</c:v>
                </c:pt>
                <c:pt idx="512">
                  <c:v>0.29473684210454082</c:v>
                </c:pt>
                <c:pt idx="513">
                  <c:v>0.32279757901901657</c:v>
                </c:pt>
                <c:pt idx="514">
                  <c:v>0.42075736325186464</c:v>
                </c:pt>
                <c:pt idx="515">
                  <c:v>0.29186935371852074</c:v>
                </c:pt>
                <c:pt idx="516">
                  <c:v>0.33779028852898341</c:v>
                </c:pt>
                <c:pt idx="517">
                  <c:v>0.22956521739176913</c:v>
                </c:pt>
                <c:pt idx="518">
                  <c:v>0.29309141660675164</c:v>
                </c:pt>
                <c:pt idx="519">
                  <c:v>0.30888030888141954</c:v>
                </c:pt>
                <c:pt idx="520">
                  <c:v>0.30150753768758548</c:v>
                </c:pt>
                <c:pt idx="521">
                  <c:v>0.260303687637021</c:v>
                </c:pt>
                <c:pt idx="522">
                  <c:v>0.59813084112019377</c:v>
                </c:pt>
                <c:pt idx="523">
                  <c:v>0.37473976405189346</c:v>
                </c:pt>
                <c:pt idx="524">
                  <c:v>0.33264033264049364</c:v>
                </c:pt>
                <c:pt idx="525">
                  <c:v>0.33333333333333331</c:v>
                </c:pt>
                <c:pt idx="526">
                  <c:v>0.24112525117300151</c:v>
                </c:pt>
                <c:pt idx="527">
                  <c:v>0.46511627906816477</c:v>
                </c:pt>
                <c:pt idx="528">
                  <c:v>0.25806451612903225</c:v>
                </c:pt>
                <c:pt idx="529">
                  <c:v>0.28846153846158457</c:v>
                </c:pt>
                <c:pt idx="530">
                  <c:v>0.37815126050346182</c:v>
                </c:pt>
                <c:pt idx="531">
                  <c:v>0.41465100207572364</c:v>
                </c:pt>
                <c:pt idx="532">
                  <c:v>0.33449477351807833</c:v>
                </c:pt>
                <c:pt idx="533">
                  <c:v>0.24640657084271375</c:v>
                </c:pt>
                <c:pt idx="534">
                  <c:v>0.31034482758595772</c:v>
                </c:pt>
                <c:pt idx="535">
                  <c:v>0.39560439560237126</c:v>
                </c:pt>
                <c:pt idx="536">
                  <c:v>0.28690974297760696</c:v>
                </c:pt>
                <c:pt idx="537">
                  <c:v>0.43724696356192871</c:v>
                </c:pt>
                <c:pt idx="538">
                  <c:v>0.29065743944730343</c:v>
                </c:pt>
                <c:pt idx="539">
                  <c:v>0.23825281270666981</c:v>
                </c:pt>
                <c:pt idx="540">
                  <c:v>0.34285714285571739</c:v>
                </c:pt>
                <c:pt idx="541">
                  <c:v>0.28571428571564333</c:v>
                </c:pt>
                <c:pt idx="542">
                  <c:v>0.39102099927397521</c:v>
                </c:pt>
                <c:pt idx="543">
                  <c:v>0.31893687707813889</c:v>
                </c:pt>
                <c:pt idx="544">
                  <c:v>0.43415340086516163</c:v>
                </c:pt>
                <c:pt idx="545">
                  <c:v>0.25192442267397791</c:v>
                </c:pt>
                <c:pt idx="546">
                  <c:v>0.27486910994693198</c:v>
                </c:pt>
                <c:pt idx="547">
                  <c:v>0.3693570451440506</c:v>
                </c:pt>
                <c:pt idx="548">
                  <c:v>0.34833091436941532</c:v>
                </c:pt>
                <c:pt idx="549">
                  <c:v>0.35190615835681016</c:v>
                </c:pt>
                <c:pt idx="550">
                  <c:v>0.26854219948925062</c:v>
                </c:pt>
                <c:pt idx="551">
                  <c:v>0.3997039230190208</c:v>
                </c:pt>
                <c:pt idx="552">
                  <c:v>0.29999999999965077</c:v>
                </c:pt>
                <c:pt idx="553">
                  <c:v>0.38216560509950864</c:v>
                </c:pt>
                <c:pt idx="554">
                  <c:v>0.34959941733388944</c:v>
                </c:pt>
                <c:pt idx="555">
                  <c:v>0.28688524590068121</c:v>
                </c:pt>
                <c:pt idx="556">
                  <c:v>0.34657039711220466</c:v>
                </c:pt>
                <c:pt idx="557">
                  <c:v>0.36241610738368296</c:v>
                </c:pt>
                <c:pt idx="558">
                  <c:v>0.37630662020783812</c:v>
                </c:pt>
                <c:pt idx="559">
                  <c:v>0.29186935371852074</c:v>
                </c:pt>
                <c:pt idx="560">
                  <c:v>0.28786840301594796</c:v>
                </c:pt>
                <c:pt idx="561">
                  <c:v>0.3392226148404312</c:v>
                </c:pt>
                <c:pt idx="562">
                  <c:v>0.32085561497231324</c:v>
                </c:pt>
                <c:pt idx="563">
                  <c:v>0.27468933943812646</c:v>
                </c:pt>
                <c:pt idx="564">
                  <c:v>0.36336109008333428</c:v>
                </c:pt>
                <c:pt idx="565">
                  <c:v>0.25423728813458996</c:v>
                </c:pt>
                <c:pt idx="566">
                  <c:v>1.2201963534393727</c:v>
                </c:pt>
                <c:pt idx="567">
                  <c:v>0.35479632063194305</c:v>
                </c:pt>
                <c:pt idx="568">
                  <c:v>0.48550236007962128</c:v>
                </c:pt>
                <c:pt idx="569">
                  <c:v>0.37762237762268502</c:v>
                </c:pt>
                <c:pt idx="570">
                  <c:v>0.70291777188252946</c:v>
                </c:pt>
                <c:pt idx="571">
                  <c:v>1.2952968388640207</c:v>
                </c:pt>
                <c:pt idx="572">
                  <c:v>0.96845194424031478</c:v>
                </c:pt>
                <c:pt idx="573">
                  <c:v>0.84925690021483313</c:v>
                </c:pt>
                <c:pt idx="574">
                  <c:v>1.2542144302056883</c:v>
                </c:pt>
                <c:pt idx="575">
                  <c:v>1.4048338368589943</c:v>
                </c:pt>
                <c:pt idx="576">
                  <c:v>1.2683499706414343</c:v>
                </c:pt>
                <c:pt idx="577">
                  <c:v>0.53054662379411288</c:v>
                </c:pt>
                <c:pt idx="578">
                  <c:v>1.2182741116749212</c:v>
                </c:pt>
                <c:pt idx="579">
                  <c:v>1.0843373493945485</c:v>
                </c:pt>
                <c:pt idx="580">
                  <c:v>0.40723981900602652</c:v>
                </c:pt>
                <c:pt idx="581">
                  <c:v>1.9803370786513617</c:v>
                </c:pt>
                <c:pt idx="582">
                  <c:v>1.5384615384594189</c:v>
                </c:pt>
                <c:pt idx="583">
                  <c:v>1.3657056145670441</c:v>
                </c:pt>
                <c:pt idx="584">
                  <c:v>1.3276231263396536</c:v>
                </c:pt>
                <c:pt idx="585">
                  <c:v>1.4634146341415926</c:v>
                </c:pt>
                <c:pt idx="586">
                  <c:v>1.4663951120239422</c:v>
                </c:pt>
                <c:pt idx="587">
                  <c:v>1.6227758007103992</c:v>
                </c:pt>
                <c:pt idx="588">
                  <c:v>1.4068965517230083</c:v>
                </c:pt>
                <c:pt idx="589">
                  <c:v>1.9390926040946312</c:v>
                </c:pt>
                <c:pt idx="590">
                  <c:v>1.2098581030659836</c:v>
                </c:pt>
                <c:pt idx="591">
                  <c:v>0.79005120702092813</c:v>
                </c:pt>
                <c:pt idx="592">
                  <c:v>0.58212058212086393</c:v>
                </c:pt>
                <c:pt idx="593">
                  <c:v>1.2162162162209995</c:v>
                </c:pt>
                <c:pt idx="594">
                  <c:v>1.1141678129269941</c:v>
                </c:pt>
                <c:pt idx="595">
                  <c:v>1.6853932584266906</c:v>
                </c:pt>
                <c:pt idx="596">
                  <c:v>0.92761770906732799</c:v>
                </c:pt>
                <c:pt idx="597">
                  <c:v>0.87128712871086278</c:v>
                </c:pt>
                <c:pt idx="598">
                  <c:v>0.62453531598296785</c:v>
                </c:pt>
                <c:pt idx="599">
                  <c:v>1.427094105483274</c:v>
                </c:pt>
                <c:pt idx="600">
                  <c:v>1.8828451882826847</c:v>
                </c:pt>
                <c:pt idx="601">
                  <c:v>1.3724088634713976</c:v>
                </c:pt>
                <c:pt idx="602">
                  <c:v>1.9157608695658235</c:v>
                </c:pt>
                <c:pt idx="603">
                  <c:v>2.534640081112272</c:v>
                </c:pt>
                <c:pt idx="604">
                  <c:v>2.0474777448011099</c:v>
                </c:pt>
                <c:pt idx="605">
                  <c:v>1.5822345593417211</c:v>
                </c:pt>
                <c:pt idx="606">
                  <c:v>2.4514400535749785</c:v>
                </c:pt>
                <c:pt idx="607">
                  <c:v>2.3117338003512051</c:v>
                </c:pt>
                <c:pt idx="608">
                  <c:v>2.7495908346930267</c:v>
                </c:pt>
                <c:pt idx="609">
                  <c:v>3.1102362204695901</c:v>
                </c:pt>
                <c:pt idx="610">
                  <c:v>2.5222312045304047</c:v>
                </c:pt>
                <c:pt idx="611">
                  <c:v>2.1176470588303538</c:v>
                </c:pt>
                <c:pt idx="612">
                  <c:v>1.8105263157850364</c:v>
                </c:pt>
                <c:pt idx="613">
                  <c:v>2.4914908100744859</c:v>
                </c:pt>
                <c:pt idx="614">
                  <c:v>1.528412802086883</c:v>
                </c:pt>
                <c:pt idx="615">
                  <c:v>1.631153563563464</c:v>
                </c:pt>
                <c:pt idx="616">
                  <c:v>1.3783783783740415</c:v>
                </c:pt>
                <c:pt idx="617">
                  <c:v>1.224489795919822</c:v>
                </c:pt>
                <c:pt idx="618">
                  <c:v>1.0020876826717466</c:v>
                </c:pt>
                <c:pt idx="619">
                  <c:v>0.98901098901114715</c:v>
                </c:pt>
                <c:pt idx="620">
                  <c:v>2.1066846725222117</c:v>
                </c:pt>
                <c:pt idx="621">
                  <c:v>1.9651567944187101</c:v>
                </c:pt>
                <c:pt idx="622">
                  <c:v>2.1497120921410859</c:v>
                </c:pt>
                <c:pt idx="623">
                  <c:v>2.3414634146265483</c:v>
                </c:pt>
                <c:pt idx="624">
                  <c:v>2.7777777777732866</c:v>
                </c:pt>
                <c:pt idx="625">
                  <c:v>2.8652886671527753</c:v>
                </c:pt>
                <c:pt idx="626">
                  <c:v>2.4213406292776649</c:v>
                </c:pt>
                <c:pt idx="627">
                  <c:v>1.8084393837848203</c:v>
                </c:pt>
                <c:pt idx="628">
                  <c:v>1.6714285714341308</c:v>
                </c:pt>
                <c:pt idx="629">
                  <c:v>1.7897727272721353</c:v>
                </c:pt>
                <c:pt idx="630">
                  <c:v>1.8685121107191169</c:v>
                </c:pt>
                <c:pt idx="631">
                  <c:v>0.48</c:v>
                </c:pt>
                <c:pt idx="632">
                  <c:v>2.5037257824238637</c:v>
                </c:pt>
                <c:pt idx="633">
                  <c:v>1.9624217118988374</c:v>
                </c:pt>
                <c:pt idx="634">
                  <c:v>2.0851063829838878</c:v>
                </c:pt>
                <c:pt idx="635">
                  <c:v>1.8292682926803299</c:v>
                </c:pt>
                <c:pt idx="636">
                  <c:v>1.7459190915496778</c:v>
                </c:pt>
                <c:pt idx="637">
                  <c:v>1.8951612903234702</c:v>
                </c:pt>
                <c:pt idx="638">
                  <c:v>2.179930795854776</c:v>
                </c:pt>
                <c:pt idx="639">
                  <c:v>1.6607142857073809</c:v>
                </c:pt>
                <c:pt idx="640">
                  <c:v>1.8397212543628632</c:v>
                </c:pt>
                <c:pt idx="641">
                  <c:v>1.9100346020684305</c:v>
                </c:pt>
                <c:pt idx="642">
                  <c:v>1.8461538461553491</c:v>
                </c:pt>
                <c:pt idx="643">
                  <c:v>2.2464261402310939</c:v>
                </c:pt>
                <c:pt idx="644">
                  <c:v>2.4272533711788205</c:v>
                </c:pt>
                <c:pt idx="645">
                  <c:v>2.7196652719638776</c:v>
                </c:pt>
                <c:pt idx="646">
                  <c:v>3.275017494761713</c:v>
                </c:pt>
                <c:pt idx="647">
                  <c:v>3.3652530779791276</c:v>
                </c:pt>
                <c:pt idx="648">
                  <c:v>3.4016393442509343</c:v>
                </c:pt>
                <c:pt idx="649">
                  <c:v>3.1041814316093004</c:v>
                </c:pt>
                <c:pt idx="650">
                  <c:v>3.3923705722140789</c:v>
                </c:pt>
                <c:pt idx="651">
                  <c:v>3.7056504599336275</c:v>
                </c:pt>
                <c:pt idx="652">
                  <c:v>2.8328173374623211</c:v>
                </c:pt>
                <c:pt idx="653">
                  <c:v>3.2577319587472475</c:v>
                </c:pt>
                <c:pt idx="654">
                  <c:v>2.989761092154922</c:v>
                </c:pt>
                <c:pt idx="655">
                  <c:v>1.7403314917065509</c:v>
                </c:pt>
                <c:pt idx="656">
                  <c:v>2.8225231646579578</c:v>
                </c:pt>
                <c:pt idx="657">
                  <c:v>3.2454923717148723</c:v>
                </c:pt>
                <c:pt idx="658">
                  <c:v>3.4916387959839033</c:v>
                </c:pt>
                <c:pt idx="659">
                  <c:v>2.2505307855526202</c:v>
                </c:pt>
                <c:pt idx="660">
                  <c:v>2.0097697138895629</c:v>
                </c:pt>
                <c:pt idx="661">
                  <c:v>1.7130919220086265</c:v>
                </c:pt>
                <c:pt idx="662">
                  <c:v>1.4059269469288631</c:v>
                </c:pt>
                <c:pt idx="663">
                  <c:v>1.3052631579011349</c:v>
                </c:pt>
                <c:pt idx="664">
                  <c:v>1.7684210526272448</c:v>
                </c:pt>
                <c:pt idx="665">
                  <c:v>2.0150788211116359</c:v>
                </c:pt>
                <c:pt idx="666">
                  <c:v>1.2100139082025108</c:v>
                </c:pt>
                <c:pt idx="667">
                  <c:v>1.2997903563922266</c:v>
                </c:pt>
                <c:pt idx="668">
                  <c:v>1.272229822162841</c:v>
                </c:pt>
                <c:pt idx="669">
                  <c:v>1.7166782972806682</c:v>
                </c:pt>
                <c:pt idx="670">
                  <c:v>1.634078212296348</c:v>
                </c:pt>
                <c:pt idx="671">
                  <c:v>1.9060225016533585</c:v>
                </c:pt>
                <c:pt idx="672">
                  <c:v>1.8329938900168898</c:v>
                </c:pt>
                <c:pt idx="673">
                  <c:v>1.9210722263615623</c:v>
                </c:pt>
                <c:pt idx="674">
                  <c:v>2.1279554937354503</c:v>
                </c:pt>
                <c:pt idx="675">
                  <c:v>1.7647058823549084</c:v>
                </c:pt>
                <c:pt idx="676">
                  <c:v>1.6193771626349764</c:v>
                </c:pt>
                <c:pt idx="677">
                  <c:v>1.5822345593302169</c:v>
                </c:pt>
                <c:pt idx="678">
                  <c:v>1.5767634854787018</c:v>
                </c:pt>
                <c:pt idx="679">
                  <c:v>1.7211474316168034</c:v>
                </c:pt>
                <c:pt idx="680">
                  <c:v>1.7002237136438756</c:v>
                </c:pt>
                <c:pt idx="681">
                  <c:v>2.1991701244834525</c:v>
                </c:pt>
                <c:pt idx="682">
                  <c:v>1.5866388308969324</c:v>
                </c:pt>
                <c:pt idx="683">
                  <c:v>0.870138431114308</c:v>
                </c:pt>
                <c:pt idx="684">
                  <c:v>0.60000000000199571</c:v>
                </c:pt>
                <c:pt idx="685">
                  <c:v>1.3645484949822151</c:v>
                </c:pt>
                <c:pt idx="686">
                  <c:v>1.2917594654781721</c:v>
                </c:pt>
                <c:pt idx="687">
                  <c:v>1.6137931034469801</c:v>
                </c:pt>
                <c:pt idx="688">
                  <c:v>1.6306620209006317</c:v>
                </c:pt>
                <c:pt idx="689">
                  <c:v>1.7979094076727982</c:v>
                </c:pt>
                <c:pt idx="690">
                  <c:v>1.635991820036226</c:v>
                </c:pt>
                <c:pt idx="691">
                  <c:v>2.0411055988663893</c:v>
                </c:pt>
                <c:pt idx="692">
                  <c:v>2.4827586206876617</c:v>
                </c:pt>
                <c:pt idx="693">
                  <c:v>2.2494887525658767</c:v>
                </c:pt>
                <c:pt idx="694">
                  <c:v>1.9060773480595556</c:v>
                </c:pt>
                <c:pt idx="695">
                  <c:v>2.2929936305800496</c:v>
                </c:pt>
                <c:pt idx="696">
                  <c:v>2.531120331952653</c:v>
                </c:pt>
                <c:pt idx="697">
                  <c:v>1.9536903039080389</c:v>
                </c:pt>
                <c:pt idx="698">
                  <c:v>1.4701986754989558</c:v>
                </c:pt>
                <c:pt idx="699">
                  <c:v>1.5163934426178864</c:v>
                </c:pt>
                <c:pt idx="700">
                  <c:v>2.4524312896321416</c:v>
                </c:pt>
                <c:pt idx="701">
                  <c:v>2.3965763195582355</c:v>
                </c:pt>
                <c:pt idx="702">
                  <c:v>2.3849372384914003</c:v>
                </c:pt>
                <c:pt idx="703">
                  <c:v>2.3045822102313789</c:v>
                </c:pt>
                <c:pt idx="704">
                  <c:v>2.1459227467821882</c:v>
                </c:pt>
                <c:pt idx="705">
                  <c:v>1.8900804289653368</c:v>
                </c:pt>
                <c:pt idx="706">
                  <c:v>2.0338983050767196</c:v>
                </c:pt>
                <c:pt idx="707">
                  <c:v>2.2116040955666549</c:v>
                </c:pt>
                <c:pt idx="708">
                  <c:v>1.7999999999925163</c:v>
                </c:pt>
                <c:pt idx="709">
                  <c:v>1.4613778705629641</c:v>
                </c:pt>
                <c:pt idx="710">
                  <c:v>1.3077939233906193</c:v>
                </c:pt>
                <c:pt idx="711">
                  <c:v>0.78034682080583528</c:v>
                </c:pt>
                <c:pt idx="712">
                  <c:v>0.45738045738067878</c:v>
                </c:pt>
                <c:pt idx="713">
                  <c:v>1.1538461538463383</c:v>
                </c:pt>
                <c:pt idx="714">
                  <c:v>0.81521739130460569</c:v>
                </c:pt>
                <c:pt idx="715">
                  <c:v>0.61674008810699199</c:v>
                </c:pt>
                <c:pt idx="716">
                  <c:v>0.66481994459715876</c:v>
                </c:pt>
                <c:pt idx="717">
                  <c:v>1.0281014393426713</c:v>
                </c:pt>
                <c:pt idx="718">
                  <c:v>0.8079376328846124</c:v>
                </c:pt>
                <c:pt idx="719">
                  <c:v>0.5687203791448574</c:v>
                </c:pt>
                <c:pt idx="720">
                  <c:v>0.46315789473911234</c:v>
                </c:pt>
                <c:pt idx="721">
                  <c:v>1.2898751733644875</c:v>
                </c:pt>
                <c:pt idx="722">
                  <c:v>1.9720279720295775</c:v>
                </c:pt>
                <c:pt idx="723">
                  <c:v>1.347368421059236</c:v>
                </c:pt>
                <c:pt idx="724">
                  <c:v>2.075848303384531</c:v>
                </c:pt>
                <c:pt idx="725">
                  <c:v>1.9172113289847874</c:v>
                </c:pt>
                <c:pt idx="726">
                  <c:v>1.8977119784615168</c:v>
                </c:pt>
                <c:pt idx="727">
                  <c:v>1.2491325468396448</c:v>
                </c:pt>
                <c:pt idx="728">
                  <c:v>1.3895610093326487</c:v>
                </c:pt>
                <c:pt idx="729">
                  <c:v>2.0273184759203393</c:v>
                </c:pt>
                <c:pt idx="730">
                  <c:v>1.15537848605149</c:v>
                </c:pt>
                <c:pt idx="731">
                  <c:v>1.357664233584718</c:v>
                </c:pt>
                <c:pt idx="732">
                  <c:v>0.77603812117074156</c:v>
                </c:pt>
                <c:pt idx="733">
                  <c:v>0.53058216654311841</c:v>
                </c:pt>
                <c:pt idx="734">
                  <c:v>0.38338658146993376</c:v>
                </c:pt>
                <c:pt idx="735">
                  <c:v>1.0833333333333333</c:v>
                </c:pt>
                <c:pt idx="736">
                  <c:v>1.2398523985186591</c:v>
                </c:pt>
                <c:pt idx="737">
                  <c:v>1.5447154471632436</c:v>
                </c:pt>
                <c:pt idx="738">
                  <c:v>1.1063829787179233</c:v>
                </c:pt>
                <c:pt idx="739">
                  <c:v>0.51792828685427117</c:v>
                </c:pt>
                <c:pt idx="740">
                  <c:v>0.50847457626917991</c:v>
                </c:pt>
                <c:pt idx="741">
                  <c:v>0.37788663401096689</c:v>
                </c:pt>
                <c:pt idx="742">
                  <c:v>0.4599303135873577</c:v>
                </c:pt>
                <c:pt idx="743">
                  <c:v>0.46380885453366399</c:v>
                </c:pt>
                <c:pt idx="744">
                  <c:v>1.6540317022692508</c:v>
                </c:pt>
                <c:pt idx="745">
                  <c:v>1.4909335124323724</c:v>
                </c:pt>
                <c:pt idx="746">
                  <c:v>1.3923132704856243</c:v>
                </c:pt>
                <c:pt idx="747">
                  <c:v>1.1155378486014385</c:v>
                </c:pt>
                <c:pt idx="748">
                  <c:v>1.3081395348828355</c:v>
                </c:pt>
                <c:pt idx="749">
                  <c:v>1.6171389080836129</c:v>
                </c:pt>
                <c:pt idx="750">
                  <c:v>1.7622377622391969</c:v>
                </c:pt>
                <c:pt idx="751">
                  <c:v>1.5342087076801774</c:v>
                </c:pt>
                <c:pt idx="752">
                  <c:v>1.4959568733080879</c:v>
                </c:pt>
                <c:pt idx="753">
                  <c:v>1.2880886426569951</c:v>
                </c:pt>
                <c:pt idx="754">
                  <c:v>1.3087934560383283</c:v>
                </c:pt>
                <c:pt idx="755">
                  <c:v>1.0861694424359496</c:v>
                </c:pt>
                <c:pt idx="756">
                  <c:v>1.0119465917023616</c:v>
                </c:pt>
                <c:pt idx="757">
                  <c:v>0.65573770491832728</c:v>
                </c:pt>
                <c:pt idx="758">
                  <c:v>1.0473815461322309</c:v>
                </c:pt>
                <c:pt idx="759">
                  <c:v>1.1164713990398061</c:v>
                </c:pt>
                <c:pt idx="760">
                  <c:v>1.0084033613425649</c:v>
                </c:pt>
                <c:pt idx="761">
                  <c:v>1.3515358361796224</c:v>
                </c:pt>
                <c:pt idx="762">
                  <c:v>1.0504201680651717</c:v>
                </c:pt>
                <c:pt idx="763">
                  <c:v>1.0076976906959116</c:v>
                </c:pt>
                <c:pt idx="764">
                  <c:v>0.72923700202176045</c:v>
                </c:pt>
                <c:pt idx="765">
                  <c:v>0.47109207708826417</c:v>
                </c:pt>
                <c:pt idx="766">
                  <c:v>0.32697547683991124</c:v>
                </c:pt>
                <c:pt idx="767">
                  <c:v>0.38297872340520395</c:v>
                </c:pt>
                <c:pt idx="768">
                  <c:v>0.41039671682672291</c:v>
                </c:pt>
                <c:pt idx="769">
                  <c:v>0.29556650246286048</c:v>
                </c:pt>
                <c:pt idx="770">
                  <c:v>0.49723756905901451</c:v>
                </c:pt>
                <c:pt idx="771">
                  <c:v>0.28629856850838431</c:v>
                </c:pt>
                <c:pt idx="772">
                  <c:v>0.66666666666666663</c:v>
                </c:pt>
                <c:pt idx="773">
                  <c:v>0.88983050847106471</c:v>
                </c:pt>
                <c:pt idx="774">
                  <c:v>0.9445585215637361</c:v>
                </c:pt>
                <c:pt idx="775">
                  <c:v>0.34705682204787586</c:v>
                </c:pt>
                <c:pt idx="776">
                  <c:v>0.49070631970090334</c:v>
                </c:pt>
                <c:pt idx="777">
                  <c:v>0.56413700470414097</c:v>
                </c:pt>
                <c:pt idx="778">
                  <c:v>0.47999999999715526</c:v>
                </c:pt>
                <c:pt idx="779">
                  <c:v>0.4356435643584442</c:v>
                </c:pt>
                <c:pt idx="780">
                  <c:v>0.55555555555638469</c:v>
                </c:pt>
                <c:pt idx="781">
                  <c:v>0.37683182135291543</c:v>
                </c:pt>
                <c:pt idx="782">
                  <c:v>0.41958041958076114</c:v>
                </c:pt>
                <c:pt idx="783">
                  <c:v>0.36834924965870186</c:v>
                </c:pt>
                <c:pt idx="784">
                  <c:v>0.62068965517191543</c:v>
                </c:pt>
                <c:pt idx="785">
                  <c:v>0.49655172413753235</c:v>
                </c:pt>
                <c:pt idx="786">
                  <c:v>0.47109207708826417</c:v>
                </c:pt>
                <c:pt idx="787">
                  <c:v>0.39087947882854734</c:v>
                </c:pt>
                <c:pt idx="788">
                  <c:v>0.53254437869565696</c:v>
                </c:pt>
                <c:pt idx="789">
                  <c:v>0.20993701889498162</c:v>
                </c:pt>
                <c:pt idx="790">
                  <c:v>0.44776119403119458</c:v>
                </c:pt>
                <c:pt idx="791">
                  <c:v>0.37947997188838556</c:v>
                </c:pt>
                <c:pt idx="792">
                  <c:v>0.33126293995907119</c:v>
                </c:pt>
                <c:pt idx="793">
                  <c:v>0.34310221586784939</c:v>
                </c:pt>
                <c:pt idx="794">
                  <c:v>0.40160642570337451</c:v>
                </c:pt>
                <c:pt idx="795">
                  <c:v>0.38626609442079385</c:v>
                </c:pt>
                <c:pt idx="796">
                  <c:v>0.37396121883590183</c:v>
                </c:pt>
                <c:pt idx="797">
                  <c:v>0.28767123287831797</c:v>
                </c:pt>
                <c:pt idx="798">
                  <c:v>0.4135079255673127</c:v>
                </c:pt>
                <c:pt idx="799">
                  <c:v>0.41011619958942691</c:v>
                </c:pt>
                <c:pt idx="800">
                  <c:v>0.38626609442079385</c:v>
                </c:pt>
                <c:pt idx="801">
                  <c:v>0.33602986932181483</c:v>
                </c:pt>
                <c:pt idx="802">
                  <c:v>0.42721518987255208</c:v>
                </c:pt>
                <c:pt idx="803">
                  <c:v>0.28885832187204291</c:v>
                </c:pt>
                <c:pt idx="804">
                  <c:v>0.20107238605873021</c:v>
                </c:pt>
                <c:pt idx="805">
                  <c:v>0.3490909090915002</c:v>
                </c:pt>
                <c:pt idx="806">
                  <c:v>0.33172080165817702</c:v>
                </c:pt>
                <c:pt idx="807">
                  <c:v>0.3392226148404312</c:v>
                </c:pt>
                <c:pt idx="808">
                  <c:v>0.28708133971259886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577344"/>
        <c:axId val="299575552"/>
      </c:lineChart>
      <c:dateAx>
        <c:axId val="300153856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99574016"/>
        <c:crosses val="autoZero"/>
        <c:auto val="1"/>
        <c:lblOffset val="100"/>
        <c:baseTimeUnit val="days"/>
      </c:dateAx>
      <c:valAx>
        <c:axId val="299574016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300153856"/>
        <c:crosses val="autoZero"/>
        <c:crossBetween val="between"/>
      </c:valAx>
      <c:valAx>
        <c:axId val="299575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577344"/>
        <c:crosses val="max"/>
        <c:crossBetween val="between"/>
      </c:valAx>
      <c:dateAx>
        <c:axId val="299577344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99575552"/>
        <c:crosses val="autoZero"/>
        <c:auto val="1"/>
        <c:lblOffset val="100"/>
        <c:baseTimeUnit val="days"/>
      </c:dateAx>
      <c:spPr>
        <a:noFill/>
      </c:spPr>
    </c:plotArea>
    <c:legend>
      <c:legendPos val="r"/>
      <c:overlay val="0"/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545973397957726E-2"/>
          <c:y val="2.2648552578726402E-2"/>
          <c:w val="0.95772137948647484"/>
          <c:h val="0.83683894859054564"/>
        </c:manualLayout>
      </c:layout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multiLvlStrRef>
              <c:f>'Suivi Conso New'!$D$5:$D$7</c:f>
            </c:multiLvlStrRef>
          </c:cat>
          <c:val>
            <c:numRef>
              <c:f>'Suivi Conso New'!$M$5:$M$7</c:f>
              <c:numCache>
                <c:formatCode>0.00</c:formatCode>
                <c:ptCount val="3"/>
                <c:pt idx="0">
                  <c:v>9.3000000000000007</c:v>
                </c:pt>
                <c:pt idx="1">
                  <c:v>10.4</c:v>
                </c:pt>
                <c:pt idx="2">
                  <c:v>17.5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multiLvlStrRef>
              <c:f>'Suivi Conso New'!$D$5:$D$7</c:f>
            </c:multiLvlStrRef>
          </c:cat>
          <c:val>
            <c:numRef>
              <c:f>'Suivi Conso New'!$N$5:$N$7</c:f>
              <c:numCache>
                <c:formatCode>0.00</c:formatCode>
                <c:ptCount val="3"/>
                <c:pt idx="0">
                  <c:v>23.8</c:v>
                </c:pt>
                <c:pt idx="1">
                  <c:v>24.8</c:v>
                </c:pt>
                <c:pt idx="2">
                  <c:v>24.7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645952"/>
        <c:axId val="299647744"/>
      </c:lineChart>
      <c:lineChart>
        <c:grouping val="standard"/>
        <c:varyColors val="0"/>
        <c:ser>
          <c:idx val="5"/>
          <c:order val="2"/>
          <c:tx>
            <c:strRef>
              <c:f>'Suivi Conso New'!$Q$3</c:f>
              <c:strCache>
                <c:ptCount val="1"/>
                <c:pt idx="0">
                  <c:v>Diff HP
instantannée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New'!$A$5:$A$7</c:f>
              <c:numCache>
                <c:formatCode>d/m/yy\ h:mm;@</c:formatCode>
                <c:ptCount val="3"/>
                <c:pt idx="0">
                  <c:v>45526.324999999997</c:v>
                </c:pt>
                <c:pt idx="1">
                  <c:v>45527.315972222219</c:v>
                </c:pt>
                <c:pt idx="2">
                  <c:v>45528.334027777775</c:v>
                </c:pt>
              </c:numCache>
            </c:numRef>
          </c:cat>
          <c:val>
            <c:numRef>
              <c:f>'Suivi Conso New'!$R$5:$R$7</c:f>
              <c:numCache>
                <c:formatCode>General</c:formatCode>
                <c:ptCount val="3"/>
                <c:pt idx="0">
                  <c:v>-1.3261299013227728</c:v>
                </c:pt>
                <c:pt idx="1">
                  <c:v>-1.1494466957398688E-2</c:v>
                </c:pt>
                <c:pt idx="2">
                  <c:v>-1.1487559133008406E-2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'Suivi Conso New'!$U$3</c:f>
              <c:strCache>
                <c:ptCount val="1"/>
                <c:pt idx="0">
                  <c:v>Diff HC
instantannée</c:v>
                </c:pt>
              </c:strCache>
            </c:strRef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'Suivi Conso New'!$A$5:$A$7</c:f>
              <c:numCache>
                <c:formatCode>d/m/yy\ h:mm;@</c:formatCode>
                <c:ptCount val="3"/>
                <c:pt idx="0">
                  <c:v>45526.324999999997</c:v>
                </c:pt>
                <c:pt idx="1">
                  <c:v>45527.315972222219</c:v>
                </c:pt>
                <c:pt idx="2">
                  <c:v>45528.334027777775</c:v>
                </c:pt>
              </c:numCache>
            </c:numRef>
          </c:cat>
          <c:val>
            <c:numRef>
              <c:f>'Suivi Conso New'!$V$5:$V$7</c:f>
              <c:numCache>
                <c:formatCode>General</c:formatCode>
                <c:ptCount val="3"/>
                <c:pt idx="0">
                  <c:v>-0.64466777283956755</c:v>
                </c:pt>
                <c:pt idx="1">
                  <c:v>-1.6858551537518078E-2</c:v>
                </c:pt>
                <c:pt idx="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651072"/>
        <c:axId val="299649280"/>
      </c:lineChart>
      <c:catAx>
        <c:axId val="29964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9647744"/>
        <c:crosses val="autoZero"/>
        <c:auto val="1"/>
        <c:lblAlgn val="ctr"/>
        <c:lblOffset val="100"/>
        <c:noMultiLvlLbl val="1"/>
      </c:catAx>
      <c:valAx>
        <c:axId val="299647744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299645952"/>
        <c:crosses val="autoZero"/>
        <c:crossBetween val="between"/>
      </c:valAx>
      <c:valAx>
        <c:axId val="299649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651072"/>
        <c:crosses val="max"/>
        <c:crossBetween val="between"/>
      </c:valAx>
      <c:dateAx>
        <c:axId val="29965107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99649280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multiLvlStrRef>
              <c:f>'Suivi Conso New'!$D$5:$D$7</c:f>
            </c:multiLvlStrRef>
          </c:cat>
          <c:val>
            <c:numRef>
              <c:f>'Suivi Conso New'!$M$5:$M$7</c:f>
              <c:numCache>
                <c:formatCode>0.00</c:formatCode>
                <c:ptCount val="3"/>
                <c:pt idx="0">
                  <c:v>9.3000000000000007</c:v>
                </c:pt>
                <c:pt idx="1">
                  <c:v>10.4</c:v>
                </c:pt>
                <c:pt idx="2">
                  <c:v>17.5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multiLvlStrRef>
              <c:f>'Suivi Conso New'!$D$5:$D$7</c:f>
            </c:multiLvlStrRef>
          </c:cat>
          <c:val>
            <c:numRef>
              <c:f>'Suivi Conso New'!$N$5:$N$7</c:f>
              <c:numCache>
                <c:formatCode>0.00</c:formatCode>
                <c:ptCount val="3"/>
                <c:pt idx="0">
                  <c:v>23.8</c:v>
                </c:pt>
                <c:pt idx="1">
                  <c:v>24.8</c:v>
                </c:pt>
                <c:pt idx="2">
                  <c:v>24.7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690624"/>
        <c:axId val="299708800"/>
      </c:lineChart>
      <c:lineChart>
        <c:grouping val="standard"/>
        <c:varyColors val="0"/>
        <c:ser>
          <c:idx val="0"/>
          <c:order val="2"/>
          <c:tx>
            <c:strRef>
              <c:f>'Suivi Conso New'!$Z$3</c:f>
              <c:strCache>
                <c:ptCount val="1"/>
                <c:pt idx="0">
                  <c:v> HP + HC / heure_x000d_
Instantané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New'!$A$5:$A$7</c:f>
              <c:numCache>
                <c:formatCode>d/m/yy\ h:mm;@</c:formatCode>
                <c:ptCount val="3"/>
                <c:pt idx="0">
                  <c:v>45526.324999999997</c:v>
                </c:pt>
                <c:pt idx="1">
                  <c:v>45527.315972222219</c:v>
                </c:pt>
                <c:pt idx="2">
                  <c:v>45528.334027777775</c:v>
                </c:pt>
              </c:numCache>
            </c:numRef>
          </c:cat>
          <c:val>
            <c:numRef>
              <c:f>'Suivi Conso New'!$Z$5:$Z$7</c:f>
              <c:numCache>
                <c:formatCode>General</c:formatCode>
                <c:ptCount val="3"/>
                <c:pt idx="0">
                  <c:v>-8.2116569756764179E-2</c:v>
                </c:pt>
                <c:pt idx="1">
                  <c:v>-1.181375770621532E-3</c:v>
                </c:pt>
                <c:pt idx="2">
                  <c:v>-4.7864829720868358E-4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711872"/>
        <c:axId val="299710336"/>
      </c:lineChart>
      <c:catAx>
        <c:axId val="29969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9708800"/>
        <c:crosses val="autoZero"/>
        <c:auto val="1"/>
        <c:lblAlgn val="ctr"/>
        <c:lblOffset val="100"/>
        <c:noMultiLvlLbl val="1"/>
      </c:catAx>
      <c:valAx>
        <c:axId val="29970880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299690624"/>
        <c:crosses val="autoZero"/>
        <c:crossBetween val="between"/>
      </c:valAx>
      <c:valAx>
        <c:axId val="299710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9711872"/>
        <c:crosses val="max"/>
        <c:crossBetween val="between"/>
      </c:valAx>
      <c:dateAx>
        <c:axId val="29971187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99710336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année'!$F$1</c:f>
              <c:strCache>
                <c:ptCount val="1"/>
                <c:pt idx="0">
                  <c:v>Cumul 2021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année'!$F$2:$F$368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2571</c:v>
                </c:pt>
                <c:pt idx="25">
                  <c:v>2608</c:v>
                </c:pt>
                <c:pt idx="26">
                  <c:v>-299191</c:v>
                </c:pt>
                <c:pt idx="27">
                  <c:v>-299191</c:v>
                </c:pt>
                <c:pt idx="28">
                  <c:v>-299191</c:v>
                </c:pt>
                <c:pt idx="29">
                  <c:v>-299191</c:v>
                </c:pt>
                <c:pt idx="30">
                  <c:v>-299191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année'!$I$1</c:f>
              <c:strCache>
                <c:ptCount val="1"/>
                <c:pt idx="0">
                  <c:v>Cumul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année'!$I$2:$I$368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année'!$N$1</c:f>
              <c:strCache>
                <c:ptCount val="1"/>
                <c:pt idx="0">
                  <c:v>Cumul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année'!$N$2:$N$368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'Cumul par année'!$S$1</c:f>
              <c:strCache>
                <c:ptCount val="1"/>
                <c:pt idx="0">
                  <c:v>Cumul 2024</c:v>
                </c:pt>
              </c:strCache>
            </c:strRef>
          </c:tx>
          <c:marker>
            <c:symbol val="none"/>
          </c:marker>
          <c:val>
            <c:numRef>
              <c:f>'Cumul par année'!$S$2:$S$368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222720"/>
        <c:axId val="300224512"/>
      </c:lineChart>
      <c:catAx>
        <c:axId val="30022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300224512"/>
        <c:crosses val="autoZero"/>
        <c:auto val="1"/>
        <c:lblAlgn val="ctr"/>
        <c:lblOffset val="100"/>
        <c:noMultiLvlLbl val="0"/>
      </c:catAx>
      <c:valAx>
        <c:axId val="30022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0222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année'!$K$1</c:f>
              <c:strCache>
                <c:ptCount val="1"/>
                <c:pt idx="0">
                  <c:v>Ecart 2021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année'!$K$2:$K$368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254336"/>
        <c:axId val="300255872"/>
      </c:lineChart>
      <c:catAx>
        <c:axId val="300254336"/>
        <c:scaling>
          <c:orientation val="minMax"/>
        </c:scaling>
        <c:delete val="0"/>
        <c:axPos val="b"/>
        <c:majorTickMark val="out"/>
        <c:minorTickMark val="none"/>
        <c:tickLblPos val="nextTo"/>
        <c:crossAx val="300255872"/>
        <c:crosses val="autoZero"/>
        <c:auto val="1"/>
        <c:lblAlgn val="ctr"/>
        <c:lblOffset val="100"/>
        <c:noMultiLvlLbl val="0"/>
      </c:catAx>
      <c:valAx>
        <c:axId val="30025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0254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375040"/>
        <c:axId val="300376832"/>
      </c:lineChart>
      <c:catAx>
        <c:axId val="30037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00376832"/>
        <c:crosses val="autoZero"/>
        <c:auto val="1"/>
        <c:lblAlgn val="ctr"/>
        <c:lblOffset val="100"/>
        <c:noMultiLvlLbl val="0"/>
      </c:catAx>
      <c:valAx>
        <c:axId val="30037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0375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année'!$L$1</c:f>
              <c:strCache>
                <c:ptCount val="1"/>
                <c:pt idx="0">
                  <c:v>Ecart % 
2021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année'!$L$2:$L$368</c:f>
              <c:numCache>
                <c:formatCode>0%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année'!$P$1</c:f>
              <c:strCache>
                <c:ptCount val="1"/>
                <c:pt idx="0">
                  <c:v>Ecart % 
2022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année'!$P$2:$P$368</c:f>
              <c:numCache>
                <c:formatCode>0%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année'!$U$1</c:f>
              <c:strCache>
                <c:ptCount val="1"/>
                <c:pt idx="0">
                  <c:v>Ecart % 
2023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année'!$U$2:$U$368</c:f>
              <c:numCache>
                <c:formatCode>0%</c:formatCode>
                <c:ptCount val="36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513152"/>
        <c:axId val="300514688"/>
      </c:lineChart>
      <c:catAx>
        <c:axId val="30051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300514688"/>
        <c:crosses val="autoZero"/>
        <c:auto val="1"/>
        <c:lblAlgn val="ctr"/>
        <c:lblOffset val="100"/>
        <c:noMultiLvlLbl val="0"/>
      </c:catAx>
      <c:valAx>
        <c:axId val="3005146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00513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jour de la semaine - Ne'!$B$1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strRef>
              <c:f>'Moy par jour de la semaine - Ne'!$A$2:$A$8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'Moy par jour de la semaine - Ne'!$B$2:$B$8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-1.9707976741623403</c:v>
                </c:pt>
                <c:pt idx="6">
                  <c:v>76.988230915403079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0998528"/>
        <c:axId val="331000064"/>
      </c:barChart>
      <c:catAx>
        <c:axId val="33099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1000064"/>
        <c:crosses val="autoZero"/>
        <c:auto val="1"/>
        <c:lblAlgn val="ctr"/>
        <c:lblOffset val="100"/>
        <c:noMultiLvlLbl val="0"/>
      </c:catAx>
      <c:valAx>
        <c:axId val="3310000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0998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 par jour de la semaine!Tableau croisé dynamique2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par jour de la semaine'!$B$1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 par jour de la semaine'!$A$2:$A$9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'Moy par jour de la semaine'!$B$2:$B$9</c:f>
              <c:numCache>
                <c:formatCode>0.00</c:formatCode>
                <c:ptCount val="7"/>
                <c:pt idx="0">
                  <c:v>32.533599559062942</c:v>
                </c:pt>
                <c:pt idx="1">
                  <c:v>30.665050501033281</c:v>
                </c:pt>
                <c:pt idx="2">
                  <c:v>31.305501799031532</c:v>
                </c:pt>
                <c:pt idx="3">
                  <c:v>28.854147542997946</c:v>
                </c:pt>
                <c:pt idx="4">
                  <c:v>31.098798300684184</c:v>
                </c:pt>
                <c:pt idx="5">
                  <c:v>33.012062753742399</c:v>
                </c:pt>
                <c:pt idx="6">
                  <c:v>33.219141062616124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1073408"/>
        <c:axId val="331080448"/>
      </c:barChart>
      <c:catAx>
        <c:axId val="331073408"/>
        <c:scaling>
          <c:orientation val="minMax"/>
        </c:scaling>
        <c:delete val="0"/>
        <c:axPos val="b"/>
        <c:majorTickMark val="out"/>
        <c:minorTickMark val="none"/>
        <c:tickLblPos val="nextTo"/>
        <c:crossAx val="331080448"/>
        <c:crosses val="autoZero"/>
        <c:auto val="1"/>
        <c:lblAlgn val="ctr"/>
        <c:lblOffset val="100"/>
        <c:noMultiLvlLbl val="0"/>
      </c:catAx>
      <c:valAx>
        <c:axId val="3310804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1073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jour année mois - New'!$C$1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'Moy par jour année mois - New'!$C$2:$C$32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'Moy par jour année mois - New'!$D$1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'Moy par jour année mois - New'!$D$2:$D$32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ser>
          <c:idx val="3"/>
          <c:order val="2"/>
          <c:tx>
            <c:strRef>
              <c:f>'Moy par jour année mois - New'!$E$1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'Moy par jour année mois - New'!$E$2:$E$32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ser>
          <c:idx val="4"/>
          <c:order val="3"/>
          <c:tx>
            <c:strRef>
              <c:f>'Moy par jour année mois - New'!$F$1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'Moy par jour année mois - New'!$F$2:$F$32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0781440"/>
        <c:axId val="330782976"/>
      </c:barChart>
      <c:catAx>
        <c:axId val="33078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330782976"/>
        <c:crosses val="autoZero"/>
        <c:auto val="1"/>
        <c:lblAlgn val="ctr"/>
        <c:lblOffset val="100"/>
        <c:noMultiLvlLbl val="0"/>
      </c:catAx>
      <c:valAx>
        <c:axId val="33078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781440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 par jour année mois!Tableau croisé dynamique2</c:name>
    <c:fmtId val="1"/>
  </c:pivotSource>
  <c:chart>
    <c:autoTitleDeleted val="1"/>
    <c:pivotFmts>
      <c:pivotFmt>
        <c:idx val="0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numFmt formatCode="#,##0.00" sourceLinked="0"/>
          <c:spPr>
            <a:noFill/>
          </c:spPr>
          <c:txPr>
            <a:bodyPr/>
            <a:lstStyle/>
            <a:p>
              <a:pPr>
                <a:defRPr/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2.75960254968129E-2"/>
          <c:y val="9.050662569617822E-2"/>
          <c:w val="0.95875460078282904"/>
          <c:h val="0.899570578067985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'Moy par jour année mois'!$B$4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numFmt formatCode="#,##0.00" sourceLinked="0"/>
            <c:spPr>
              <a:noFill/>
            </c:spPr>
            <c:txPr>
              <a:bodyPr/>
              <a:lstStyle/>
              <a:p>
                <a:pPr>
                  <a:defRPr/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 par jour année mois'!$A$5:$A$139</c:f>
              <c:multiLvlStrCache>
                <c:ptCount val="104"/>
                <c:lvl>
                  <c:pt idx="0">
                    <c:v>2021</c:v>
                  </c:pt>
                  <c:pt idx="1">
                    <c:v>2022</c:v>
                  </c:pt>
                  <c:pt idx="2">
                    <c:v>2023</c:v>
                  </c:pt>
                  <c:pt idx="3">
                    <c:v>2024</c:v>
                  </c:pt>
                  <c:pt idx="4">
                    <c:v>2021</c:v>
                  </c:pt>
                  <c:pt idx="5">
                    <c:v>2022</c:v>
                  </c:pt>
                  <c:pt idx="6">
                    <c:v>2023</c:v>
                  </c:pt>
                  <c:pt idx="7">
                    <c:v>2024</c:v>
                  </c:pt>
                  <c:pt idx="8">
                    <c:v>2021</c:v>
                  </c:pt>
                  <c:pt idx="9">
                    <c:v>2023</c:v>
                  </c:pt>
                  <c:pt idx="10">
                    <c:v>2024</c:v>
                  </c:pt>
                  <c:pt idx="11">
                    <c:v>2021</c:v>
                  </c:pt>
                  <c:pt idx="12">
                    <c:v>2022</c:v>
                  </c:pt>
                  <c:pt idx="13">
                    <c:v>2023</c:v>
                  </c:pt>
                  <c:pt idx="14">
                    <c:v>2024</c:v>
                  </c:pt>
                  <c:pt idx="15">
                    <c:v>2021</c:v>
                  </c:pt>
                  <c:pt idx="16">
                    <c:v>2022</c:v>
                  </c:pt>
                  <c:pt idx="17">
                    <c:v>2023</c:v>
                  </c:pt>
                  <c:pt idx="18">
                    <c:v>2024</c:v>
                  </c:pt>
                  <c:pt idx="19">
                    <c:v>2021</c:v>
                  </c:pt>
                  <c:pt idx="20">
                    <c:v>2022</c:v>
                  </c:pt>
                  <c:pt idx="21">
                    <c:v>2023</c:v>
                  </c:pt>
                  <c:pt idx="22">
                    <c:v>2024</c:v>
                  </c:pt>
                  <c:pt idx="23">
                    <c:v>2021</c:v>
                  </c:pt>
                  <c:pt idx="24">
                    <c:v>2022</c:v>
                  </c:pt>
                  <c:pt idx="25">
                    <c:v>2023</c:v>
                  </c:pt>
                  <c:pt idx="26">
                    <c:v>2024</c:v>
                  </c:pt>
                  <c:pt idx="27">
                    <c:v>2021</c:v>
                  </c:pt>
                  <c:pt idx="28">
                    <c:v>2022</c:v>
                  </c:pt>
                  <c:pt idx="29">
                    <c:v>2023</c:v>
                  </c:pt>
                  <c:pt idx="30">
                    <c:v>2024</c:v>
                  </c:pt>
                  <c:pt idx="31">
                    <c:v>2021</c:v>
                  </c:pt>
                  <c:pt idx="32">
                    <c:v>2022</c:v>
                  </c:pt>
                  <c:pt idx="33">
                    <c:v>2024</c:v>
                  </c:pt>
                  <c:pt idx="34">
                    <c:v>2022</c:v>
                  </c:pt>
                  <c:pt idx="35">
                    <c:v>2023</c:v>
                  </c:pt>
                  <c:pt idx="36">
                    <c:v>2024</c:v>
                  </c:pt>
                  <c:pt idx="37">
                    <c:v>2021</c:v>
                  </c:pt>
                  <c:pt idx="38">
                    <c:v>2022</c:v>
                  </c:pt>
                  <c:pt idx="39">
                    <c:v>2023</c:v>
                  </c:pt>
                  <c:pt idx="40">
                    <c:v>2024</c:v>
                  </c:pt>
                  <c:pt idx="41">
                    <c:v>2021</c:v>
                  </c:pt>
                  <c:pt idx="42">
                    <c:v>2022</c:v>
                  </c:pt>
                  <c:pt idx="43">
                    <c:v>2023</c:v>
                  </c:pt>
                  <c:pt idx="44">
                    <c:v>2024</c:v>
                  </c:pt>
                  <c:pt idx="45">
                    <c:v>2021</c:v>
                  </c:pt>
                  <c:pt idx="46">
                    <c:v>2022</c:v>
                  </c:pt>
                  <c:pt idx="47">
                    <c:v>2023</c:v>
                  </c:pt>
                  <c:pt idx="48">
                    <c:v>2024</c:v>
                  </c:pt>
                  <c:pt idx="49">
                    <c:v>2022</c:v>
                  </c:pt>
                  <c:pt idx="50">
                    <c:v>2023</c:v>
                  </c:pt>
                  <c:pt idx="51">
                    <c:v>2024</c:v>
                  </c:pt>
                  <c:pt idx="52">
                    <c:v>2021</c:v>
                  </c:pt>
                  <c:pt idx="53">
                    <c:v>2022</c:v>
                  </c:pt>
                  <c:pt idx="54">
                    <c:v>2023</c:v>
                  </c:pt>
                  <c:pt idx="55">
                    <c:v>2024</c:v>
                  </c:pt>
                  <c:pt idx="56">
                    <c:v>2021</c:v>
                  </c:pt>
                  <c:pt idx="57">
                    <c:v>2022</c:v>
                  </c:pt>
                  <c:pt idx="58">
                    <c:v>2023</c:v>
                  </c:pt>
                  <c:pt idx="59">
                    <c:v>2024</c:v>
                  </c:pt>
                  <c:pt idx="60">
                    <c:v>2022</c:v>
                  </c:pt>
                  <c:pt idx="61">
                    <c:v>2023</c:v>
                  </c:pt>
                  <c:pt idx="62">
                    <c:v>2024</c:v>
                  </c:pt>
                  <c:pt idx="63">
                    <c:v>2023</c:v>
                  </c:pt>
                  <c:pt idx="64">
                    <c:v>2024</c:v>
                  </c:pt>
                  <c:pt idx="65">
                    <c:v>2022</c:v>
                  </c:pt>
                  <c:pt idx="66">
                    <c:v>2023</c:v>
                  </c:pt>
                  <c:pt idx="67">
                    <c:v>2024</c:v>
                  </c:pt>
                  <c:pt idx="68">
                    <c:v>2021</c:v>
                  </c:pt>
                  <c:pt idx="69">
                    <c:v>2022</c:v>
                  </c:pt>
                  <c:pt idx="70">
                    <c:v>2023</c:v>
                  </c:pt>
                  <c:pt idx="71">
                    <c:v>2024</c:v>
                  </c:pt>
                  <c:pt idx="72">
                    <c:v>2022</c:v>
                  </c:pt>
                  <c:pt idx="73">
                    <c:v>2023</c:v>
                  </c:pt>
                  <c:pt idx="74">
                    <c:v>2024</c:v>
                  </c:pt>
                  <c:pt idx="75">
                    <c:v>2022</c:v>
                  </c:pt>
                  <c:pt idx="76">
                    <c:v>2023</c:v>
                  </c:pt>
                  <c:pt idx="77">
                    <c:v>2024</c:v>
                  </c:pt>
                  <c:pt idx="78">
                    <c:v>2022</c:v>
                  </c:pt>
                  <c:pt idx="79">
                    <c:v>2023</c:v>
                  </c:pt>
                  <c:pt idx="80">
                    <c:v>2024</c:v>
                  </c:pt>
                  <c:pt idx="81">
                    <c:v>2021</c:v>
                  </c:pt>
                  <c:pt idx="82">
                    <c:v>2022</c:v>
                  </c:pt>
                  <c:pt idx="83">
                    <c:v>2023</c:v>
                  </c:pt>
                  <c:pt idx="84">
                    <c:v>2024</c:v>
                  </c:pt>
                  <c:pt idx="85">
                    <c:v>2021</c:v>
                  </c:pt>
                  <c:pt idx="86">
                    <c:v>2023</c:v>
                  </c:pt>
                  <c:pt idx="87">
                    <c:v>2024</c:v>
                  </c:pt>
                  <c:pt idx="88">
                    <c:v>2021</c:v>
                  </c:pt>
                  <c:pt idx="89">
                    <c:v>2022</c:v>
                  </c:pt>
                  <c:pt idx="90">
                    <c:v>2023</c:v>
                  </c:pt>
                  <c:pt idx="91">
                    <c:v>2024</c:v>
                  </c:pt>
                  <c:pt idx="92">
                    <c:v>2022</c:v>
                  </c:pt>
                  <c:pt idx="93">
                    <c:v>2023</c:v>
                  </c:pt>
                  <c:pt idx="94">
                    <c:v>2024</c:v>
                  </c:pt>
                  <c:pt idx="95">
                    <c:v>2021</c:v>
                  </c:pt>
                  <c:pt idx="96">
                    <c:v>2022</c:v>
                  </c:pt>
                  <c:pt idx="97">
                    <c:v>2023</c:v>
                  </c:pt>
                  <c:pt idx="98">
                    <c:v>2024</c:v>
                  </c:pt>
                  <c:pt idx="99">
                    <c:v>2022</c:v>
                  </c:pt>
                  <c:pt idx="100">
                    <c:v>2023</c:v>
                  </c:pt>
                  <c:pt idx="101">
                    <c:v>2024</c:v>
                  </c:pt>
                  <c:pt idx="102">
                    <c:v>2022</c:v>
                  </c:pt>
                  <c:pt idx="103">
                    <c:v>2023</c:v>
                  </c:pt>
                </c:lvl>
                <c:lvl>
                  <c:pt idx="0">
                    <c:v>1</c:v>
                  </c:pt>
                  <c:pt idx="4">
                    <c:v>2</c:v>
                  </c:pt>
                  <c:pt idx="8">
                    <c:v>3</c:v>
                  </c:pt>
                  <c:pt idx="11">
                    <c:v>4</c:v>
                  </c:pt>
                  <c:pt idx="15">
                    <c:v>5</c:v>
                  </c:pt>
                  <c:pt idx="19">
                    <c:v>6</c:v>
                  </c:pt>
                  <c:pt idx="23">
                    <c:v>7</c:v>
                  </c:pt>
                  <c:pt idx="27">
                    <c:v>8</c:v>
                  </c:pt>
                  <c:pt idx="31">
                    <c:v>9</c:v>
                  </c:pt>
                  <c:pt idx="34">
                    <c:v>10</c:v>
                  </c:pt>
                  <c:pt idx="37">
                    <c:v>11</c:v>
                  </c:pt>
                  <c:pt idx="41">
                    <c:v>12</c:v>
                  </c:pt>
                  <c:pt idx="45">
                    <c:v>13</c:v>
                  </c:pt>
                  <c:pt idx="49">
                    <c:v>14</c:v>
                  </c:pt>
                  <c:pt idx="52">
                    <c:v>15</c:v>
                  </c:pt>
                  <c:pt idx="56">
                    <c:v>16</c:v>
                  </c:pt>
                  <c:pt idx="60">
                    <c:v>17</c:v>
                  </c:pt>
                  <c:pt idx="63">
                    <c:v>18</c:v>
                  </c:pt>
                  <c:pt idx="65">
                    <c:v>19</c:v>
                  </c:pt>
                  <c:pt idx="68">
                    <c:v>20</c:v>
                  </c:pt>
                  <c:pt idx="72">
                    <c:v>21</c:v>
                  </c:pt>
                  <c:pt idx="75">
                    <c:v>22</c:v>
                  </c:pt>
                  <c:pt idx="78">
                    <c:v>23</c:v>
                  </c:pt>
                  <c:pt idx="81">
                    <c:v>24</c:v>
                  </c:pt>
                  <c:pt idx="85">
                    <c:v>25</c:v>
                  </c:pt>
                  <c:pt idx="88">
                    <c:v>26</c:v>
                  </c:pt>
                  <c:pt idx="92">
                    <c:v>27</c:v>
                  </c:pt>
                  <c:pt idx="95">
                    <c:v>28</c:v>
                  </c:pt>
                  <c:pt idx="99">
                    <c:v>29</c:v>
                  </c:pt>
                  <c:pt idx="102">
                    <c:v>30</c:v>
                  </c:pt>
                </c:lvl>
              </c:multiLvlStrCache>
            </c:multiLvlStrRef>
          </c:cat>
          <c:val>
            <c:numRef>
              <c:f>'Moy par jour année mois'!$B$5:$B$139</c:f>
              <c:numCache>
                <c:formatCode>General</c:formatCode>
                <c:ptCount val="104"/>
                <c:pt idx="0">
                  <c:v>9.7759674134234125</c:v>
                </c:pt>
                <c:pt idx="1">
                  <c:v>60.086330935050505</c:v>
                </c:pt>
                <c:pt idx="2">
                  <c:v>32.178770949718057</c:v>
                </c:pt>
                <c:pt idx="3">
                  <c:v>33.349464223983574</c:v>
                </c:pt>
                <c:pt idx="4">
                  <c:v>10.023201856126834</c:v>
                </c:pt>
                <c:pt idx="5">
                  <c:v>72.687585265983842</c:v>
                </c:pt>
                <c:pt idx="6">
                  <c:v>44.737864077771036</c:v>
                </c:pt>
                <c:pt idx="7">
                  <c:v>48.655643422088147</c:v>
                </c:pt>
                <c:pt idx="8">
                  <c:v>28.110026619442113</c:v>
                </c:pt>
                <c:pt idx="9">
                  <c:v>45.83271650618105</c:v>
                </c:pt>
                <c:pt idx="10">
                  <c:v>27.729083665235759</c:v>
                </c:pt>
                <c:pt idx="11">
                  <c:v>46.541693600426065</c:v>
                </c:pt>
                <c:pt idx="12">
                  <c:v>68.308336239983191</c:v>
                </c:pt>
                <c:pt idx="13">
                  <c:v>53.633169360620052</c:v>
                </c:pt>
                <c:pt idx="14">
                  <c:v>32.583941606033235</c:v>
                </c:pt>
                <c:pt idx="15">
                  <c:v>28.779443254846683</c:v>
                </c:pt>
                <c:pt idx="16">
                  <c:v>46.812720847979506</c:v>
                </c:pt>
                <c:pt idx="17">
                  <c:v>36.118811881104854</c:v>
                </c:pt>
                <c:pt idx="18">
                  <c:v>18.624914908097796</c:v>
                </c:pt>
                <c:pt idx="19">
                  <c:v>50.389016018155907</c:v>
                </c:pt>
                <c:pt idx="20">
                  <c:v>38.465753424872233</c:v>
                </c:pt>
                <c:pt idx="21">
                  <c:v>36.154949784876507</c:v>
                </c:pt>
                <c:pt idx="22">
                  <c:v>12.733971997034843</c:v>
                </c:pt>
                <c:pt idx="23">
                  <c:v>56.103896104235396</c:v>
                </c:pt>
                <c:pt idx="24">
                  <c:v>41.624225739835246</c:v>
                </c:pt>
                <c:pt idx="25">
                  <c:v>29.080779944341561</c:v>
                </c:pt>
                <c:pt idx="26">
                  <c:v>9.2012779552784103</c:v>
                </c:pt>
                <c:pt idx="27">
                  <c:v>49.180327868688209</c:v>
                </c:pt>
                <c:pt idx="28">
                  <c:v>42.295081967071859</c:v>
                </c:pt>
                <c:pt idx="29">
                  <c:v>32.054794520535168</c:v>
                </c:pt>
                <c:pt idx="30">
                  <c:v>26</c:v>
                </c:pt>
                <c:pt idx="31">
                  <c:v>37.948717948774586</c:v>
                </c:pt>
                <c:pt idx="32">
                  <c:v>47.734806630010787</c:v>
                </c:pt>
                <c:pt idx="33">
                  <c:v>29.756457564447818</c:v>
                </c:pt>
                <c:pt idx="34">
                  <c:v>46.753246753176064</c:v>
                </c:pt>
                <c:pt idx="35">
                  <c:v>16.992767415283048</c:v>
                </c:pt>
                <c:pt idx="36">
                  <c:v>37.073170731917848</c:v>
                </c:pt>
                <c:pt idx="37">
                  <c:v>32.738719832053143</c:v>
                </c:pt>
                <c:pt idx="38">
                  <c:v>34.830684174108583</c:v>
                </c:pt>
                <c:pt idx="39">
                  <c:v>33.733528550518194</c:v>
                </c:pt>
                <c:pt idx="40">
                  <c:v>26.553191489230162</c:v>
                </c:pt>
                <c:pt idx="41">
                  <c:v>47.058823529626601</c:v>
                </c:pt>
                <c:pt idx="42">
                  <c:v>15.083798882625157</c:v>
                </c:pt>
                <c:pt idx="43">
                  <c:v>33.816046966747308</c:v>
                </c:pt>
                <c:pt idx="44">
                  <c:v>12.430278884502508</c:v>
                </c:pt>
                <c:pt idx="45">
                  <c:v>33.518172721655915</c:v>
                </c:pt>
                <c:pt idx="46">
                  <c:v>26.036161335305799</c:v>
                </c:pt>
                <c:pt idx="47">
                  <c:v>44.026845637515095</c:v>
                </c:pt>
                <c:pt idx="48">
                  <c:v>12.203389830460317</c:v>
                </c:pt>
                <c:pt idx="49">
                  <c:v>21.448882870606052</c:v>
                </c:pt>
                <c:pt idx="50">
                  <c:v>43.843031123194628</c:v>
                </c:pt>
                <c:pt idx="51">
                  <c:v>9.0692792162632045</c:v>
                </c:pt>
                <c:pt idx="52">
                  <c:v>48.483165567456425</c:v>
                </c:pt>
                <c:pt idx="53">
                  <c:v>12.471685542973287</c:v>
                </c:pt>
                <c:pt idx="54">
                  <c:v>42.175732217532136</c:v>
                </c:pt>
                <c:pt idx="55">
                  <c:v>11.038327526096584</c:v>
                </c:pt>
                <c:pt idx="56">
                  <c:v>55.518072289000891</c:v>
                </c:pt>
                <c:pt idx="57">
                  <c:v>11.820895522398329</c:v>
                </c:pt>
                <c:pt idx="58">
                  <c:v>36.146540027245528</c:v>
                </c:pt>
                <c:pt idx="59">
                  <c:v>11.131412508807935</c:v>
                </c:pt>
                <c:pt idx="60">
                  <c:v>12.589105581741647</c:v>
                </c:pt>
                <c:pt idx="61">
                  <c:v>19.726027397184112</c:v>
                </c:pt>
                <c:pt idx="62">
                  <c:v>39.696760854462021</c:v>
                </c:pt>
                <c:pt idx="63">
                  <c:v>31.503175723395444</c:v>
                </c:pt>
                <c:pt idx="64">
                  <c:v>35.782404298376939</c:v>
                </c:pt>
                <c:pt idx="65">
                  <c:v>9.6236370031483318</c:v>
                </c:pt>
                <c:pt idx="66">
                  <c:v>24.793388429799773</c:v>
                </c:pt>
                <c:pt idx="67">
                  <c:v>33.415518491654979</c:v>
                </c:pt>
                <c:pt idx="68">
                  <c:v>35.669495929323297</c:v>
                </c:pt>
                <c:pt idx="69">
                  <c:v>34.454609429956307</c:v>
                </c:pt>
                <c:pt idx="70">
                  <c:v>17.38430583502635</c:v>
                </c:pt>
                <c:pt idx="71">
                  <c:v>26.772908366434525</c:v>
                </c:pt>
                <c:pt idx="72">
                  <c:v>25.856353591255846</c:v>
                </c:pt>
                <c:pt idx="73">
                  <c:v>17.10691823896866</c:v>
                </c:pt>
                <c:pt idx="74">
                  <c:v>31.395348837188052</c:v>
                </c:pt>
                <c:pt idx="75">
                  <c:v>12.589105581741647</c:v>
                </c:pt>
                <c:pt idx="76">
                  <c:v>27.28421052624892</c:v>
                </c:pt>
                <c:pt idx="77">
                  <c:v>38.811333794006707</c:v>
                </c:pt>
                <c:pt idx="78">
                  <c:v>9.8753117206968213</c:v>
                </c:pt>
                <c:pt idx="79">
                  <c:v>16.638655462152318</c:v>
                </c:pt>
                <c:pt idx="80">
                  <c:v>42.293706293740726</c:v>
                </c:pt>
                <c:pt idx="81">
                  <c:v>16.973961998612705</c:v>
                </c:pt>
                <c:pt idx="82">
                  <c:v>17.874321179205459</c:v>
                </c:pt>
                <c:pt idx="83">
                  <c:v>16.64739884394184</c:v>
                </c:pt>
                <c:pt idx="84">
                  <c:v>36.821008984324259</c:v>
                </c:pt>
                <c:pt idx="85">
                  <c:v>14.769230769155193</c:v>
                </c:pt>
                <c:pt idx="86">
                  <c:v>39.738562091684685</c:v>
                </c:pt>
                <c:pt idx="87">
                  <c:v>35.902964959394112</c:v>
                </c:pt>
                <c:pt idx="88">
                  <c:v>14.342629482118278</c:v>
                </c:pt>
                <c:pt idx="89">
                  <c:v>21.485079805641892</c:v>
                </c:pt>
                <c:pt idx="90">
                  <c:v>33.230769230796284</c:v>
                </c:pt>
                <c:pt idx="91">
                  <c:v>30.914127423767884</c:v>
                </c:pt>
                <c:pt idx="92">
                  <c:v>26.181818181818183</c:v>
                </c:pt>
                <c:pt idx="93">
                  <c:v>19.022457067368276</c:v>
                </c:pt>
                <c:pt idx="94">
                  <c:v>31.411042944919881</c:v>
                </c:pt>
                <c:pt idx="95">
                  <c:v>14.853638137721472</c:v>
                </c:pt>
                <c:pt idx="96">
                  <c:v>14.054054054120384</c:v>
                </c:pt>
                <c:pt idx="97">
                  <c:v>15.169300225677826</c:v>
                </c:pt>
                <c:pt idx="98">
                  <c:v>26.06806661846279</c:v>
                </c:pt>
                <c:pt idx="99">
                  <c:v>10.760869565220796</c:v>
                </c:pt>
                <c:pt idx="100">
                  <c:v>7.8260869565242146</c:v>
                </c:pt>
                <c:pt idx="101">
                  <c:v>24.286718200856676</c:v>
                </c:pt>
                <c:pt idx="102">
                  <c:v>8.7924016281864148</c:v>
                </c:pt>
                <c:pt idx="103">
                  <c:v>10.543014032952909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1207424"/>
        <c:axId val="331210112"/>
      </c:barChart>
      <c:catAx>
        <c:axId val="331207424"/>
        <c:scaling>
          <c:orientation val="minMax"/>
        </c:scaling>
        <c:delete val="0"/>
        <c:axPos val="b"/>
        <c:majorTickMark val="out"/>
        <c:minorTickMark val="none"/>
        <c:tickLblPos val="nextTo"/>
        <c:crossAx val="331210112"/>
        <c:crosses val="autoZero"/>
        <c:auto val="1"/>
        <c:lblAlgn val="ctr"/>
        <c:lblOffset val="100"/>
        <c:noMultiLvlLbl val="0"/>
      </c:catAx>
      <c:valAx>
        <c:axId val="331210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207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année mois - New'!$B$1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'Moy par année mois - New'!$B$2:$B$13</c:f>
              <c:numCache>
                <c:formatCode>_(* #,##0.00_);_(* \(#,##0.00\);_(* "-"??_);_(@_)</c:formatCode>
                <c:ptCount val="12"/>
                <c:pt idx="0">
                  <c:v>13.470229121885112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1"/>
          <c:tx>
            <c:strRef>
              <c:f>'Moy par année mois - New'!$C$1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'Moy par année mois - New'!$C$2:$C$13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2"/>
          <c:tx>
            <c:strRef>
              <c:f>'Moy par année mois - New'!$D$1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'Moy par année mois - New'!$D$2:$D$13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3"/>
          <c:tx>
            <c:strRef>
              <c:f>'Moy par année mois - New'!$E$1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'Moy par année mois - New'!$E$2:$E$13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1870208"/>
        <c:axId val="331871744"/>
      </c:barChart>
      <c:catAx>
        <c:axId val="331870208"/>
        <c:scaling>
          <c:orientation val="minMax"/>
        </c:scaling>
        <c:delete val="0"/>
        <c:axPos val="b"/>
        <c:majorTickMark val="out"/>
        <c:minorTickMark val="none"/>
        <c:tickLblPos val="nextTo"/>
        <c:crossAx val="331871744"/>
        <c:crosses val="autoZero"/>
        <c:auto val="1"/>
        <c:lblAlgn val="ctr"/>
        <c:lblOffset val="100"/>
        <c:noMultiLvlLbl val="0"/>
      </c:catAx>
      <c:valAx>
        <c:axId val="331871744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331870208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 par année mois!Tableau croisé dynamique2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2.75960254968129E-2"/>
          <c:y val="9.050662569617822E-2"/>
          <c:w val="0.80707529058867644"/>
          <c:h val="0.899570578067985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'Moy par année mois'!$B$1</c:f>
              <c:strCache>
                <c:ptCount val="1"/>
                <c:pt idx="0">
                  <c:v>Min de Min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 par année mois'!$A$2:$A$58</c:f>
              <c:multiLvlStrCache>
                <c:ptCount val="44"/>
                <c:lvl>
                  <c:pt idx="0">
                    <c:v>2021</c:v>
                  </c:pt>
                  <c:pt idx="1">
                    <c:v>2022</c:v>
                  </c:pt>
                  <c:pt idx="2">
                    <c:v>2023</c:v>
                  </c:pt>
                  <c:pt idx="3">
                    <c:v>2024</c:v>
                  </c:pt>
                  <c:pt idx="4">
                    <c:v>2021</c:v>
                  </c:pt>
                  <c:pt idx="5">
                    <c:v>2022</c:v>
                  </c:pt>
                  <c:pt idx="6">
                    <c:v>2023</c:v>
                  </c:pt>
                  <c:pt idx="7">
                    <c:v>2024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2021</c:v>
                  </c:pt>
                  <c:pt idx="13">
                    <c:v>2022</c:v>
                  </c:pt>
                  <c:pt idx="14">
                    <c:v>2023</c:v>
                  </c:pt>
                  <c:pt idx="15">
                    <c:v>2024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2024</c:v>
                  </c:pt>
                  <c:pt idx="20">
                    <c:v>2021</c:v>
                  </c:pt>
                  <c:pt idx="21">
                    <c:v>2022</c:v>
                  </c:pt>
                  <c:pt idx="22">
                    <c:v>2023</c:v>
                  </c:pt>
                  <c:pt idx="23">
                    <c:v>2024</c:v>
                  </c:pt>
                  <c:pt idx="24">
                    <c:v>2021</c:v>
                  </c:pt>
                  <c:pt idx="25">
                    <c:v>2022</c:v>
                  </c:pt>
                  <c:pt idx="26">
                    <c:v>2023</c:v>
                  </c:pt>
                  <c:pt idx="27">
                    <c:v>2024</c:v>
                  </c:pt>
                  <c:pt idx="28">
                    <c:v>2022</c:v>
                  </c:pt>
                  <c:pt idx="29">
                    <c:v>2023</c:v>
                  </c:pt>
                  <c:pt idx="30">
                    <c:v>2024</c:v>
                  </c:pt>
                  <c:pt idx="31">
                    <c:v>2021</c:v>
                  </c:pt>
                  <c:pt idx="32">
                    <c:v>2022</c:v>
                  </c:pt>
                  <c:pt idx="33">
                    <c:v>2023</c:v>
                  </c:pt>
                  <c:pt idx="34">
                    <c:v>2021</c:v>
                  </c:pt>
                  <c:pt idx="35">
                    <c:v>2022</c:v>
                  </c:pt>
                  <c:pt idx="36">
                    <c:v>2023</c:v>
                  </c:pt>
                  <c:pt idx="37">
                    <c:v>2021</c:v>
                  </c:pt>
                  <c:pt idx="38">
                    <c:v>2022</c:v>
                  </c:pt>
                  <c:pt idx="39">
                    <c:v>2023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  <c:pt idx="43">
                    <c:v>2023</c:v>
                  </c:pt>
                </c:lvl>
                <c:lvl>
                  <c:pt idx="0">
                    <c:v>1</c:v>
                  </c:pt>
                  <c:pt idx="4">
                    <c:v>2</c:v>
                  </c:pt>
                  <c:pt idx="8">
                    <c:v>3</c:v>
                  </c:pt>
                  <c:pt idx="12">
                    <c:v>4</c:v>
                  </c:pt>
                  <c:pt idx="16">
                    <c:v>5</c:v>
                  </c:pt>
                  <c:pt idx="20">
                    <c:v>6</c:v>
                  </c:pt>
                  <c:pt idx="24">
                    <c:v>7</c:v>
                  </c:pt>
                  <c:pt idx="28">
                    <c:v>8</c:v>
                  </c:pt>
                  <c:pt idx="31">
                    <c:v>9</c:v>
                  </c:pt>
                  <c:pt idx="34">
                    <c:v>10</c:v>
                  </c:pt>
                  <c:pt idx="37">
                    <c:v>11</c:v>
                  </c:pt>
                  <c:pt idx="40">
                    <c:v>12</c:v>
                  </c:pt>
                </c:lvl>
              </c:multiLvlStrCache>
            </c:multiLvlStrRef>
          </c:cat>
          <c:val>
            <c:numRef>
              <c:f>'Moy par année mois'!$B$2:$B$58</c:f>
              <c:numCache>
                <c:formatCode>General</c:formatCode>
                <c:ptCount val="44"/>
                <c:pt idx="0">
                  <c:v>-4.8</c:v>
                </c:pt>
                <c:pt idx="1">
                  <c:v>-3.9</c:v>
                </c:pt>
                <c:pt idx="4">
                  <c:v>6.9</c:v>
                </c:pt>
                <c:pt idx="5">
                  <c:v>-2.5</c:v>
                </c:pt>
                <c:pt idx="9">
                  <c:v>-3</c:v>
                </c:pt>
                <c:pt idx="19">
                  <c:v>7.3</c:v>
                </c:pt>
              </c:numCache>
            </c:numRef>
          </c:val>
        </c:ser>
        <c:ser>
          <c:idx val="1"/>
          <c:order val="1"/>
          <c:tx>
            <c:strRef>
              <c:f>'Moy par année mois'!$C$1</c:f>
              <c:strCache>
                <c:ptCount val="1"/>
                <c:pt idx="0">
                  <c:v>Max de Max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 par année mois'!$A$2:$A$58</c:f>
              <c:multiLvlStrCache>
                <c:ptCount val="44"/>
                <c:lvl>
                  <c:pt idx="0">
                    <c:v>2021</c:v>
                  </c:pt>
                  <c:pt idx="1">
                    <c:v>2022</c:v>
                  </c:pt>
                  <c:pt idx="2">
                    <c:v>2023</c:v>
                  </c:pt>
                  <c:pt idx="3">
                    <c:v>2024</c:v>
                  </c:pt>
                  <c:pt idx="4">
                    <c:v>2021</c:v>
                  </c:pt>
                  <c:pt idx="5">
                    <c:v>2022</c:v>
                  </c:pt>
                  <c:pt idx="6">
                    <c:v>2023</c:v>
                  </c:pt>
                  <c:pt idx="7">
                    <c:v>2024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2021</c:v>
                  </c:pt>
                  <c:pt idx="13">
                    <c:v>2022</c:v>
                  </c:pt>
                  <c:pt idx="14">
                    <c:v>2023</c:v>
                  </c:pt>
                  <c:pt idx="15">
                    <c:v>2024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2024</c:v>
                  </c:pt>
                  <c:pt idx="20">
                    <c:v>2021</c:v>
                  </c:pt>
                  <c:pt idx="21">
                    <c:v>2022</c:v>
                  </c:pt>
                  <c:pt idx="22">
                    <c:v>2023</c:v>
                  </c:pt>
                  <c:pt idx="23">
                    <c:v>2024</c:v>
                  </c:pt>
                  <c:pt idx="24">
                    <c:v>2021</c:v>
                  </c:pt>
                  <c:pt idx="25">
                    <c:v>2022</c:v>
                  </c:pt>
                  <c:pt idx="26">
                    <c:v>2023</c:v>
                  </c:pt>
                  <c:pt idx="27">
                    <c:v>2024</c:v>
                  </c:pt>
                  <c:pt idx="28">
                    <c:v>2022</c:v>
                  </c:pt>
                  <c:pt idx="29">
                    <c:v>2023</c:v>
                  </c:pt>
                  <c:pt idx="30">
                    <c:v>2024</c:v>
                  </c:pt>
                  <c:pt idx="31">
                    <c:v>2021</c:v>
                  </c:pt>
                  <c:pt idx="32">
                    <c:v>2022</c:v>
                  </c:pt>
                  <c:pt idx="33">
                    <c:v>2023</c:v>
                  </c:pt>
                  <c:pt idx="34">
                    <c:v>2021</c:v>
                  </c:pt>
                  <c:pt idx="35">
                    <c:v>2022</c:v>
                  </c:pt>
                  <c:pt idx="36">
                    <c:v>2023</c:v>
                  </c:pt>
                  <c:pt idx="37">
                    <c:v>2021</c:v>
                  </c:pt>
                  <c:pt idx="38">
                    <c:v>2022</c:v>
                  </c:pt>
                  <c:pt idx="39">
                    <c:v>2023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  <c:pt idx="43">
                    <c:v>2023</c:v>
                  </c:pt>
                </c:lvl>
                <c:lvl>
                  <c:pt idx="0">
                    <c:v>1</c:v>
                  </c:pt>
                  <c:pt idx="4">
                    <c:v>2</c:v>
                  </c:pt>
                  <c:pt idx="8">
                    <c:v>3</c:v>
                  </c:pt>
                  <c:pt idx="12">
                    <c:v>4</c:v>
                  </c:pt>
                  <c:pt idx="16">
                    <c:v>5</c:v>
                  </c:pt>
                  <c:pt idx="20">
                    <c:v>6</c:v>
                  </c:pt>
                  <c:pt idx="24">
                    <c:v>7</c:v>
                  </c:pt>
                  <c:pt idx="28">
                    <c:v>8</c:v>
                  </c:pt>
                  <c:pt idx="31">
                    <c:v>9</c:v>
                  </c:pt>
                  <c:pt idx="34">
                    <c:v>10</c:v>
                  </c:pt>
                  <c:pt idx="37">
                    <c:v>11</c:v>
                  </c:pt>
                  <c:pt idx="40">
                    <c:v>12</c:v>
                  </c:pt>
                </c:lvl>
              </c:multiLvlStrCache>
            </c:multiLvlStrRef>
          </c:cat>
          <c:val>
            <c:numRef>
              <c:f>'Moy par année mois'!$C$2:$C$58</c:f>
              <c:numCache>
                <c:formatCode>General</c:formatCode>
                <c:ptCount val="44"/>
                <c:pt idx="0">
                  <c:v>13.7</c:v>
                </c:pt>
                <c:pt idx="1">
                  <c:v>9.6999999999999993</c:v>
                </c:pt>
                <c:pt idx="4">
                  <c:v>13</c:v>
                </c:pt>
                <c:pt idx="5">
                  <c:v>14.4</c:v>
                </c:pt>
                <c:pt idx="9">
                  <c:v>17.899999999999999</c:v>
                </c:pt>
                <c:pt idx="19">
                  <c:v>21.3</c:v>
                </c:pt>
              </c:numCache>
            </c:numRef>
          </c:val>
        </c:ser>
        <c:ser>
          <c:idx val="2"/>
          <c:order val="2"/>
          <c:tx>
            <c:strRef>
              <c:f>'Moy par année mois'!$D$1</c:f>
              <c:strCache>
                <c:ptCount val="1"/>
                <c:pt idx="0">
                  <c:v>Moyenne de Conso HP + HC / jour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'Moy par année mois'!$A$2:$A$58</c:f>
              <c:multiLvlStrCache>
                <c:ptCount val="44"/>
                <c:lvl>
                  <c:pt idx="0">
                    <c:v>2021</c:v>
                  </c:pt>
                  <c:pt idx="1">
                    <c:v>2022</c:v>
                  </c:pt>
                  <c:pt idx="2">
                    <c:v>2023</c:v>
                  </c:pt>
                  <c:pt idx="3">
                    <c:v>2024</c:v>
                  </c:pt>
                  <c:pt idx="4">
                    <c:v>2021</c:v>
                  </c:pt>
                  <c:pt idx="5">
                    <c:v>2022</c:v>
                  </c:pt>
                  <c:pt idx="6">
                    <c:v>2023</c:v>
                  </c:pt>
                  <c:pt idx="7">
                    <c:v>2024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2021</c:v>
                  </c:pt>
                  <c:pt idx="13">
                    <c:v>2022</c:v>
                  </c:pt>
                  <c:pt idx="14">
                    <c:v>2023</c:v>
                  </c:pt>
                  <c:pt idx="15">
                    <c:v>2024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2024</c:v>
                  </c:pt>
                  <c:pt idx="20">
                    <c:v>2021</c:v>
                  </c:pt>
                  <c:pt idx="21">
                    <c:v>2022</c:v>
                  </c:pt>
                  <c:pt idx="22">
                    <c:v>2023</c:v>
                  </c:pt>
                  <c:pt idx="23">
                    <c:v>2024</c:v>
                  </c:pt>
                  <c:pt idx="24">
                    <c:v>2021</c:v>
                  </c:pt>
                  <c:pt idx="25">
                    <c:v>2022</c:v>
                  </c:pt>
                  <c:pt idx="26">
                    <c:v>2023</c:v>
                  </c:pt>
                  <c:pt idx="27">
                    <c:v>2024</c:v>
                  </c:pt>
                  <c:pt idx="28">
                    <c:v>2022</c:v>
                  </c:pt>
                  <c:pt idx="29">
                    <c:v>2023</c:v>
                  </c:pt>
                  <c:pt idx="30">
                    <c:v>2024</c:v>
                  </c:pt>
                  <c:pt idx="31">
                    <c:v>2021</c:v>
                  </c:pt>
                  <c:pt idx="32">
                    <c:v>2022</c:v>
                  </c:pt>
                  <c:pt idx="33">
                    <c:v>2023</c:v>
                  </c:pt>
                  <c:pt idx="34">
                    <c:v>2021</c:v>
                  </c:pt>
                  <c:pt idx="35">
                    <c:v>2022</c:v>
                  </c:pt>
                  <c:pt idx="36">
                    <c:v>2023</c:v>
                  </c:pt>
                  <c:pt idx="37">
                    <c:v>2021</c:v>
                  </c:pt>
                  <c:pt idx="38">
                    <c:v>2022</c:v>
                  </c:pt>
                  <c:pt idx="39">
                    <c:v>2023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  <c:pt idx="43">
                    <c:v>2023</c:v>
                  </c:pt>
                </c:lvl>
                <c:lvl>
                  <c:pt idx="0">
                    <c:v>1</c:v>
                  </c:pt>
                  <c:pt idx="4">
                    <c:v>2</c:v>
                  </c:pt>
                  <c:pt idx="8">
                    <c:v>3</c:v>
                  </c:pt>
                  <c:pt idx="12">
                    <c:v>4</c:v>
                  </c:pt>
                  <c:pt idx="16">
                    <c:v>5</c:v>
                  </c:pt>
                  <c:pt idx="20">
                    <c:v>6</c:v>
                  </c:pt>
                  <c:pt idx="24">
                    <c:v>7</c:v>
                  </c:pt>
                  <c:pt idx="28">
                    <c:v>8</c:v>
                  </c:pt>
                  <c:pt idx="31">
                    <c:v>9</c:v>
                  </c:pt>
                  <c:pt idx="34">
                    <c:v>10</c:v>
                  </c:pt>
                  <c:pt idx="37">
                    <c:v>11</c:v>
                  </c:pt>
                  <c:pt idx="40">
                    <c:v>12</c:v>
                  </c:pt>
                </c:lvl>
              </c:multiLvlStrCache>
            </c:multiLvlStrRef>
          </c:cat>
          <c:val>
            <c:numRef>
              <c:f>'Moy par année mois'!$D$2:$D$58</c:f>
              <c:numCache>
                <c:formatCode>General</c:formatCode>
                <c:ptCount val="44"/>
                <c:pt idx="0">
                  <c:v>63.519665211454971</c:v>
                </c:pt>
                <c:pt idx="1">
                  <c:v>69.719790481957048</c:v>
                </c:pt>
                <c:pt idx="2">
                  <c:v>55.476885789100493</c:v>
                </c:pt>
                <c:pt idx="3">
                  <c:v>57.061490049659163</c:v>
                </c:pt>
                <c:pt idx="4">
                  <c:v>60.495411467114451</c:v>
                </c:pt>
                <c:pt idx="5">
                  <c:v>53.558839866332931</c:v>
                </c:pt>
                <c:pt idx="6">
                  <c:v>52.812682376648141</c:v>
                </c:pt>
                <c:pt idx="7">
                  <c:v>42.331944117548439</c:v>
                </c:pt>
                <c:pt idx="8">
                  <c:v>49.958067969151358</c:v>
                </c:pt>
                <c:pt idx="9">
                  <c:v>38.985231386694394</c:v>
                </c:pt>
                <c:pt idx="10">
                  <c:v>43.847003149363921</c:v>
                </c:pt>
                <c:pt idx="11">
                  <c:v>35.584992378114912</c:v>
                </c:pt>
                <c:pt idx="12">
                  <c:v>33.968329493567609</c:v>
                </c:pt>
                <c:pt idx="13">
                  <c:v>29.28136531313756</c:v>
                </c:pt>
                <c:pt idx="14">
                  <c:v>29.556573069824331</c:v>
                </c:pt>
                <c:pt idx="15">
                  <c:v>27.300197089554064</c:v>
                </c:pt>
                <c:pt idx="16">
                  <c:v>30.776729965082399</c:v>
                </c:pt>
                <c:pt idx="17">
                  <c:v>10.518526920832626</c:v>
                </c:pt>
                <c:pt idx="18">
                  <c:v>11.435221675806504</c:v>
                </c:pt>
                <c:pt idx="19">
                  <c:v>15.139521248734304</c:v>
                </c:pt>
                <c:pt idx="20">
                  <c:v>18.215306446489603</c:v>
                </c:pt>
                <c:pt idx="21">
                  <c:v>10.614761095252231</c:v>
                </c:pt>
                <c:pt idx="22">
                  <c:v>7.5067537886494264</c:v>
                </c:pt>
                <c:pt idx="23">
                  <c:v>8.7564222126184976</c:v>
                </c:pt>
                <c:pt idx="24">
                  <c:v>11.682137197192358</c:v>
                </c:pt>
                <c:pt idx="25">
                  <c:v>9.2437875703509516</c:v>
                </c:pt>
                <c:pt idx="26">
                  <c:v>8.0551537231913795</c:v>
                </c:pt>
                <c:pt idx="27">
                  <c:v>11.176885781560083</c:v>
                </c:pt>
                <c:pt idx="28">
                  <c:v>9.4077239888126751</c:v>
                </c:pt>
                <c:pt idx="29">
                  <c:v>7.8719143044421926</c:v>
                </c:pt>
                <c:pt idx="30">
                  <c:v>10.705131028407301</c:v>
                </c:pt>
                <c:pt idx="31">
                  <c:v>11.811484236856675</c:v>
                </c:pt>
                <c:pt idx="32">
                  <c:v>9.3472642258272849</c:v>
                </c:pt>
                <c:pt idx="33">
                  <c:v>8.1547909147997419</c:v>
                </c:pt>
                <c:pt idx="34">
                  <c:v>19.736806156365176</c:v>
                </c:pt>
                <c:pt idx="35">
                  <c:v>11.458707669488845</c:v>
                </c:pt>
                <c:pt idx="36">
                  <c:v>14.180319773709895</c:v>
                </c:pt>
                <c:pt idx="37">
                  <c:v>40.511425697810509</c:v>
                </c:pt>
                <c:pt idx="38">
                  <c:v>31.102677860564391</c:v>
                </c:pt>
                <c:pt idx="39">
                  <c:v>34.146366881390158</c:v>
                </c:pt>
                <c:pt idx="41">
                  <c:v>61.225258852545842</c:v>
                </c:pt>
                <c:pt idx="42">
                  <c:v>56.824480449468332</c:v>
                </c:pt>
                <c:pt idx="43">
                  <c:v>47.329679109169362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1574272"/>
        <c:axId val="331588352"/>
      </c:barChart>
      <c:catAx>
        <c:axId val="331574272"/>
        <c:scaling>
          <c:orientation val="minMax"/>
        </c:scaling>
        <c:delete val="0"/>
        <c:axPos val="b"/>
        <c:majorTickMark val="out"/>
        <c:minorTickMark val="none"/>
        <c:tickLblPos val="nextTo"/>
        <c:crossAx val="331588352"/>
        <c:crosses val="autoZero"/>
        <c:auto val="1"/>
        <c:lblAlgn val="ctr"/>
        <c:lblOffset val="100"/>
        <c:noMultiLvlLbl val="0"/>
      </c:catAx>
      <c:valAx>
        <c:axId val="33158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157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mois'!$B$1</c:f>
              <c:strCache>
                <c:ptCount val="1"/>
                <c:pt idx="0">
                  <c:v>Min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mois'!$B$2:$B$13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1"/>
          <c:tx>
            <c:strRef>
              <c:f>'Moy par mois'!$C$1</c:f>
              <c:strCache>
                <c:ptCount val="1"/>
                <c:pt idx="0">
                  <c:v>Moyenne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mois'!$C$2:$C$13</c:f>
              <c:numCache>
                <c:formatCode>0.00</c:formatCode>
                <c:ptCount val="12"/>
                <c:pt idx="0">
                  <c:v>12.4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8.6</c:v>
                </c:pt>
              </c:numCache>
            </c:numRef>
          </c:val>
        </c:ser>
        <c:ser>
          <c:idx val="2"/>
          <c:order val="2"/>
          <c:tx>
            <c:strRef>
              <c:f>'Moy par mois'!$D$1</c:f>
              <c:strCache>
                <c:ptCount val="1"/>
                <c:pt idx="0">
                  <c:v>Moyenne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mois'!$D$2:$D$13</c:f>
              <c:numCache>
                <c:formatCode>0.00</c:formatCode>
                <c:ptCount val="12"/>
                <c:pt idx="0">
                  <c:v>24.433333333333334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23.3</c:v>
                </c:pt>
              </c:numCache>
            </c:numRef>
          </c:val>
        </c:ser>
        <c:ser>
          <c:idx val="3"/>
          <c:order val="3"/>
          <c:tx>
            <c:strRef>
              <c:f>'Moy par mois'!$E$1</c:f>
              <c:strCache>
                <c:ptCount val="1"/>
                <c:pt idx="0">
                  <c:v>Max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mois'!$E$2:$E$13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'Moy par mois'!$F$1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mois'!$F$2:$F$13</c:f>
              <c:numCache>
                <c:formatCode>0.00</c:formatCode>
                <c:ptCount val="12"/>
                <c:pt idx="0">
                  <c:v>13.470229121885112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1700864"/>
        <c:axId val="331735424"/>
      </c:barChart>
      <c:catAx>
        <c:axId val="331700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1735424"/>
        <c:crosses val="autoZero"/>
        <c:auto val="1"/>
        <c:lblAlgn val="ctr"/>
        <c:lblOffset val="100"/>
        <c:noMultiLvlLbl val="0"/>
      </c:catAx>
      <c:valAx>
        <c:axId val="3317354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1700864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année - New'!$B$1</c:f>
              <c:strCache>
                <c:ptCount val="1"/>
                <c:pt idx="0">
                  <c:v>Min
Température Min</c:v>
                </c:pt>
              </c:strCache>
            </c:strRef>
          </c:tx>
          <c:invertIfNegative val="0"/>
          <c:cat>
            <c:numRef>
              <c:f>'Moy par année - New'!$A$2:$A$5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 - New'!$B$2:$B$5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tx>
            <c:strRef>
              <c:f>'Moy par année - New'!$C$1</c:f>
              <c:strCache>
                <c:ptCount val="1"/>
                <c:pt idx="0">
                  <c:v>Moyenne
Température Min</c:v>
                </c:pt>
              </c:strCache>
            </c:strRef>
          </c:tx>
          <c:invertIfNegative val="0"/>
          <c:cat>
            <c:numRef>
              <c:f>'Moy par année - New'!$A$2:$A$5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 - New'!$C$2:$C$5</c:f>
              <c:numCache>
                <c:formatCode>0.00</c:formatCode>
                <c:ptCount val="4"/>
                <c:pt idx="0">
                  <c:v>12.4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'Moy par année - New'!$D$1</c:f>
              <c:strCache>
                <c:ptCount val="1"/>
                <c:pt idx="0">
                  <c:v>Moyenne
Température Max</c:v>
                </c:pt>
              </c:strCache>
            </c:strRef>
          </c:tx>
          <c:invertIfNegative val="0"/>
          <c:cat>
            <c:numRef>
              <c:f>'Moy par année - New'!$A$2:$A$5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 - New'!$D$2:$D$5</c:f>
              <c:numCache>
                <c:formatCode>0.00</c:formatCode>
                <c:ptCount val="4"/>
                <c:pt idx="0">
                  <c:v>24.433333333333334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'Moy par année - New'!$E$1</c:f>
              <c:strCache>
                <c:ptCount val="1"/>
                <c:pt idx="0">
                  <c:v>Max
Température Max</c:v>
                </c:pt>
              </c:strCache>
            </c:strRef>
          </c:tx>
          <c:invertIfNegative val="0"/>
          <c:cat>
            <c:numRef>
              <c:f>'Moy par année - New'!$A$2:$A$5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 - New'!$E$2:$E$5</c:f>
              <c:numCache>
                <c:formatCode>0.00</c:formatCode>
                <c:ptCount val="4"/>
                <c:pt idx="0">
                  <c:v>24.8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'Moy par année - New'!$F$1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numRef>
              <c:f>'Moy par année - New'!$A$2:$A$5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 - New'!$F$2:$F$5</c:f>
              <c:numCache>
                <c:formatCode>0.00</c:formatCode>
                <c:ptCount val="4"/>
                <c:pt idx="0">
                  <c:v>13.470229121885112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2024064"/>
        <c:axId val="332042240"/>
      </c:barChart>
      <c:catAx>
        <c:axId val="33202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2042240"/>
        <c:crosses val="autoZero"/>
        <c:auto val="1"/>
        <c:lblAlgn val="ctr"/>
        <c:lblOffset val="100"/>
        <c:noMultiLvlLbl val="0"/>
      </c:catAx>
      <c:valAx>
        <c:axId val="33204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024064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[InputData.xlsx]Moy par année!Tableau croisé dynamique2</c:name>
    <c:fmtId val="1"/>
  </c:pivotSource>
  <c:chart>
    <c:autoTitleDeleted val="0"/>
    <c:pivotFmts>
      <c:pivotFmt>
        <c:idx val="0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2.3786501687289088E-2"/>
          <c:y val="4.7437860590006896E-2"/>
          <c:w val="0.80707529058867644"/>
          <c:h val="0.90512427881998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'Moy par année'!$B$1</c:f>
              <c:strCache>
                <c:ptCount val="1"/>
                <c:pt idx="0">
                  <c:v>Min de Min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 par année'!$A$2:$A$7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'Moy par année'!$B$2:$B$7</c:f>
              <c:numCache>
                <c:formatCode>General</c:formatCode>
                <c:ptCount val="5"/>
                <c:pt idx="1">
                  <c:v>-4.8</c:v>
                </c:pt>
                <c:pt idx="2">
                  <c:v>-3.9</c:v>
                </c:pt>
                <c:pt idx="4">
                  <c:v>7.3</c:v>
                </c:pt>
              </c:numCache>
            </c:numRef>
          </c:val>
        </c:ser>
        <c:ser>
          <c:idx val="1"/>
          <c:order val="1"/>
          <c:tx>
            <c:strRef>
              <c:f>'Moy par année'!$C$1</c:f>
              <c:strCache>
                <c:ptCount val="1"/>
                <c:pt idx="0">
                  <c:v>Max de Max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 par année'!$A$2:$A$7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'Moy par année'!$C$2:$C$7</c:f>
              <c:numCache>
                <c:formatCode>General</c:formatCode>
                <c:ptCount val="5"/>
                <c:pt idx="1">
                  <c:v>13.7</c:v>
                </c:pt>
                <c:pt idx="2">
                  <c:v>17.899999999999999</c:v>
                </c:pt>
                <c:pt idx="4">
                  <c:v>21.3</c:v>
                </c:pt>
              </c:numCache>
            </c:numRef>
          </c:val>
        </c:ser>
        <c:ser>
          <c:idx val="2"/>
          <c:order val="2"/>
          <c:tx>
            <c:strRef>
              <c:f>'Moy par année'!$D$1</c:f>
              <c:strCache>
                <c:ptCount val="1"/>
                <c:pt idx="0">
                  <c:v>Moyenne de Conso HP + HC / jour</c:v>
                </c:pt>
              </c:strCache>
            </c:strRef>
          </c:tx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'Moy par année'!$A$2:$A$7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'Moy par année'!$D$2:$D$7</c:f>
              <c:numCache>
                <c:formatCode>General</c:formatCode>
                <c:ptCount val="5"/>
                <c:pt idx="1">
                  <c:v>52.043288436425527</c:v>
                </c:pt>
                <c:pt idx="2">
                  <c:v>26.417667248412247</c:v>
                </c:pt>
                <c:pt idx="3">
                  <c:v>27.481380160455469</c:v>
                </c:pt>
                <c:pt idx="4">
                  <c:v>28.082561904103684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00295680"/>
        <c:axId val="300297216"/>
      </c:barChart>
      <c:catAx>
        <c:axId val="30029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300297216"/>
        <c:crosses val="autoZero"/>
        <c:auto val="1"/>
        <c:lblAlgn val="ctr"/>
        <c:lblOffset val="100"/>
        <c:noMultiLvlLbl val="0"/>
      </c:catAx>
      <c:valAx>
        <c:axId val="30029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0295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'Suivi Factures'!$H$2</c:f>
              <c:strCache>
                <c:ptCount val="1"/>
                <c:pt idx="0">
                  <c:v>Ecart montant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Factures'!$B$7:$B$13</c:f>
              <c:numCache>
                <c:formatCode>m/d/yyyy</c:formatCode>
                <c:ptCount val="7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</c:numCache>
            </c:numRef>
          </c:cat>
          <c:val>
            <c:numRef>
              <c:f>'Suivi Factures'!$H$7:$H$13</c:f>
              <c:numCache>
                <c:formatCode>0%</c:formatCode>
                <c:ptCount val="7"/>
                <c:pt idx="0">
                  <c:v>-2.1306292192440308E-2</c:v>
                </c:pt>
                <c:pt idx="1">
                  <c:v>-0.25676267180250373</c:v>
                </c:pt>
                <c:pt idx="2">
                  <c:v>-6.1071425304808323E-2</c:v>
                </c:pt>
                <c:pt idx="3">
                  <c:v>4.5301085596204778E-2</c:v>
                </c:pt>
                <c:pt idx="4">
                  <c:v>4.6211228896741417E-2</c:v>
                </c:pt>
                <c:pt idx="5">
                  <c:v>0.19380637870906156</c:v>
                </c:pt>
                <c:pt idx="6">
                  <c:v>0.20623407720900463</c:v>
                </c:pt>
              </c:numCache>
            </c:numRef>
          </c:val>
          <c:smooth val="0"/>
        </c:ser>
        <c:ser>
          <c:idx val="12"/>
          <c:order val="1"/>
          <c:tx>
            <c:strRef>
              <c:f>'Suivi Factures'!$O$2</c:f>
              <c:strCache>
                <c:ptCount val="1"/>
                <c:pt idx="0">
                  <c:v>Ecart conso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Factures'!$B$7:$B$13</c:f>
              <c:numCache>
                <c:formatCode>m/d/yyyy</c:formatCode>
                <c:ptCount val="7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</c:numCache>
            </c:numRef>
          </c:cat>
          <c:val>
            <c:numRef>
              <c:f>'Suivi Factures'!$O$7:$O$13</c:f>
              <c:numCache>
                <c:formatCode>0%</c:formatCode>
                <c:ptCount val="7"/>
                <c:pt idx="0">
                  <c:v>-4.6214099216710186E-2</c:v>
                </c:pt>
                <c:pt idx="1">
                  <c:v>-0.30778816199376946</c:v>
                </c:pt>
                <c:pt idx="2">
                  <c:v>-0.10755526228967338</c:v>
                </c:pt>
                <c:pt idx="3">
                  <c:v>-0.1103202846975089</c:v>
                </c:pt>
                <c:pt idx="4">
                  <c:v>-0.17551755175517553</c:v>
                </c:pt>
                <c:pt idx="5">
                  <c:v>-5.545286506469501E-2</c:v>
                </c:pt>
                <c:pt idx="6">
                  <c:v>-1.4153846153846154E-2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'Suivi Factures'!$S$2</c:f>
              <c:strCache>
                <c:ptCount val="1"/>
                <c:pt idx="0">
                  <c:v>Ecart montant Kwh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Factures'!$B$7:$B$13</c:f>
              <c:numCache>
                <c:formatCode>m/d/yyyy</c:formatCode>
                <c:ptCount val="7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</c:numCache>
            </c:numRef>
          </c:cat>
          <c:val>
            <c:numRef>
              <c:f>'Suivi Factures'!$S$7:$S$13</c:f>
              <c:numCache>
                <c:formatCode>0%</c:formatCode>
                <c:ptCount val="7"/>
                <c:pt idx="0">
                  <c:v>2.6114673118793768E-2</c:v>
                </c:pt>
                <c:pt idx="1">
                  <c:v>7.3713691950478388E-2</c:v>
                </c:pt>
                <c:pt idx="2">
                  <c:v>5.2085955601155656E-2</c:v>
                </c:pt>
                <c:pt idx="3">
                  <c:v>0.17491842021013426</c:v>
                </c:pt>
                <c:pt idx="4">
                  <c:v>0.26893086823611317</c:v>
                </c:pt>
                <c:pt idx="5">
                  <c:v>0.26389285886810632</c:v>
                </c:pt>
                <c:pt idx="6">
                  <c:v>0.22355204460963338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9045504"/>
        <c:axId val="369047040"/>
      </c:lineChart>
      <c:dateAx>
        <c:axId val="369045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9047040"/>
        <c:crosses val="autoZero"/>
        <c:auto val="1"/>
        <c:lblOffset val="100"/>
        <c:baseTimeUnit val="months"/>
      </c:dateAx>
      <c:valAx>
        <c:axId val="3690470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69045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Factures'!$X$2</c:f>
              <c:strCache>
                <c:ptCount val="1"/>
                <c:pt idx="0">
                  <c:v>Projection Kwh 365j
depuis entrée</c:v>
                </c:pt>
              </c:strCache>
            </c:strRef>
          </c:tx>
          <c:marker>
            <c:symbol val="none"/>
          </c:marker>
          <c:cat>
            <c:numRef>
              <c:f>'Suivi Factures'!$B$3:$B$13</c:f>
              <c:numCache>
                <c:formatCode>m/d/yyyy</c:formatCode>
                <c:ptCount val="11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</c:numCache>
            </c:numRef>
          </c:cat>
          <c:val>
            <c:numRef>
              <c:f>'Suivi Factures'!$X$3:$X$13</c:f>
              <c:numCache>
                <c:formatCode>_-* #,##0\ _€_-;\-* #,##0\ _€_-;_-* "-"??\ _€_-;_-@_-</c:formatCode>
                <c:ptCount val="11"/>
                <c:pt idx="0">
                  <c:v>25065.327868852459</c:v>
                </c:pt>
                <c:pt idx="1">
                  <c:v>16725.342857142859</c:v>
                </c:pt>
                <c:pt idx="2">
                  <c:v>11631.655629139073</c:v>
                </c:pt>
                <c:pt idx="3">
                  <c:v>13664.415274463006</c:v>
                </c:pt>
                <c:pt idx="4">
                  <c:v>12834.063636363637</c:v>
                </c:pt>
                <c:pt idx="5">
                  <c:v>11140.671641791045</c:v>
                </c:pt>
                <c:pt idx="6">
                  <c:v>11932.869785082174</c:v>
                </c:pt>
                <c:pt idx="7">
                  <c:v>11714.608599779494</c:v>
                </c:pt>
                <c:pt idx="8">
                  <c:v>10650.621963070944</c:v>
                </c:pt>
                <c:pt idx="9">
                  <c:v>11132.5</c:v>
                </c:pt>
                <c:pt idx="10">
                  <c:v>10993.008641005499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9096576"/>
        <c:axId val="369098112"/>
      </c:lineChart>
      <c:lineChart>
        <c:grouping val="standard"/>
        <c:varyColors val="0"/>
        <c:ser>
          <c:idx val="1"/>
          <c:order val="1"/>
          <c:tx>
            <c:strRef>
              <c:f>'Suivi Factures'!$AB$2</c:f>
              <c:strCache>
                <c:ptCount val="1"/>
                <c:pt idx="0">
                  <c:v>Projection € 365j
depuis entrée</c:v>
                </c:pt>
              </c:strCache>
            </c:strRef>
          </c:tx>
          <c:marker>
            <c:symbol val="none"/>
          </c:marker>
          <c:cat>
            <c:strRef>
              <c:f>'Suivi Factures'!$B$2:$B$13</c:f>
              <c:strCache>
                <c:ptCount val="12"/>
                <c:pt idx="0">
                  <c:v>Date Fin</c:v>
                </c:pt>
                <c:pt idx="1">
                  <c:v>16/02/2021</c:v>
                </c:pt>
                <c:pt idx="2">
                  <c:v>10/06/2021</c:v>
                </c:pt>
                <c:pt idx="3">
                  <c:v>15/10/2021</c:v>
                </c:pt>
                <c:pt idx="4">
                  <c:v>09/02/2022</c:v>
                </c:pt>
                <c:pt idx="5">
                  <c:v>20/06/2022</c:v>
                </c:pt>
                <c:pt idx="6">
                  <c:v>18/10/2022</c:v>
                </c:pt>
                <c:pt idx="7">
                  <c:v>16/02/2023</c:v>
                </c:pt>
                <c:pt idx="8">
                  <c:v>12/06/2023</c:v>
                </c:pt>
                <c:pt idx="9">
                  <c:v>12/10/2023</c:v>
                </c:pt>
                <c:pt idx="10">
                  <c:v>12/02/2024</c:v>
                </c:pt>
                <c:pt idx="11">
                  <c:v>12/06/2024</c:v>
                </c:pt>
              </c:strCache>
            </c:strRef>
          </c:cat>
          <c:val>
            <c:numRef>
              <c:f>'Suivi Factures'!$AB$3:$AB$13</c:f>
              <c:numCache>
                <c:formatCode>_-* #,##0.00\ [$€-40C]_-;\-* #,##0.00\ [$€-40C]_-;_-* "-"??\ [$€-40C]_-;_-@_-</c:formatCode>
                <c:ptCount val="11"/>
                <c:pt idx="0">
                  <c:v>4337.0975409836074</c:v>
                </c:pt>
                <c:pt idx="1">
                  <c:v>2976.2517142857141</c:v>
                </c:pt>
                <c:pt idx="2">
                  <c:v>2138.8274834437088</c:v>
                </c:pt>
                <c:pt idx="3">
                  <c:v>2493.9953460620527</c:v>
                </c:pt>
                <c:pt idx="4">
                  <c:v>2356.0086363636365</c:v>
                </c:pt>
                <c:pt idx="5">
                  <c:v>2072.7914179104478</c:v>
                </c:pt>
                <c:pt idx="6">
                  <c:v>2229.4024652338808</c:v>
                </c:pt>
                <c:pt idx="7">
                  <c:v>2233.3412348401316</c:v>
                </c:pt>
                <c:pt idx="8">
                  <c:v>2063.072934888241</c:v>
                </c:pt>
                <c:pt idx="9">
                  <c:v>2231.0815104166663</c:v>
                </c:pt>
                <c:pt idx="10">
                  <c:v>2267.4470934799683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'Suivi Factures'!$G$2</c:f>
              <c:strCache>
                <c:ptCount val="1"/>
                <c:pt idx="0">
                  <c:v>Montant TTC</c:v>
                </c:pt>
              </c:strCache>
            </c:strRef>
          </c:tx>
          <c:marker>
            <c:symbol val="none"/>
          </c:marker>
          <c:cat>
            <c:strRef>
              <c:f>'Suivi Factures'!$B$2:$B$13</c:f>
              <c:strCache>
                <c:ptCount val="12"/>
                <c:pt idx="0">
                  <c:v>Date Fin</c:v>
                </c:pt>
                <c:pt idx="1">
                  <c:v>16/02/2021</c:v>
                </c:pt>
                <c:pt idx="2">
                  <c:v>10/06/2021</c:v>
                </c:pt>
                <c:pt idx="3">
                  <c:v>15/10/2021</c:v>
                </c:pt>
                <c:pt idx="4">
                  <c:v>09/02/2022</c:v>
                </c:pt>
                <c:pt idx="5">
                  <c:v>20/06/2022</c:v>
                </c:pt>
                <c:pt idx="6">
                  <c:v>18/10/2022</c:v>
                </c:pt>
                <c:pt idx="7">
                  <c:v>16/02/2023</c:v>
                </c:pt>
                <c:pt idx="8">
                  <c:v>12/06/2023</c:v>
                </c:pt>
                <c:pt idx="9">
                  <c:v>12/10/2023</c:v>
                </c:pt>
                <c:pt idx="10">
                  <c:v>12/02/2024</c:v>
                </c:pt>
                <c:pt idx="11">
                  <c:v>12/06/2024</c:v>
                </c:pt>
              </c:strCache>
            </c:strRef>
          </c:cat>
          <c:val>
            <c:numRef>
              <c:f>'Suivi Factures'!$G$3:$G$13</c:f>
              <c:numCache>
                <c:formatCode>_-* #,##0.00\ [$€-40C]_-;\-* #,##0.00\ [$€-40C]_-;_-* "-"??\ [$€-40C]_-;_-@_-</c:formatCode>
                <c:ptCount val="11"/>
                <c:pt idx="0">
                  <c:v>724.83</c:v>
                </c:pt>
                <c:pt idx="1">
                  <c:v>702.14</c:v>
                </c:pt>
                <c:pt idx="2">
                  <c:v>342.69</c:v>
                </c:pt>
                <c:pt idx="3">
                  <c:v>1093.31</c:v>
                </c:pt>
                <c:pt idx="4">
                  <c:v>687.18</c:v>
                </c:pt>
                <c:pt idx="5">
                  <c:v>254.7</c:v>
                </c:pt>
                <c:pt idx="6">
                  <c:v>1026.54</c:v>
                </c:pt>
                <c:pt idx="7">
                  <c:v>718.31</c:v>
                </c:pt>
                <c:pt idx="8">
                  <c:v>266.47000000000003</c:v>
                </c:pt>
                <c:pt idx="9">
                  <c:v>1225.49</c:v>
                </c:pt>
                <c:pt idx="10">
                  <c:v>866.45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8781952"/>
        <c:axId val="368780416"/>
      </c:lineChart>
      <c:dateAx>
        <c:axId val="36909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9098112"/>
        <c:crosses val="autoZero"/>
        <c:auto val="1"/>
        <c:lblOffset val="100"/>
        <c:baseTimeUnit val="months"/>
      </c:dateAx>
      <c:valAx>
        <c:axId val="369098112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369096576"/>
        <c:crosses val="autoZero"/>
        <c:crossBetween val="between"/>
      </c:valAx>
      <c:valAx>
        <c:axId val="368780416"/>
        <c:scaling>
          <c:orientation val="minMax"/>
        </c:scaling>
        <c:delete val="0"/>
        <c:axPos val="r"/>
        <c:numFmt formatCode="_-* #,##0.00\ [$€-40C]_-;\-* #,##0.00\ [$€-40C]_-;_-* &quot;-&quot;??\ [$€-40C]_-;_-@_-" sourceLinked="1"/>
        <c:majorTickMark val="out"/>
        <c:minorTickMark val="none"/>
        <c:tickLblPos val="nextTo"/>
        <c:crossAx val="368781952"/>
        <c:crosses val="max"/>
        <c:crossBetween val="between"/>
      </c:valAx>
      <c:catAx>
        <c:axId val="3687819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878041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Factures'!$R$2</c:f>
              <c:strCache>
                <c:ptCount val="1"/>
                <c:pt idx="0">
                  <c:v>Montant / Kwh</c:v>
                </c:pt>
              </c:strCache>
            </c:strRef>
          </c:tx>
          <c:marker>
            <c:symbol val="none"/>
          </c:marker>
          <c:cat>
            <c:numRef>
              <c:f>'Suivi Factures'!$B$3:$B$13</c:f>
              <c:numCache>
                <c:formatCode>m/d/yyyy</c:formatCode>
                <c:ptCount val="11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</c:numCache>
            </c:numRef>
          </c:cat>
          <c:val>
            <c:numRef>
              <c:f>'Suivi Factures'!$R$3:$R$13</c:f>
              <c:numCache>
                <c:formatCode>_-* #,##0.0000\ [$€-40C]_-;\-* #,##0.0000\ [$€-40C]_-;_-* "-"??\ [$€-40C]_-;_-@_-</c:formatCode>
                <c:ptCount val="11"/>
                <c:pt idx="0">
                  <c:v>0.17303174982095967</c:v>
                </c:pt>
                <c:pt idx="1">
                  <c:v>0.18332637075718014</c:v>
                </c:pt>
                <c:pt idx="2">
                  <c:v>0.21351401869158879</c:v>
                </c:pt>
                <c:pt idx="3">
                  <c:v>0.18035466842626194</c:v>
                </c:pt>
                <c:pt idx="4">
                  <c:v>0.18811387900355869</c:v>
                </c:pt>
                <c:pt idx="5">
                  <c:v>0.22925292529252925</c:v>
                </c:pt>
                <c:pt idx="6">
                  <c:v>0.18974861367837337</c:v>
                </c:pt>
                <c:pt idx="7">
                  <c:v>0.22101846153846152</c:v>
                </c:pt>
                <c:pt idx="8">
                  <c:v>0.29090611353711793</c:v>
                </c:pt>
                <c:pt idx="9">
                  <c:v>0.23982191780821918</c:v>
                </c:pt>
                <c:pt idx="10">
                  <c:v>0.27042759051186022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8819584"/>
        <c:axId val="368825472"/>
      </c:lineChart>
      <c:dateAx>
        <c:axId val="368819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8825472"/>
        <c:crosses val="autoZero"/>
        <c:auto val="1"/>
        <c:lblOffset val="100"/>
        <c:baseTimeUnit val="months"/>
      </c:dateAx>
      <c:valAx>
        <c:axId val="368825472"/>
        <c:scaling>
          <c:orientation val="minMax"/>
        </c:scaling>
        <c:delete val="0"/>
        <c:axPos val="l"/>
        <c:majorGridlines/>
        <c:numFmt formatCode="_-* #,##0.0000\ [$€-40C]_-;\-* #,##0.0000\ [$€-40C]_-;_-* &quot;-&quot;??\ [$€-40C]_-;_-@_-" sourceLinked="1"/>
        <c:majorTickMark val="out"/>
        <c:minorTickMark val="none"/>
        <c:tickLblPos val="nextTo"/>
        <c:crossAx val="368819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Factures'!$W$2</c:f>
              <c:strCache>
                <c:ptCount val="1"/>
                <c:pt idx="0">
                  <c:v>Kwh / jour
depuis entrée</c:v>
                </c:pt>
              </c:strCache>
            </c:strRef>
          </c:tx>
          <c:marker>
            <c:symbol val="none"/>
          </c:marker>
          <c:cat>
            <c:numRef>
              <c:f>'Suivi Factures'!$B$3:$B$13</c:f>
              <c:numCache>
                <c:formatCode>m/d/yyyy</c:formatCode>
                <c:ptCount val="11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</c:numCache>
            </c:numRef>
          </c:cat>
          <c:val>
            <c:numRef>
              <c:f>'Suivi Factures'!$W$3:$W$13</c:f>
              <c:numCache>
                <c:formatCode>_-* #,##0\ _€_-;\-* #,##0\ _€_-;_-* "-"??\ _€_-;_-@_-</c:formatCode>
                <c:ptCount val="11"/>
                <c:pt idx="0">
                  <c:v>68.672131147540981</c:v>
                </c:pt>
                <c:pt idx="1">
                  <c:v>45.822857142857146</c:v>
                </c:pt>
                <c:pt idx="2">
                  <c:v>31.867549668874172</c:v>
                </c:pt>
                <c:pt idx="3">
                  <c:v>37.436754176610975</c:v>
                </c:pt>
                <c:pt idx="4">
                  <c:v>35.161818181818184</c:v>
                </c:pt>
                <c:pt idx="5">
                  <c:v>30.522388059701491</c:v>
                </c:pt>
                <c:pt idx="6">
                  <c:v>32.692793931731984</c:v>
                </c:pt>
                <c:pt idx="7">
                  <c:v>32.094818081587654</c:v>
                </c:pt>
                <c:pt idx="8">
                  <c:v>29.179786200194364</c:v>
                </c:pt>
                <c:pt idx="9">
                  <c:v>30.5</c:v>
                </c:pt>
                <c:pt idx="10">
                  <c:v>30.11783189316575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8863104"/>
        <c:axId val="368864640"/>
      </c:lineChart>
      <c:dateAx>
        <c:axId val="368863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8864640"/>
        <c:crosses val="autoZero"/>
        <c:auto val="1"/>
        <c:lblOffset val="100"/>
        <c:baseTimeUnit val="months"/>
      </c:dateAx>
      <c:valAx>
        <c:axId val="368864640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368863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Factures'!$T$2</c:f>
              <c:strCache>
                <c:ptCount val="1"/>
                <c:pt idx="0">
                  <c:v>Ecart montant Kwh
depuis entrée</c:v>
                </c:pt>
              </c:strCache>
            </c:strRef>
          </c:tx>
          <c:marker>
            <c:symbol val="none"/>
          </c:marker>
          <c:cat>
            <c:numRef>
              <c:f>'Suivi Factures'!$B$3:$B$13</c:f>
              <c:numCache>
                <c:formatCode>m/d/yyyy</c:formatCode>
                <c:ptCount val="11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</c:numCache>
            </c:numRef>
          </c:cat>
          <c:val>
            <c:numRef>
              <c:f>'Suivi Factures'!$T$3:$T$13</c:f>
              <c:numCache>
                <c:formatCode>0%</c:formatCode>
                <c:ptCount val="11"/>
                <c:pt idx="0">
                  <c:v>0</c:v>
                </c:pt>
                <c:pt idx="1">
                  <c:v>5.9495560478770929E-2</c:v>
                </c:pt>
                <c:pt idx="2">
                  <c:v>0.23395861691578071</c:v>
                </c:pt>
                <c:pt idx="3">
                  <c:v>4.2321242274203856E-2</c:v>
                </c:pt>
                <c:pt idx="4">
                  <c:v>8.7163940711487226E-2</c:v>
                </c:pt>
                <c:pt idx="5">
                  <c:v>0.32491826228274895</c:v>
                </c:pt>
                <c:pt idx="6">
                  <c:v>9.6611540221439446E-2</c:v>
                </c:pt>
                <c:pt idx="7">
                  <c:v>0.27732893973016465</c:v>
                </c:pt>
                <c:pt idx="8">
                  <c:v>0.68122968090033098</c:v>
                </c:pt>
                <c:pt idx="9">
                  <c:v>0.38599949463823247</c:v>
                </c:pt>
                <c:pt idx="10">
                  <c:v>0.56287843584589814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8894336"/>
        <c:axId val="368895872"/>
      </c:lineChart>
      <c:dateAx>
        <c:axId val="368894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68895872"/>
        <c:crosses val="autoZero"/>
        <c:auto val="1"/>
        <c:lblOffset val="100"/>
        <c:baseTimeUnit val="months"/>
      </c:dateAx>
      <c:valAx>
        <c:axId val="3688958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68894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0</xdr:row>
      <xdr:rowOff>28574</xdr:rowOff>
    </xdr:from>
    <xdr:to>
      <xdr:col>18</xdr:col>
      <xdr:colOff>533400</xdr:colOff>
      <xdr:row>47</xdr:row>
      <xdr:rowOff>66674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38099</xdr:rowOff>
    </xdr:from>
    <xdr:to>
      <xdr:col>21</xdr:col>
      <xdr:colOff>495299</xdr:colOff>
      <xdr:row>53</xdr:row>
      <xdr:rowOff>133350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38100</xdr:rowOff>
    </xdr:from>
    <xdr:to>
      <xdr:col>21</xdr:col>
      <xdr:colOff>285749</xdr:colOff>
      <xdr:row>53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476250</xdr:colOff>
      <xdr:row>24</xdr:row>
      <xdr:rowOff>73800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24</xdr:row>
      <xdr:rowOff>95250</xdr:rowOff>
    </xdr:from>
    <xdr:to>
      <xdr:col>9</xdr:col>
      <xdr:colOff>485775</xdr:colOff>
      <xdr:row>49</xdr:row>
      <xdr:rowOff>7125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21</xdr:col>
      <xdr:colOff>618000</xdr:colOff>
      <xdr:row>24</xdr:row>
      <xdr:rowOff>73800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24</xdr:row>
      <xdr:rowOff>95250</xdr:rowOff>
    </xdr:from>
    <xdr:to>
      <xdr:col>21</xdr:col>
      <xdr:colOff>627525</xdr:colOff>
      <xdr:row>49</xdr:row>
      <xdr:rowOff>7125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628650</xdr:colOff>
      <xdr:row>20</xdr:row>
      <xdr:rowOff>114300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19050</xdr:rowOff>
    </xdr:from>
    <xdr:to>
      <xdr:col>23</xdr:col>
      <xdr:colOff>485775</xdr:colOff>
      <xdr:row>49</xdr:row>
      <xdr:rowOff>28575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485775</xdr:colOff>
      <xdr:row>45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685799</xdr:colOff>
      <xdr:row>0</xdr:row>
      <xdr:rowOff>28576</xdr:rowOff>
    </xdr:from>
    <xdr:to>
      <xdr:col>33</xdr:col>
      <xdr:colOff>541799</xdr:colOff>
      <xdr:row>17</xdr:row>
      <xdr:rowOff>66675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685799</xdr:colOff>
      <xdr:row>17</xdr:row>
      <xdr:rowOff>133350</xdr:rowOff>
    </xdr:from>
    <xdr:to>
      <xdr:col>33</xdr:col>
      <xdr:colOff>541799</xdr:colOff>
      <xdr:row>36</xdr:row>
      <xdr:rowOff>38100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685800</xdr:colOff>
      <xdr:row>36</xdr:row>
      <xdr:rowOff>66675</xdr:rowOff>
    </xdr:from>
    <xdr:to>
      <xdr:col>33</xdr:col>
      <xdr:colOff>541800</xdr:colOff>
      <xdr:row>104</xdr:row>
      <xdr:rowOff>142874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600075</xdr:colOff>
      <xdr:row>0</xdr:row>
      <xdr:rowOff>28575</xdr:rowOff>
    </xdr:from>
    <xdr:to>
      <xdr:col>44</xdr:col>
      <xdr:colOff>19050</xdr:colOff>
      <xdr:row>56</xdr:row>
      <xdr:rowOff>28575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38099</xdr:rowOff>
    </xdr:from>
    <xdr:to>
      <xdr:col>16</xdr:col>
      <xdr:colOff>552450</xdr:colOff>
      <xdr:row>52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</xdr:colOff>
      <xdr:row>0</xdr:row>
      <xdr:rowOff>19049</xdr:rowOff>
    </xdr:from>
    <xdr:to>
      <xdr:col>17</xdr:col>
      <xdr:colOff>428624</xdr:colOff>
      <xdr:row>41</xdr:row>
      <xdr:rowOff>19049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57149</xdr:rowOff>
    </xdr:from>
    <xdr:to>
      <xdr:col>24</xdr:col>
      <xdr:colOff>400050</xdr:colOff>
      <xdr:row>56</xdr:row>
      <xdr:rowOff>123825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38099</xdr:rowOff>
    </xdr:from>
    <xdr:to>
      <xdr:col>19</xdr:col>
      <xdr:colOff>552449</xdr:colOff>
      <xdr:row>53</xdr:row>
      <xdr:rowOff>133349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0</xdr:rowOff>
    </xdr:from>
    <xdr:to>
      <xdr:col>20</xdr:col>
      <xdr:colOff>761999</xdr:colOff>
      <xdr:row>49</xdr:row>
      <xdr:rowOff>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38099</xdr:rowOff>
    </xdr:from>
    <xdr:to>
      <xdr:col>20</xdr:col>
      <xdr:colOff>552450</xdr:colOff>
      <xdr:row>52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38099</xdr:rowOff>
    </xdr:from>
    <xdr:to>
      <xdr:col>20</xdr:col>
      <xdr:colOff>552450</xdr:colOff>
      <xdr:row>52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695325</xdr:colOff>
      <xdr:row>0</xdr:row>
      <xdr:rowOff>0</xdr:rowOff>
    </xdr:from>
    <xdr:to>
      <xdr:col>21</xdr:col>
      <xdr:colOff>0</xdr:colOff>
      <xdr:row>36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26</xdr:row>
      <xdr:rowOff>57149</xdr:rowOff>
    </xdr:from>
    <xdr:to>
      <xdr:col>9</xdr:col>
      <xdr:colOff>323850</xdr:colOff>
      <xdr:row>52</xdr:row>
      <xdr:rowOff>47624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490536</xdr:colOff>
      <xdr:row>26</xdr:row>
      <xdr:rowOff>38105</xdr:rowOff>
    </xdr:from>
    <xdr:to>
      <xdr:col>21</xdr:col>
      <xdr:colOff>95250</xdr:colOff>
      <xdr:row>52</xdr:row>
      <xdr:rowOff>28575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71437</xdr:colOff>
      <xdr:row>52</xdr:row>
      <xdr:rowOff>85731</xdr:rowOff>
    </xdr:from>
    <xdr:to>
      <xdr:col>9</xdr:col>
      <xdr:colOff>323850</xdr:colOff>
      <xdr:row>79</xdr:row>
      <xdr:rowOff>38100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376237</xdr:colOff>
      <xdr:row>52</xdr:row>
      <xdr:rowOff>76205</xdr:rowOff>
    </xdr:from>
    <xdr:to>
      <xdr:col>15</xdr:col>
      <xdr:colOff>19050</xdr:colOff>
      <xdr:row>79</xdr:row>
      <xdr:rowOff>47625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80962</xdr:colOff>
      <xdr:row>52</xdr:row>
      <xdr:rowOff>76205</xdr:rowOff>
    </xdr:from>
    <xdr:to>
      <xdr:col>21</xdr:col>
      <xdr:colOff>123825</xdr:colOff>
      <xdr:row>79</xdr:row>
      <xdr:rowOff>38099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0%20-%20Gestion/Maisons/01%20-%20Achat%2030%20bis%20route%20de%20Niort/Electricit&#233;%20-%20Relev&#233;s%20-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ivi Conso"/>
      <sheetName val="T° et conso par heure"/>
      <sheetName val="Moyenne par mois"/>
      <sheetName val="Moyenne par année mois"/>
      <sheetName val="Courbes"/>
      <sheetName val="Suivi Conso New"/>
      <sheetName val="MinMax HpHc cumul"/>
      <sheetName val="MinMax HpHc instantannées"/>
      <sheetName val="MinMax HpHc par heure instanta"/>
      <sheetName val="Cumul par année"/>
      <sheetName val="Moy par jour de la semaine - Ne"/>
      <sheetName val="Moy par jour de la semaine"/>
      <sheetName val="Moy par jour année mois - New"/>
      <sheetName val="Moy par jour année mois"/>
      <sheetName val="Moy par année mois - New"/>
      <sheetName val="Moy par année mois"/>
      <sheetName val="Moy par mois"/>
      <sheetName val="Moy par année - New"/>
      <sheetName val="Moy par année"/>
      <sheetName val="Ecart annuel"/>
      <sheetName val="Ecart annuel 2"/>
      <sheetName val="Suivi Fact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rtrand" refreshedDate="45506.392496643515" createdVersion="4" refreshedVersion="4" minRefreshableVersion="3" recordCount="720">
  <cacheSource type="worksheet">
    <worksheetSource name="Tableau1"/>
  </cacheSource>
  <cacheFields count="46">
    <cacheField name="Date" numFmtId="165">
      <sharedItems containsSemiMixedTypes="0" containsNonDate="0" containsDate="1" containsString="0" minDate="2020-12-17T17:00:00" maxDate="2023-09-11T07:35:00" count="719">
        <d v="2020-12-17T17:00:00"/>
        <d v="2021-01-24T19:00:00"/>
        <d v="2021-01-25T08:23:00"/>
        <d v="2021-01-25T13:20:00"/>
        <d v="2021-01-25T19:20:00"/>
        <d v="2021-01-26T06:44:00"/>
        <d v="2021-01-26T13:29:00"/>
        <d v="2021-01-26T19:36:00"/>
        <d v="2021-01-27T06:30:00"/>
        <d v="2021-01-27T13:13:00"/>
        <d v="2021-01-27T20:01:00"/>
        <d v="2021-01-28T06:53:00"/>
        <d v="2021-01-28T13:25:00"/>
        <d v="2021-01-28T19:12:00"/>
        <d v="2021-01-29T06:52:00"/>
        <d v="2021-01-29T13:33:00"/>
        <d v="2021-01-29T21:07:00"/>
        <d v="2021-01-30T06:35:00"/>
        <d v="2021-01-30T15:22:00"/>
        <d v="2021-01-31T08:17:00"/>
        <d v="2021-01-31T10:56:00"/>
        <d v="2021-01-31T20:34:00"/>
        <d v="2021-02-01T07:40:00"/>
        <d v="2021-02-01T13:23:00"/>
        <d v="2021-02-01T20:20:00"/>
        <d v="2021-02-02T06:58:00"/>
        <d v="2021-02-02T13:38:00"/>
        <d v="2021-02-02T23:28:00"/>
        <d v="2021-02-03T13:29:00"/>
        <d v="2021-02-03T22:37:00"/>
        <d v="2021-02-04T08:26:00"/>
        <d v="2021-02-04T17:39:00"/>
        <d v="2021-02-05T08:49:00"/>
        <d v="2021-02-05T18:22:00"/>
        <d v="2021-02-06T09:00:00"/>
        <d v="2021-02-06T14:23:00"/>
        <d v="2021-02-07T06:58:00"/>
        <d v="2021-02-07T11:14:00"/>
        <d v="2021-02-08T07:38:00"/>
        <d v="2021-02-08T13:38:00"/>
        <d v="2021-02-08T20:43:00"/>
        <d v="2021-02-09T06:30:00"/>
        <d v="2021-02-09T13:26:00"/>
        <d v="2021-02-10T07:05:00"/>
        <d v="2021-02-10T13:28:00"/>
        <d v="2021-02-11T07:37:00"/>
        <d v="2021-02-11T13:29:00"/>
        <d v="2021-02-12T07:19:00"/>
        <d v="2021-02-13T08:22:00"/>
        <d v="2021-02-13T17:12:00"/>
        <d v="2021-02-14T08:33:00"/>
        <d v="2021-02-14T17:59:00"/>
        <d v="2021-02-15T06:37:00"/>
        <d v="2021-02-15T13:44:00"/>
        <d v="2021-02-16T07:28:00"/>
        <d v="2021-02-16T20:25:00"/>
        <d v="2021-02-17T06:59:00"/>
        <d v="2021-02-17T13:57:00"/>
        <d v="2021-02-17T20:43:00"/>
        <d v="2021-02-18T07:24:00"/>
        <d v="2021-02-18T15:37:00"/>
        <d v="2021-02-19T07:33:00"/>
        <d v="2021-02-19T13:35:00"/>
        <d v="2021-02-19T16:10:00"/>
        <d v="2021-02-19T17:45:00"/>
        <d v="2021-02-20T08:29:00"/>
        <d v="2021-02-20T13:37:00"/>
        <d v="2021-02-21T17:40:00"/>
        <d v="2021-02-22T08:22:00"/>
        <d v="2021-02-22T13:20:00"/>
        <d v="2021-02-22T23:04:00"/>
        <d v="2021-02-23T06:30:00"/>
        <d v="2021-02-23T13:21:00"/>
        <d v="2021-02-23T23:06:00"/>
        <d v="2021-02-24T06:54:00"/>
        <d v="2021-02-24T13:51:00"/>
        <d v="2021-02-24T22:32:00"/>
        <d v="2021-02-25T06:11:00"/>
        <d v="2021-02-25T16:19:00"/>
        <d v="2021-02-25T22:56:00"/>
        <d v="2021-02-26T06:43:00"/>
        <d v="2021-02-26T13:59:00"/>
        <d v="2021-02-27T08:40:00"/>
        <d v="2021-02-27T13:48:00"/>
        <d v="2021-02-28T08:05:00"/>
        <d v="2021-02-28T23:35:00"/>
        <d v="2021-03-01T07:19:00"/>
        <d v="2021-03-01T13:49:00"/>
        <d v="2021-03-01T23:25:00"/>
        <d v="2021-03-02T07:22:00"/>
        <d v="2021-03-02T14:55:00"/>
        <d v="2021-03-02T22:42:00"/>
        <d v="2021-03-03T07:02:00"/>
        <d v="2021-03-03T14:11:00"/>
        <d v="2021-03-04T06:56:00"/>
        <d v="2021-03-04T13:37:00"/>
        <d v="2021-03-04T22:56:00"/>
        <d v="2021-03-05T07:07:00"/>
        <d v="2021-03-06T07:45:00"/>
        <d v="2021-03-06T15:53:00"/>
        <d v="2021-03-07T07:32:00"/>
        <d v="2021-03-08T06:53:00"/>
        <d v="2021-03-08T13:57:00"/>
        <d v="2021-03-09T07:23:00"/>
        <d v="2021-03-09T13:46:00"/>
        <d v="2021-03-10T07:37:00"/>
        <d v="2021-03-10T13:56:00"/>
        <d v="2021-03-11T07:24:00"/>
        <d v="2021-03-11T13:38:00"/>
        <d v="2021-03-12T07:26:00"/>
        <d v="2021-03-12T13:32:00"/>
        <d v="2021-03-13T08:23:00"/>
        <d v="2021-03-14T08:05:00"/>
        <d v="2021-03-14T14:14:00"/>
        <d v="2021-03-15T07:57:00"/>
        <d v="2021-03-15T13:31:00"/>
        <d v="2021-03-16T08:48:00"/>
        <d v="2021-03-16T14:12:00"/>
        <d v="2021-03-16T16:19:00"/>
        <d v="2021-03-17T06:57:00"/>
        <d v="2021-03-18T07:21:00"/>
        <d v="2021-03-18T13:24:00"/>
        <d v="2021-03-19T07:07:00"/>
        <d v="2021-03-20T08:59:00"/>
        <d v="2021-03-21T08:44:00"/>
        <d v="2021-03-22T07:22:00"/>
        <d v="2021-03-22T13:43:00"/>
        <d v="2021-03-23T08:56:00"/>
        <d v="2021-03-24T13:59:00"/>
        <d v="2021-03-25T08:47:00"/>
        <d v="2021-03-26T09:03:00"/>
        <d v="2021-03-26T13:59:00"/>
        <d v="2021-03-27T10:58:00"/>
        <d v="2021-03-28T10:31:00"/>
        <d v="2021-03-29T09:30:00"/>
        <d v="2021-03-30T08:41:00"/>
        <d v="2021-03-31T08:27:00"/>
        <d v="2021-04-01T09:00:00"/>
        <d v="2021-04-02T13:44:00"/>
        <d v="2021-04-03T08:31:00"/>
        <d v="2021-04-04T10:18:00"/>
        <d v="2021-04-05T09:39:00"/>
        <d v="2021-04-06T07:30:00"/>
        <d v="2021-04-06T13:50:00"/>
        <d v="2021-04-07T09:05:00"/>
        <d v="2021-04-08T09:29:00"/>
        <d v="2021-04-09T08:53:00"/>
        <d v="2021-04-11T08:32:00"/>
        <d v="2021-04-12T07:29:00"/>
        <d v="2021-04-13T08:00:00"/>
        <d v="2021-04-13T12:34:00"/>
        <d v="2021-04-13T13:42:00"/>
        <d v="2021-04-13T16:01:00"/>
        <d v="2021-04-13T19:03:00"/>
        <d v="2021-04-15T19:04:00"/>
        <d v="2021-04-16T08:54:00"/>
        <d v="2021-04-20T09:07:00"/>
        <d v="2021-04-24T07:51:00"/>
        <d v="2021-04-25T06:36:00"/>
        <d v="2021-04-26T07:42:00"/>
        <d v="2021-04-28T19:29:00"/>
        <d v="2021-05-03T08:53:00"/>
        <d v="2021-05-04T07:11:00"/>
        <d v="2021-05-06T21:51:00"/>
        <d v="2021-06-15T06:33:00"/>
        <d v="2021-07-03T16:15:00"/>
        <d v="2021-09-12T17:57:00"/>
        <d v="2021-09-30T05:59:00"/>
        <d v="2021-10-15T12:00:00"/>
        <d v="2021-11-02T18:23:00"/>
        <d v="2021-11-11T11:55:00"/>
        <d v="2021-11-20T11:05:00"/>
        <d v="2021-11-28T12:26:00"/>
        <d v="2021-12-07T21:09:00"/>
        <d v="2021-12-19T12:07:00"/>
        <d v="2021-12-20T17:20:00"/>
        <d v="2021-12-22T17:23:00"/>
        <d v="2021-12-24T15:48:00"/>
        <d v="2021-12-26T19:17:00"/>
        <d v="2022-01-17T18:58:00"/>
        <d v="2022-01-19T07:30:00"/>
        <d v="2022-01-20T07:22:00"/>
        <d v="2022-01-21T07:49:00"/>
        <d v="2022-01-22T08:08:00"/>
        <d v="2022-01-23T08:14:00"/>
        <d v="2022-01-24T07:58:00"/>
        <d v="2022-01-25T07:41:00"/>
        <d v="2022-01-26T07:45:00"/>
        <d v="2022-01-27T07:22:00"/>
        <d v="2022-01-28T08:31:00"/>
        <d v="2022-01-29T07:36:00"/>
        <d v="2022-01-30T08:52:00"/>
        <d v="2022-01-31T07:27:00"/>
        <d v="2022-02-01T07:24:00"/>
        <d v="2022-02-02T07:52:00"/>
        <d v="2022-02-03T08:20:00"/>
        <d v="2022-02-04T08:23:00"/>
        <d v="2022-02-05T08:47:00"/>
        <d v="2022-02-06T10:22:00"/>
        <d v="2022-02-07T07:40:00"/>
        <d v="2022-02-08T07:28:00"/>
        <d v="2022-02-09T08:33:00"/>
        <d v="2022-02-10T08:36:00"/>
        <d v="2022-02-11T08:17:00"/>
        <d v="2022-02-12T07:22:00"/>
        <d v="2022-02-14T07:37:00"/>
        <d v="2022-02-15T07:19:00"/>
        <d v="2022-02-16T07:48:00"/>
        <d v="2022-02-17T08:52:00"/>
        <d v="2022-02-20T12:02:00"/>
        <d v="2022-02-21T08:22:00"/>
        <d v="2022-02-22T09:33:00"/>
        <d v="2022-02-24T08:35:00"/>
        <d v="2022-02-25T09:55:00"/>
        <d v="2022-02-28T07:35:00"/>
        <d v="2022-03-01T07:32:00"/>
        <d v="2022-03-02T08:30:00"/>
        <d v="2022-03-03T08:27:00"/>
        <d v="2022-03-04T08:25:00"/>
        <d v="2022-03-05T08:28:00"/>
        <d v="2022-03-07T07:46:00"/>
        <d v="2022-03-08T07:39:00"/>
        <d v="2022-03-09T07:51:00"/>
        <d v="2022-03-10T08:25:00"/>
        <d v="2022-03-11T09:03:00"/>
        <d v="2022-03-12T07:38:00"/>
        <d v="2022-03-13T09:36:00"/>
        <d v="2022-03-14T07:49:00"/>
        <d v="2022-03-15T07:36:00"/>
        <d v="2022-03-16T07:40:00"/>
        <d v="2022-03-17T10:24:00"/>
        <d v="2022-03-18T08:23:00"/>
        <d v="2022-03-19T07:55:00"/>
        <d v="2022-03-20T09:13:00"/>
        <d v="2022-03-21T07:53:00"/>
        <d v="2022-03-22T07:21:00"/>
        <d v="2022-03-23T08:56:00"/>
        <d v="2022-03-24T07:45:00"/>
        <d v="2022-03-25T08:15:00"/>
        <d v="2022-03-26T07:27:00"/>
        <d v="2022-03-27T09:58:00"/>
        <d v="2022-03-28T07:56:00"/>
        <d v="2022-03-29T07:23:00"/>
        <d v="2022-03-30T07:15:00"/>
        <d v="2022-03-31T08:30:00"/>
        <d v="2022-04-01T07:40:00"/>
        <d v="2022-04-02T08:06:00"/>
        <d v="2022-04-04T07:53:00"/>
        <d v="2022-04-05T07:28:00"/>
        <d v="2022-04-06T07:48:00"/>
        <d v="2022-04-07T08:01:00"/>
        <d v="2022-04-08T08:25:00"/>
        <d v="2022-04-09T08:33:00"/>
        <d v="2022-04-10T07:39:00"/>
        <d v="2022-04-11T07:46:00"/>
        <d v="2022-04-12T07:38:00"/>
        <d v="2022-04-13T07:36:00"/>
        <d v="2022-04-14T08:13:00"/>
        <d v="2022-04-15T09:14:00"/>
        <d v="2022-04-16T07:34:00"/>
        <d v="2022-04-17T08:21:00"/>
        <d v="2022-04-19T07:44:00"/>
        <d v="2022-04-20T07:25:00"/>
        <d v="2022-04-21T07:33:00"/>
        <d v="2022-04-22T08:20:00"/>
        <d v="2022-04-23T11:04:00"/>
        <d v="2022-04-24T08:33:00"/>
        <d v="2022-04-26T08:35:00"/>
        <d v="2022-04-27T09:20:00"/>
        <d v="2022-04-28T07:32:00"/>
        <d v="2022-04-29T08:04:00"/>
        <d v="2022-04-30T08:38:00"/>
        <d v="2022-05-01T08:05:00"/>
        <d v="2022-05-02T07:38:00"/>
        <d v="2022-05-03T07:28:00"/>
        <d v="2022-05-04T08:12:00"/>
        <d v="2022-05-05T07:22:00"/>
        <d v="2022-05-06T07:45:00"/>
        <d v="2022-05-07T08:26:00"/>
        <d v="2022-05-08T11:36:00"/>
        <d v="2022-05-09T07:45:00"/>
        <d v="2022-05-10T07:30:00"/>
        <d v="2022-05-11T08:39:00"/>
        <d v="2022-05-12T07:15:00"/>
        <d v="2022-05-13T08:22:00"/>
        <d v="2022-05-14T08:03:00"/>
        <d v="2022-05-15T08:59:00"/>
        <d v="2022-05-16T07:33:00"/>
        <d v="2022-05-17T07:31:00"/>
        <d v="2022-05-18T08:28:00"/>
        <d v="2022-05-19T07:22:00"/>
        <d v="2022-05-20T08:16:00"/>
        <d v="2022-05-21T06:50:00"/>
        <d v="2022-05-23T07:43:00"/>
        <d v="2022-05-24T07:41:00"/>
        <d v="2022-05-25T08:20:00"/>
        <d v="2022-05-26T09:22:00"/>
        <d v="2022-05-27T08:06:00"/>
        <d v="2022-05-28T07:21:00"/>
        <d v="2022-05-29T08:34:00"/>
        <d v="2022-05-30T07:42:00"/>
        <d v="2022-05-31T07:45:00"/>
        <d v="2022-06-01T07:45:00"/>
        <d v="2022-06-02T07:18:00"/>
        <d v="2022-06-03T07:25:00"/>
        <d v="2022-06-04T08:20:00"/>
        <d v="2022-06-05T08:20:00"/>
        <d v="2022-06-07T07:38:00"/>
        <d v="2022-06-08T08:45:00"/>
        <d v="2022-06-09T07:40:00"/>
        <d v="2022-06-10T08:01:00"/>
        <d v="2022-06-11T07:42:00"/>
        <d v="2022-06-12T08:29:00"/>
        <d v="2022-06-13T08:03:00"/>
        <d v="2022-06-14T07:43:00"/>
        <d v="2022-06-15T07:07:00"/>
        <d v="2022-06-16T07:44:00"/>
        <d v="2022-06-17T07:34:00"/>
        <d v="2022-06-18T08:39:00"/>
        <d v="2022-06-19T09:01:00"/>
        <d v="2022-06-20T07:32:00"/>
        <d v="2022-06-21T07:23:00"/>
        <d v="2022-06-22T07:29:00"/>
        <d v="2022-06-23T07:31:00"/>
        <d v="2022-06-24T07:44:00"/>
        <d v="2022-06-25T09:21:00"/>
        <d v="2022-06-26T09:48:00"/>
        <d v="2022-06-27T07:42:00"/>
        <d v="2022-06-28T07:31:00"/>
        <d v="2022-06-29T08:25:00"/>
        <d v="2022-06-30T07:46:00"/>
        <d v="2022-07-01T08:04:00"/>
        <d v="2022-07-03T09:14:00"/>
        <d v="2022-07-04T07:39:00"/>
        <d v="2022-07-05T07:11:00"/>
        <d v="2022-07-06T08:13:00"/>
        <d v="2022-07-07T07:33:00"/>
        <d v="2022-07-08T08:14:00"/>
        <d v="2022-07-09T10:56:00"/>
        <d v="2022-07-10T11:10:00"/>
        <d v="2022-07-11T07:33:00"/>
        <d v="2022-07-12T07:41:00"/>
        <d v="2022-07-13T07:29:00"/>
        <d v="2022-07-14T08:20:00"/>
        <d v="2022-07-15T07:38:00"/>
        <d v="2022-07-16T10:13:00"/>
        <d v="2022-07-17T11:02:00"/>
        <d v="2022-07-18T09:02:00"/>
        <d v="2022-07-19T08:47:00"/>
        <d v="2022-07-20T07:51:00"/>
        <d v="2022-07-21T08:20:00"/>
        <d v="2022-07-22T07:55:00"/>
        <d v="2022-07-23T03:28:00"/>
        <d v="2022-08-06T06:40:00"/>
        <d v="2022-08-07T08:11:00"/>
        <d v="2022-08-08T07:58:00"/>
        <d v="2022-08-09T07:38:00"/>
        <d v="2022-08-10T08:19:00"/>
        <d v="2022-08-11T08:18:00"/>
        <d v="2022-08-12T08:26:00"/>
        <d v="2022-08-13T08:04:00"/>
        <d v="2022-08-16T07:38:00"/>
        <d v="2022-08-17T08:34:00"/>
        <d v="2022-08-18T07:36:00"/>
        <d v="2022-08-19T07:22:00"/>
        <d v="2022-08-20T07:26:00"/>
        <d v="2022-08-22T07:41:00"/>
        <d v="2022-08-23T07:21:00"/>
        <d v="2022-08-24T07:27:00"/>
        <d v="2022-08-25T07:36:00"/>
        <d v="2022-08-26T07:43:00"/>
        <d v="2022-08-27T07:22:00"/>
        <d v="2022-08-29T07:42:00"/>
        <d v="2022-08-30T07:30:00"/>
        <d v="2022-08-31T08:38:00"/>
        <d v="2022-09-01T08:52:00"/>
        <d v="2022-09-02T07:26:00"/>
        <d v="2022-09-03T08:03:00"/>
        <d v="2022-09-04T10:53:00"/>
        <d v="2022-09-05T07:41:00"/>
        <d v="2022-09-06T07:31:00"/>
        <d v="2022-09-07T08:42:00"/>
        <d v="2022-09-08T08:06:00"/>
        <d v="2022-09-09T08:15:00"/>
        <d v="2022-09-10T08:18:00"/>
        <d v="2022-09-11T09:47:00"/>
        <d v="2022-09-12T07:32:00"/>
        <d v="2022-09-13T07:40:00"/>
        <d v="2022-09-15T08:33:00"/>
        <d v="2022-09-16T07:36:00"/>
        <d v="2022-09-17T09:06:00"/>
        <d v="2022-09-18T08:38:00"/>
        <d v="2022-09-19T07:42:00"/>
        <d v="2022-09-20T07:22:00"/>
        <d v="2022-09-21T07:29:00"/>
        <d v="2022-09-22T07:37:00"/>
        <d v="2022-09-23T08:11:00"/>
        <d v="2022-09-24T08:14:00"/>
        <d v="2022-09-26T07:40:00"/>
        <d v="2022-09-27T07:46:00"/>
        <d v="2022-09-28T09:12:00"/>
        <d v="2022-09-29T08:10:00"/>
        <d v="2022-09-30T08:20:00"/>
        <d v="2022-10-01T10:12:00"/>
        <d v="2022-10-03T07:44:00"/>
        <d v="2022-10-04T07:33:00"/>
        <d v="2022-10-05T08:20:00"/>
        <d v="2022-10-06T07:33:00"/>
        <d v="2022-10-07T08:22:00"/>
        <d v="2022-10-08T08:58:00"/>
        <d v="2022-10-09T11:06:00"/>
        <d v="2022-10-10T07:37:00"/>
        <d v="2022-10-11T07:28:00"/>
        <d v="2022-10-12T08:45:00"/>
        <d v="2022-10-13T07:12:00"/>
        <d v="2022-10-14T07:26:00"/>
        <d v="2022-10-15T13:10:00"/>
        <d v="2022-10-16T09:28:00"/>
        <d v="2022-10-17T07:23:00"/>
        <d v="2022-10-18T07:34:00"/>
        <d v="2022-10-19T09:24:00"/>
        <d v="2022-10-20T07:23:00"/>
        <d v="2022-10-21T08:08:00"/>
        <d v="2022-10-22T08:07:00"/>
        <d v="2022-10-23T10:48:00"/>
        <d v="2022-10-24T07:34:00"/>
        <d v="2022-10-25T07:35:00"/>
        <d v="2022-10-26T08:43:00"/>
        <d v="2022-10-27T07:36:00"/>
        <d v="2022-10-28T08:22:00"/>
        <d v="2022-10-29T08:05:00"/>
        <d v="2022-11-01T08:14:00"/>
        <d v="2022-11-02T08:18:00"/>
        <d v="2022-11-03T09:18:00"/>
        <d v="2022-11-04T08:54:00"/>
        <d v="2022-11-05T07:29:00"/>
        <d v="2022-11-06T10:34:00"/>
        <d v="2022-11-07T07:43:00"/>
        <d v="2022-11-08T07:41:00"/>
        <d v="2022-11-09T09:20:00"/>
        <d v="2022-11-10T07:24:00"/>
        <d v="2022-11-11T08:42:00"/>
        <d v="2022-11-12T08:38:00"/>
        <d v="2022-11-13T09:06:00"/>
        <d v="2022-11-14T07:40:00"/>
        <d v="2022-11-16T07:41:00"/>
        <d v="2022-11-17T07:11:00"/>
        <d v="2022-11-18T07:52:00"/>
        <d v="2022-11-19T09:37:00"/>
        <d v="2022-11-20T09:39:00"/>
        <d v="2022-11-21T07:21:00"/>
        <d v="2022-11-22T07:43:00"/>
        <d v="2022-11-23T07:42:00"/>
        <d v="2022-11-24T08:39:00"/>
        <d v="2022-11-25T08:19:00"/>
        <d v="2022-11-26T08:29:00"/>
        <d v="2022-11-27T09:16:00"/>
        <d v="2022-11-28T07:50:00"/>
        <d v="2022-11-29T07:34:00"/>
        <d v="2022-11-30T07:34:00"/>
        <d v="2022-12-01T07:40:00"/>
        <d v="2022-12-02T07:41:00"/>
        <d v="2022-12-03T09:26:00"/>
        <d v="2022-12-05T07:42:00"/>
        <d v="2022-12-06T08:29:00"/>
        <d v="2022-12-07T06:57:00"/>
        <d v="2022-12-08T07:23:00"/>
        <d v="2022-12-10T08:45:00"/>
        <d v="2022-12-11T11:16:00"/>
        <d v="2022-12-12T07:34:00"/>
        <d v="2022-12-13T07:30:00"/>
        <d v="2022-12-14T07:43:00"/>
        <d v="2022-12-15T08:11:00"/>
        <d v="2022-12-16T08:06:00"/>
        <d v="2022-12-17T10:39:00"/>
        <d v="2022-12-18T10:22:00"/>
        <d v="2022-12-19T09:57:00"/>
        <d v="2022-12-22T09:39:00"/>
        <d v="2022-12-23T07:17:00"/>
        <d v="2022-12-24T09:24:00"/>
        <d v="2022-12-26T07:43:00"/>
        <d v="2022-12-27T07:42:00"/>
        <d v="2022-12-28T07:55:00"/>
        <d v="2022-12-29T07:56:00"/>
        <d v="2022-12-30T07:43:00"/>
        <d v="2022-12-31T09:05:00"/>
        <d v="2023-01-01T14:34:00"/>
        <d v="2023-01-02T07:49:00"/>
        <d v="2023-01-03T07:38:00"/>
        <d v="2023-01-04T07:39:00"/>
        <d v="2023-01-05T08:12:00"/>
        <d v="2023-01-06T07:58:00"/>
        <d v="2023-01-07T08:46:00"/>
        <d v="2023-01-08T09:24:00"/>
        <d v="2023-01-09T08:02:00"/>
        <d v="2023-01-10T07:22:00"/>
        <d v="2023-01-11T09:03:00"/>
        <d v="2023-01-12T09:32:00"/>
        <d v="2023-01-13T08:28:00"/>
        <d v="2023-01-14T08:49:00"/>
        <d v="2023-01-15T18:28:00"/>
        <d v="2023-01-16T07:59:00"/>
        <d v="2023-01-17T07:40:00"/>
        <d v="2023-01-18T07:40:00"/>
        <d v="2023-01-19T10:53:00"/>
        <d v="2023-01-20T09:10:00"/>
        <d v="2023-01-21T09:34:00"/>
        <d v="2023-01-23T07:36:00"/>
        <d v="2023-01-24T07:55:00"/>
        <d v="2023-01-25T08:22:00"/>
        <d v="2023-01-26T07:53:00"/>
        <d v="2023-01-27T07:29:00"/>
        <d v="2023-01-28T08:04:00"/>
        <d v="2023-01-29T11:03:00"/>
        <d v="2023-01-30T07:36:00"/>
        <d v="2023-01-31T07:48:00"/>
        <d v="2023-02-01T11:23:00"/>
        <d v="2023-02-02T08:01:00"/>
        <d v="2023-02-03T08:15:00"/>
        <d v="2023-02-04T08:47:00"/>
        <d v="2023-02-05T10:27:00"/>
        <d v="2023-02-06T07:41:00"/>
        <d v="2023-02-07T07:32:00"/>
        <d v="2023-02-08T08:58:00"/>
        <d v="2023-02-09T08:54:00"/>
        <d v="2023-02-10T08:45:00"/>
        <d v="2023-02-11T08:40:00"/>
        <d v="2023-02-12T09:43:00"/>
        <d v="2023-02-13T07:35:00"/>
        <d v="2023-02-14T07:43:00"/>
        <d v="2023-02-15T07:24:00"/>
        <d v="2023-02-16T10:06:00"/>
        <d v="2023-02-17T09:02:00"/>
        <d v="2023-02-18T08:13:00"/>
        <d v="2023-02-19T09:01:00"/>
        <d v="2023-02-20T08:11:00"/>
        <d v="2023-02-21T08:09:00"/>
        <d v="2023-02-22T08:02:00"/>
        <d v="2023-02-23T07:45:00"/>
        <d v="2023-02-24T07:48:00"/>
        <d v="2023-02-25T07:13:00"/>
        <d v="2023-02-26T09:38:00"/>
        <d v="2023-02-27T08:02:00"/>
        <d v="2023-02-28T07:31:00"/>
        <d v="2023-03-01T08:14:00"/>
        <d v="2023-03-02T08:16:00"/>
        <d v="2023-03-03T08:32:00"/>
        <d v="2023-03-04T08:57:00"/>
        <d v="2023-03-05T09:27:00"/>
        <d v="2023-03-06T07:42:00"/>
        <d v="2023-03-07T07:22:00"/>
        <d v="2023-03-08T08:19:00"/>
        <d v="2023-03-09T08:51:00"/>
        <d v="2023-03-10T08:21:00"/>
        <d v="2023-03-11T07:07:00"/>
        <d v="2023-03-12T09:39:00"/>
        <d v="2023-03-13T07:32:00"/>
        <d v="2023-03-14T07:41:00"/>
        <d v="2023-03-15T07:59:00"/>
        <d v="2023-03-16T07:24:00"/>
        <d v="2023-03-17T08:14:00"/>
        <d v="2023-03-18T07:25:00"/>
        <d v="2023-03-19T09:47:00"/>
        <d v="2023-03-20T07:41:00"/>
        <d v="2023-03-21T07:28:00"/>
        <d v="2023-03-22T09:30:00"/>
        <d v="2023-03-23T07:52:00"/>
        <d v="2023-03-24T08:22:00"/>
        <d v="2023-03-25T11:06:00"/>
        <d v="2023-03-26T09:25:00"/>
        <d v="2023-03-27T07:42:00"/>
        <d v="2023-03-28T08:59:00"/>
        <d v="2023-03-29T08:49:00"/>
        <d v="2023-03-30T07:56:00"/>
        <d v="2023-04-01T07:40:00"/>
        <d v="2023-04-02T09:25:00"/>
        <d v="2023-04-03T07:56:00"/>
        <d v="2023-04-04T07:39:00"/>
        <d v="2023-04-05T08:54:00"/>
        <d v="2023-04-06T08:08:00"/>
        <d v="2023-04-07T08:04:00"/>
        <d v="2023-04-08T13:16:00"/>
        <d v="2023-04-10T09:03:00"/>
        <d v="2023-04-11T07:49:00"/>
        <d v="2023-04-12T09:22:00"/>
        <d v="2023-04-13T07:43:00"/>
        <d v="2023-04-14T08:21:00"/>
        <d v="2023-04-15T08:15:00"/>
        <d v="2023-04-16T08:49:00"/>
        <d v="2023-04-17T07:56:00"/>
        <d v="2023-04-18T07:33:00"/>
        <d v="2023-04-19T07:45:00"/>
        <d v="2023-04-20T08:36:00"/>
        <d v="2023-04-21T08:27:00"/>
        <d v="2023-04-22T08:12:00"/>
        <d v="2023-04-23T15:56:00"/>
        <d v="2023-04-24T09:14:00"/>
        <d v="2023-04-25T08:11:00"/>
        <d v="2023-04-26T08:01:00"/>
        <d v="2023-04-27T09:15:00"/>
        <d v="2023-04-28T07:24:00"/>
        <d v="2023-04-29T07:56:00"/>
        <d v="2023-04-30T11:15:00"/>
        <d v="2023-05-01T08:19:00"/>
        <d v="2023-05-02T07:47:00"/>
        <d v="2023-05-03T08:23:00"/>
        <d v="2023-05-04T07:45:00"/>
        <d v="2023-05-05T08:41:00"/>
        <d v="2023-05-06T08:35:00"/>
        <d v="2023-05-07T08:10:00"/>
        <d v="2023-05-08T07:53:00"/>
        <d v="2023-05-09T07:43:00"/>
        <d v="2023-05-10T08:56:00"/>
        <d v="2023-05-11T07:34:00"/>
        <d v="2023-05-12T07:32:00"/>
        <d v="2023-05-13T07:57:00"/>
        <d v="2023-05-14T08:21:00"/>
        <d v="2023-05-15T07:42:00"/>
        <d v="2023-05-16T07:44:00"/>
        <d v="2023-05-17T09:05:00"/>
        <d v="2023-05-18T10:10:00"/>
        <d v="2023-05-19T07:51:00"/>
        <d v="2023-05-20T08:26:00"/>
        <d v="2023-05-21T08:04:00"/>
        <d v="2023-05-22T07:50:00"/>
        <d v="2023-05-23T07:25:00"/>
        <d v="2023-05-24T08:32:00"/>
        <d v="2023-05-25T07:46:00"/>
        <d v="2023-05-26T08:23:00"/>
        <d v="2023-05-27T07:18:00"/>
        <d v="2023-05-28T08:41:00"/>
        <d v="2023-05-29T08:00:00"/>
        <d v="2023-05-30T07:44:00"/>
        <d v="2023-05-31T09:27:00"/>
        <d v="2023-06-01T07:44:00"/>
        <d v="2023-06-02T07:28:00"/>
        <d v="2023-06-03T07:30:00"/>
        <d v="2023-06-04T07:48:00"/>
        <d v="2023-06-05T07:42:00"/>
        <d v="2023-06-06T07:33:00"/>
        <d v="2023-06-07T08:41:00"/>
        <d v="2023-06-08T08:32:00"/>
        <d v="2023-06-09T08:32:00"/>
        <d v="2023-06-10T07:35:00"/>
        <d v="2023-06-11T10:22:00"/>
        <d v="2023-06-12T07:40:00"/>
        <d v="2023-06-13T07:33:00"/>
        <d v="2023-06-14T07:56:00"/>
        <d v="2023-06-15T07:48:00"/>
        <d v="2023-06-16T07:32:00"/>
        <d v="2023-06-17T08:05:00"/>
        <d v="2023-06-19T07:46:00"/>
        <d v="2023-06-20T07:42:00"/>
        <d v="2023-06-21T12:38:00"/>
        <d v="2023-06-22T07:47:00"/>
        <d v="2023-06-23T08:03:00"/>
        <d v="2023-06-24T08:46:00"/>
        <d v="2023-06-25T09:02:00"/>
        <d v="2023-06-26T07:38:00"/>
        <d v="2023-06-27T07:28:00"/>
        <d v="2023-06-28T07:35:00"/>
        <d v="2023-06-29T08:13:00"/>
        <d v="2023-06-30T06:55:00"/>
        <d v="2023-07-01T07:30:00"/>
        <d v="2023-07-03T07:47:00"/>
        <d v="2023-07-04T07:36:00"/>
        <d v="2023-07-05T08:52:00"/>
        <d v="2023-07-06T07:52:00"/>
        <d v="2023-07-07T08:15:00"/>
        <d v="2023-07-08T12:24:00"/>
        <d v="2023-07-09T09:45:00"/>
        <d v="2023-07-10T07:47:00"/>
        <d v="2023-07-11T07:22:00"/>
        <d v="2023-07-12T09:05:00"/>
        <d v="2023-07-13T07:38:00"/>
        <d v="2023-07-14T07:52:00"/>
        <d v="2023-07-15T12:04:00"/>
        <d v="2023-07-16T08:58:00"/>
        <d v="2023-07-17T07:46:00"/>
        <d v="2023-07-18T09:30:00"/>
        <d v="2023-08-02T12:24:00"/>
        <d v="2023-08-03T10:00:00"/>
        <d v="2023-08-04T10:28:00"/>
        <d v="2023-08-05T11:05:00"/>
        <d v="2023-08-07T07:51:00"/>
        <d v="2023-08-08T07:36:00"/>
        <d v="2023-08-09T08:19:00"/>
        <d v="2023-08-10T07:36:00"/>
        <d v="2023-08-11T13:30:00"/>
        <d v="2023-08-12T08:23:00"/>
        <d v="2023-08-13T09:06:00"/>
        <d v="2023-08-14T09:20:00"/>
        <d v="2023-08-15T08:14:00"/>
        <d v="2023-08-16T07:44:00"/>
        <d v="2023-08-17T07:44:00"/>
        <d v="2023-08-18T08:26:00"/>
        <d v="2023-08-19T09:26:00"/>
        <d v="2023-08-20T08:57:00"/>
        <d v="2023-08-21T07:52:00"/>
        <d v="2023-08-22T07:37:00"/>
        <d v="2023-08-23T08:24:00"/>
        <d v="2023-08-24T08:10:00"/>
        <d v="2023-08-25T08:09:00"/>
        <d v="2023-08-26T07:50:00"/>
        <d v="2023-08-28T07:45:00"/>
        <d v="2023-08-29T07:38:00"/>
        <d v="2023-08-30T09:32:00"/>
        <d v="2023-08-31T08:45:00"/>
        <d v="2023-09-01T07:48:00"/>
        <d v="2023-09-02T10:33:00"/>
        <d v="2023-09-03T10:34:00"/>
        <d v="2023-09-04T10:37:00"/>
        <d v="2023-09-05T07:37:00"/>
        <d v="2023-09-06T08:30:00"/>
        <d v="2023-09-07T08:09:00"/>
        <d v="2023-09-08T07:24:00"/>
        <d v="2023-09-09T07:40:00"/>
        <d v="2023-09-10T07:28:00"/>
        <d v="2023-09-11T07:35:00"/>
      </sharedItems>
    </cacheField>
    <cacheField name="T° station_x000a_Niort" numFmtId="0">
      <sharedItems containsString="0" containsBlank="1" containsNumber="1" minValue="-5" maxValue="24.2"/>
    </cacheField>
    <cacheField name="Diff heure_x000a_Instantané" numFmtId="166">
      <sharedItems containsDate="1" containsMixedTypes="1" minDate="1899-12-30T00:00:00" maxDate="1900-03-11T01:42:00"/>
    </cacheField>
    <cacheField name="Diff jour_x000a_Instantané" numFmtId="168">
      <sharedItems containsMixedTypes="1" containsNumber="1" minValue="0" maxValue="71.070833333331393"/>
    </cacheField>
    <cacheField name="Diff heure_x000d__x000a_Cumul" numFmtId="166">
      <sharedItems containsSemiMixedTypes="0" containsNonDate="0" containsDate="1" containsString="0" minDate="1899-12-30T00:00:00" maxDate="1902-09-23T14:35:00"/>
    </cacheField>
    <cacheField name="Diff jour_x000d__x000a_Cumul" numFmtId="168">
      <sharedItems containsSemiMixedTypes="0" containsString="0" containsNumber="1" minValue="0" maxValue="997.60763888888323"/>
    </cacheField>
    <cacheField name="Diff jour_x000d__x000a_Cumul_x000a_depuis le 24/01" numFmtId="168">
      <sharedItems containsSemiMixedTypes="0" containsString="0" containsNumber="1" minValue="-38.083333333328483" maxValue="959.52430555555475"/>
    </cacheField>
    <cacheField name="Diff jour_x000d__x000a_Cumul_x000a_depuis_x000a_précédente facture_x000a_16/02/2021" numFmtId="168">
      <sharedItems containsSemiMixedTypes="0" containsString="0" containsNumber="1" minValue="-60.602777777778101" maxValue="937.00486111110513"/>
    </cacheField>
    <cacheField name="Index HP_x000a_kWh" numFmtId="3">
      <sharedItems containsSemiMixedTypes="0" containsString="0" containsNumber="1" containsInteger="1" minValue="0" maxValue="195613"/>
    </cacheField>
    <cacheField name="Différence HP_x000a_Instantané" numFmtId="0">
      <sharedItems containsMixedTypes="1" containsNumber="1" containsInteger="1" minValue="-195613" maxValue="1730"/>
    </cacheField>
    <cacheField name="Conso HP / heure_x000a_Instantané" numFmtId="168">
      <sharedItems containsMixedTypes="1" containsNumber="1" minValue="0" maxValue="5.1923076923832507"/>
    </cacheField>
    <cacheField name="Conso HP / jour_x000a_Instantané" numFmtId="168">
      <sharedItems containsMixedTypes="1" containsNumber="1" minValue="0" maxValue="124.615384617198"/>
    </cacheField>
    <cacheField name="Conso HP / an_x000a_Instantané" numFmtId="168">
      <sharedItems containsMixedTypes="1" containsNumber="1" minValue="0" maxValue="45484.61538527727"/>
    </cacheField>
    <cacheField name="Différence HP_x000a_Cumul" numFmtId="0">
      <sharedItems containsSemiMixedTypes="0" containsString="0" containsNumber="1" containsInteger="1" minValue="-179759" maxValue="15854"/>
    </cacheField>
    <cacheField name="Conso HP / heure_x000a_Cumul" numFmtId="170">
      <sharedItems containsMixedTypes="1" containsNumber="1" minValue="-10.293598627970715" maxValue="1.9767346122632983"/>
    </cacheField>
    <cacheField name="Conso HP / jour_x000a_Cumul" numFmtId="170">
      <sharedItems containsMixedTypes="1" containsNumber="1" minValue="-247.04636707129714" maxValue="47.441630694319159"/>
    </cacheField>
    <cacheField name="Conso HP / an_x000a_Cumul" numFmtId="170">
      <sharedItems containsMixedTypes="1" containsNumber="1" minValue="-90171.923981023458" maxValue="17316.195203426494"/>
    </cacheField>
    <cacheField name="Index HC_x000d__x000a_kWh" numFmtId="3">
      <sharedItems containsSemiMixedTypes="0" containsString="0" containsNumber="1" containsInteger="1" minValue="0" maxValue="126128"/>
    </cacheField>
    <cacheField name="Différence_x000d_ HC_x000a_Instantané" numFmtId="0">
      <sharedItems containsMixedTypes="1" containsNumber="1" containsInteger="1" minValue="-126128" maxValue="841"/>
    </cacheField>
    <cacheField name="Conso HC / heure_x000a_Instantané" numFmtId="171">
      <sharedItems containsMixedTypes="1" containsNumber="1" minValue="0" maxValue="2.3275862069304227"/>
    </cacheField>
    <cacheField name="Conso HC / jour_x000d__x000a_Instantané" numFmtId="171">
      <sharedItems containsMixedTypes="1" containsNumber="1" minValue="0" maxValue="55.862068966330142"/>
    </cacheField>
    <cacheField name="Conso HC / an_x000d__x000a_Instantané" numFmtId="171">
      <sharedItems containsMixedTypes="1" containsNumber="1" minValue="0" maxValue="20389.655172710503"/>
    </cacheField>
    <cacheField name="Différence HC_x000a_Cumul" numFmtId="0">
      <sharedItems containsSemiMixedTypes="0" containsString="0" containsNumber="1" containsInteger="1" minValue="-119432" maxValue="6696"/>
    </cacheField>
    <cacheField name="Conso HC / heure_x000a_Cumul" numFmtId="169">
      <sharedItems containsMixedTypes="1" containsNumber="1" minValue="-6.8390738229284667" maxValue="0.93477144324601946"/>
    </cacheField>
    <cacheField name="Conso HC / jour_x000d__x000a_Cumul" numFmtId="169">
      <sharedItems containsMixedTypes="1" containsNumber="1" minValue="-164.13777175028321" maxValue="22.434514637904467"/>
    </cacheField>
    <cacheField name="Conso HC / an_x000d__x000a_Cumul" numFmtId="169">
      <sharedItems containsMixedTypes="1" containsNumber="1" minValue="-59910.286688853368" maxValue="8188.5978428351309"/>
    </cacheField>
    <cacheField name="Conso HP + HC_x000a_Instantané" numFmtId="0">
      <sharedItems containsMixedTypes="1" containsNumber="1" containsInteger="1" minValue="-321741" maxValue="2571"/>
    </cacheField>
    <cacheField name="Conso HP + HC / heure_x000d__x000a_Instantané" numFmtId="170">
      <sharedItems containsMixedTypes="1" containsNumber="1" minValue="0.19564618352161875" maxValue="5.3365384616161187"/>
    </cacheField>
    <cacheField name="Conso HP + HC / jour_x000d__x000a_Instantané" numFmtId="170">
      <sharedItems containsMixedTypes="1" containsNumber="1" minValue="4.6955084045188498" maxValue="128.07692307878685"/>
    </cacheField>
    <cacheField name="Conso HP + HC / an_x000d__x000a_Instantané" numFmtId="170">
      <sharedItems containsMixedTypes="1" containsNumber="1" minValue="1713.8605676493801" maxValue="46748.076923757202"/>
    </cacheField>
    <cacheField name="Conso HP + HC_x000a_Cumul" numFmtId="0">
      <sharedItems containsSemiMixedTypes="0" containsString="0" containsNumber="1" containsInteger="1" minValue="-299191" maxValue="22550"/>
    </cacheField>
    <cacheField name="Conso HP + HC_x000a_Cumul depuis_x000a_le 24/01" numFmtId="168">
      <sharedItems containsMixedTypes="1" containsNumber="1" minValue="-437.62207802801908" maxValue="73.298333713767875"/>
    </cacheField>
    <cacheField name="Conso HP + HC_x000a_Cumul depuis_x000a_précédente facture_x000a_16/02/2021" numFmtId="168">
      <sharedItems containsMixedTypes="1" containsNumber="1" minValue="-454.80422644746972" maxValue="92.420639501310092"/>
    </cacheField>
    <cacheField name="Conso HP + HC / heure_x000a_Cumul" numFmtId="170">
      <sharedItems containsMixedTypes="1" containsNumber="1" minValue="-17.132672450899182" maxValue="2.8766646559324314"/>
    </cacheField>
    <cacheField name="Conso HP + HC / jour_x000d__x000a_Cumul" numFmtId="170">
      <sharedItems containsMixedTypes="1" containsNumber="1" minValue="-411.18413882158035" maxValue="69.039951742378364"/>
    </cacheField>
    <cacheField name="Conso HP + HC / an_x000d__x000a_Cumul" numFmtId="170">
      <sharedItems containsMixedTypes="1" containsNumber="1" minValue="-150082.21066987683" maxValue="25199.582385968104"/>
    </cacheField>
    <cacheField name="Montant_x000a_Tarif HP/HC" numFmtId="167">
      <sharedItems containsSemiMixedTypes="0" containsString="0" containsNumber="1" minValue="-48414.191299999999" maxValue="3753.4161999999997"/>
    </cacheField>
    <cacheField name="Montant_x000a_Tarif HP/HC_x000a_jour" numFmtId="167">
      <sharedItems containsMixedTypes="1" containsNumber="1" minValue="-66.536585513714471" maxValue="11.44185272145141"/>
    </cacheField>
    <cacheField name="Montant_x000a_Tarif HP/HC_x000a_jour après le 24/01" numFmtId="167">
      <sharedItems containsMixedTypes="1" containsNumber="1" minValue="-70.826866920925539" maxValue="12.158977402420172"/>
    </cacheField>
    <cacheField name="Montant_x000a_Tarif HP/HC_x000a_jour depuis_x000a_précédente facture_x000a_16/02/2021" numFmtId="167">
      <sharedItems containsMixedTypes="1" containsNumber="1" minValue="-73.619124964212702" maxValue="15.464105740776555"/>
    </cacheField>
    <cacheField name="Montant_x000a_Tarif normal" numFmtId="167">
      <sharedItems containsSemiMixedTypes="0" containsString="0" containsNumber="1" minValue="-47840.640899999999" maxValue="3605.7449999999999"/>
    </cacheField>
    <cacheField name="Montant_x000a_Tarif normal_x000a_jour" numFmtId="167">
      <sharedItems containsMixedTypes="1" containsNumber="1" minValue="-65.748343797570698" maxValue="11.039488283606298"/>
    </cacheField>
    <cacheField name="Projection_x000a_Tarif HP/HC" numFmtId="167">
      <sharedItems containsMixedTypes="1" containsNumber="1" minValue="-24285.853712505785" maxValue="4176.2762433297648"/>
    </cacheField>
    <cacheField name="Projection_x000a_Tarif normal" numFmtId="167">
      <sharedItems containsMixedTypes="1" containsNumber="1" minValue="-23998.145486113302" maxValue="4029.4132235162997"/>
    </cacheField>
    <cacheField name="Mois" numFmtId="0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9"/>
        <n v="10"/>
        <n v="11"/>
        <n v="8"/>
      </sharedItems>
    </cacheField>
    <cacheField name="Année" numFmtId="0">
      <sharedItems containsSemiMixedTypes="0" containsString="0" containsNumber="1" containsInteger="1" minValue="2020" maxValue="2023" count="4">
        <n v="2020"/>
        <n v="2021"/>
        <n v="2022"/>
        <n v="20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rtrand" refreshedDate="45506.392497685185" createdVersion="4" refreshedVersion="4" minRefreshableVersion="3" recordCount="1037">
  <cacheSource type="worksheet">
    <worksheetSource name="tabSuiviConso"/>
  </cacheSource>
  <cacheFields count="31">
    <cacheField name="Date" numFmtId="165">
      <sharedItems containsSemiMixedTypes="0" containsNonDate="0" containsDate="1" containsString="0" minDate="2020-12-17T17:00:00" maxDate="2024-08-02T08:57:00"/>
    </cacheField>
    <cacheField name="Année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Année last" numFmtId="0">
      <sharedItems containsMixedTypes="1" containsNumber="1" containsInteger="1" minValue="2020" maxValue="2024"/>
    </cacheField>
    <cacheField name="Mois" numFmtId="0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9"/>
        <n v="10"/>
        <n v="11"/>
        <n v="8"/>
      </sharedItems>
    </cacheField>
    <cacheField name="Jour" numFmtId="0">
      <sharedItems containsSemiMixedTypes="0" containsString="0" containsNumber="1" containsInteger="1" minValue="1" maxValue="31" count="31">
        <n v="17"/>
        <n v="24"/>
        <n v="25"/>
        <n v="26"/>
        <n v="27"/>
        <n v="28"/>
        <n v="29"/>
        <n v="30"/>
        <n v="3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8"/>
        <n v="19"/>
        <n v="20"/>
        <n v="21"/>
        <n v="22"/>
        <n v="23"/>
      </sharedItems>
    </cacheField>
    <cacheField name="Jour lettre" numFmtId="0">
      <sharedItems count="7">
        <s v="mercredi"/>
        <s v="samedi"/>
        <s v="dimanche"/>
        <s v="lundi"/>
        <s v="mardi"/>
        <s v="jeudi"/>
        <s v="vendredi"/>
      </sharedItems>
    </cacheField>
    <cacheField name="Mois Année" numFmtId="0">
      <sharedItems/>
    </cacheField>
    <cacheField name="Jour Mois Année" numFmtId="0">
      <sharedItems/>
    </cacheField>
    <cacheField name="Diff heure_x000a_instantannée" numFmtId="166">
      <sharedItems containsDate="1" containsMixedTypes="1" minDate="1899-12-30T00:00:00" maxDate="1900-03-11T01:42:00"/>
    </cacheField>
    <cacheField name="Diff jour_x000a_Instantané" numFmtId="168">
      <sharedItems containsMixedTypes="1" containsNumber="1" minValue="0" maxValue="71.070833333331393"/>
    </cacheField>
    <cacheField name="Diff heure_x000d__x000a_Cumul" numFmtId="166">
      <sharedItems containsSemiMixedTypes="0" containsNonDate="0" containsDate="1" containsString="0" minDate="1899-12-30T00:00:00" maxDate="1903-08-15T15:57:00"/>
    </cacheField>
    <cacheField name="Diff jour_x000d__x000a_Cumul" numFmtId="168">
      <sharedItems containsSemiMixedTypes="0" containsString="0" containsNumber="1" minValue="0" maxValue="1323.6645833333314"/>
    </cacheField>
    <cacheField name="Min" numFmtId="0">
      <sharedItems containsString="0" containsBlank="1" containsNumber="1" minValue="-4.8" maxValue="11.7"/>
    </cacheField>
    <cacheField name="Max" numFmtId="0">
      <sharedItems containsString="0" containsBlank="1" containsNumber="1" minValue="-0.4" maxValue="21.3"/>
    </cacheField>
    <cacheField name="Max-Min" numFmtId="0">
      <sharedItems containsSemiMixedTypes="0" containsString="0" containsNumber="1" minValue="0" maxValue="18.399999999999999"/>
    </cacheField>
    <cacheField name="Index HP_x000a_kWh" numFmtId="172">
      <sharedItems containsSemiMixedTypes="0" containsString="0" containsNumber="1" containsInteger="1" minValue="0" maxValue="195613"/>
    </cacheField>
    <cacheField name="Diff HP_x000a_instantannée" numFmtId="0">
      <sharedItems containsBlank="1" containsMixedTypes="1" containsNumber="1" containsInteger="1" minValue="0" maxValue="1730"/>
    </cacheField>
    <cacheField name="Diff HP / jour_x000a_instantannée" numFmtId="0">
      <sharedItems containsBlank="1" containsMixedTypes="1" containsNumber="1" minValue="0" maxValue="124.615384617198"/>
    </cacheField>
    <cacheField name="Diff HP_x000a_cumul" numFmtId="1">
      <sharedItems containsSemiMixedTypes="0" containsString="0" containsNumber="1" containsInteger="1" minValue="0" maxValue="26778"/>
    </cacheField>
    <cacheField name="Index HC_x000d__x000a_kWh" numFmtId="172">
      <sharedItems containsSemiMixedTypes="0" containsString="0" containsNumber="1" containsInteger="1" minValue="0" maxValue="126128"/>
    </cacheField>
    <cacheField name="Diff HC_x000a_instantannée" numFmtId="0">
      <sharedItems containsBlank="1" containsMixedTypes="1" containsNumber="1" containsInteger="1" minValue="0" maxValue="841"/>
    </cacheField>
    <cacheField name="Diff HC / jour_x000a_instantannée" numFmtId="0">
      <sharedItems containsBlank="1" containsMixedTypes="1" containsNumber="1" minValue="0" maxValue="55.862068966330142"/>
    </cacheField>
    <cacheField name="Diff HC_x000a_cumul" numFmtId="1">
      <sharedItems containsSemiMixedTypes="0" containsString="0" containsNumber="1" containsInteger="1" minValue="0" maxValue="12085"/>
    </cacheField>
    <cacheField name="HP + HC_x000a_instantanné" numFmtId="0">
      <sharedItems containsMixedTypes="1" containsNumber="1" containsInteger="1" minValue="0" maxValue="2571"/>
    </cacheField>
    <cacheField name="HP + HC_x000a_cumul" numFmtId="0">
      <sharedItems containsSemiMixedTypes="0" containsString="0" containsNumber="1" containsInteger="1" minValue="0" maxValue="38863"/>
    </cacheField>
    <cacheField name=" HP + HC / heure_x000d__x000a_Instantané" numFmtId="0">
      <sharedItems containsString="0" containsBlank="1" containsNumber="1" minValue="0.19564618352161875" maxValue="5.3365384616161187"/>
    </cacheField>
    <cacheField name="Conso HP + HC / jour_x000d__x000a_Instantané" numFmtId="0">
      <sharedItems containsString="0" containsBlank="1" containsNumber="1" minValue="4.6955084045188498" maxValue="128.07692307878685"/>
    </cacheField>
    <cacheField name="Conso HP + HC / an_x000d__x000a_Instantané" numFmtId="0">
      <sharedItems containsString="0" containsBlank="1" containsNumber="1" minValue="0" maxValue="46748.076923757202"/>
    </cacheField>
    <cacheField name=" HP + HC / heure_x000d__x000a_cumul" numFmtId="0">
      <sharedItems containsBlank="1" containsMixedTypes="1" containsNumber="1" minValue="1.2072760471970603" maxValue="2.8766646559324314"/>
    </cacheField>
    <cacheField name="Conso HP + HC / jour_x000d__x000a_cumul" numFmtId="0">
      <sharedItems containsBlank="1" containsMixedTypes="1" containsNumber="1" minValue="28.974625132729447" maxValue="69.039951742378364"/>
    </cacheField>
    <cacheField name="Conso HP + HC / an_x000d__x000a_cumul" numFmtId="0">
      <sharedItems containsMixedTypes="1" containsNumber="1" minValue="0" maxValue="25199.5823859681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0">
  <r>
    <x v="0"/>
    <n v="10.3"/>
    <s v=""/>
    <s v=""/>
    <d v="1899-12-30T00:00:00"/>
    <n v="0"/>
    <n v="-38.083333333328483"/>
    <n v="-60.602777777778101"/>
    <n v="179759"/>
    <s v=""/>
    <s v=""/>
    <e v="#VALUE!"/>
    <e v="#VALUE!"/>
    <n v="0"/>
    <e v="#DIV/0!"/>
    <e v="#DIV/0!"/>
    <e v="#DIV/0!"/>
    <n v="119432"/>
    <e v="#VALUE!"/>
    <e v="#VALUE!"/>
    <e v="#VALUE!"/>
    <e v="#VALUE!"/>
    <n v="0"/>
    <e v="#DIV/0!"/>
    <e v="#DIV/0!"/>
    <e v="#DIV/0!"/>
    <e v="#VALUE!"/>
    <e v="#VALUE!"/>
    <s v=""/>
    <e v="#VALUE!"/>
    <n v="0"/>
    <n v="67.509846827142084"/>
    <n v="68.92423339597525"/>
    <e v="#DIV/0!"/>
    <e v="#DIV/0!"/>
    <e v="#DIV/0!"/>
    <n v="0"/>
    <e v="#DIV/0!"/>
    <n v="11.144654704596606"/>
    <n v="11.41801457578946"/>
    <n v="0"/>
    <e v="#DIV/0!"/>
    <e v="#DIV/0!"/>
    <e v="#DIV/0!"/>
    <x v="0"/>
    <x v="0"/>
  </r>
  <r>
    <x v="1"/>
    <n v="4.7"/>
    <d v="1900-02-06T02:00:00"/>
    <n v="38.083333333328483"/>
    <d v="1900-02-06T02:00:00"/>
    <n v="38.083333333328483"/>
    <n v="0"/>
    <n v="-22.519444444449618"/>
    <n v="181489"/>
    <n v="1730"/>
    <n v="1.8927789934356896"/>
    <n v="45.426695842456553"/>
    <n v="16580.743982496642"/>
    <n v="1730"/>
    <n v="1.8927789934356896"/>
    <n v="45.426695842456553"/>
    <n v="16580.743982496642"/>
    <n v="120273"/>
    <n v="841"/>
    <n v="0.92013129102856361"/>
    <n v="22.083150984685528"/>
    <n v="8060.3501094102176"/>
    <n v="841"/>
    <n v="0.92013129102856361"/>
    <n v="22.083150984685528"/>
    <n v="8060.3501094102176"/>
    <n v="2571"/>
    <n v="2.8129102844642531"/>
    <n v="67.509846827142084"/>
    <n v="24641.09409190686"/>
    <n v="2571"/>
    <e v="#DIV/0!"/>
    <n v="71.316146540010749"/>
    <n v="2.8129102844642531"/>
    <n v="67.509846827142084"/>
    <n v="24641.09409190686"/>
    <n v="424.42560000000003"/>
    <n v="11.144654704596606"/>
    <e v="#DIV/0!"/>
    <n v="11.880301961265308"/>
    <n v="411.10289999999998"/>
    <n v="10.794824507660017"/>
    <n v="4067.7989671777614"/>
    <n v="3940.1109452959067"/>
    <x v="1"/>
    <x v="1"/>
  </r>
  <r>
    <x v="2"/>
    <n v="1.3"/>
    <d v="1899-12-30T13:23:00"/>
    <n v="0.55763888889487134"/>
    <d v="1900-02-06T15:23:00"/>
    <n v="38.640972222223354"/>
    <n v="0.55763888889487134"/>
    <n v="-21.961805555554747"/>
    <n v="181504"/>
    <n v="15"/>
    <n v="1.120797011195946"/>
    <n v="26.899128268702704"/>
    <n v="9818.1818180764876"/>
    <n v="1745"/>
    <n v="1.881638301313677"/>
    <n v="45.159319231528251"/>
    <n v="16483.15151950781"/>
    <n v="120295"/>
    <n v="22"/>
    <n v="1.6438356164207208"/>
    <n v="39.4520547940973"/>
    <n v="14399.999999845515"/>
    <n v="863"/>
    <n v="0.93057527451788158"/>
    <n v="22.333806588429159"/>
    <n v="8151.8394047766433"/>
    <n v="37"/>
    <n v="2.7646326276166668"/>
    <n v="66.351183062800004"/>
    <n v="24218.181817922003"/>
    <n v="2608"/>
    <n v="66.351183062800004"/>
    <n v="71.442213438737809"/>
    <n v="2.8122135758315587"/>
    <n v="67.493125819957413"/>
    <n v="24634.990924284455"/>
    <n v="430.08530000000002"/>
    <n v="11.130291896554498"/>
    <n v="10.149399750825088"/>
    <n v="11.924251826087394"/>
    <n v="417.01919999999996"/>
    <n v="10.792150818611189"/>
    <n v="4062.5565422423911"/>
    <n v="3939.135048793084"/>
    <x v="1"/>
    <x v="1"/>
  </r>
  <r>
    <x v="3"/>
    <n v="4.3"/>
    <d v="1899-12-30T04:57:00"/>
    <n v="0.20624999999563443"/>
    <d v="1900-02-06T20:20:00"/>
    <n v="38.847222222218988"/>
    <n v="0.76388888889050577"/>
    <n v="-21.755555555559113"/>
    <n v="181519"/>
    <n v="15"/>
    <n v="3.030303030367171"/>
    <n v="72.72727272881211"/>
    <n v="26545.454546016419"/>
    <n v="1760"/>
    <n v="1.887736860922574"/>
    <n v="45.305684662141779"/>
    <n v="16536.57490168175"/>
    <n v="120295"/>
    <n v="0"/>
    <n v="0"/>
    <n v="0"/>
    <n v="0"/>
    <n v="863"/>
    <n v="0.92563460850919399"/>
    <n v="22.215230604220654"/>
    <n v="8108.5591705405386"/>
    <n v="15"/>
    <n v="3.030303030367171"/>
    <n v="72.72727272881211"/>
    <n v="26545.454546016419"/>
    <n v="2623"/>
    <n v="68.072727272583194"/>
    <n v="71.430030643502107"/>
    <n v="2.8133714694317682"/>
    <n v="67.520915266362437"/>
    <n v="24645.134072222289"/>
    <n v="432.78380000000004"/>
    <n v="11.140662710047406"/>
    <n v="10.941643636340491"/>
    <n v="11.913260469865261"/>
    <n v="419.41769999999997"/>
    <n v="10.796594351091352"/>
    <n v="4066.3418891673036"/>
    <n v="3940.7569381483436"/>
    <x v="1"/>
    <x v="1"/>
  </r>
  <r>
    <x v="4"/>
    <n v="0.6"/>
    <d v="1899-12-30T06:00:00"/>
    <n v="0.25"/>
    <d v="1900-02-07T02:20:00"/>
    <n v="39.097222222218988"/>
    <n v="1.0138888888905058"/>
    <n v="-21.505555555559113"/>
    <n v="181535"/>
    <n v="16"/>
    <n v="2.6666666666666665"/>
    <n v="64"/>
    <n v="23360"/>
    <n v="1776"/>
    <n v="1.892717584369606"/>
    <n v="45.425222024870543"/>
    <n v="16580.206039077748"/>
    <n v="120295"/>
    <n v="0"/>
    <n v="0"/>
    <n v="0"/>
    <n v="0"/>
    <n v="863"/>
    <n v="0.91971580817059118"/>
    <n v="22.073179396094186"/>
    <n v="8056.710479574378"/>
    <n v="16"/>
    <n v="2.6666666666666665"/>
    <n v="64"/>
    <n v="23360"/>
    <n v="2639"/>
    <n v="67.068493150577979"/>
    <n v="71.516404029954586"/>
    <n v="2.8124333925401972"/>
    <n v="67.498401420964726"/>
    <n v="24636.916518652124"/>
    <n v="435.66220000000004"/>
    <n v="11.143047388988489"/>
    <n v="11.082673972585075"/>
    <n v="11.917906484110658"/>
    <n v="421.97609999999997"/>
    <n v="10.792994387212259"/>
    <n v="4067.2122969807979"/>
    <n v="3939.4429513324744"/>
    <x v="1"/>
    <x v="1"/>
  </r>
  <r>
    <x v="5"/>
    <n v="-4"/>
    <d v="1899-12-30T11:24:00"/>
    <n v="0.47499999999854481"/>
    <d v="1900-02-07T13:44:00"/>
    <n v="39.572222222217533"/>
    <n v="1.4888888888890506"/>
    <n v="-21.030555555560568"/>
    <n v="181548"/>
    <n v="13"/>
    <n v="1.1403508771964761"/>
    <n v="27.368421052715423"/>
    <n v="9989.4736842411294"/>
    <n v="1789"/>
    <n v="1.8836866488841204"/>
    <n v="45.208479573218888"/>
    <n v="16501.095044224894"/>
    <n v="120319"/>
    <n v="24"/>
    <n v="2.1052631579011862"/>
    <n v="50.526315789628477"/>
    <n v="18442.105263214395"/>
    <n v="887"/>
    <n v="0.93394637091124366"/>
    <n v="22.414712901869848"/>
    <n v="8181.3702091824944"/>
    <n v="37"/>
    <n v="3.2456140350976623"/>
    <n v="77.894736842343903"/>
    <n v="28431.578947455524"/>
    <n v="2676"/>
    <n v="70.522388059693839"/>
    <n v="71.372341830652644"/>
    <n v="2.8176330197953638"/>
    <n v="67.623192475088743"/>
    <n v="24682.46525340739"/>
    <n v="441.23129999999998"/>
    <n v="11.150025831813759"/>
    <n v="11.287410447759932"/>
    <n v="11.922276581690461"/>
    <n v="427.89239999999995"/>
    <n v="10.812948476766687"/>
    <n v="4069.7594286120225"/>
    <n v="3946.7261940198414"/>
    <x v="1"/>
    <x v="1"/>
  </r>
  <r>
    <x v="6"/>
    <n v="3.1"/>
    <d v="1899-12-30T06:45:00"/>
    <n v="0.28125"/>
    <d v="1900-02-07T20:29:00"/>
    <n v="39.853472222217533"/>
    <n v="1.7701388888890506"/>
    <n v="-20.749305555560568"/>
    <n v="181571"/>
    <n v="23"/>
    <n v="3.4074074074074074"/>
    <n v="81.777777777777771"/>
    <n v="29848.888888888887"/>
    <n v="1812"/>
    <n v="1.894439700988217"/>
    <n v="45.466552823717208"/>
    <n v="16595.291780656782"/>
    <n v="120319"/>
    <n v="0"/>
    <n v="0"/>
    <n v="0"/>
    <n v="0"/>
    <n v="887"/>
    <n v="0.92735541654334908"/>
    <n v="22.256529997040378"/>
    <n v="8123.6334489197379"/>
    <n v="23"/>
    <n v="3.4074074074074074"/>
    <n v="81.777777777777771"/>
    <n v="29848.888888888887"/>
    <n v="2699"/>
    <n v="72.310710082378648"/>
    <n v="71.231299574935107"/>
    <n v="2.8217951175315661"/>
    <n v="67.723082820757583"/>
    <n v="24718.925229576518"/>
    <n v="445.36900000000003"/>
    <n v="11.175161790588362"/>
    <n v="11.831500980775692"/>
    <n v="11.884465209676165"/>
    <n v="431.57009999999997"/>
    <n v="10.828920943039138"/>
    <n v="4078.9340535647516"/>
    <n v="3952.5561442092849"/>
    <x v="1"/>
    <x v="1"/>
  </r>
  <r>
    <x v="7"/>
    <n v="3.7"/>
    <d v="1899-12-30T06:07:00"/>
    <n v="0.25486111111240461"/>
    <d v="1900-02-08T02:36:00"/>
    <n v="40.108333333329938"/>
    <n v="2.0250000000014552"/>
    <n v="-20.494444444448163"/>
    <n v="181591"/>
    <n v="20"/>
    <n v="3.2697547683757753"/>
    <n v="78.474114441018614"/>
    <n v="28643.051770971793"/>
    <n v="1832"/>
    <n v="1.9031788905050437"/>
    <n v="45.676293372121052"/>
    <n v="16671.847080824184"/>
    <n v="120319"/>
    <n v="0"/>
    <n v="0"/>
    <n v="0"/>
    <n v="0"/>
    <n v="887"/>
    <n v="0.92146270517356643"/>
    <n v="22.115104924165596"/>
    <n v="8072.0132973204427"/>
    <n v="20"/>
    <n v="3.2697547683757753"/>
    <n v="78.474114441018614"/>
    <n v="28643.051770971793"/>
    <n v="2719"/>
    <n v="73.086419753033894"/>
    <n v="71.141230685809802"/>
    <n v="2.8246415956786102"/>
    <n v="67.791398296286644"/>
    <n v="24743.860378144625"/>
    <n v="448.96699999999998"/>
    <n v="11.193858300437265"/>
    <n v="12.119209876534478"/>
    <n v="11.856696123608582"/>
    <n v="434.76809999999995"/>
    <n v="10.839844587576232"/>
    <n v="4085.7582796596025"/>
    <n v="3956.5432744653253"/>
    <x v="1"/>
    <x v="1"/>
  </r>
  <r>
    <x v="8"/>
    <n v="4.7"/>
    <d v="1899-12-30T10:54:00"/>
    <n v="0.45416666667006211"/>
    <d v="1900-02-08T13:30:00"/>
    <n v="40.5625"/>
    <n v="2.4791666666715173"/>
    <n v="-20.040277777778101"/>
    <n v="181601"/>
    <n v="10"/>
    <n v="0.91743119265369155"/>
    <n v="22.018348623688595"/>
    <n v="8036.697247646337"/>
    <n v="1842"/>
    <n v="1.8921417565485361"/>
    <n v="45.411402157164872"/>
    <n v="16575.161787365178"/>
    <n v="120342"/>
    <n v="23"/>
    <n v="2.1100917431034905"/>
    <n v="50.642201834483771"/>
    <n v="18484.403669586576"/>
    <n v="910"/>
    <n v="0.93477144324601946"/>
    <n v="22.434514637904467"/>
    <n v="8188.5978428351309"/>
    <n v="33"/>
    <n v="3.0275229357571822"/>
    <n v="72.660550458172366"/>
    <n v="26521.100917232914"/>
    <n v="2752"/>
    <n v="73.008403361201687"/>
    <n v="71.106798807955059"/>
    <n v="2.8269131997945558"/>
    <n v="67.845916795069343"/>
    <n v="24763.759630200311"/>
    <n v="453.86180000000002"/>
    <n v="11.189196918335902"/>
    <n v="11.873425210060796"/>
    <n v="11.881152678633114"/>
    <n v="440.04479999999995"/>
    <n v="10.848562095531586"/>
    <n v="4084.0568751926039"/>
    <n v="3959.7251648690294"/>
    <x v="1"/>
    <x v="1"/>
  </r>
  <r>
    <x v="9"/>
    <n v="9.6"/>
    <d v="1899-12-30T06:43:00"/>
    <n v="0.27986111110658385"/>
    <d v="1900-02-08T20:13:00"/>
    <n v="40.842361111106584"/>
    <n v="2.7590277777781012"/>
    <n v="-19.760416666671517"/>
    <n v="181620"/>
    <n v="19"/>
    <n v="2.8287841191524605"/>
    <n v="67.890818859659049"/>
    <n v="24780.148883775553"/>
    <n v="1861"/>
    <n v="1.8985598422119663"/>
    <n v="45.565436213087196"/>
    <n v="16631.384217776827"/>
    <n v="120342"/>
    <n v="0"/>
    <n v="0"/>
    <n v="0"/>
    <n v="0"/>
    <n v="910"/>
    <n v="0.92836617754588358"/>
    <n v="22.280788261101208"/>
    <n v="8132.4877153019406"/>
    <n v="19"/>
    <n v="2.8287841191524605"/>
    <n v="67.890818859659049"/>
    <n v="24780.148883775553"/>
    <n v="2771"/>
    <n v="72.489302793850044"/>
    <n v="71.152345809154909"/>
    <n v="2.8269260197578499"/>
    <n v="67.846224474188404"/>
    <n v="24763.871933078768"/>
    <n v="457.2799"/>
    <n v="11.196216074678608"/>
    <n v="11.907926503899926"/>
    <n v="11.876444913017643"/>
    <n v="443.08289999999994"/>
    <n v="10.848611293422724"/>
    <n v="4086.6188672576923"/>
    <n v="3959.7431220992949"/>
    <x v="1"/>
    <x v="1"/>
  </r>
  <r>
    <x v="10"/>
    <n v="10.6"/>
    <d v="1899-12-30T06:48:00"/>
    <n v="0.28333333333284827"/>
    <d v="1900-02-09T03:01:00"/>
    <n v="41.125694444439432"/>
    <n v="3.0423611111109494"/>
    <n v="-19.477083333338669"/>
    <n v="181643"/>
    <n v="23"/>
    <n v="3.382352941182261"/>
    <n v="81.176470588374272"/>
    <n v="29629.411764756609"/>
    <n v="1884"/>
    <n v="1.9087823576098644"/>
    <n v="45.810776582636741"/>
    <n v="16720.933452662412"/>
    <n v="120342"/>
    <n v="0"/>
    <n v="0"/>
    <n v="0"/>
    <n v="0"/>
    <n v="910"/>
    <n v="0.92197024704085806"/>
    <n v="22.127285928980594"/>
    <n v="8076.4593640779167"/>
    <n v="23"/>
    <n v="3.382352941182261"/>
    <n v="81.176470588374272"/>
    <n v="29629.411764756609"/>
    <n v="2794"/>
    <n v="73.298333713767875"/>
    <n v="71.00652476198718"/>
    <n v="2.8307526046507223"/>
    <n v="67.938062511617332"/>
    <n v="24797.392816740325"/>
    <n v="461.41759999999999"/>
    <n v="11.219691393257138"/>
    <n v="12.158977402420172"/>
    <n v="11.836772275106394"/>
    <n v="446.76059999999995"/>
    <n v="10.863296195607612"/>
    <n v="4095.1873585388557"/>
    <n v="3965.1031113967774"/>
    <x v="1"/>
    <x v="1"/>
  </r>
  <r>
    <x v="11"/>
    <n v="11.1"/>
    <d v="1899-12-30T10:52:00"/>
    <n v="0.45277777778392192"/>
    <d v="1900-02-09T13:53:00"/>
    <n v="41.578472222223354"/>
    <n v="3.4951388888948713"/>
    <n v="-19.024305555554747"/>
    <n v="181650"/>
    <n v="7"/>
    <n v="0.64417177913236301"/>
    <n v="15.460122699176711"/>
    <n v="5642.9447851995001"/>
    <n v="1891"/>
    <n v="1.8950111068427657"/>
    <n v="45.480266564226376"/>
    <n v="16600.297295942626"/>
    <n v="120359"/>
    <n v="17"/>
    <n v="1.5644171778928815"/>
    <n v="37.546012269429156"/>
    <n v="13704.294478341642"/>
    <n v="927"/>
    <n v="0.92896631202709878"/>
    <n v="22.295191488650371"/>
    <n v="8137.7448933573851"/>
    <n v="24"/>
    <n v="2.2085889570252446"/>
    <n v="53.006134968605863"/>
    <n v="19347.239263541142"/>
    <n v="2818"/>
    <n v="70.669580766817248"/>
    <n v="71.434933382007046"/>
    <n v="2.8239774188698643"/>
    <n v="67.775458052876743"/>
    <n v="24738.042189300013"/>
    <n v="464.96510000000001"/>
    <n v="11.182832729276665"/>
    <n v="11.598823763143264"/>
    <n v="11.932015039241243"/>
    <n v="450.59819999999996"/>
    <n v="10.837295742654991"/>
    <n v="4081.7339461859829"/>
    <n v="3955.6129460690718"/>
    <x v="1"/>
    <x v="1"/>
  </r>
  <r>
    <x v="12"/>
    <n v="12.1"/>
    <d v="1899-12-30T06:32:00"/>
    <n v="0.27222222222189885"/>
    <d v="1900-02-09T20:25:00"/>
    <n v="41.850694444445253"/>
    <n v="3.7673611111167702"/>
    <n v="-18.752083333332848"/>
    <n v="181664"/>
    <n v="14"/>
    <n v="2.1428571428596883"/>
    <n v="51.428571428632523"/>
    <n v="18771.42857145087"/>
    <n v="1905"/>
    <n v="1.896623247324281"/>
    <n v="45.518957935782744"/>
    <n v="16614.419646560702"/>
    <n v="120359"/>
    <n v="0"/>
    <n v="0"/>
    <n v="0"/>
    <n v="0"/>
    <n v="927"/>
    <n v="0.92292375342236666"/>
    <n v="22.1501700821368"/>
    <n v="8084.8120799799317"/>
    <n v="14"/>
    <n v="2.1428571428596883"/>
    <n v="51.428571428632523"/>
    <n v="18771.42857145087"/>
    <n v="2832"/>
    <n v="69.279262672706992"/>
    <n v="71.725363848463132"/>
    <n v="2.8195470007466477"/>
    <n v="67.669128017919547"/>
    <n v="24699.231726540635"/>
    <n v="467.4837"/>
    <n v="11.170273425702929"/>
    <n v="11.429246820259321"/>
    <n v="11.970920564382045"/>
    <n v="452.83679999999998"/>
    <n v="10.820293570065335"/>
    <n v="4077.1498003815695"/>
    <n v="3949.407153073847"/>
    <x v="1"/>
    <x v="1"/>
  </r>
  <r>
    <x v="13"/>
    <n v="11.4"/>
    <d v="1899-12-30T05:47:00"/>
    <n v="0.24097222222189885"/>
    <d v="1900-02-10T02:12:00"/>
    <n v="42.091666666667152"/>
    <n v="4.008333333338669"/>
    <n v="-18.511111111110949"/>
    <n v="181676"/>
    <n v="12"/>
    <n v="2.0749279538932743"/>
    <n v="49.798270893438584"/>
    <n v="18176.368876105083"/>
    <n v="1917"/>
    <n v="1.8976440308849514"/>
    <n v="45.543456741238835"/>
    <n v="16623.361710552173"/>
    <n v="120359"/>
    <n v="0"/>
    <n v="0"/>
    <n v="0"/>
    <n v="0"/>
    <n v="927"/>
    <n v="0.91764007127300462"/>
    <n v="22.023361710552113"/>
    <n v="8038.5270243515215"/>
    <n v="12"/>
    <n v="2.0749279538932743"/>
    <n v="49.798270893438584"/>
    <n v="18176.368876105083"/>
    <n v="2844"/>
    <n v="68.108108108017447"/>
    <n v="72.010804321729324"/>
    <n v="2.815284102157956"/>
    <n v="67.566818451790951"/>
    <n v="24661.888734903696"/>
    <n v="469.64250000000004"/>
    <n v="11.157612353989181"/>
    <n v="11.280723492708479"/>
    <n v="12.010132653061326"/>
    <n v="454.75559999999996"/>
    <n v="10.803934270441371"/>
    <n v="4072.5285092060508"/>
    <n v="3943.4360087111008"/>
    <x v="1"/>
    <x v="1"/>
  </r>
  <r>
    <x v="14"/>
    <n v="10.3"/>
    <d v="1899-12-30T11:40:00"/>
    <n v="0.48611111110949423"/>
    <d v="1900-02-10T13:52:00"/>
    <n v="42.577777777776646"/>
    <n v="4.4944444444481633"/>
    <n v="-18.025000000001455"/>
    <n v="181685"/>
    <n v="9"/>
    <n v="0.7714285714311373"/>
    <n v="18.514285714347295"/>
    <n v="6757.7142857367626"/>
    <n v="1926"/>
    <n v="1.8847860125261462"/>
    <n v="45.234864300627507"/>
    <n v="16510.725469729041"/>
    <n v="120374"/>
    <n v="15"/>
    <n v="1.2857142857185622"/>
    <n v="30.857142857245492"/>
    <n v="11262.857142894605"/>
    <n v="942"/>
    <n v="0.9218423799582709"/>
    <n v="22.124217118998502"/>
    <n v="8075.3392484344531"/>
    <n v="24"/>
    <n v="2.0571428571496995"/>
    <n v="49.371428571592787"/>
    <n v="18020.571428631367"/>
    <n v="2868"/>
    <n v="66.081582200192543"/>
    <n v="72.621359223295102"/>
    <n v="2.8066283924844169"/>
    <n v="67.359081419626008"/>
    <n v="24586.064718163492"/>
    <n v="473.28060000000005"/>
    <n v="11.115671711900088"/>
    <n v="10.870086526567029"/>
    <n v="12.132194174756298"/>
    <n v="458.59319999999997"/>
    <n v="10.770717118998197"/>
    <n v="4057.2201748435318"/>
    <n v="3931.311748434342"/>
    <x v="1"/>
    <x v="1"/>
  </r>
  <r>
    <x v="15"/>
    <n v="11.6"/>
    <d v="1899-12-30T06:41:00"/>
    <n v="0.27847222222044365"/>
    <d v="1900-02-10T20:33:00"/>
    <n v="42.85624999999709"/>
    <n v="4.7729166666686069"/>
    <n v="-17.746527777781012"/>
    <n v="181700"/>
    <n v="15"/>
    <n v="2.2443890274457559"/>
    <n v="53.865336658698148"/>
    <n v="19660.847880424823"/>
    <n v="1941"/>
    <n v="1.8871226483886363"/>
    <n v="45.290943561327268"/>
    <n v="16531.194399884454"/>
    <n v="120374"/>
    <n v="0"/>
    <n v="0"/>
    <n v="0"/>
    <n v="0"/>
    <n v="942"/>
    <n v="0.91585241359201208"/>
    <n v="21.980457926208288"/>
    <n v="8022.8671430660252"/>
    <n v="15"/>
    <n v="2.2443890274457559"/>
    <n v="53.865336658698148"/>
    <n v="19660.847880424823"/>
    <n v="2883"/>
    <n v="65.368834570030174"/>
    <n v="72.915672079814541"/>
    <n v="2.8029750619806482"/>
    <n v="67.271401487535556"/>
    <n v="24554.06154295048"/>
    <n v="475.97910000000002"/>
    <n v="11.106410383550411"/>
    <n v="10.801257092968108"/>
    <n v="12.170510350222784"/>
    <n v="460.99169999999998"/>
    <n v="10.756697097856936"/>
    <n v="4053.8397899959"/>
    <n v="3926.1944407177812"/>
    <x v="1"/>
    <x v="1"/>
  </r>
  <r>
    <x v="16"/>
    <n v="9.6"/>
    <d v="1899-12-30T07:34:00"/>
    <n v="0.31527777777955635"/>
    <d v="1900-02-11T04:07:00"/>
    <n v="43.171527777776646"/>
    <n v="5.0881944444481633"/>
    <n v="-17.431250000001455"/>
    <n v="181718"/>
    <n v="18"/>
    <n v="2.3788546255372411"/>
    <n v="57.092511012893787"/>
    <n v="20838.766519706231"/>
    <n v="1959"/>
    <n v="1.8907137227146731"/>
    <n v="45.377129345152156"/>
    <n v="16562.652210980537"/>
    <n v="120374"/>
    <n v="0"/>
    <n v="0"/>
    <n v="0"/>
    <n v="0"/>
    <n v="942"/>
    <n v="0.90916402593017975"/>
    <n v="21.819936622324313"/>
    <n v="7964.2768671483745"/>
    <n v="18"/>
    <n v="2.3788546255372411"/>
    <n v="57.092511012893787"/>
    <n v="20838.766519706231"/>
    <n v="2901"/>
    <n v="64.856012010325188"/>
    <n v="73.201864467544979"/>
    <n v="2.7998777486448527"/>
    <n v="67.197065967476462"/>
    <n v="24526.929078128909"/>
    <n v="479.21730000000002"/>
    <n v="11.100309038557725"/>
    <n v="10.768397434139802"/>
    <n v="12.204867694513142"/>
    <n v="463.86989999999997"/>
    <n v="10.744810848199487"/>
    <n v="4051.6127990735699"/>
    <n v="3921.8559595928123"/>
    <x v="1"/>
    <x v="1"/>
  </r>
  <r>
    <x v="17"/>
    <n v="10.7"/>
    <d v="1899-12-30T09:28:00"/>
    <n v="0.3944444444423425"/>
    <d v="1900-02-11T13:35:00"/>
    <n v="43.565972222218988"/>
    <n v="5.4826388888905058"/>
    <n v="-17.036805555559113"/>
    <n v="181722"/>
    <n v="4"/>
    <n v="0.42253521126985727"/>
    <n v="10.140845070476574"/>
    <n v="3701.4084507239495"/>
    <n v="1963"/>
    <n v="1.8774208974258189"/>
    <n v="45.058101538219653"/>
    <n v="16446.207061450172"/>
    <n v="120389"/>
    <n v="15"/>
    <n v="1.5845070422619647"/>
    <n v="38.028169014287151"/>
    <n v="13880.28169021481"/>
    <n v="957"/>
    <n v="0.91527855264213376"/>
    <n v="21.966685263411211"/>
    <n v="8017.8401211450919"/>
    <n v="19"/>
    <n v="2.007042253531822"/>
    <n v="48.169014084763731"/>
    <n v="17581.690140938761"/>
    <n v="2920"/>
    <n v="63.655478150709534"/>
    <n v="73.781437247773283"/>
    <n v="2.7926994500679525"/>
    <n v="67.024786801630867"/>
    <n v="24464.047182595266"/>
    <n v="481.95590000000004"/>
    <n v="11.062668303180866"/>
    <n v="10.493176947431992"/>
    <n v="12.326694656174816"/>
    <n v="466.90799999999996"/>
    <n v="10.717263409580774"/>
    <n v="4037.8739306610155"/>
    <n v="3911.8011444969829"/>
    <x v="1"/>
    <x v="1"/>
  </r>
  <r>
    <x v="18"/>
    <n v="9.8000000000000007"/>
    <d v="1899-12-30T08:47:00"/>
    <n v="0.36597222222189885"/>
    <d v="1900-02-11T22:22:00"/>
    <n v="43.931944444440887"/>
    <n v="5.8486111111124046"/>
    <n v="-16.670833333337214"/>
    <n v="181743"/>
    <n v="21"/>
    <n v="2.3908918406093234"/>
    <n v="57.381404174623761"/>
    <n v="20944.212523737671"/>
    <n v="1984"/>
    <n v="1.8816983339130859"/>
    <n v="45.160760013914064"/>
    <n v="16483.677405078633"/>
    <n v="120389"/>
    <n v="0"/>
    <n v="0"/>
    <n v="0"/>
    <n v="0"/>
    <n v="957"/>
    <n v="0.90765388384819712"/>
    <n v="21.783693212356731"/>
    <n v="7951.0480225102065"/>
    <n v="21"/>
    <n v="2.3908918406093234"/>
    <n v="57.381404174623761"/>
    <n v="20944.212523737671"/>
    <n v="2941"/>
    <n v="63.262882925656868"/>
    <n v="74.141464633824285"/>
    <n v="2.7893522177612828"/>
    <n v="66.944453226270795"/>
    <n v="24434.725427588841"/>
    <n v="485.73379999999997"/>
    <n v="11.056505832886355"/>
    <n v="10.482522916169602"/>
    <n v="12.370683329164828"/>
    <n v="470.26589999999999"/>
    <n v="10.704418070880699"/>
    <n v="4035.6246290035197"/>
    <n v="3907.1125958714551"/>
    <x v="1"/>
    <x v="1"/>
  </r>
  <r>
    <x v="19"/>
    <n v="8.8000000000000007"/>
    <d v="1899-12-30T16:55:00"/>
    <n v="0.70486111110949423"/>
    <d v="1900-02-12T15:17:00"/>
    <n v="44.636805555550382"/>
    <n v="6.5534722222218988"/>
    <n v="-15.96597222222772"/>
    <n v="181769"/>
    <n v="26"/>
    <n v="1.5369458128114073"/>
    <n v="36.886699507473779"/>
    <n v="13463.64532022793"/>
    <n v="2010"/>
    <n v="1.8762543366991922"/>
    <n v="45.03010408078061"/>
    <n v="16435.987989484922"/>
    <n v="120403"/>
    <n v="14"/>
    <n v="0.82758620689845008"/>
    <n v="19.862068965562802"/>
    <n v="7249.6551724304227"/>
    <n v="971"/>
    <n v="0.90638953280344059"/>
    <n v="21.753348787282576"/>
    <n v="7939.9723073581399"/>
    <n v="40"/>
    <n v="2.3645320197098574"/>
    <n v="56.748768473036577"/>
    <n v="20713.300492658349"/>
    <n v="2981"/>
    <n v="62.562254953907932"/>
    <n v="74.909312339585355"/>
    <n v="2.7826438695026328"/>
    <n v="66.783452868063193"/>
    <n v="24375.960296843066"/>
    <n v="492.29559999999998"/>
    <n v="11.028916470900667"/>
    <n v="10.356342057857873"/>
    <n v="12.505834108994868"/>
    <n v="476.66189999999995"/>
    <n v="10.678674113603302"/>
    <n v="4025.5545118787431"/>
    <n v="3897.716051465206"/>
    <x v="1"/>
    <x v="1"/>
  </r>
  <r>
    <x v="20"/>
    <n v="9.5"/>
    <d v="1899-12-30T02:39:00"/>
    <n v="0.11041666667006211"/>
    <d v="1900-02-12T17:56:00"/>
    <n v="44.747222222220444"/>
    <n v="6.663888888891961"/>
    <n v="-15.855555555557657"/>
    <n v="181775"/>
    <n v="6"/>
    <n v="2.2641509433266012"/>
    <n v="54.339622639838424"/>
    <n v="19833.962263541023"/>
    <n v="2016"/>
    <n v="1.8772114966789497"/>
    <n v="45.053075920294795"/>
    <n v="16444.372710907599"/>
    <n v="120403"/>
    <n v="0"/>
    <n v="0"/>
    <n v="0"/>
    <n v="0"/>
    <n v="971"/>
    <n v="0.90415295797383943"/>
    <n v="21.699670991372145"/>
    <n v="7920.3799118508332"/>
    <n v="6"/>
    <n v="2.2641509433266012"/>
    <n v="54.339622639838424"/>
    <n v="19833.962263541023"/>
    <n v="2987"/>
    <n v="62.426010837820328"/>
    <n v="75.052557813585011"/>
    <n v="2.7813644546527891"/>
    <n v="66.752746911666947"/>
    <n v="24364.752622758435"/>
    <n v="493.375"/>
    <n v="11.025824073499724"/>
    <n v="10.346721133800978"/>
    <n v="12.524846531182641"/>
    <n v="477.62129999999996"/>
    <n v="10.673764231175543"/>
    <n v="4024.425786827399"/>
    <n v="3895.9239443790734"/>
    <x v="1"/>
    <x v="1"/>
  </r>
  <r>
    <x v="21"/>
    <n v="9.6999999999999993"/>
    <d v="1899-12-30T09:38:00"/>
    <n v="0.40138888888759539"/>
    <d v="1900-02-13T03:34:00"/>
    <n v="45.148611111108039"/>
    <n v="7.0652777777795563"/>
    <n v="-15.454166666670062"/>
    <n v="181804"/>
    <n v="29"/>
    <n v="3.0103806228470713"/>
    <n v="72.249134948329711"/>
    <n v="26370.934256140346"/>
    <n v="2045"/>
    <n v="1.8872858153629732"/>
    <n v="45.29485956871136"/>
    <n v="16532.623742579646"/>
    <n v="120403"/>
    <n v="0"/>
    <n v="0"/>
    <n v="0"/>
    <n v="0"/>
    <n v="971"/>
    <n v="0.89611468299141672"/>
    <n v="21.506752391793999"/>
    <n v="7849.9646230048093"/>
    <n v="29"/>
    <n v="3.0103806228470713"/>
    <n v="72.249134948329711"/>
    <n v="26370.934256140346"/>
    <n v="3016"/>
    <n v="62.984077059154579"/>
    <n v="75.125370719854075"/>
    <n v="2.7834004983543901"/>
    <n v="66.801611960505355"/>
    <n v="24382.588365584455"/>
    <n v="498.59210000000002"/>
    <n v="11.043354108346646"/>
    <n v="10.497322586983792"/>
    <n v="12.512567268802856"/>
    <n v="482.25839999999994"/>
    <n v="10.681577752484806"/>
    <n v="4030.8242495465256"/>
    <n v="3898.7758796569542"/>
    <x v="1"/>
    <x v="1"/>
  </r>
  <r>
    <x v="22"/>
    <n v="9.8000000000000007"/>
    <d v="1899-12-30T11:06:00"/>
    <n v="0.46250000000145519"/>
    <d v="1900-02-13T14:40:00"/>
    <n v="45.611111111109494"/>
    <n v="7.5277777777810115"/>
    <n v="-14.991666666668607"/>
    <n v="181813"/>
    <n v="9"/>
    <n v="0.81081081080825967"/>
    <n v="19.459459459398232"/>
    <n v="7102.7027026803544"/>
    <n v="2054"/>
    <n v="1.8763702801462296"/>
    <n v="45.032886723509513"/>
    <n v="16437.003654080971"/>
    <n v="120418"/>
    <n v="15"/>
    <n v="1.3513513513470996"/>
    <n v="32.432432432330387"/>
    <n v="11837.837837800591"/>
    <n v="986"/>
    <n v="0.90073081607798566"/>
    <n v="21.617539585871654"/>
    <n v="7890.4019488431541"/>
    <n v="24"/>
    <n v="2.1621621621553593"/>
    <n v="51.891891891728619"/>
    <n v="18940.540540480946"/>
    <n v="3040"/>
    <n v="62.302583025803493"/>
    <n v="75.842134519167502"/>
    <n v="2.7771010962242153"/>
    <n v="66.650426309381174"/>
    <n v="24327.405602924129"/>
    <n v="502.23020000000002"/>
    <n v="11.011137149817687"/>
    <n v="10.335666420659766"/>
    <n v="12.655911061699303"/>
    <n v="486.09599999999995"/>
    <n v="10.657403166870047"/>
    <n v="4019.0650596834557"/>
    <n v="3889.9521559075679"/>
    <x v="2"/>
    <x v="1"/>
  </r>
  <r>
    <x v="23"/>
    <n v="11"/>
    <d v="1899-12-30T05:43:00"/>
    <n v="0.2381944444423425"/>
    <d v="1900-02-13T20:23:00"/>
    <n v="45.849305555551837"/>
    <n v="7.765972222223354"/>
    <n v="-14.753472222226264"/>
    <n v="181827"/>
    <n v="14"/>
    <n v="2.4489795918583455"/>
    <n v="58.775510204600295"/>
    <n v="21453.061224679106"/>
    <n v="2068"/>
    <n v="1.8793450767158424"/>
    <n v="45.104281841180217"/>
    <n v="16463.06287203078"/>
    <n v="120418"/>
    <n v="0"/>
    <n v="0"/>
    <n v="0"/>
    <n v="0"/>
    <n v="986"/>
    <n v="0.89605137603569662"/>
    <n v="21.505233024856718"/>
    <n v="7849.4100540727022"/>
    <n v="14"/>
    <n v="2.4489795918583455"/>
    <n v="58.775510204600295"/>
    <n v="21453.061224679106"/>
    <n v="3054"/>
    <n v="62.194402217642725"/>
    <n v="76.117674746978437"/>
    <n v="2.7753964527515391"/>
    <n v="66.609514866036932"/>
    <n v="24312.472926103481"/>
    <n v="504.74880000000002"/>
    <n v="11.008864668374036"/>
    <n v="10.342967718857473"/>
    <n v="12.689528077191154"/>
    <n v="488.33459999999997"/>
    <n v="10.650861427079306"/>
    <n v="4018.2356039565229"/>
    <n v="3887.5644208839462"/>
    <x v="2"/>
    <x v="1"/>
  </r>
  <r>
    <x v="24"/>
    <n v="9.5"/>
    <d v="1899-12-30T06:57:00"/>
    <n v="0.28958333333139308"/>
    <d v="1900-02-14T03:20:00"/>
    <n v="46.13888888888323"/>
    <n v="8.0555555555547471"/>
    <n v="-14.463888888894871"/>
    <n v="181842"/>
    <n v="15"/>
    <n v="2.1582733813094248"/>
    <n v="51.798561151426199"/>
    <n v="18906.474820270563"/>
    <n v="2083"/>
    <n v="1.881095725466817"/>
    <n v="45.146297411203612"/>
    <n v="16478.398555089319"/>
    <n v="120418"/>
    <n v="0"/>
    <n v="0"/>
    <n v="0"/>
    <n v="0"/>
    <n v="986"/>
    <n v="0.89042745334146989"/>
    <n v="21.370258880195276"/>
    <n v="7800.1444912712759"/>
    <n v="15"/>
    <n v="2.1582733813094248"/>
    <n v="51.798561151426199"/>
    <n v="18906.474820270563"/>
    <n v="3069"/>
    <n v="61.820689655178619"/>
    <n v="76.604570770085459"/>
    <n v="2.771523178808287"/>
    <n v="66.516556291398885"/>
    <n v="24278.543046360592"/>
    <n v="507.44729999999998"/>
    <n v="10.998255749549813"/>
    <n v="10.306142068966546"/>
    <n v="12.757018628763689"/>
    <n v="490.73309999999998"/>
    <n v="10.635997350994682"/>
    <n v="4014.3633485856822"/>
    <n v="3882.1390331130583"/>
    <x v="2"/>
    <x v="1"/>
  </r>
  <r>
    <x v="25"/>
    <n v="11.8"/>
    <d v="1899-12-30T10:38:00"/>
    <n v="0.44305555555911269"/>
    <d v="1900-02-14T13:58:00"/>
    <n v="46.581944444442343"/>
    <n v="8.4986111111138598"/>
    <n v="-14.020833333335759"/>
    <n v="181849"/>
    <n v="7"/>
    <n v="0.65830721002606263"/>
    <n v="15.799373040625504"/>
    <n v="5766.7711598283086"/>
    <n v="2090"/>
    <n v="1.8694653984913929"/>
    <n v="44.867169563793432"/>
    <n v="16376.516890784602"/>
    <n v="120433"/>
    <n v="15"/>
    <n v="1.4106583071987058"/>
    <n v="33.855799372768935"/>
    <n v="12357.366771060661"/>
    <n v="1001"/>
    <n v="0.89537553296166716"/>
    <n v="21.489012791080011"/>
    <n v="7843.4896687442042"/>
    <n v="22"/>
    <n v="2.0689655172247683"/>
    <n v="49.655172413394439"/>
    <n v="18124.13793088897"/>
    <n v="3091"/>
    <n v="61.186468377166022"/>
    <n v="77.456166419005925"/>
    <n v="2.76484093145306"/>
    <n v="66.35618235487344"/>
    <n v="24220.006559528807"/>
    <n v="510.72559999999999"/>
    <n v="10.964024926205807"/>
    <n v="10.154600424902741"/>
    <n v="12.926321545317229"/>
    <n v="494.25089999999994"/>
    <n v="10.610353558544263"/>
    <n v="4001.8690980651199"/>
    <n v="3872.779048868656"/>
    <x v="2"/>
    <x v="1"/>
  </r>
  <r>
    <x v="26"/>
    <n v="12.7"/>
    <d v="1899-12-30T06:40:00"/>
    <n v="0.27777777778101154"/>
    <d v="1900-02-14T20:38:00"/>
    <n v="46.859722222223354"/>
    <n v="8.7763888888948713"/>
    <n v="-13.743055555554747"/>
    <n v="181864"/>
    <n v="15"/>
    <n v="2.2499999999738067"/>
    <n v="53.999999999371354"/>
    <n v="19709.999999770545"/>
    <n v="2105"/>
    <n v="1.8717211535611156"/>
    <n v="44.921307685466772"/>
    <n v="16396.27730519537"/>
    <n v="120433"/>
    <n v="0"/>
    <n v="0"/>
    <n v="0"/>
    <n v="0"/>
    <n v="1001"/>
    <n v="0.89006787397371812"/>
    <n v="21.361628975369236"/>
    <n v="7796.9945760097708"/>
    <n v="15"/>
    <n v="2.2499999999738067"/>
    <n v="53.999999999371354"/>
    <n v="19709.999999770545"/>
    <n v="3106"/>
    <n v="60.959012501936606"/>
    <n v="77.930267812030863"/>
    <n v="2.7617890275348334"/>
    <n v="66.282936660836"/>
    <n v="24193.271881205139"/>
    <n v="513.42409999999995"/>
    <n v="10.956618512700169"/>
    <n v="10.14067415729645"/>
    <n v="12.991237594745586"/>
    <n v="496.64939999999996"/>
    <n v="10.598641572067676"/>
    <n v="3999.1657571355622"/>
    <n v="3868.5041738047012"/>
    <x v="2"/>
    <x v="1"/>
  </r>
  <r>
    <x v="27"/>
    <n v="11.4"/>
    <d v="1899-12-30T09:50:00"/>
    <n v="0.40972222221898846"/>
    <d v="1900-02-15T06:28:00"/>
    <n v="47.269444444442343"/>
    <n v="9.1861111111138598"/>
    <n v="-13.333333333335759"/>
    <n v="181883"/>
    <n v="19"/>
    <n v="1.9322033898457585"/>
    <n v="46.372881356298201"/>
    <n v="16926.101695048845"/>
    <n v="2124"/>
    <n v="1.8722454016572496"/>
    <n v="44.933889639773987"/>
    <n v="16400.869718517504"/>
    <n v="120435"/>
    <n v="2"/>
    <n v="0.20338983051007983"/>
    <n v="4.8813559322419167"/>
    <n v="1781.6949152682996"/>
    <n v="1003"/>
    <n v="0.88411588411592346"/>
    <n v="21.218781218782162"/>
    <n v="7744.855144855489"/>
    <n v="21"/>
    <n v="2.1355932203558385"/>
    <n v="51.254237288540118"/>
    <n v="18707.796610317142"/>
    <n v="3127"/>
    <n v="60.526156637417628"/>
    <n v="78.749999999985675"/>
    <n v="2.7563612857731732"/>
    <n v="66.152670858556149"/>
    <n v="24145.724863372994"/>
    <n v="517.1114"/>
    <n v="10.93965469824342"/>
    <n v="10.089775627453887"/>
    <n v="13.113899999997614"/>
    <n v="500.00729999999993"/>
    <n v="10.577812070283127"/>
    <n v="3992.9739648588479"/>
    <n v="3860.9014056533415"/>
    <x v="2"/>
    <x v="1"/>
  </r>
  <r>
    <x v="28"/>
    <n v="11.5"/>
    <d v="1899-12-30T14:01:00"/>
    <n v="0.58402777777519077"/>
    <d v="1900-02-15T20:29:00"/>
    <n v="47.853472222217533"/>
    <n v="9.7701388888890506"/>
    <n v="-12.749305555560568"/>
    <n v="181900"/>
    <n v="17"/>
    <n v="1.212841854939974"/>
    <n v="29.108204518559379"/>
    <n v="10624.494649274173"/>
    <n v="2141"/>
    <n v="1.8641977100235467"/>
    <n v="44.740745040565123"/>
    <n v="16330.371939806269"/>
    <n v="120448"/>
    <n v="13"/>
    <n v="0.92746730083645079"/>
    <n v="22.259215220074818"/>
    <n v="8124.6135553273089"/>
    <n v="1016"/>
    <n v="0.88464496655017444"/>
    <n v="21.231479197204187"/>
    <n v="7749.4899069795283"/>
    <n v="30"/>
    <n v="2.1403091557764249"/>
    <n v="51.367419738634197"/>
    <n v="18749.108204601482"/>
    <n v="3157"/>
    <n v="59.97867652285067"/>
    <n v="80.004357535782049"/>
    <n v="2.7488426765737213"/>
    <n v="65.972224237769311"/>
    <n v="24079.8618467858"/>
    <n v="521.91949999999997"/>
    <n v="10.906617132741349"/>
    <n v="9.9787629540121969"/>
    <n v="13.337502914096833"/>
    <n v="504.80429999999996"/>
    <n v="10.548958655619312"/>
    <n v="3980.9152534505929"/>
    <n v="3850.3699093010491"/>
    <x v="2"/>
    <x v="1"/>
  </r>
  <r>
    <x v="29"/>
    <n v="8.4"/>
    <d v="1899-12-30T09:08:00"/>
    <n v="0.38055555555911269"/>
    <d v="1900-02-16T05:37:00"/>
    <n v="48.234027777776646"/>
    <n v="10.150694444448163"/>
    <n v="-12.368750000001455"/>
    <n v="181923"/>
    <n v="23"/>
    <n v="2.5182481751589432"/>
    <n v="60.437956203814636"/>
    <n v="22059.854014392342"/>
    <n v="2164"/>
    <n v="1.8693580200700153"/>
    <n v="44.864592481680369"/>
    <n v="16375.576255813334"/>
    <n v="120448"/>
    <n v="0"/>
    <n v="0"/>
    <n v="0"/>
    <n v="0"/>
    <n v="1016"/>
    <n v="0.87766531811050619"/>
    <n v="21.063967634652148"/>
    <n v="7688.3481866480342"/>
    <n v="23"/>
    <n v="2.5182481751589432"/>
    <n v="60.437956203814636"/>
    <n v="22059.854014392342"/>
    <n v="3180"/>
    <n v="59.995895190509593"/>
    <n v="80.606366851935945"/>
    <n v="2.7470233381805214"/>
    <n v="65.92856011633252"/>
    <n v="24063.924442461368"/>
    <n v="526.05719999999997"/>
    <n v="10.906350231078477"/>
    <n v="10.012280495310002"/>
    <n v="13.413336028295543"/>
    <n v="508.48199999999997"/>
    <n v="10.541976762601568"/>
    <n v="3980.8178343436443"/>
    <n v="3847.8215183495722"/>
    <x v="2"/>
    <x v="1"/>
  </r>
  <r>
    <x v="30"/>
    <n v="8.3000000000000007"/>
    <d v="1899-12-30T09:49:00"/>
    <n v="0.40902777777955635"/>
    <d v="1900-02-16T15:26:00"/>
    <n v="48.643055555556202"/>
    <n v="10.55972222222772"/>
    <n v="-11.959722222221899"/>
    <n v="181928"/>
    <n v="5"/>
    <n v="0.50933786077876997"/>
    <n v="12.224108658690479"/>
    <n v="4461.7996604220252"/>
    <n v="2169"/>
    <n v="1.8579219370127955"/>
    <n v="44.590126488307092"/>
    <n v="16275.396168232088"/>
    <n v="120464"/>
    <n v="16"/>
    <n v="1.6298811544920639"/>
    <n v="39.117147707809536"/>
    <n v="14277.758913350481"/>
    <n v="1032"/>
    <n v="0.88399052051507832"/>
    <n v="21.215772492361879"/>
    <n v="7743.7569597120855"/>
    <n v="21"/>
    <n v="2.1392190152708337"/>
    <n v="51.341256366500012"/>
    <n v="18739.558573772505"/>
    <n v="3201"/>
    <n v="59.66066026565354"/>
    <n v="81.607246545118912"/>
    <n v="2.7419124575278739"/>
    <n v="65.805898980668971"/>
    <n v="24019.153127944173"/>
    <n v="529.11030000000005"/>
    <n v="10.877406732718356"/>
    <n v="9.9135846376378769"/>
    <n v="13.616796190918954"/>
    <n v="511.83989999999994"/>
    <n v="10.522363247008967"/>
    <n v="3970.2534574421998"/>
    <n v="3840.662585158273"/>
    <x v="2"/>
    <x v="1"/>
  </r>
  <r>
    <x v="31"/>
    <n v="10.8"/>
    <d v="1899-12-30T09:13:00"/>
    <n v="0.38402777777810115"/>
    <d v="1900-02-17T00:39:00"/>
    <n v="49.027083333334303"/>
    <n v="10.943750000005821"/>
    <n v="-11.575694444443798"/>
    <n v="181951"/>
    <n v="23"/>
    <n v="2.4954792043378626"/>
    <n v="59.891500904108696"/>
    <n v="21860.397829999674"/>
    <n v="2192"/>
    <n v="1.8629159053244011"/>
    <n v="44.709981727785625"/>
    <n v="16319.143330641753"/>
    <n v="120464"/>
    <n v="0"/>
    <n v="0"/>
    <n v="0"/>
    <n v="0"/>
    <n v="1032"/>
    <n v="0.87706624739725458"/>
    <n v="21.049589937534108"/>
    <n v="7683.1003271999498"/>
    <n v="23"/>
    <n v="2.4954792043378626"/>
    <n v="59.891500904108696"/>
    <n v="21860.397829999674"/>
    <n v="3224"/>
    <n v="59.668760708135025"/>
    <n v="82.327674125627013"/>
    <n v="2.7399821527216557"/>
    <n v="65.75957166531974"/>
    <n v="24002.243657841704"/>
    <n v="533.24800000000005"/>
    <n v="10.876600518420727"/>
    <n v="9.9437944031928858"/>
    <n v="13.711091007259745"/>
    <n v="515.5175999999999"/>
    <n v="10.514955509284624"/>
    <n v="3969.9591892235649"/>
    <n v="3837.9587608888883"/>
    <x v="2"/>
    <x v="1"/>
  </r>
  <r>
    <x v="32"/>
    <n v="7.3"/>
    <d v="1899-12-30T15:10:00"/>
    <n v="0.63194444443797693"/>
    <d v="1900-02-17T15:49:00"/>
    <n v="49.65902777777228"/>
    <n v="11.575694444443798"/>
    <n v="-10.943750000005821"/>
    <n v="181968"/>
    <n v="17"/>
    <n v="1.1208791208905924"/>
    <n v="26.901098901374215"/>
    <n v="9818.9010990015886"/>
    <n v="2209"/>
    <n v="1.8534729894141251"/>
    <n v="44.483351745939004"/>
    <n v="16236.423387267736"/>
    <n v="120482"/>
    <n v="18"/>
    <n v="1.1868131868253331"/>
    <n v="28.483516483807993"/>
    <n v="10396.483516589917"/>
    <n v="1050"/>
    <n v="0.88100798500897748"/>
    <n v="21.14419164021546"/>
    <n v="7717.6299486786429"/>
    <n v="35"/>
    <n v="2.3076923077159255"/>
    <n v="55.384615385182208"/>
    <n v="20215.384615591505"/>
    <n v="3259"/>
    <n v="59.43487911692695"/>
    <n v="83.883495145586451"/>
    <n v="2.7344809744231027"/>
    <n v="65.627543386154457"/>
    <n v="23954.053335946377"/>
    <n v="538.72910000000002"/>
    <n v="10.848563173867428"/>
    <n v="9.8744399784035739"/>
    <n v="14.001992004561368"/>
    <n v="521.11410000000001"/>
    <n v="10.493844187446099"/>
    <n v="3959.7255584616109"/>
    <n v="3830.2531284178253"/>
    <x v="2"/>
    <x v="1"/>
  </r>
  <r>
    <x v="33"/>
    <n v="8.5"/>
    <d v="1899-12-30T09:33:00"/>
    <n v="0.39791666666860692"/>
    <d v="1900-02-18T01:22:00"/>
    <n v="50.056944444440887"/>
    <n v="11.973611111112405"/>
    <n v="-10.545833333337214"/>
    <n v="181989"/>
    <n v="21"/>
    <n v="2.1989528795704296"/>
    <n v="52.774869109690314"/>
    <n v="19262.827225036966"/>
    <n v="2230"/>
    <n v="1.8562193057907592"/>
    <n v="44.549263338978221"/>
    <n v="16260.481118727052"/>
    <n v="120482"/>
    <n v="0"/>
    <n v="0"/>
    <n v="0"/>
    <n v="0"/>
    <n v="1050"/>
    <n v="0.87400460586560413"/>
    <n v="20.976110540774499"/>
    <n v="7656.2803473826925"/>
    <n v="21"/>
    <n v="2.1989528795704296"/>
    <n v="52.774869109690314"/>
    <n v="19262.827225036966"/>
    <n v="3280"/>
    <n v="59.21354831225436"/>
    <n v="85.057289608818962"/>
    <n v="2.7302239116563634"/>
    <n v="65.525373879752721"/>
    <n v="23916.761466109743"/>
    <n v="542.50700000000006"/>
    <n v="10.837796953470431"/>
    <n v="9.8618035030728262"/>
    <n v="14.172080600547918"/>
    <n v="524.47199999999998"/>
    <n v="10.477507283372459"/>
    <n v="3955.7958880167071"/>
    <n v="3824.2901584309475"/>
    <x v="2"/>
    <x v="1"/>
  </r>
  <r>
    <x v="34"/>
    <n v="7.2"/>
    <d v="1899-12-30T14:38:00"/>
    <n v="0.60972222222335404"/>
    <d v="1900-02-18T16:00:00"/>
    <n v="50.666666666664241"/>
    <n v="12.583333333335759"/>
    <n v="-9.9361111111138598"/>
    <n v="182006"/>
    <n v="17"/>
    <n v="1.1617312072871373"/>
    <n v="27.881548974891295"/>
    <n v="10176.765375835323"/>
    <n v="2247"/>
    <n v="1.8478618421053516"/>
    <n v="44.34868421052844"/>
    <n v="16187.26973684288"/>
    <n v="120501"/>
    <n v="19"/>
    <n v="1.298405466967977"/>
    <n v="31.161731207231448"/>
    <n v="11374.031890639479"/>
    <n v="1069"/>
    <n v="0.87911184210530524"/>
    <n v="21.098684210527324"/>
    <n v="7701.0197368424733"/>
    <n v="36"/>
    <n v="2.4601366742551143"/>
    <n v="59.043280182122743"/>
    <n v="21550.797266474801"/>
    <n v="3316"/>
    <n v="59.205298013233623"/>
    <n v="86.653620352226511"/>
    <n v="2.7269736842106567"/>
    <n v="65.447368421055771"/>
    <n v="23888.289473685356"/>
    <n v="548.12270000000001"/>
    <n v="10.818211184211044"/>
    <n v="9.8302331125808848"/>
    <n v="14.476559127756685"/>
    <n v="530.22839999999997"/>
    <n v="10.465034210526817"/>
    <n v="3948.6470822370311"/>
    <n v="3819.737486842288"/>
    <x v="2"/>
    <x v="1"/>
  </r>
  <r>
    <x v="35"/>
    <n v="7.4"/>
    <d v="1899-12-30T05:23:00"/>
    <n v="0.22430555555911269"/>
    <d v="1900-02-18T21:23:00"/>
    <n v="50.890972222223354"/>
    <n v="12.807638888894871"/>
    <n v="-9.7118055555547471"/>
    <n v="182021"/>
    <n v="15"/>
    <n v="2.7863777089341406"/>
    <n v="66.873065014419367"/>
    <n v="24408.668730263071"/>
    <n v="2262"/>
    <n v="1.8519984170953288"/>
    <n v="44.447962010287888"/>
    <n v="16223.50613375508"/>
    <n v="120501"/>
    <n v="0"/>
    <n v="0"/>
    <n v="0"/>
    <n v="0"/>
    <n v="1069"/>
    <n v="0.87523709455124077"/>
    <n v="21.005690269229778"/>
    <n v="7667.0769482688684"/>
    <n v="15"/>
    <n v="2.7863777089341406"/>
    <n v="66.873065014419367"/>
    <n v="24408.668730263071"/>
    <n v="3331"/>
    <n v="59.339586835085875"/>
    <n v="87.110475509481688"/>
    <n v="2.7272355116465694"/>
    <n v="65.453652279517669"/>
    <n v="23890.58308202395"/>
    <n v="550.82119999999998"/>
    <n v="10.823554275889119"/>
    <n v="9.8687666865431272"/>
    <n v="14.533054558456698"/>
    <n v="532.62689999999998"/>
    <n v="10.466038999494875"/>
    <n v="3950.5973106995289"/>
    <n v="3820.1042348156293"/>
    <x v="2"/>
    <x v="1"/>
  </r>
  <r>
    <x v="36"/>
    <n v="2.9"/>
    <d v="1899-12-30T16:35:00"/>
    <n v="0.69097222221898846"/>
    <d v="1900-02-19T13:58:00"/>
    <n v="51.581944444442343"/>
    <n v="13.49861111111386"/>
    <n v="-9.0208333333357587"/>
    <n v="182048"/>
    <n v="27"/>
    <n v="1.6281407035252076"/>
    <n v="39.075376884604985"/>
    <n v="14262.51256288082"/>
    <n v="2289"/>
    <n v="1.8489997038154715"/>
    <n v="44.375992891571315"/>
    <n v="16197.23740542353"/>
    <n v="120523"/>
    <n v="22"/>
    <n v="1.3266331658353543"/>
    <n v="31.839195980048505"/>
    <n v="11621.306532717705"/>
    <n v="1091"/>
    <n v="0.88128382562808194"/>
    <n v="21.150811815073965"/>
    <n v="7720.0463125019969"/>
    <n v="49"/>
    <n v="2.9547738693605621"/>
    <n v="70.914572864653493"/>
    <n v="25883.819095598526"/>
    <n v="3380"/>
    <n v="59.932091778977401"/>
    <n v="88.351039260946223"/>
    <n v="2.7302835294435535"/>
    <n v="65.526804706645279"/>
    <n v="23917.283717925526"/>
    <n v="558.63970000000006"/>
    <n v="10.830140391502637"/>
    <n v="9.942808107828002"/>
    <n v="14.779532563506409"/>
    <n v="540.46199999999999"/>
    <n v="10.477736072592581"/>
    <n v="3953.0012428984619"/>
    <n v="3824.3736664962912"/>
    <x v="2"/>
    <x v="1"/>
  </r>
  <r>
    <x v="37"/>
    <n v="6.1"/>
    <d v="1899-12-30T04:16:00"/>
    <n v="0.17777777777519077"/>
    <d v="1900-02-19T18:14:00"/>
    <n v="51.759722222217533"/>
    <n v="13.676388888889051"/>
    <n v="-8.8430555555605679"/>
    <n v="182062"/>
    <n v="14"/>
    <n v="3.2812500000477485"/>
    <n v="78.750000001145963"/>
    <n v="28743.750000418277"/>
    <n v="2303"/>
    <n v="1.8539190168247044"/>
    <n v="44.494056403792904"/>
    <n v="16240.330587384409"/>
    <n v="120523"/>
    <n v="0"/>
    <n v="0"/>
    <n v="0"/>
    <n v="0"/>
    <n v="1091"/>
    <n v="0.87825690289003577"/>
    <n v="21.07816566936086"/>
    <n v="7693.5304693167136"/>
    <n v="14"/>
    <n v="3.2812500000477485"/>
    <n v="78.750000001145963"/>
    <n v="28743.750000418277"/>
    <n v="3394"/>
    <n v="60.176703564536709"/>
    <n v="88.544055285013428"/>
    <n v="2.7321759197147402"/>
    <n v="65.572222073153767"/>
    <n v="23933.861056701124"/>
    <n v="561.15830000000005"/>
    <n v="10.841601846138316"/>
    <n v="9.9977195084796229"/>
    <n v="14.791844196630526"/>
    <n v="542.70060000000001"/>
    <n v="10.484998309497287"/>
    <n v="3957.1846738404847"/>
    <n v="3827.0243829665092"/>
    <x v="2"/>
    <x v="1"/>
  </r>
  <r>
    <x v="38"/>
    <n v="-0.5"/>
    <d v="1899-12-30T20:24:00"/>
    <n v="0.85000000000582077"/>
    <d v="1900-02-20T14:38:00"/>
    <n v="52.609722222223354"/>
    <n v="14.526388888894871"/>
    <n v="-7.9930555555547471"/>
    <n v="182098"/>
    <n v="36"/>
    <n v="1.7647058823408566"/>
    <n v="42.352941176180558"/>
    <n v="15458.823529305904"/>
    <n v="2339"/>
    <n v="1.8524776261252538"/>
    <n v="44.459463027006095"/>
    <n v="16227.704004857225"/>
    <n v="120545"/>
    <n v="22"/>
    <n v="1.0784313725416346"/>
    <n v="25.88235294099923"/>
    <n v="9447.0588234647184"/>
    <n v="1113"/>
    <n v="0.88149106365002461"/>
    <n v="21.155785527600589"/>
    <n v="7721.8617175742147"/>
    <n v="58"/>
    <n v="2.8431372548824911"/>
    <n v="68.235294117179791"/>
    <n v="24905.882352770623"/>
    <n v="3452"/>
    <n v="60.648245530140429"/>
    <n v="90.703735881851046"/>
    <n v="2.7339686897752786"/>
    <n v="65.61524855460668"/>
    <n v="23949.565722431438"/>
    <n v="570.59590000000003"/>
    <n v="10.845826130573435"/>
    <n v="10.062397552343116"/>
    <n v="15.1841181581249"/>
    <n v="551.97479999999996"/>
    <n v="10.491878243881608"/>
    <n v="3958.7265376593041"/>
    <n v="3829.5355590167865"/>
    <x v="2"/>
    <x v="1"/>
  </r>
  <r>
    <x v="39"/>
    <n v="3.8"/>
    <d v="1899-12-30T06:00:00"/>
    <n v="0.25"/>
    <d v="1900-02-20T20:38:00"/>
    <n v="52.859722222223354"/>
    <n v="14.776388888894871"/>
    <n v="-7.7430555555547471"/>
    <n v="182122"/>
    <n v="24"/>
    <n v="4"/>
    <n v="96"/>
    <n v="35040"/>
    <n v="2363"/>
    <n v="1.8626343309072357"/>
    <n v="44.703223941773658"/>
    <n v="16316.676738747385"/>
    <n v="120545"/>
    <n v="0"/>
    <n v="0"/>
    <n v="0"/>
    <n v="0"/>
    <n v="1113"/>
    <n v="0.87732205260251939"/>
    <n v="21.055729262460464"/>
    <n v="7685.3411807980692"/>
    <n v="24"/>
    <n v="4"/>
    <n v="96"/>
    <n v="35040"/>
    <n v="3476"/>
    <n v="61.246357740364338"/>
    <n v="90.532735426018419"/>
    <n v="2.7399563835097549"/>
    <n v="65.758953204234118"/>
    <n v="24002.017919545451"/>
    <n v="574.9135"/>
    <n v="10.87621114585226"/>
    <n v="10.184348904968147"/>
    <n v="15.116758385651799"/>
    <n v="555.81239999999991"/>
    <n v="10.514856617357035"/>
    <n v="3969.8170682360751"/>
    <n v="3837.9226653353171"/>
    <x v="2"/>
    <x v="1"/>
  </r>
  <r>
    <x v="40"/>
    <n v="0.2"/>
    <d v="1899-12-30T07:05:00"/>
    <n v="0.29513888888322981"/>
    <d v="1900-02-21T03:43:00"/>
    <n v="53.154861111106584"/>
    <n v="15.071527777778101"/>
    <n v="-7.4479166666715173"/>
    <n v="182145"/>
    <n v="23"/>
    <n v="3.2470588235916718"/>
    <n v="77.929411766200118"/>
    <n v="28444.235294663042"/>
    <n v="2386"/>
    <n v="1.8703212573326391"/>
    <n v="44.887710175983337"/>
    <n v="16384.014214233917"/>
    <n v="120545"/>
    <n v="0"/>
    <n v="0"/>
    <n v="0"/>
    <n v="0"/>
    <n v="1113"/>
    <n v="0.87245077930059822"/>
    <n v="20.938818703214356"/>
    <n v="7642.6688266732399"/>
    <n v="23"/>
    <n v="3.2470588235916718"/>
    <n v="77.929411766200118"/>
    <n v="28444.235294663042"/>
    <n v="3499"/>
    <n v="61.573054416438801"/>
    <n v="91.032167832108541"/>
    <n v="2.7427720366332373"/>
    <n v="65.826528879197696"/>
    <n v="24026.683040907159"/>
    <n v="579.05119999999999"/>
    <n v="10.893664058112055"/>
    <n v="10.25945095148114"/>
    <n v="15.160239440549566"/>
    <n v="559.49009999999998"/>
    <n v="10.52566196778371"/>
    <n v="3976.1873812108997"/>
    <n v="3841.8666182410543"/>
    <x v="2"/>
    <x v="1"/>
  </r>
  <r>
    <x v="41"/>
    <n v="0.2"/>
    <d v="1899-12-30T09:47:00"/>
    <n v="0.40763888889341615"/>
    <d v="1900-02-21T13:30:00"/>
    <n v="53.5625"/>
    <n v="15.479166666671517"/>
    <n v="-7.0402777777781012"/>
    <n v="182151"/>
    <n v="6"/>
    <n v="0.6132879045928481"/>
    <n v="14.718909710228354"/>
    <n v="5372.4020442333494"/>
    <n v="2392"/>
    <n v="1.8607545702061454"/>
    <n v="44.65810968494749"/>
    <n v="16300.210035005834"/>
    <n v="120567"/>
    <n v="22"/>
    <n v="2.2487223168404431"/>
    <n v="53.969335604170631"/>
    <n v="19698.80749552228"/>
    <n v="1135"/>
    <n v="0.88292493193309995"/>
    <n v="21.190198366394398"/>
    <n v="7734.4224037339554"/>
    <n v="28"/>
    <n v="2.862010221433291"/>
    <n v="68.688245314398984"/>
    <n v="25071.20953975563"/>
    <n v="3527"/>
    <n v="61.76043068638711"/>
    <n v="92.325902544876399"/>
    <n v="2.7436795021392455"/>
    <n v="65.848308051341888"/>
    <n v="24034.632438739791"/>
    <n v="583.09180000000003"/>
    <n v="10.886194632438741"/>
    <n v="10.250306325703383"/>
    <n v="15.464105740776555"/>
    <n v="563.96729999999991"/>
    <n v="10.529144457409567"/>
    <n v="3973.4610408401404"/>
    <n v="3843.1377269544923"/>
    <x v="2"/>
    <x v="1"/>
  </r>
  <r>
    <x v="42"/>
    <n v="2.1"/>
    <d v="1899-12-30T06:56:00"/>
    <n v="0.288888888884685"/>
    <d v="1900-02-21T20:26:00"/>
    <n v="53.851388888884685"/>
    <n v="15.768055555556202"/>
    <n v="-6.7513888888934162"/>
    <n v="182187"/>
    <n v="36"/>
    <n v="5.1923076923832507"/>
    <n v="124.615384617198"/>
    <n v="45484.61538527727"/>
    <n v="2428"/>
    <n v="1.8786268795297163"/>
    <n v="45.087045108713191"/>
    <n v="16456.771464680314"/>
    <n v="120568"/>
    <n v="1"/>
    <n v="0.14423076923286807"/>
    <n v="3.4615384615888334"/>
    <n v="1263.4615384799242"/>
    <n v="1136"/>
    <n v="0.87896216439281616"/>
    <n v="21.095091945427587"/>
    <n v="7699.7085600810697"/>
    <n v="37"/>
    <n v="5.3365384616161187"/>
    <n v="128.07692307878685"/>
    <n v="46748.076923757202"/>
    <n v="3564"/>
    <n v="62.975424997795358"/>
    <n v="90.796132482967295"/>
    <n v="2.7575890439225326"/>
    <n v="66.182137054140782"/>
    <n v="24156.480024761386"/>
    <n v="589.70280000000002"/>
    <n v="10.950558790912057"/>
    <n v="10.481774332775048"/>
    <n v="15.146601933748322"/>
    <n v="569.8836"/>
    <n v="10.582523714957111"/>
    <n v="3996.9539586829005"/>
    <n v="3862.6211559593453"/>
    <x v="2"/>
    <x v="1"/>
  </r>
  <r>
    <x v="43"/>
    <n v="1"/>
    <d v="1899-12-30T17:39:00"/>
    <n v="0.73541666667006211"/>
    <d v="1900-02-22T14:05:00"/>
    <n v="54.586805555554747"/>
    <n v="16.503472222226264"/>
    <n v="-6.015972222223354"/>
    <n v="182222"/>
    <n v="35"/>
    <n v="1.9830028328520342"/>
    <n v="47.592067988448818"/>
    <n v="17371.10481578382"/>
    <n v="2463"/>
    <n v="1.8800330767763143"/>
    <n v="45.120793842631542"/>
    <n v="16469.089752560514"/>
    <n v="120590"/>
    <n v="22"/>
    <n v="1.2464589235069929"/>
    <n v="29.915014164167829"/>
    <n v="10918.980169921257"/>
    <n v="1158"/>
    <n v="0.8839132370714462"/>
    <n v="21.213917689714709"/>
    <n v="7743.0799567458689"/>
    <n v="57"/>
    <n v="3.2294617563590271"/>
    <n v="77.507082152616647"/>
    <n v="28290.084985705074"/>
    <n v="3621"/>
    <n v="63.622974963165568"/>
    <n v="92.420639501310092"/>
    <n v="2.7639463138477605"/>
    <n v="66.334711532346248"/>
    <n v="24212.169709306381"/>
    <n v="598.96050000000002"/>
    <n v="10.972624133325015"/>
    <n v="10.575647212284386"/>
    <n v="15.45933002423811"/>
    <n v="578.99789999999996"/>
    <n v="10.606920374022165"/>
    <n v="4005.0078086636308"/>
    <n v="3871.52593651809"/>
    <x v="2"/>
    <x v="1"/>
  </r>
  <r>
    <x v="44"/>
    <n v="-0.4"/>
    <d v="1899-12-30T06:23:00"/>
    <n v="0.26597222222335404"/>
    <d v="1900-02-22T20:28:00"/>
    <n v="54.852777777778101"/>
    <n v="16.769444444449618"/>
    <n v="-5.75"/>
    <n v="182247"/>
    <n v="25"/>
    <n v="3.9164490861452137"/>
    <n v="93.994778067485129"/>
    <n v="34308.093994632072"/>
    <n v="2488"/>
    <n v="1.8899073276953351"/>
    <n v="45.357775864688037"/>
    <n v="16555.588190611132"/>
    <n v="120590"/>
    <n v="0"/>
    <n v="0"/>
    <n v="0"/>
    <n v="0"/>
    <n v="1158"/>
    <n v="0.87962728515723387"/>
    <n v="21.111054843773612"/>
    <n v="7705.5350179773686"/>
    <n v="25"/>
    <n v="3.9164490861452137"/>
    <n v="93.994778067485129"/>
    <n v="34308.093994632072"/>
    <n v="3646"/>
    <n v="64.104687758800821"/>
    <n v="92.347826086956516"/>
    <n v="2.7695346128525689"/>
    <n v="66.468830708461653"/>
    <n v="24261.123208588502"/>
    <n v="603.45799999999997"/>
    <n v="11.001411860029306"/>
    <n v="10.676108000659283"/>
    <n v="15.392243478260871"/>
    <n v="582.9953999999999"/>
    <n v="10.628366030283017"/>
    <n v="4015.5153289106966"/>
    <n v="3879.3536010533012"/>
    <x v="2"/>
    <x v="1"/>
  </r>
  <r>
    <x v="45"/>
    <n v="-4"/>
    <d v="1899-12-30T18:09:00"/>
    <n v="0.75624999999854481"/>
    <d v="1900-02-23T14:37:00"/>
    <n v="55.609027777776646"/>
    <n v="17.525694444448163"/>
    <n v="-4.9937500000014552"/>
    <n v="182295"/>
    <n v="48"/>
    <n v="2.6446280991786426"/>
    <n v="63.471074380287419"/>
    <n v="23166.942148804908"/>
    <n v="2536"/>
    <n v="1.9001710853304081"/>
    <n v="45.604106047929797"/>
    <n v="16645.498707494375"/>
    <n v="120620"/>
    <n v="30"/>
    <n v="1.6528925619866517"/>
    <n v="39.669421487679635"/>
    <n v="14479.338843003066"/>
    <n v="1188"/>
    <n v="0.89014323713427634"/>
    <n v="21.363437691222632"/>
    <n v="7797.6547572962609"/>
    <n v="78"/>
    <n v="4.2975206611652945"/>
    <n v="103.14049586796706"/>
    <n v="37646.28099180798"/>
    <n v="3724"/>
    <n v="65.789119150439745"/>
    <n v="90.713391739648159"/>
    <n v="2.7903143224646847"/>
    <n v="66.967543739152433"/>
    <n v="24443.153464790637"/>
    <n v="616.13120000000004"/>
    <n v="11.079697391261137"/>
    <n v="10.938545151957104"/>
    <n v="15.185421777217091"/>
    <n v="595.46759999999995"/>
    <n v="10.708110243890472"/>
    <n v="4044.0895478103148"/>
    <n v="3908.4602390200225"/>
    <x v="2"/>
    <x v="1"/>
  </r>
  <r>
    <x v="46"/>
    <n v="-2"/>
    <d v="1899-12-30T05:52:00"/>
    <n v="0.24444444444088731"/>
    <d v="1900-02-23T20:29:00"/>
    <n v="55.853472222217533"/>
    <n v="17.770138888889051"/>
    <n v="-4.7493055555605679"/>
    <n v="182324"/>
    <n v="29"/>
    <n v="4.943181818253751"/>
    <n v="118.63636363809002"/>
    <n v="43302.272727902855"/>
    <n v="2565"/>
    <n v="1.913488915689775"/>
    <n v="45.923733976554601"/>
    <n v="16762.162901442429"/>
    <n v="120620"/>
    <n v="0"/>
    <n v="0"/>
    <n v="0"/>
    <n v="0"/>
    <n v="1188"/>
    <n v="0.88624749779315903"/>
    <n v="21.269939947035816"/>
    <n v="7763.528080668073"/>
    <n v="29"/>
    <n v="4.943181818253751"/>
    <n v="118.63636363809002"/>
    <n v="43302.272727902855"/>
    <n v="3753"/>
    <n v="66.516081128609343"/>
    <n v="89.276209972123937"/>
    <n v="2.7997364134829339"/>
    <n v="67.193673923590424"/>
    <n v="24525.690982110504"/>
    <n v="621.34829999999999"/>
    <n v="11.124613659253194"/>
    <n v="11.081663527296783"/>
    <n v="14.868510600949358"/>
    <n v="600.10469999999998"/>
    <n v="10.744268460382107"/>
    <n v="4060.4839856274157"/>
    <n v="3921.6579880394693"/>
    <x v="2"/>
    <x v="1"/>
  </r>
  <r>
    <x v="47"/>
    <n v="-1.7"/>
    <d v="1899-12-30T17:50:00"/>
    <n v="0.74305555555474712"/>
    <d v="1900-02-24T14:19:00"/>
    <n v="56.59652777777228"/>
    <n v="18.513194444443798"/>
    <n v="-4.0062500000058208"/>
    <n v="182369"/>
    <n v="45"/>
    <n v="2.5233644859840538"/>
    <n v="60.560747663617292"/>
    <n v="22104.672897220313"/>
    <n v="2610"/>
    <n v="1.9214959692758833"/>
    <n v="46.115903262621195"/>
    <n v="16832.304690856738"/>
    <n v="120646"/>
    <n v="26"/>
    <n v="1.4579439252352311"/>
    <n v="34.990654205645548"/>
    <n v="12771.588785060625"/>
    <n v="1214"/>
    <n v="0.8937532975865603"/>
    <n v="21.450079142077445"/>
    <n v="7829.2788868582675"/>
    <n v="71"/>
    <n v="3.9813084112192847"/>
    <n v="95.551401869262833"/>
    <n v="34876.261682280936"/>
    <n v="3824"/>
    <n v="67.681458419297911"/>
    <n v="88.112324492851698"/>
    <n v="2.8152492668624434"/>
    <n v="67.565982404698644"/>
    <n v="24661.583577715006"/>
    <n v="632.9434"/>
    <n v="11.183431649469178"/>
    <n v="11.263199369819214"/>
    <n v="14.73198127922976"/>
    <n v="611.45759999999996"/>
    <n v="10.803800586511313"/>
    <n v="4081.9525520562502"/>
    <n v="3943.3872140766293"/>
    <x v="2"/>
    <x v="1"/>
  </r>
  <r>
    <x v="48"/>
    <n v="-5"/>
    <d v="1899-12-31T01:03:00"/>
    <n v="1.0437500000043656"/>
    <d v="1900-02-25T15:22:00"/>
    <n v="57.640277777776646"/>
    <n v="19.556944444448163"/>
    <n v="-2.9625000000014552"/>
    <n v="182450"/>
    <n v="81"/>
    <n v="3.233532934118212"/>
    <n v="77.604790418837084"/>
    <n v="28325.748502875536"/>
    <n v="2691"/>
    <n v="1.9452543312209727"/>
    <n v="46.686103949303345"/>
    <n v="17040.42794149572"/>
    <n v="120677"/>
    <n v="31"/>
    <n v="1.2375249500946244"/>
    <n v="29.700598802270985"/>
    <n v="10840.71856282891"/>
    <n v="1245"/>
    <n v="0.89997831377558934"/>
    <n v="21.599479530614143"/>
    <n v="7883.8100286741619"/>
    <n v="112"/>
    <n v="4.4710578842128363"/>
    <n v="107.30538922110807"/>
    <n v="39166.467065704448"/>
    <n v="3936"/>
    <n v="69.796179248619637"/>
    <n v="81.350210970424172"/>
    <n v="2.8452326449965621"/>
    <n v="68.285583479917491"/>
    <n v="24924.237970169885"/>
    <n v="651.68790000000001"/>
    <n v="11.306120045300336"/>
    <n v="11.620542291028256"/>
    <n v="13.595105485225378"/>
    <n v="629.3664"/>
    <n v="10.918864798438806"/>
    <n v="4126.7338165346227"/>
    <n v="3985.3856514301642"/>
    <x v="2"/>
    <x v="1"/>
  </r>
  <r>
    <x v="49"/>
    <n v="0"/>
    <d v="1899-12-30T08:50:00"/>
    <n v="0.36805555555474712"/>
    <d v="1900-02-26T00:12:00"/>
    <n v="58.008333333331393"/>
    <n v="19.92500000000291"/>
    <n v="-2.5944444444467081"/>
    <n v="182490"/>
    <n v="40"/>
    <n v="4.5283018868023994"/>
    <n v="108.67924528325759"/>
    <n v="39667.92452838902"/>
    <n v="2731"/>
    <n v="1.9616434420342561"/>
    <n v="47.079442608822148"/>
    <n v="17183.996552220084"/>
    <n v="120677"/>
    <n v="0"/>
    <n v="0"/>
    <n v="0"/>
    <n v="0"/>
    <n v="1245"/>
    <n v="0.89426806493322919"/>
    <n v="21.4624335583975"/>
    <n v="7833.7882488150872"/>
    <n v="40"/>
    <n v="4.5283018868023994"/>
    <n v="108.67924528325759"/>
    <n v="39667.92452838902"/>
    <n v="3976"/>
    <n v="70.514429109149049"/>
    <n v="77.473233404643324"/>
    <n v="2.8559115069674852"/>
    <n v="68.541876167219641"/>
    <n v="25017.78480103517"/>
    <n v="658.88390000000004"/>
    <n v="11.358435282287408"/>
    <n v="11.767041405268044"/>
    <n v="12.750128479646239"/>
    <n v="635.76239999999996"/>
    <n v="10.959845999138421"/>
    <n v="4145.8288780349039"/>
    <n v="4000.3437896855235"/>
    <x v="2"/>
    <x v="1"/>
  </r>
  <r>
    <x v="50"/>
    <n v="-4"/>
    <d v="1899-12-30T15:21:00"/>
    <n v="0.63958333332993789"/>
    <d v="1900-02-26T15:33:00"/>
    <n v="58.647916666661331"/>
    <n v="20.564583333332848"/>
    <n v="-1.9548611111167702"/>
    <n v="182521"/>
    <n v="31"/>
    <n v="2.0195439739520897"/>
    <n v="48.46905537485015"/>
    <n v="17691.205211820306"/>
    <n v="2762"/>
    <n v="1.962274874782602"/>
    <n v="47.094596994782442"/>
    <n v="17189.52790309559"/>
    <n v="120700"/>
    <n v="23"/>
    <n v="1.4983713355128405"/>
    <n v="35.960912052308174"/>
    <n v="13125.732899092483"/>
    <n v="1268"/>
    <n v="0.90085609747441675"/>
    <n v="21.620546339386003"/>
    <n v="7891.4994138758912"/>
    <n v="54"/>
    <n v="3.51791530946493"/>
    <n v="84.429967427158317"/>
    <n v="30816.938110912786"/>
    <n v="4030"/>
    <n v="70.947219126736556"/>
    <n v="75.197158081487459"/>
    <n v="2.8631309722570188"/>
    <n v="68.715143334168445"/>
    <n v="25081.027316971482"/>
    <n v="667.5566"/>
    <n v="11.382443536642718"/>
    <n v="11.822802147705676"/>
    <n v="12.485183658933648"/>
    <n v="644.39699999999993"/>
    <n v="10.987551419133533"/>
    <n v="4154.5918908745916"/>
    <n v="4010.4562679837395"/>
    <x v="2"/>
    <x v="1"/>
  </r>
  <r>
    <x v="51"/>
    <n v="7.1"/>
    <d v="1899-12-30T09:26:00"/>
    <n v="0.39305555555620231"/>
    <d v="1900-02-27T00:59:00"/>
    <n v="59.040972222217533"/>
    <n v="20.957638888889051"/>
    <n v="-1.5618055555605679"/>
    <n v="182560"/>
    <n v="39"/>
    <n v="4.1342756183677558"/>
    <n v="99.222614840826139"/>
    <n v="36216.254416901538"/>
    <n v="2801"/>
    <n v="1.9767346122632983"/>
    <n v="47.441630694319159"/>
    <n v="17316.195203426494"/>
    <n v="120700"/>
    <n v="0"/>
    <n v="0"/>
    <n v="0"/>
    <n v="0"/>
    <n v="1268"/>
    <n v="0.89485879626914033"/>
    <n v="21.47661111045937"/>
    <n v="7838.9630553176703"/>
    <n v="39"/>
    <n v="4.1342756183677558"/>
    <n v="99.222614840826139"/>
    <n v="36216.254416901538"/>
    <n v="4069"/>
    <n v="71.477517479041168"/>
    <n v="69.150733659182251"/>
    <n v="2.8715934085324384"/>
    <n v="68.918241804778518"/>
    <n v="25155.158258744159"/>
    <n v="674.57269999999994"/>
    <n v="11.425501217375846"/>
    <n v="11.935843599854106"/>
    <n v="11.134996887469846"/>
    <n v="650.6330999999999"/>
    <n v="11.020026864584084"/>
    <n v="4170.3079443421848"/>
    <n v="4022.3098055731907"/>
    <x v="2"/>
    <x v="1"/>
  </r>
  <r>
    <x v="52"/>
    <n v="5.4"/>
    <d v="1899-12-30T12:38:00"/>
    <n v="0.52638888888759539"/>
    <d v="1900-02-27T13:37:00"/>
    <n v="59.567361111105129"/>
    <n v="21.484027777776646"/>
    <n v="-1.0354166666729725"/>
    <n v="182574"/>
    <n v="14"/>
    <n v="1.1081794195277892"/>
    <n v="26.596306068666937"/>
    <n v="9707.6517150634318"/>
    <n v="2815"/>
    <n v="1.9690593049420819"/>
    <n v="47.257423318609966"/>
    <n v="17248.959511292636"/>
    <n v="120725"/>
    <n v="25"/>
    <n v="1.9788918205853376"/>
    <n v="47.493403694048105"/>
    <n v="17335.092348327558"/>
    <n v="1293"/>
    <n v="0.90443825267854772"/>
    <n v="21.706518064285145"/>
    <n v="7922.8790934640783"/>
    <n v="39"/>
    <n v="3.0870712401131266"/>
    <n v="74.089709762715046"/>
    <n v="27042.74406339099"/>
    <n v="4108"/>
    <n v="71.541519862951048"/>
    <n v="66.63983903379939"/>
    <n v="2.8734975576206296"/>
    <n v="68.963941382895115"/>
    <n v="25171.838604756718"/>
    <n v="680.45630000000006"/>
    <n v="11.423307786470714"/>
    <n v="11.917257911239599"/>
    <n v="11.113496981823591"/>
    <n v="656.86919999999998"/>
    <n v="11.027334227124928"/>
    <n v="4169.50734206181"/>
    <n v="4024.9769929005988"/>
    <x v="2"/>
    <x v="1"/>
  </r>
  <r>
    <x v="53"/>
    <n v="10.9"/>
    <d v="1899-12-30T07:07:00"/>
    <n v="0.29652777778392192"/>
    <d v="1900-02-27T20:44:00"/>
    <n v="59.863888888889051"/>
    <n v="21.780555555560568"/>
    <n v="-0.73888888888905058"/>
    <n v="182599"/>
    <n v="25"/>
    <n v="3.5128805619881018"/>
    <n v="84.309133487714448"/>
    <n v="30772.833723015774"/>
    <n v="2840"/>
    <n v="1.976706417335617"/>
    <n v="47.44095401605481"/>
    <n v="17315.948215860008"/>
    <n v="120725"/>
    <n v="0"/>
    <n v="0"/>
    <n v="0"/>
    <n v="0"/>
    <n v="1293"/>
    <n v="0.89995823859681445"/>
    <n v="21.598997726323546"/>
    <n v="7883.6341701080946"/>
    <n v="25"/>
    <n v="3.5128805619881018"/>
    <n v="84.309133487714448"/>
    <n v="30772.833723015774"/>
    <n v="4133"/>
    <n v="71.715342430795886"/>
    <n v="59.548872180438096"/>
    <n v="2.8766646559324314"/>
    <n v="69.039951742378364"/>
    <n v="25199.582385968104"/>
    <n v="684.9538"/>
    <n v="11.44185272145141"/>
    <n v="11.961503889807219"/>
    <n v="9.4866766917272169"/>
    <n v="660.86669999999992"/>
    <n v="11.039488283606298"/>
    <n v="4176.2762433297648"/>
    <n v="4029.4132235162997"/>
    <x v="2"/>
    <x v="1"/>
  </r>
  <r>
    <x v="54"/>
    <n v="6.1"/>
    <d v="1899-12-30T17:44:00"/>
    <n v="0.73888888888905058"/>
    <d v="1900-02-28T14:28:00"/>
    <n v="60.602777777778101"/>
    <n v="22.519444444449618"/>
    <n v="0"/>
    <n v="182623"/>
    <n v="24"/>
    <n v="1.3533834586463205"/>
    <n v="32.481203007511688"/>
    <n v="11855.639097741767"/>
    <n v="2864"/>
    <n v="1.9691066599440699"/>
    <n v="47.258559838657675"/>
    <n v="17249.374341110051"/>
    <n v="120745"/>
    <n v="20"/>
    <n v="1.1278195488719336"/>
    <n v="27.067669172926408"/>
    <n v="9879.6992481181387"/>
    <n v="1313"/>
    <n v="0.90273639822156548"/>
    <n v="21.665673557317572"/>
    <n v="7907.9708484209141"/>
    <n v="44"/>
    <n v="2.4812030075182538"/>
    <n v="59.548872180438096"/>
    <n v="21735.338345859906"/>
    <n v="4177"/>
    <n v="71.316146540010749"/>
    <e v="#DIV/0!"/>
    <n v="2.8718430581656351"/>
    <n v="68.92423339597525"/>
    <n v="25157.345189530966"/>
    <n v="691.96339999999998"/>
    <n v="11.41801457578946"/>
    <n v="11.880301961265308"/>
    <e v="#DIV/0!"/>
    <n v="667.90229999999997"/>
    <n v="11.020984920016442"/>
    <n v="4167.5753201631533"/>
    <n v="4022.6594958060014"/>
    <x v="2"/>
    <x v="1"/>
  </r>
  <r>
    <x v="55"/>
    <n v="9.5"/>
    <d v="1899-12-30T12:57:00"/>
    <n v="0.53958333333139308"/>
    <d v="1900-03-01T03:25:00"/>
    <n v="61.142361111109494"/>
    <n v="23.059027777781012"/>
    <n v="0.53958333333139308"/>
    <n v="182658"/>
    <n v="35"/>
    <n v="2.7027027027124211"/>
    <n v="64.864864865098113"/>
    <n v="23675.675675760813"/>
    <n v="2899"/>
    <n v="1.9755806689761439"/>
    <n v="47.413936055427456"/>
    <n v="17306.08666023102"/>
    <n v="120745"/>
    <n v="0"/>
    <n v="0"/>
    <n v="0"/>
    <n v="0"/>
    <n v="1313"/>
    <n v="0.89476972002955402"/>
    <n v="21.474473280709297"/>
    <n v="7838.1827474588936"/>
    <n v="35"/>
    <n v="2.7027027027124211"/>
    <n v="64.864864865098113"/>
    <n v="23675.675675760813"/>
    <n v="4212"/>
    <n v="71.165185965958997"/>
    <n v="64.864864865098113"/>
    <n v="2.8703503890056981"/>
    <n v="68.888409336136746"/>
    <n v="25144.269407689913"/>
    <n v="698.25990000000002"/>
    <n v="11.420231199954872"/>
    <n v="11.875361903326146"/>
    <n v="11.669189189231219"/>
    <n v="673.49879999999996"/>
    <n v="11.015256652848267"/>
    <n v="4168.3843879835276"/>
    <n v="4020.5686782896169"/>
    <x v="2"/>
    <x v="1"/>
  </r>
  <r>
    <x v="56"/>
    <n v="8.9"/>
    <d v="1899-12-30T10:34:00"/>
    <n v="0.44027777777955635"/>
    <d v="1900-03-01T13:59:00"/>
    <n v="61.582638888889051"/>
    <n v="23.499305555560568"/>
    <n v="0.97986111111094942"/>
    <n v="182663"/>
    <n v="5"/>
    <n v="0.47318611987190551"/>
    <n v="11.356466876925733"/>
    <n v="4145.110410077893"/>
    <n v="2904"/>
    <n v="1.9648394772155702"/>
    <n v="47.156147453173681"/>
    <n v="17211.993820408392"/>
    <n v="120761"/>
    <n v="16"/>
    <n v="1.5141955835900978"/>
    <n v="36.340694006162344"/>
    <n v="13264.353312249255"/>
    <n v="1329"/>
    <n v="0.89919823182489422"/>
    <n v="21.580757563797459"/>
    <n v="7876.9765107860721"/>
    <n v="21"/>
    <n v="1.9873817034620032"/>
    <n v="47.697160883088074"/>
    <n v="17409.463722327146"/>
    <n v="4233"/>
    <n v="70.725494252179132"/>
    <n v="57.150956768258901"/>
    <n v="2.8640377090404643"/>
    <n v="68.73690501697115"/>
    <n v="25088.970331194469"/>
    <n v="701.3130000000001"/>
    <n v="11.388160894913085"/>
    <n v="11.78279074440483"/>
    <n v="9.5417604535807214"/>
    <n v="676.85669999999993"/>
    <n v="10.991031112213685"/>
    <n v="4156.6787266432748"/>
    <n v="4011.7263559579951"/>
    <x v="2"/>
    <x v="1"/>
  </r>
  <r>
    <x v="57"/>
    <n v="13.2"/>
    <d v="1899-12-30T06:58:00"/>
    <n v="0.29027777777810115"/>
    <d v="1900-03-01T20:57:00"/>
    <n v="61.872916666667152"/>
    <n v="23.789583333338669"/>
    <n v="1.2701388888890506"/>
    <n v="182681"/>
    <n v="18"/>
    <n v="2.5837320574133895"/>
    <n v="62.009569377921352"/>
    <n v="22633.492822941294"/>
    <n v="2922"/>
    <n v="1.9677430216505452"/>
    <n v="47.225832519613085"/>
    <n v="17237.428869658776"/>
    <n v="120761"/>
    <n v="0"/>
    <n v="0"/>
    <n v="0"/>
    <n v="0"/>
    <n v="1329"/>
    <n v="0.89497962894372851"/>
    <n v="21.479511094649482"/>
    <n v="7840.0215495470611"/>
    <n v="18"/>
    <n v="2.5837320574133895"/>
    <n v="62.009569377921352"/>
    <n v="22633.492822941294"/>
    <n v="4251"/>
    <n v="70.619143532692803"/>
    <n v="58.261344997258853"/>
    <n v="2.8627226505942738"/>
    <n v="68.705343614262574"/>
    <n v="25077.450419205841"/>
    <n v="704.55120000000011"/>
    <n v="11.387069463618216"/>
    <n v="11.775136877131962"/>
    <n v="9.9105697102230064"/>
    <n v="679.73489999999993"/>
    <n v="10.985984443920584"/>
    <n v="4156.2803542206484"/>
    <n v="4009.8843220310137"/>
    <x v="2"/>
    <x v="1"/>
  </r>
  <r>
    <x v="58"/>
    <n v="9.5"/>
    <d v="1899-12-30T06:46:00"/>
    <n v="0.28194444443943212"/>
    <d v="1900-03-02T03:43:00"/>
    <n v="62.154861111106584"/>
    <n v="24.071527777778101"/>
    <n v="1.5520833333284827"/>
    <n v="182693"/>
    <n v="12"/>
    <n v="1.7733990148098522"/>
    <n v="42.561576355436451"/>
    <n v="15534.975369734304"/>
    <n v="2934"/>
    <n v="1.9668614459851941"/>
    <n v="47.204674703644656"/>
    <n v="17229.706266830301"/>
    <n v="120761"/>
    <n v="0"/>
    <n v="0"/>
    <n v="0"/>
    <n v="0"/>
    <n v="1329"/>
    <n v="0.89091985743501123"/>
    <n v="21.38207657844027"/>
    <n v="7804.4579511306983"/>
    <n v="12"/>
    <n v="1.7733990148098522"/>
    <n v="42.561576355436451"/>
    <n v="15534.975369734304"/>
    <n v="4263"/>
    <n v="70.290511496407333"/>
    <n v="55.409395973327527"/>
    <n v="2.8577813034202051"/>
    <n v="68.586751282084933"/>
    <n v="25034.164217960999"/>
    <n v="706.71"/>
    <n v="11.370148486643735"/>
    <n v="11.726900037503809"/>
    <n v="9.5011651007008719"/>
    <n v="681.65369999999996"/>
    <n v="10.967021530005379"/>
    <n v="4150.1041976249635"/>
    <n v="4002.9628584519633"/>
    <x v="2"/>
    <x v="1"/>
  </r>
  <r>
    <x v="59"/>
    <n v="9.9"/>
    <d v="1899-12-30T10:41:00"/>
    <n v="0.44513888889196096"/>
    <d v="1900-03-02T14:24:00"/>
    <n v="62.599999999998545"/>
    <n v="24.516666666670062"/>
    <n v="1.9972222222204437"/>
    <n v="182700"/>
    <n v="7"/>
    <n v="0.65522620904383999"/>
    <n v="15.725429017052159"/>
    <n v="5739.7815912240376"/>
    <n v="2941"/>
    <n v="1.9575346112886505"/>
    <n v="46.98083067092761"/>
    <n v="17148.003194888577"/>
    <n v="120775"/>
    <n v="14"/>
    <n v="1.31045241808768"/>
    <n v="31.450858034104318"/>
    <n v="11479.563182448075"/>
    <n v="1343"/>
    <n v="0.89390308839192711"/>
    <n v="21.453674121406248"/>
    <n v="7830.5910543132804"/>
    <n v="21"/>
    <n v="1.9656786271315199"/>
    <n v="47.176287051156478"/>
    <n v="17219.344773672114"/>
    <n v="4284"/>
    <n v="69.870836165863878"/>
    <n v="53.574408901299449"/>
    <n v="2.8514376996805773"/>
    <n v="68.434504792333854"/>
    <n v="24978.594249201858"/>
    <n v="709.8537"/>
    <n v="11.339515974441158"/>
    <n v="11.642206662132988"/>
    <n v="8.9575910987562501"/>
    <n v="685.01159999999993"/>
    <n v="10.942677316294183"/>
    <n v="4138.923330671023"/>
    <n v="3994.0772204473769"/>
    <x v="2"/>
    <x v="1"/>
  </r>
  <r>
    <x v="60"/>
    <n v="9.5"/>
    <d v="1899-12-30T08:13:00"/>
    <n v="0.34236111110658385"/>
    <d v="1900-03-02T22:37:00"/>
    <n v="62.942361111105129"/>
    <n v="24.859027777776646"/>
    <n v="2.3395833333270275"/>
    <n v="182723"/>
    <n v="23"/>
    <n v="2.7991886410106464"/>
    <n v="67.180527384255512"/>
    <n v="24520.892495253262"/>
    <n v="2964"/>
    <n v="1.9621126030210279"/>
    <n v="47.090702472504667"/>
    <n v="17188.106402464204"/>
    <n v="120775"/>
    <n v="0"/>
    <n v="0"/>
    <n v="0"/>
    <n v="0"/>
    <n v="1343"/>
    <n v="0.88904089941202447"/>
    <n v="21.336981585888587"/>
    <n v="7787.9982788493344"/>
    <n v="23"/>
    <n v="2.7991886410106464"/>
    <n v="67.180527384255512"/>
    <n v="24520.892495253262"/>
    <n v="4307"/>
    <n v="69.833784954049605"/>
    <n v="55.565449688484584"/>
    <n v="2.8511535024330521"/>
    <n v="68.427684058393254"/>
    <n v="24976.104681313536"/>
    <n v="713.9914"/>
    <n v="11.343575096264194"/>
    <n v="11.648315557170124"/>
    <n v="9.4153517364456878"/>
    <n v="688.68929999999989"/>
    <n v="10.94158668093708"/>
    <n v="4140.4049101364308"/>
    <n v="3993.6791385420343"/>
    <x v="2"/>
    <x v="1"/>
  </r>
  <r>
    <x v="61"/>
    <n v="7.6"/>
    <d v="1899-12-30T15:56:00"/>
    <n v="0.66388888889196096"/>
    <d v="1900-03-03T14:33:00"/>
    <n v="63.60624999999709"/>
    <n v="25.522916666668607"/>
    <n v="3.0034722222189885"/>
    <n v="182741"/>
    <n v="18"/>
    <n v="1.1297071129654837"/>
    <n v="27.112970711171609"/>
    <n v="9896.2343095776378"/>
    <n v="2982"/>
    <n v="1.9534243883267082"/>
    <n v="46.882185319841"/>
    <n v="17111.997641741964"/>
    <n v="120793"/>
    <n v="18"/>
    <n v="1.1297071129654837"/>
    <n v="27.112970711171609"/>
    <n v="9896.2343095776378"/>
    <n v="1361"/>
    <n v="0.89155284792510059"/>
    <n v="21.397268350202413"/>
    <n v="7810.0029478238812"/>
    <n v="36"/>
    <n v="2.2594142259309673"/>
    <n v="54.225941422343219"/>
    <n v="19792.468619155276"/>
    <n v="4343"/>
    <n v="69.427801812091687"/>
    <n v="55.269364161909216"/>
    <n v="2.8449772362518089"/>
    <n v="68.279453670043409"/>
    <n v="24922.000589565843"/>
    <n v="719.65240000000006"/>
    <n v="11.314177458976641"/>
    <n v="11.567126275405212"/>
    <n v="9.2189965318018601"/>
    <n v="694.44569999999999"/>
    <n v="10.917884641839942"/>
    <n v="4129.674772526474"/>
    <n v="3985.0278942715781"/>
    <x v="2"/>
    <x v="1"/>
  </r>
  <r>
    <x v="62"/>
    <n v="13.7"/>
    <d v="1899-12-30T06:02:00"/>
    <n v="0.25138888888614019"/>
    <d v="1900-03-03T20:35:00"/>
    <n v="63.85763888888323"/>
    <n v="25.774305555554747"/>
    <n v="3.2548611111051287"/>
    <n v="182751"/>
    <n v="10"/>
    <n v="1.6574585635540342"/>
    <n v="39.779005525296824"/>
    <n v="14519.337016733341"/>
    <n v="2992"/>
    <n v="1.9522592572455648"/>
    <n v="46.854222173893554"/>
    <n v="17101.791093471147"/>
    <n v="120793"/>
    <n v="0"/>
    <n v="0"/>
    <n v="0"/>
    <n v="0"/>
    <n v="1361"/>
    <n v="0.88804306454251791"/>
    <n v="21.313033549020432"/>
    <n v="7779.2572453924577"/>
    <n v="10"/>
    <n v="1.6574585635540342"/>
    <n v="39.779005525296824"/>
    <n v="14519.337016733341"/>
    <n v="4353"/>
    <n v="69.138623198170023"/>
    <n v="54.072967783329595"/>
    <n v="2.8403023217880827"/>
    <n v="68.167255722913978"/>
    <n v="24881.048338863602"/>
    <n v="721.45140000000004"/>
    <n v="11.297808884781601"/>
    <n v="11.524104863263194"/>
    <n v="9.0596799658796936"/>
    <n v="696.04469999999992"/>
    <n v="10.899944190093946"/>
    <n v="4123.7002429452841"/>
    <n v="3978.4796293842896"/>
    <x v="2"/>
    <x v="1"/>
  </r>
  <r>
    <x v="63"/>
    <n v="14.8"/>
    <d v="1899-12-30T02:35:00"/>
    <n v="0.10763888889050577"/>
    <d v="1900-03-03T23:10:00"/>
    <n v="63.965277777773736"/>
    <n v="25.881944444445253"/>
    <n v="3.3624999999956344"/>
    <n v="182752"/>
    <n v="1"/>
    <n v="0.38709677418773369"/>
    <n v="9.2903225805056078"/>
    <n v="3390.9677418845467"/>
    <n v="2993"/>
    <n v="1.9496254478342345"/>
    <n v="46.791010748021627"/>
    <n v="17078.718923027893"/>
    <n v="120793"/>
    <n v="0"/>
    <n v="0"/>
    <n v="0"/>
    <n v="0"/>
    <n v="1361"/>
    <n v="0.88654869178162155"/>
    <n v="21.277168602758916"/>
    <n v="7766.1665400070042"/>
    <n v="1"/>
    <n v="0.38709677418773369"/>
    <n v="9.2903225805056078"/>
    <n v="3390.9677418845467"/>
    <n v="4354"/>
    <n v="68.889723638312844"/>
    <n v="52.639405204529311"/>
    <n v="2.836174139615856"/>
    <n v="68.068179350780554"/>
    <n v="24844.885463034901"/>
    <n v="721.63130000000001"/>
    <n v="11.281609727500442"/>
    <n v="11.483128736248634"/>
    <n v="8.8231672862568171"/>
    <n v="696.20459999999991"/>
    <n v="10.884101878189808"/>
    <n v="4117.7875505376614"/>
    <n v="3972.6971855392803"/>
    <x v="2"/>
    <x v="1"/>
  </r>
  <r>
    <x v="64"/>
    <n v="14"/>
    <d v="1899-12-30T01:35:00"/>
    <n v="6.5972222226264421E-2"/>
    <d v="1900-03-04T00:45:00"/>
    <n v="64.03125"/>
    <n v="25.947916666671517"/>
    <n v="3.4284722222218988"/>
    <n v="182755"/>
    <n v="3"/>
    <n v="1.8947368419891704"/>
    <n v="45.473684207740085"/>
    <n v="16597.894735825132"/>
    <n v="2996"/>
    <n v="1.9495688953961281"/>
    <n v="46.789653489507074"/>
    <n v="17078.223523670084"/>
    <n v="120793"/>
    <n v="0"/>
    <n v="0"/>
    <n v="0"/>
    <n v="0"/>
    <n v="1361"/>
    <n v="0.88563526923702618"/>
    <n v="21.255246461688628"/>
    <n v="7758.1649585163495"/>
    <n v="3"/>
    <n v="1.8947368419891704"/>
    <n v="45.473684207740085"/>
    <n v="16597.894735825132"/>
    <n v="4357"/>
    <n v="68.830188679232421"/>
    <n v="52.501519141183806"/>
    <n v="2.8352041646331543"/>
    <n v="68.044899951195703"/>
    <n v="24836.38848218643"/>
    <n v="722.17100000000005"/>
    <n v="11.278414836505613"/>
    <n v="11.474732396625717"/>
    <n v="8.8108049422734869"/>
    <n v="696.68429999999989"/>
    <n v="10.880379502196192"/>
    <n v="4116.6214153245492"/>
    <n v="3971.3385183016098"/>
    <x v="2"/>
    <x v="1"/>
  </r>
  <r>
    <x v="65"/>
    <n v="10.5"/>
    <d v="1899-12-30T14:44:00"/>
    <n v="0.61388888888905058"/>
    <d v="1900-03-04T15:29:00"/>
    <n v="64.645138888889051"/>
    <n v="26.561805555560568"/>
    <n v="4.0423611111109494"/>
    <n v="182768"/>
    <n v="13"/>
    <n v="0.88235294117623819"/>
    <n v="21.176470588229716"/>
    <n v="7729.4117647038465"/>
    <n v="3009"/>
    <n v="1.9394343048050742"/>
    <n v="46.546423315321782"/>
    <n v="16989.444510092449"/>
    <n v="120809"/>
    <n v="16"/>
    <n v="1.085972850678447"/>
    <n v="26.063348416282729"/>
    <n v="9513.122171943196"/>
    <n v="1377"/>
    <n v="0.88753773270740677"/>
    <n v="21.300905584977762"/>
    <n v="7774.8305385168833"/>
    <n v="29"/>
    <n v="1.9683257918546853"/>
    <n v="47.239819004512448"/>
    <n v="17242.533936647043"/>
    <n v="4386"/>
    <n v="68.331198201247275"/>
    <n v="51.702456622575511"/>
    <n v="2.8269720375124812"/>
    <n v="67.847328900299544"/>
    <n v="24764.275048609335"/>
    <n v="726.66330000000005"/>
    <n v="11.240803446164396"/>
    <n v="11.378657951839731"/>
    <n v="8.5840673423813953"/>
    <n v="701.32139999999993"/>
    <n v="10.848787891157896"/>
    <n v="4102.8932578500044"/>
    <n v="3959.8075802726325"/>
    <x v="2"/>
    <x v="1"/>
  </r>
  <r>
    <x v="66"/>
    <n v="14.8"/>
    <d v="1899-12-30T05:08:00"/>
    <n v="0.21388888888759539"/>
    <d v="1900-03-04T20:37:00"/>
    <n v="64.859027777776646"/>
    <n v="26.775694444448163"/>
    <n v="4.2562499999985448"/>
    <n v="182781"/>
    <n v="13"/>
    <n v="2.5324675324828476"/>
    <n v="60.779220779588343"/>
    <n v="22184.415584549744"/>
    <n v="3022"/>
    <n v="1.9413899804062569"/>
    <n v="46.59335952975016"/>
    <n v="17006.576228358808"/>
    <n v="120809"/>
    <n v="0"/>
    <n v="0"/>
    <n v="0"/>
    <n v="0"/>
    <n v="1377"/>
    <n v="0.8846108547383903"/>
    <n v="21.230660513721368"/>
    <n v="7749.1910875082995"/>
    <n v="13"/>
    <n v="2.5324675324828476"/>
    <n v="60.779220779588343"/>
    <n v="22184.415584549744"/>
    <n v="4399"/>
    <n v="68.270871696439926"/>
    <n v="52.158590308387879"/>
    <n v="2.8260008351446473"/>
    <n v="67.824020043471535"/>
    <n v="24755.76731586711"/>
    <n v="729.00200000000007"/>
    <n v="11.239792284548951"/>
    <n v="11.375107399433025"/>
    <n v="8.7021674008840524"/>
    <n v="703.40009999999995"/>
    <n v="10.845060804951096"/>
    <n v="4102.524183860367"/>
    <n v="3958.4471938071506"/>
    <x v="2"/>
    <x v="1"/>
  </r>
  <r>
    <x v="67"/>
    <n v="14.5"/>
    <d v="1899-12-31T04:03:00"/>
    <n v="1.1687499999970896"/>
    <d v="1900-03-06T00:40:00"/>
    <n v="66.027777777773736"/>
    <n v="27.944444444445253"/>
    <n v="5.4249999999956344"/>
    <n v="182786"/>
    <n v="5"/>
    <n v="0.17825311943003389"/>
    <n v="4.2780748663208135"/>
    <n v="1561.4973262070969"/>
    <n v="3027"/>
    <n v="1.9101809002946057"/>
    <n v="45.84434160707054"/>
    <n v="16733.184686580746"/>
    <n v="120811"/>
    <n v="2"/>
    <n v="7.1301247772013562E-2"/>
    <n v="1.7112299465283254"/>
    <n v="624.5989304828388"/>
    <n v="1379"/>
    <n v="0.87021455616328425"/>
    <n v="20.885149347918823"/>
    <n v="7623.0795119903705"/>
    <n v="7"/>
    <n v="0.24955436720204746"/>
    <n v="5.9893048128491388"/>
    <n v="2186.0962566899357"/>
    <n v="4406"/>
    <n v="65.666003976141241"/>
    <n v="42.211981566854249"/>
    <n v="2.7803954564578901"/>
    <n v="66.729490954989359"/>
    <n v="24356.264198571116"/>
    <n v="730.17070000000001"/>
    <n v="11.058538157341864"/>
    <n v="10.94117654075515"/>
    <n v="7.0428202765033694"/>
    <n v="704.51939999999991"/>
    <n v="10.670045603702798"/>
    <n v="4036.3664274297798"/>
    <n v="3894.5666453515209"/>
    <x v="2"/>
    <x v="1"/>
  </r>
  <r>
    <x v="68"/>
    <n v="9.9"/>
    <d v="1899-12-30T14:42:00"/>
    <n v="0.61250000000291038"/>
    <d v="1900-03-06T15:22:00"/>
    <n v="66.640277777776646"/>
    <n v="28.556944444448163"/>
    <n v="6.0374999999985448"/>
    <n v="182806"/>
    <n v="20"/>
    <n v="1.36054421768061"/>
    <n v="32.653061224334643"/>
    <n v="11918.367346882145"/>
    <n v="3047"/>
    <n v="1.9051291136075019"/>
    <n v="45.723098726580048"/>
    <n v="16688.931035201716"/>
    <n v="120826"/>
    <n v="15"/>
    <n v="1.0204081632604576"/>
    <n v="24.48979591825098"/>
    <n v="8938.7755101616076"/>
    <n v="1394"/>
    <n v="0.87159500635669762"/>
    <n v="20.918280152560744"/>
    <n v="7635.1722556846717"/>
    <n v="35"/>
    <n v="2.3809523809410673"/>
    <n v="57.142857142585619"/>
    <n v="20857.142857043749"/>
    <n v="4441"/>
    <n v="65.48319634258182"/>
    <n v="43.726708074544703"/>
    <n v="2.7767241199641997"/>
    <n v="66.641378879140788"/>
    <n v="24324.103290886389"/>
    <n v="735.78769999999997"/>
    <n v="11.041185969446426"/>
    <n v="10.90320081707946"/>
    <n v="7.2586832298154134"/>
    <n v="710.1158999999999"/>
    <n v="10.655956482774611"/>
    <n v="4030.0328788479455"/>
    <n v="3889.4241162127332"/>
    <x v="2"/>
    <x v="1"/>
  </r>
  <r>
    <x v="69"/>
    <n v="12.3"/>
    <d v="1899-12-30T04:58:00"/>
    <n v="0.2069444444423425"/>
    <d v="1900-03-06T20:20:00"/>
    <n v="66.847222222218988"/>
    <n v="28.763888888890506"/>
    <n v="6.2444444444408873"/>
    <n v="182817"/>
    <n v="11"/>
    <n v="2.2147651006936364"/>
    <n v="53.154362416647274"/>
    <n v="19401.342282076253"/>
    <n v="3058"/>
    <n v="1.906087679202253"/>
    <n v="45.746104300854071"/>
    <n v="16697.328069811738"/>
    <n v="120826"/>
    <n v="0"/>
    <n v="0"/>
    <n v="0"/>
    <n v="0"/>
    <n v="1394"/>
    <n v="0.86889673800128864"/>
    <n v="20.853521712030929"/>
    <n v="7611.535424891289"/>
    <n v="11"/>
    <n v="2.2147651006936364"/>
    <n v="53.154362416647274"/>
    <n v="19401.342282076253"/>
    <n v="4452"/>
    <n v="65.394495412840357"/>
    <n v="44.039145907498394"/>
    <n v="2.7749844172035418"/>
    <n v="66.599626012884997"/>
    <n v="24308.863494703022"/>
    <n v="737.76659999999993"/>
    <n v="11.03660818616301"/>
    <n v="10.893554804441683"/>
    <n v="7.335032028473921"/>
    <n v="711.87479999999994"/>
    <n v="10.649280199460311"/>
    <n v="4028.3619879494991"/>
    <n v="3886.9872728030127"/>
    <x v="2"/>
    <x v="1"/>
  </r>
  <r>
    <x v="70"/>
    <n v="10.1"/>
    <d v="1899-12-30T09:44:00"/>
    <n v="0.40555555555329192"/>
    <d v="1900-03-07T06:04:00"/>
    <n v="67.25277777777228"/>
    <n v="29.169444444443798"/>
    <n v="6.6499999999941792"/>
    <n v="182834"/>
    <n v="17"/>
    <n v="1.7465753424755019"/>
    <n v="41.917808219412052"/>
    <n v="15300.0000000854"/>
    <n v="3075"/>
    <n v="1.9051257692785828"/>
    <n v="45.723018462685992"/>
    <n v="16688.901738880388"/>
    <n v="120827"/>
    <n v="1"/>
    <n v="0.10273972602797071"/>
    <n v="2.4657534246712971"/>
    <n v="900.00000000502348"/>
    <n v="1395"/>
    <n v="0.8642765685019913"/>
    <n v="20.74263764404779"/>
    <n v="7571.0627400774429"/>
    <n v="18"/>
    <n v="1.8493150685034727"/>
    <n v="44.383561644083343"/>
    <n v="16200.00000009042"/>
    <n v="4470"/>
    <n v="65.102371202744038"/>
    <n v="44.060150375978417"/>
    <n v="2.7694023377805741"/>
    <n v="66.465656106733775"/>
    <n v="24259.964478957827"/>
    <n v="740.95949999999993"/>
    <n v="11.017530048326041"/>
    <n v="10.851557375488285"/>
    <n v="7.3678345864726076"/>
    <n v="714.75299999999993"/>
    <n v="10.627858411466731"/>
    <n v="4021.3984676390055"/>
    <n v="3879.1683201853562"/>
    <x v="2"/>
    <x v="1"/>
  </r>
  <r>
    <x v="71"/>
    <n v="7.1"/>
    <d v="1899-12-30T07:26:00"/>
    <n v="0.30972222222771961"/>
    <d v="1900-03-07T13:30:00"/>
    <n v="67.5625"/>
    <n v="29.479166666671517"/>
    <n v="6.9597222222218988"/>
    <n v="182834"/>
    <n v="0"/>
    <n v="0"/>
    <n v="0"/>
    <n v="0"/>
    <n v="3075"/>
    <n v="1.8963922294172062"/>
    <n v="45.513413506012952"/>
    <n v="16612.395929694729"/>
    <n v="120841"/>
    <n v="14"/>
    <n v="1.8834080717154495"/>
    <n v="45.201793721170787"/>
    <n v="16498.654708227339"/>
    <n v="1409"/>
    <n v="0.86894850447116867"/>
    <n v="20.85476410730805"/>
    <n v="7611.9888991674379"/>
    <n v="14"/>
    <n v="1.8834080717154495"/>
    <n v="45.201793721170787"/>
    <n v="16498.654708227339"/>
    <n v="4484"/>
    <n v="64.893286219070589"/>
    <n v="44.110955897028589"/>
    <n v="2.7653407338883751"/>
    <n v="66.368177613320995"/>
    <n v="24224.384828862163"/>
    <n v="742.84389999999996"/>
    <n v="10.994914338575393"/>
    <n v="10.801468833920481"/>
    <n v="7.3107084414291936"/>
    <n v="716.99159999999995"/>
    <n v="10.612271600370027"/>
    <n v="4013.1437335800192"/>
    <n v="3873.4791341350597"/>
    <x v="2"/>
    <x v="1"/>
  </r>
  <r>
    <x v="72"/>
    <n v="15.3"/>
    <d v="1899-12-30T06:51:00"/>
    <n v="0.28541666666569654"/>
    <d v="1900-03-07T20:21:00"/>
    <n v="67.847916666665697"/>
    <n v="29.764583333337214"/>
    <n v="7.2451388888875954"/>
    <n v="182845"/>
    <n v="11"/>
    <n v="1.6058394160638525"/>
    <n v="38.540145985532455"/>
    <n v="14067.153284719347"/>
    <n v="3086"/>
    <n v="1.8951699573187855"/>
    <n v="45.484078975650846"/>
    <n v="16601.688826112557"/>
    <n v="120841"/>
    <n v="0"/>
    <n v="0"/>
    <n v="0"/>
    <n v="0"/>
    <n v="1409"/>
    <n v="0.86529308809532357"/>
    <n v="20.767034114287767"/>
    <n v="7579.9674517150352"/>
    <n v="11"/>
    <n v="1.6058394160638525"/>
    <n v="38.540145985532455"/>
    <n v="14067.153284719347"/>
    <n v="4495"/>
    <n v="64.640582347580292"/>
    <n v="43.891498130938537"/>
    <n v="2.760463045414109"/>
    <n v="66.251113089938613"/>
    <n v="24181.656277827595"/>
    <n v="744.82280000000003"/>
    <n v="10.977828599502722"/>
    <n v="10.764377126057251"/>
    <n v="7.295843573278411"/>
    <n v="718.75049999999999"/>
    <n v="10.593552983081183"/>
    <n v="4006.9074388184931"/>
    <n v="3866.6468388246321"/>
    <x v="2"/>
    <x v="1"/>
  </r>
  <r>
    <x v="73"/>
    <n v="11.5"/>
    <d v="1899-12-30T09:45:00"/>
    <n v="0.40625"/>
    <d v="1900-03-08T06:06:00"/>
    <n v="68.254166666665697"/>
    <n v="30.170833333337214"/>
    <n v="7.6513888888875954"/>
    <n v="182860"/>
    <n v="15"/>
    <n v="1.5384615384615385"/>
    <n v="36.92307692307692"/>
    <n v="13476.923076923076"/>
    <n v="3101"/>
    <n v="1.8930468225383335"/>
    <n v="45.433123740920003"/>
    <n v="16583.090165435802"/>
    <n v="120842"/>
    <n v="1"/>
    <n v="0.10256410256410256"/>
    <n v="2.4615384615384617"/>
    <n v="898.46153846153857"/>
    <n v="1410"/>
    <n v="0.86075331176364078"/>
    <n v="20.658079482327381"/>
    <n v="7540.1990110494935"/>
    <n v="16"/>
    <n v="1.641025641025641"/>
    <n v="39.384615384615387"/>
    <n v="14375.384615384617"/>
    <n v="4511"/>
    <n v="64.300510979138252"/>
    <n v="43.652205481946027"/>
    <n v="2.7538001343019745"/>
    <n v="66.09120322324739"/>
    <n v="24123.289176485298"/>
    <n v="747.65589999999997"/>
    <n v="10.953996459312773"/>
    <n v="10.713336831927911"/>
    <n v="7.2787438736625116"/>
    <n v="721.30889999999999"/>
    <n v="10.567983395397256"/>
    <n v="3998.2087076491625"/>
    <n v="3857.3139393199986"/>
    <x v="2"/>
    <x v="1"/>
  </r>
  <r>
    <x v="74"/>
    <n v="9.4"/>
    <d v="1899-12-30T07:48:00"/>
    <n v="0.32499999999708962"/>
    <d v="1900-03-08T13:54:00"/>
    <n v="68.579166666662786"/>
    <n v="30.495833333334303"/>
    <n v="7.976388888884685"/>
    <n v="182860"/>
    <n v="0"/>
    <n v="0"/>
    <n v="0"/>
    <n v="0"/>
    <n v="3101"/>
    <n v="1.8840755817486941"/>
    <n v="45.217813961968659"/>
    <n v="16504.502096118562"/>
    <n v="120853"/>
    <n v="11"/>
    <n v="1.4102564102690391"/>
    <n v="33.846153846456936"/>
    <n v="12353.846153956782"/>
    <n v="1421"/>
    <n v="0.86335743362299067"/>
    <n v="20.720578406951777"/>
    <n v="7563.0111185373989"/>
    <n v="11"/>
    <n v="1.4102564102690391"/>
    <n v="33.846153846456936"/>
    <n v="12353.846153956782"/>
    <n v="4522"/>
    <n v="63.975952999041553"/>
    <n v="43.252655406604724"/>
    <n v="2.7474330153716848"/>
    <n v="65.938392368920432"/>
    <n v="24067.513214655959"/>
    <n v="749.13650000000007"/>
    <n v="10.923674585333872"/>
    <n v="10.647713622079182"/>
    <n v="7.1677924429778441"/>
    <n v="723.06779999999992"/>
    <n v="10.543548939790377"/>
    <n v="3987.1412236468632"/>
    <n v="3848.3953630234873"/>
    <x v="2"/>
    <x v="1"/>
  </r>
  <r>
    <x v="75"/>
    <n v="16.899999999999999"/>
    <d v="1899-12-30T06:57:00"/>
    <n v="0.28958333333139308"/>
    <d v="1900-03-08T20:51:00"/>
    <n v="68.868749999994179"/>
    <n v="30.785416666665697"/>
    <n v="8.2659722222160781"/>
    <n v="182874"/>
    <n v="14"/>
    <n v="2.0143884892221298"/>
    <n v="48.345323741331114"/>
    <n v="17646.043165585856"/>
    <n v="3115"/>
    <n v="1.8846235290560325"/>
    <n v="45.230964697344781"/>
    <n v="16509.302114530845"/>
    <n v="120853"/>
    <n v="0"/>
    <n v="0"/>
    <n v="0"/>
    <n v="0"/>
    <n v="1421"/>
    <n v="0.85972713797387545"/>
    <n v="20.633451311373012"/>
    <n v="7531.2097286511489"/>
    <n v="14"/>
    <n v="2.0143884892221298"/>
    <n v="48.345323741331114"/>
    <n v="17646.043165585856"/>
    <n v="4536"/>
    <n v="63.82892332679365"/>
    <n v="43.431067798066394"/>
    <n v="2.744350667029908"/>
    <n v="65.864416008717797"/>
    <n v="24040.511843181997"/>
    <n v="751.65509999999995"/>
    <n v="10.914313095563132"/>
    <n v="10.629367259931307"/>
    <n v="7.2213767957711372"/>
    <n v="725.30639999999994"/>
    <n v="10.531720119793974"/>
    <n v="3983.7242798805437"/>
    <n v="3844.0778437248009"/>
    <x v="2"/>
    <x v="1"/>
  </r>
  <r>
    <x v="76"/>
    <n v="8.8000000000000007"/>
    <d v="1899-12-30T08:41:00"/>
    <n v="0.36180555555620231"/>
    <d v="1900-03-09T05:32:00"/>
    <n v="69.230555555550382"/>
    <n v="31.147222222221899"/>
    <n v="8.6277777777722804"/>
    <n v="182883"/>
    <n v="9"/>
    <n v="1.0364683301325042"/>
    <n v="24.875239923180104"/>
    <n v="9079.4625719607375"/>
    <n v="3124"/>
    <n v="1.8801909882439314"/>
    <n v="45.124583717854357"/>
    <n v="16470.473057016839"/>
    <n v="120853"/>
    <n v="0"/>
    <n v="0"/>
    <n v="0"/>
    <n v="0"/>
    <n v="1421"/>
    <n v="0.85523412109303021"/>
    <n v="20.525618906232726"/>
    <n v="7491.8509007749453"/>
    <n v="9"/>
    <n v="1.0364683301325042"/>
    <n v="24.875239923180104"/>
    <n v="9079.4625719607375"/>
    <n v="4545"/>
    <n v="63.376438062963288"/>
    <n v="42.652929813291827"/>
    <n v="2.7354251093369615"/>
    <n v="65.650202624087086"/>
    <n v="23962.323957791785"/>
    <n v="753.27420000000006"/>
    <n v="10.880660915620924"/>
    <n v="10.557878890573551"/>
    <n v="7.1062099162955876"/>
    <n v="726.74549999999999"/>
    <n v="10.497467399591525"/>
    <n v="3971.4412342016371"/>
    <n v="3831.5756008509061"/>
    <x v="2"/>
    <x v="1"/>
  </r>
  <r>
    <x v="77"/>
    <n v="10.199999999999999"/>
    <d v="1899-12-30T07:39:00"/>
    <n v="0.31875000000582077"/>
    <d v="1900-03-09T13:11:00"/>
    <n v="69.549305555556202"/>
    <n v="31.46597222222772"/>
    <n v="8.9465277777781012"/>
    <n v="182883"/>
    <n v="0"/>
    <n v="0"/>
    <n v="0"/>
    <n v="0"/>
    <n v="3124"/>
    <n v="1.8715739233756852"/>
    <n v="44.917774161016446"/>
    <n v="16394.987568771005"/>
    <n v="120855"/>
    <n v="2"/>
    <n v="0.26143790849195786"/>
    <n v="6.2745098038069882"/>
    <n v="2290.1960783895506"/>
    <n v="1423"/>
    <n v="0.85251270581421257"/>
    <n v="20.460304939541103"/>
    <n v="7468.011302932503"/>
    <n v="2"/>
    <n v="0.26143790849195786"/>
    <n v="6.2745098038069882"/>
    <n v="2290.1960783895506"/>
    <n v="4547"/>
    <n v="62.797996071583121"/>
    <n v="41.356826826048341"/>
    <n v="2.7240866291898977"/>
    <n v="65.378079100557542"/>
    <n v="23862.998871703501"/>
    <n v="753.54340000000002"/>
    <n v="10.834664616429091"/>
    <n v="10.459482951157934"/>
    <n v="6.8831172863461036"/>
    <n v="727.06529999999998"/>
    <n v="10.453954848179151"/>
    <n v="3954.6525849966188"/>
    <n v="3815.6935195853894"/>
    <x v="2"/>
    <x v="1"/>
  </r>
  <r>
    <x v="78"/>
    <n v="13.4"/>
    <d v="1899-12-30T10:08:00"/>
    <n v="0.42222222221607808"/>
    <d v="1900-03-09T23:19:00"/>
    <n v="69.97152777777228"/>
    <n v="31.888194444443798"/>
    <n v="9.3687499999941792"/>
    <n v="182899"/>
    <n v="16"/>
    <n v="1.5789473684440294"/>
    <n v="37.894736842656705"/>
    <n v="13831.578947569697"/>
    <n v="3140"/>
    <n v="1.8698081560953841"/>
    <n v="44.875395746289215"/>
    <n v="16379.519447395563"/>
    <n v="120856"/>
    <n v="1"/>
    <n v="9.8684210527751837E-2"/>
    <n v="2.3684210526660441"/>
    <n v="864.47368422310603"/>
    <n v="1424"/>
    <n v="0.84796395359230159"/>
    <n v="20.351134886215238"/>
    <n v="7428.1642334685621"/>
    <n v="17"/>
    <n v="1.6776315789717813"/>
    <n v="40.263157895322749"/>
    <n v="14696.052631792803"/>
    <n v="4564"/>
    <n v="62.499618894140951"/>
    <n v="41.307538358931602"/>
    <n v="2.7177721096876857"/>
    <n v="65.226530632504449"/>
    <n v="23807.683680864124"/>
    <n v="756.55639999999994"/>
    <n v="10.812346450442"/>
    <n v="10.415478385853559"/>
    <n v="6.8945163442337654"/>
    <n v="729.78359999999998"/>
    <n v="10.429722248137463"/>
    <n v="3946.5064544113302"/>
    <n v="3806.8486205701729"/>
    <x v="2"/>
    <x v="1"/>
  </r>
  <r>
    <x v="79"/>
    <n v="9.8000000000000007"/>
    <d v="1899-12-30T06:37:00"/>
    <n v="0.27569444444816327"/>
    <d v="1900-03-10T05:56:00"/>
    <n v="70.247222222220444"/>
    <n v="32.163888888891961"/>
    <n v="9.6444444444423425"/>
    <n v="182911"/>
    <n v="12"/>
    <n v="1.8136020150888865"/>
    <n v="43.52644836213328"/>
    <n v="15887.153652178647"/>
    <n v="3152"/>
    <n v="1.8695875677172367"/>
    <n v="44.870101625213678"/>
    <n v="16377.587093202992"/>
    <n v="120857"/>
    <n v="1"/>
    <n v="0.15113350125740721"/>
    <n v="3.627204030177773"/>
    <n v="1323.9294710148872"/>
    <n v="1425"/>
    <n v="0.84522915101429641"/>
    <n v="20.285499624343114"/>
    <n v="7404.2073628852368"/>
    <n v="13"/>
    <n v="1.9647355163462938"/>
    <n v="47.153652392311052"/>
    <n v="17211.083123193534"/>
    <n v="4577"/>
    <n v="62.368080145084292"/>
    <n v="41.474654377889223"/>
    <n v="2.7148167187315329"/>
    <n v="65.155601249556796"/>
    <n v="23781.794456088232"/>
    <n v="758.84979999999996"/>
    <n v="10.802559531812523"/>
    <n v="10.397505138612011"/>
    <n v="6.935225806453122"/>
    <n v="731.86229999999989"/>
    <n v="10.418380639804129"/>
    <n v="3942.9342291115713"/>
    <n v="3802.7089335285077"/>
    <x v="2"/>
    <x v="1"/>
  </r>
  <r>
    <x v="80"/>
    <n v="6.3"/>
    <d v="1899-12-30T07:47:00"/>
    <n v="0.3243055555576575"/>
    <d v="1900-03-10T13:43:00"/>
    <n v="70.571527777778101"/>
    <n v="32.488194444449618"/>
    <n v="9.96875"/>
    <n v="182912"/>
    <n v="1"/>
    <n v="0.12847965738674758"/>
    <n v="3.083511777281942"/>
    <n v="1125.4817987079089"/>
    <n v="3153"/>
    <n v="1.8615864518858833"/>
    <n v="44.6780748452612"/>
    <n v="16307.497318520338"/>
    <n v="120868"/>
    <n v="11"/>
    <n v="1.4132762312542233"/>
    <n v="33.918629550101357"/>
    <n v="12380.299785786996"/>
    <n v="1436"/>
    <n v="0.84783956387825199"/>
    <n v="20.348149533078047"/>
    <n v="7427.0745795734874"/>
    <n v="12"/>
    <n v="1.541755888640971"/>
    <n v="37.002141327383299"/>
    <n v="13505.781584494904"/>
    <n v="4589"/>
    <n v="62.114870786386874"/>
    <n v="41.329153605015676"/>
    <n v="2.7094260157641354"/>
    <n v="65.026224378339251"/>
    <n v="23734.571898093825"/>
    <n v="760.51029999999992"/>
    <n v="10.776446591814794"/>
    <n v="10.344825428038449"/>
    <n v="6.8761780564263262"/>
    <n v="733.78109999999992"/>
    <n v="10.397693278096446"/>
    <n v="3933.4030060124005"/>
    <n v="3795.1580465052025"/>
    <x v="2"/>
    <x v="1"/>
  </r>
  <r>
    <x v="81"/>
    <n v="13.1"/>
    <d v="1899-12-30T07:16:00"/>
    <n v="0.30277777777519077"/>
    <d v="1900-03-10T20:59:00"/>
    <n v="70.874305555553292"/>
    <n v="32.790972222224809"/>
    <n v="10.271527777775191"/>
    <n v="182926"/>
    <n v="14"/>
    <n v="1.9266055046036175"/>
    <n v="46.238532110486815"/>
    <n v="16877.064220327688"/>
    <n v="3167"/>
    <n v="1.8618642157968044"/>
    <n v="44.684741179123307"/>
    <n v="16309.930530380007"/>
    <n v="120868"/>
    <n v="0"/>
    <n v="0"/>
    <n v="0"/>
    <n v="0"/>
    <n v="1436"/>
    <n v="0.84421756043075824"/>
    <n v="20.261221450338198"/>
    <n v="7395.345829373442"/>
    <n v="14"/>
    <n v="1.9266055046036175"/>
    <n v="46.238532110486815"/>
    <n v="16877.064220327688"/>
    <n v="4603"/>
    <n v="61.968275482322142"/>
    <n v="41.473869244821479"/>
    <n v="2.7060817762275629"/>
    <n v="64.945962629461505"/>
    <n v="23705.27635975345"/>
    <n v="763.02890000000002"/>
    <n v="10.765945345339805"/>
    <n v="10.326113471271343"/>
    <n v="6.9186883915912265"/>
    <n v="736.01969999999994"/>
    <n v="10.384859424450894"/>
    <n v="3929.5700510490287"/>
    <n v="3790.4736899245763"/>
    <x v="2"/>
    <x v="1"/>
  </r>
  <r>
    <x v="82"/>
    <n v="1.8"/>
    <d v="1899-12-30T18:41:00"/>
    <n v="0.77847222222044365"/>
    <d v="1900-03-11T15:40:00"/>
    <n v="71.652777777773736"/>
    <n v="33.569444444445253"/>
    <n v="11.049999999995634"/>
    <n v="182948"/>
    <n v="22"/>
    <n v="1.1775200713675431"/>
    <n v="28.260481712821033"/>
    <n v="10315.075825179678"/>
    <n v="3189"/>
    <n v="1.8544291529367203"/>
    <n v="44.506299670481283"/>
    <n v="16244.799379725668"/>
    <n v="120888"/>
    <n v="20"/>
    <n v="1.0704727921523118"/>
    <n v="25.691347011655484"/>
    <n v="9377.3416592542526"/>
    <n v="1456"/>
    <n v="0.84667571234740191"/>
    <n v="20.320217096337647"/>
    <n v="7416.8792401632409"/>
    <n v="42"/>
    <n v="2.2479928635198552"/>
    <n v="53.95182872447652"/>
    <n v="19692.417484433929"/>
    <n v="4645"/>
    <n v="61.782374844847496"/>
    <n v="42.35294117648732"/>
    <n v="2.7011048652841221"/>
    <n v="64.826516766818926"/>
    <n v="23661.678619888909"/>
    <n v="769.67869999999994"/>
    <n v="10.74178453188663"/>
    <n v="10.284742738932311"/>
    <n v="7.033058823532186"/>
    <n v="742.73549999999989"/>
    <n v="10.365760031014345"/>
    <n v="3920.7513541386197"/>
    <n v="3783.5024113202362"/>
    <x v="2"/>
    <x v="1"/>
  </r>
  <r>
    <x v="83"/>
    <n v="10.7"/>
    <d v="1899-12-30T05:08:00"/>
    <n v="0.21388888888759539"/>
    <d v="1900-03-11T20:48:00"/>
    <n v="71.866666666661331"/>
    <n v="33.783333333332848"/>
    <n v="11.26388888888323"/>
    <n v="182962"/>
    <n v="14"/>
    <n v="2.7272727272892205"/>
    <n v="65.454545454941297"/>
    <n v="23890.909091053574"/>
    <n v="3203"/>
    <n v="1.8570269016698966"/>
    <n v="44.56864564007752"/>
    <n v="16267.555658628295"/>
    <n v="120888"/>
    <n v="0"/>
    <n v="0"/>
    <n v="0"/>
    <n v="0"/>
    <n v="1456"/>
    <n v="0.84415584415590683"/>
    <n v="20.259740259741765"/>
    <n v="7394.8051948057446"/>
    <n v="14"/>
    <n v="2.7272727272892205"/>
    <n v="65.454545454941297"/>
    <n v="23890.909091053574"/>
    <n v="4659"/>
    <n v="61.80562407498855"/>
    <n v="42.791615289787224"/>
    <n v="2.7011827458258035"/>
    <n v="64.828385899819281"/>
    <n v="23662.360853434038"/>
    <n v="772.19730000000004"/>
    <n v="10.744860389611189"/>
    <n v="10.294179575727824"/>
    <n v="7.1231082614092562"/>
    <n v="744.97409999999991"/>
    <n v="10.366058905381102"/>
    <n v="3921.8740422080837"/>
    <n v="3783.6115004641024"/>
    <x v="2"/>
    <x v="1"/>
  </r>
  <r>
    <x v="84"/>
    <n v="1.2"/>
    <d v="1899-12-30T18:17:00"/>
    <n v="0.7618055555576575"/>
    <d v="1900-03-12T15:05:00"/>
    <n v="72.628472222218988"/>
    <n v="34.545138888890506"/>
    <n v="12.025694444440887"/>
    <n v="182988"/>
    <n v="26"/>
    <n v="1.4220601640799413"/>
    <n v="34.129443937918595"/>
    <n v="12457.247037340287"/>
    <n v="3229"/>
    <n v="1.8524645025578106"/>
    <n v="44.459148061387452"/>
    <n v="16227.58904240642"/>
    <n v="120909"/>
    <n v="21"/>
    <n v="1.1485870556030295"/>
    <n v="27.566089334472711"/>
    <n v="10061.62260708254"/>
    <n v="1477"/>
    <n v="0.84734904623037666"/>
    <n v="20.336377109529039"/>
    <n v="7422.7776449780995"/>
    <n v="47"/>
    <n v="2.5706472196829711"/>
    <n v="61.695533272391302"/>
    <n v="22518.869644422826"/>
    <n v="4706"/>
    <n v="61.8031963011329"/>
    <n v="43.989143616112798"/>
    <n v="2.6998135487881871"/>
    <n v="64.795525170916491"/>
    <n v="23650.366687384518"/>
    <n v="779.70130000000006"/>
    <n v="10.735477095186212"/>
    <n v="10.284390551813772"/>
    <n v="7.295869723395362"/>
    <n v="752.48939999999993"/>
    <n v="10.360804474829546"/>
    <n v="3918.4491397429674"/>
    <n v="3781.6936333127842"/>
    <x v="2"/>
    <x v="1"/>
  </r>
  <r>
    <x v="85"/>
    <n v="4.8"/>
    <d v="1899-12-30T15:30:00"/>
    <n v="0.64583333333575865"/>
    <d v="1900-03-13T06:35:00"/>
    <n v="73.274305555554747"/>
    <n v="35.190972222226264"/>
    <n v="12.671527777776646"/>
    <n v="183028"/>
    <n v="40"/>
    <n v="2.5806451612806316"/>
    <n v="61.935483870735155"/>
    <n v="22606.451612818331"/>
    <n v="3269"/>
    <n v="1.8588826233237186"/>
    <n v="44.613182959769247"/>
    <n v="16283.811780315775"/>
    <n v="120911"/>
    <n v="2"/>
    <n v="0.12903225806403157"/>
    <n v="3.0967741935367576"/>
    <n v="1130.3225806409166"/>
    <n v="1479"/>
    <n v="0.84101786475857443"/>
    <n v="20.184428754205786"/>
    <n v="7367.3164952851121"/>
    <n v="42"/>
    <n v="2.7096774193446631"/>
    <n v="65.032258064271915"/>
    <n v="23736.774193459249"/>
    <n v="4748"/>
    <n v="61.862456832750667"/>
    <n v="45.061653970519728"/>
    <n v="2.6999004880822928"/>
    <n v="64.79761171397503"/>
    <n v="23651.128275600888"/>
    <n v="787.16650000000004"/>
    <n v="10.742735724778587"/>
    <n v="10.307782851503504"/>
    <n v="7.5131508741169695"/>
    <n v="759.20519999999999"/>
    <n v="10.361138113064607"/>
    <n v="3921.098539544184"/>
    <n v="3781.8154112685816"/>
    <x v="2"/>
    <x v="1"/>
  </r>
  <r>
    <x v="86"/>
    <n v="1.5"/>
    <d v="1899-12-30T07:44:00"/>
    <n v="0.32222222221753327"/>
    <d v="1900-03-13T14:19:00"/>
    <n v="73.59652777777228"/>
    <n v="35.513194444443798"/>
    <n v="12.993749999994179"/>
    <n v="183031"/>
    <n v="3"/>
    <n v="0.38793103448840377"/>
    <n v="9.3103448277216909"/>
    <n v="3398.2758621184171"/>
    <n v="3272"/>
    <n v="1.8524424650167925"/>
    <n v="44.458619160403025"/>
    <n v="16227.395993547105"/>
    <n v="120929"/>
    <n v="18"/>
    <n v="2.3275862069304227"/>
    <n v="55.862068966330142"/>
    <n v="20389.655172710503"/>
    <n v="1497"/>
    <n v="0.84752639673903984"/>
    <n v="20.340633521736958"/>
    <n v="7424.3312354339896"/>
    <n v="21"/>
    <n v="2.7155172414188264"/>
    <n v="65.172413794051835"/>
    <n v="23787.931034828918"/>
    <n v="4769"/>
    <n v="61.892489098340945"/>
    <n v="45.560365560385968"/>
    <n v="2.6999688617558326"/>
    <n v="64.799252682139979"/>
    <n v="23651.727228981094"/>
    <n v="790.12899999999991"/>
    <n v="10.735954858982296"/>
    <n v="10.297676841549686"/>
    <n v="7.5548321308355098"/>
    <n v="762.56309999999996"/>
    <n v="10.361400503874183"/>
    <n v="3918.623523528539"/>
    <n v="3781.9111839140764"/>
    <x v="3"/>
    <x v="1"/>
  </r>
  <r>
    <x v="87"/>
    <n v="15.3"/>
    <d v="1899-12-30T06:30:00"/>
    <n v="0.27083333333575865"/>
    <d v="1900-03-13T20:49:00"/>
    <n v="73.867361111108039"/>
    <n v="35.784027777779556"/>
    <n v="13.264583333329938"/>
    <n v="183048"/>
    <n v="17"/>
    <n v="2.6153846153611946"/>
    <n v="62.76923076866867"/>
    <n v="22910.769230564063"/>
    <n v="3289"/>
    <n v="1.855239778506973"/>
    <n v="44.525754684167353"/>
    <n v="16251.900459721084"/>
    <n v="120929"/>
    <n v="0"/>
    <n v="0"/>
    <n v="0"/>
    <n v="0"/>
    <n v="1497"/>
    <n v="0.84441895665093902"/>
    <n v="20.266054959622537"/>
    <n v="7397.1100602622255"/>
    <n v="17"/>
    <n v="2.6153846153611946"/>
    <n v="62.76923076866867"/>
    <n v="22910.769230564063"/>
    <n v="4786"/>
    <n v="61.89912476469253"/>
    <n v="45.911732370044732"/>
    <n v="2.6996587351579122"/>
    <n v="64.79180964378989"/>
    <n v="23649.010519983309"/>
    <n v="793.18730000000005"/>
    <n v="10.7379942652469"/>
    <n v="10.305203826970708"/>
    <n v="7.6311405685585791"/>
    <n v="765.28139999999996"/>
    <n v="10.360210362042002"/>
    <n v="3919.3679068151187"/>
    <n v="3781.4767821453306"/>
    <x v="3"/>
    <x v="1"/>
  </r>
  <r>
    <x v="88"/>
    <n v="7.2"/>
    <d v="1899-12-30T09:36:00"/>
    <n v="0.40000000000145519"/>
    <d v="1900-03-14T06:25:00"/>
    <n v="74.267361111109494"/>
    <n v="36.184027777781012"/>
    <n v="13.664583333331393"/>
    <n v="183065"/>
    <n v="17"/>
    <n v="1.7708333333268911"/>
    <n v="42.499999999845386"/>
    <n v="15512.499999943566"/>
    <n v="3306"/>
    <n v="1.8547851699472095"/>
    <n v="44.514844078733027"/>
    <n v="16247.918088737555"/>
    <n v="120931"/>
    <n v="2"/>
    <n v="0.20833333333257542"/>
    <n v="4.9999999999818101"/>
    <n v="1824.9999999933607"/>
    <n v="1499"/>
    <n v="0.84099303380244006"/>
    <n v="20.183832811258561"/>
    <n v="7367.0989761093751"/>
    <n v="19"/>
    <n v="1.9791666666594665"/>
    <n v="47.499999999827196"/>
    <n v="17337.499999936925"/>
    <n v="4805"/>
    <n v="61.739948181550957"/>
    <n v="45.958225339235064"/>
    <n v="2.6957782037496494"/>
    <n v="64.698676889991589"/>
    <n v="23615.017064846928"/>
    <n v="796.51480000000004"/>
    <n v="10.724964346159474"/>
    <n v="10.283244371940354"/>
    <n v="7.6512687909753243"/>
    <n v="768.31949999999995"/>
    <n v="10.345318434709654"/>
    <n v="3914.6119863482081"/>
    <n v="3776.0412286690234"/>
    <x v="3"/>
    <x v="1"/>
  </r>
  <r>
    <x v="89"/>
    <n v="8"/>
    <d v="1899-12-30T07:57:00"/>
    <n v="0.33124999999563443"/>
    <d v="1900-03-14T14:22:00"/>
    <n v="74.598611111105129"/>
    <n v="36.515277777776646"/>
    <n v="13.995833333327028"/>
    <n v="183067"/>
    <n v="2"/>
    <n v="0.25157232704734067"/>
    <n v="6.0377358491361752"/>
    <n v="2203.7735849347041"/>
    <n v="3308"/>
    <n v="1.8476662136249178"/>
    <n v="44.343989126998025"/>
    <n v="16185.556031354279"/>
    <n v="120945"/>
    <n v="14"/>
    <n v="1.7610062893313845"/>
    <n v="42.264150943953233"/>
    <n v="15426.41509454293"/>
    <n v="1513"/>
    <n v="0.84507828936351292"/>
    <n v="20.281878944724308"/>
    <n v="7402.8858148243726"/>
    <n v="16"/>
    <n v="2.0125786163787254"/>
    <n v="48.301886793089402"/>
    <n v="17630.188679477633"/>
    <n v="4821"/>
    <n v="61.618044197636081"/>
    <n v="46.013694551970715"/>
    <n v="2.6927445029884307"/>
    <n v="64.625868071722337"/>
    <n v="23588.441846178652"/>
    <n v="798.75900000000001"/>
    <n v="10.707424549906838"/>
    <n v="10.251418660378393"/>
    <n v="7.6305281333764681"/>
    <n v="770.87789999999995"/>
    <n v="10.333676304668401"/>
    <n v="3908.2099607159957"/>
    <n v="3771.791851203966"/>
    <x v="3"/>
    <x v="1"/>
  </r>
  <r>
    <x v="90"/>
    <n v="14.9"/>
    <d v="1899-12-30T07:33:00"/>
    <n v="0.31458333334012423"/>
    <d v="1900-03-14T21:55:00"/>
    <n v="74.913194444445253"/>
    <n v="36.82986111111677"/>
    <n v="14.310416666667152"/>
    <n v="183084"/>
    <n v="17"/>
    <n v="2.2516556290904663"/>
    <n v="54.039735098171192"/>
    <n v="19724.503310832486"/>
    <n v="3325"/>
    <n v="1.8493626882966197"/>
    <n v="44.38470451911887"/>
    <n v="16200.417149478388"/>
    <n v="120945"/>
    <n v="0"/>
    <n v="0"/>
    <n v="0"/>
    <n v="0"/>
    <n v="1513"/>
    <n v="0.8415295480880558"/>
    <n v="20.196709154113339"/>
    <n v="7371.7988412513687"/>
    <n v="17"/>
    <n v="2.2516556290904663"/>
    <n v="54.039735098171192"/>
    <n v="19724.503310832486"/>
    <n v="4838"/>
    <n v="61.553313849335318"/>
    <n v="46.190129567621085"/>
    <n v="2.6908922363846757"/>
    <n v="64.581413673232205"/>
    <n v="23572.215990729754"/>
    <n v="801.81730000000005"/>
    <n v="10.703285395133141"/>
    <n v="10.246894465917158"/>
    <n v="7.676499053719354"/>
    <n v="773.59619999999995"/>
    <n v="10.326568046349831"/>
    <n v="3906.6991692235961"/>
    <n v="3769.1973369176872"/>
    <x v="3"/>
    <x v="1"/>
  </r>
  <r>
    <x v="91"/>
    <n v="9.6999999999999993"/>
    <d v="1899-12-30T07:47:00"/>
    <n v="0.32430555555038154"/>
    <d v="1900-03-15T05:42:00"/>
    <n v="75.237499999995634"/>
    <n v="37.154166666667152"/>
    <n v="14.634722222217533"/>
    <n v="183097"/>
    <n v="13"/>
    <n v="1.670235546065191"/>
    <n v="40.085653105564589"/>
    <n v="14631.263383531075"/>
    <n v="3338"/>
    <n v="1.8485905742926254"/>
    <n v="44.366173783023008"/>
    <n v="16193.653430803399"/>
    <n v="120945"/>
    <n v="0"/>
    <n v="0"/>
    <n v="0"/>
    <n v="0"/>
    <n v="1513"/>
    <n v="0.83790219859339188"/>
    <n v="20.109652766241407"/>
    <n v="7340.0232596781134"/>
    <n v="13"/>
    <n v="1.670235546065191"/>
    <n v="40.085653105564589"/>
    <n v="14631.263383531075"/>
    <n v="4851"/>
    <n v="61.365930245597497"/>
    <n v="46.054854322877048"/>
    <n v="2.6864927728860173"/>
    <n v="64.475826549264411"/>
    <n v="23533.676690481509"/>
    <n v="804.15600000000006"/>
    <n v="10.688233925901933"/>
    <n v="10.220398788830192"/>
    <n v="7.6661926544581895"/>
    <n v="775.67489999999998"/>
    <n v="10.30968466522738"/>
    <n v="3901.2053829542056"/>
    <n v="3763.0349028079927"/>
    <x v="3"/>
    <x v="1"/>
  </r>
  <r>
    <x v="92"/>
    <n v="8.9"/>
    <d v="1899-12-30T08:20:00"/>
    <n v="0.34722222222626442"/>
    <d v="1900-03-15T14:02:00"/>
    <n v="75.584722222221899"/>
    <n v="37.501388888893416"/>
    <n v="14.981944444443798"/>
    <n v="183098"/>
    <n v="1"/>
    <n v="0.11999999999860302"/>
    <n v="2.8799999999664725"/>
    <n v="1051.1999999877626"/>
    <n v="3339"/>
    <n v="1.840649749177715"/>
    <n v="44.175593980265162"/>
    <n v="16124.091802796784"/>
    <n v="120960"/>
    <n v="15"/>
    <n v="1.7999999999790453"/>
    <n v="43.199999999497088"/>
    <n v="15767.999999816437"/>
    <n v="1528"/>
    <n v="0.84232189779680999"/>
    <n v="20.215725547123441"/>
    <n v="7378.7398247000556"/>
    <n v="16"/>
    <n v="1.9199999999776483"/>
    <n v="46.07999999946356"/>
    <n v="16819.199999804201"/>
    <n v="4867"/>
    <n v="61.224399096322372"/>
    <n v="46.055437100215208"/>
    <n v="2.6829716469745248"/>
    <n v="64.391319527388603"/>
    <n v="23502.831627496842"/>
    <n v="806.35490000000004"/>
    <n v="10.668226015692518"/>
    <n v="10.184404133179024"/>
    <n v="7.6352906276076391"/>
    <n v="778.23329999999999"/>
    <n v="10.296171992429437"/>
    <n v="3893.9024957277688"/>
    <n v="3758.1027772367447"/>
    <x v="3"/>
    <x v="1"/>
  </r>
  <r>
    <x v="93"/>
    <n v="12.7"/>
    <d v="1899-12-30T07:09:00"/>
    <n v="0.29791666666278616"/>
    <d v="1900-03-15T21:11:00"/>
    <n v="75.882638888884685"/>
    <n v="37.799305555556202"/>
    <n v="15.279861111106584"/>
    <n v="183113"/>
    <n v="15"/>
    <n v="2.0979020979294241"/>
    <n v="50.349650350306177"/>
    <n v="18377.622377861753"/>
    <n v="3354"/>
    <n v="1.8416597267345511"/>
    <n v="44.199833441629231"/>
    <n v="16132.939206194669"/>
    <n v="120960"/>
    <n v="0"/>
    <n v="0"/>
    <n v="0"/>
    <n v="0"/>
    <n v="1528"/>
    <n v="0.83901492619272344"/>
    <n v="20.136358228625362"/>
    <n v="7349.770753448257"/>
    <n v="15"/>
    <n v="2.0979020979294241"/>
    <n v="50.349650350306177"/>
    <n v="18377.622377861753"/>
    <n v="4882"/>
    <n v="61.138689349817987"/>
    <n v="46.139162841444382"/>
    <n v="2.6806746529272747"/>
    <n v="64.336191670254593"/>
    <n v="23482.709959642925"/>
    <n v="809.05340000000001"/>
    <n v="10.661903853722071"/>
    <n v="10.175525564475951"/>
    <n v="7.6630277689428716"/>
    <n v="780.63179999999988"/>
    <n v="10.287357048073707"/>
    <n v="3891.5949066085564"/>
    <n v="3754.8853225469034"/>
    <x v="3"/>
    <x v="1"/>
  </r>
  <r>
    <x v="94"/>
    <n v="5.7"/>
    <d v="1899-12-30T16:45:00"/>
    <n v="0.69791666667151731"/>
    <d v="1900-03-16T13:56:00"/>
    <n v="76.580555555556202"/>
    <n v="38.49722222222772"/>
    <n v="15.977777777778101"/>
    <n v="183126"/>
    <n v="13"/>
    <n v="0.77611940297968052"/>
    <n v="18.626865671512331"/>
    <n v="6798.8059701020011"/>
    <n v="3367"/>
    <n v="1.8319489281439143"/>
    <n v="43.966774275453943"/>
    <n v="16047.872610540689"/>
    <n v="120977"/>
    <n v="17"/>
    <n v="1.0149253731272745"/>
    <n v="24.358208955054586"/>
    <n v="8890.7462685949231"/>
    <n v="1545"/>
    <n v="0.84061808553084272"/>
    <n v="20.174834052740227"/>
    <n v="7363.8144292501829"/>
    <n v="30"/>
    <n v="1.791044776106955"/>
    <n v="42.98507462656692"/>
    <n v="15689.552238696926"/>
    <n v="4912"/>
    <n v="60.809582220930778"/>
    <n v="46.001390820583211"/>
    <n v="2.6725670136747572"/>
    <n v="64.141608328194167"/>
    <n v="23411.687039790871"/>
    <n v="813.68029999999999"/>
    <n v="10.625155355652998"/>
    <n v="10.11124121509344"/>
    <n v="7.6178866481222389"/>
    <n v="785.42879999999991"/>
    <n v="10.256243171678246"/>
    <n v="3878.1817048133444"/>
    <n v="3743.5287576625601"/>
    <x v="3"/>
    <x v="1"/>
  </r>
  <r>
    <x v="95"/>
    <n v="12.5"/>
    <d v="1899-12-30T06:41:00"/>
    <n v="0.27847222222044365"/>
    <d v="1900-03-16T20:37:00"/>
    <n v="76.859027777776646"/>
    <n v="38.775694444448163"/>
    <n v="16.256249999998545"/>
    <n v="183141"/>
    <n v="15"/>
    <n v="2.2443890274457559"/>
    <n v="53.865336658698148"/>
    <n v="19660.847880424823"/>
    <n v="3382"/>
    <n v="1.8334432628278954"/>
    <n v="44.002638307869489"/>
    <n v="16060.962982372364"/>
    <n v="120977"/>
    <n v="0"/>
    <n v="0"/>
    <n v="0"/>
    <n v="0"/>
    <n v="1545"/>
    <n v="0.83757239534863936"/>
    <n v="20.101737488367345"/>
    <n v="7337.1341832540811"/>
    <n v="15"/>
    <n v="2.2443890274457559"/>
    <n v="53.865336658698148"/>
    <n v="19660.847880424823"/>
    <n v="4927"/>
    <n v="60.7597113025355"/>
    <n v="46.136101499427426"/>
    <n v="2.6710156581765347"/>
    <n v="64.104375796236837"/>
    <n v="23398.097165626445"/>
    <n v="816.37879999999996"/>
    <n v="10.621768497519966"/>
    <n v="10.108218708024173"/>
    <n v="7.6533886966558162"/>
    <n v="787.82729999999992"/>
    <n v="10.250289689818269"/>
    <n v="3876.9455015947879"/>
    <n v="3741.3557367836684"/>
    <x v="3"/>
    <x v="1"/>
  </r>
  <r>
    <x v="96"/>
    <n v="6"/>
    <d v="1899-12-30T09:19:00"/>
    <n v="0.38819444444379769"/>
    <d v="1900-03-17T05:56:00"/>
    <n v="77.247222222220444"/>
    <n v="39.163888888891961"/>
    <n v="16.644444444442343"/>
    <n v="183154"/>
    <n v="13"/>
    <n v="1.3953488372116269"/>
    <n v="33.48837209307905"/>
    <n v="12223.255813973854"/>
    <n v="3395"/>
    <n v="1.8312416843468364"/>
    <n v="43.949800424324074"/>
    <n v="16041.677154878287"/>
    <n v="120978"/>
    <n v="1"/>
    <n v="0.10733452593935593"/>
    <n v="2.5760286225445421"/>
    <n v="940.25044722875782"/>
    <n v="1546"/>
    <n v="0.83390269337266831"/>
    <n v="20.01366464094404"/>
    <n v="7304.9875939445747"/>
    <n v="14"/>
    <n v="1.5026833631509831"/>
    <n v="36.064400715623592"/>
    <n v="13163.50626120261"/>
    <n v="4941"/>
    <n v="60.514930136884395"/>
    <n v="45.901201602141981"/>
    <n v="2.6651443777195047"/>
    <n v="63.96346506526811"/>
    <n v="23346.664748822859"/>
    <n v="818.85209999999995"/>
    <n v="10.600408357006968"/>
    <n v="10.071178097736636"/>
    <n v="7.6234866488661144"/>
    <n v="790.06589999999994"/>
    <n v="10.227758063936371"/>
    <n v="3869.1490503075438"/>
    <n v="3733.1316933367748"/>
    <x v="3"/>
    <x v="1"/>
  </r>
  <r>
    <x v="97"/>
    <n v="5.2"/>
    <d v="1899-12-30T08:11:00"/>
    <n v="0.34097222222044365"/>
    <d v="1900-03-17T14:07:00"/>
    <n v="77.588194444440887"/>
    <n v="39.504861111112405"/>
    <n v="16.985416666662786"/>
    <n v="183155"/>
    <n v="1"/>
    <n v="0.12219959266866186"/>
    <n v="2.9327902240478845"/>
    <n v="1070.4684317774779"/>
    <n v="3396"/>
    <n v="1.8237310587414801"/>
    <n v="43.769545409795519"/>
    <n v="15975.884074575364"/>
    <n v="120994"/>
    <n v="16"/>
    <n v="1.9551934826985897"/>
    <n v="46.924643584766152"/>
    <n v="17127.494908439647"/>
    <n v="1562"/>
    <n v="0.83883036329628735"/>
    <n v="20.131928719110896"/>
    <n v="7348.1539824754773"/>
    <n v="17"/>
    <n v="2.0773930753672514"/>
    <n v="49.857433808814037"/>
    <n v="18197.963340217124"/>
    <n v="4958"/>
    <n v="60.422943730551573"/>
    <n v="45.980620630453288"/>
    <n v="2.6625614220377676"/>
    <n v="63.901474128906415"/>
    <n v="23324.038057050842"/>
    <n v="821.18560000000002"/>
    <n v="10.583898824814542"/>
    <n v="10.043320969641242"/>
    <n v="7.6078322090045614"/>
    <n v="792.78419999999994"/>
    <n v="10.217845713212135"/>
    <n v="3863.1230710573072"/>
    <n v="3729.5136853224294"/>
    <x v="3"/>
    <x v="1"/>
  </r>
  <r>
    <x v="98"/>
    <n v="-2.2999999999999998"/>
    <d v="1899-12-31T00:38:00"/>
    <n v="1.0263888888875954"/>
    <d v="1900-03-18T14:45:00"/>
    <n v="78.614583333328483"/>
    <n v="40.53125"/>
    <n v="18.011805555550382"/>
    <n v="183198"/>
    <n v="43"/>
    <n v="1.7456021650901565"/>
    <n v="41.894451962163757"/>
    <n v="15291.474966189771"/>
    <n v="3439"/>
    <n v="1.8227110109978599"/>
    <n v="43.745064263948635"/>
    <n v="15966.948456341252"/>
    <n v="121017"/>
    <n v="23"/>
    <n v="0.93369418132729309"/>
    <n v="22.408660351855033"/>
    <n v="8179.1610284270873"/>
    <n v="1585"/>
    <n v="0.84006890155033676"/>
    <n v="20.161653637208079"/>
    <n v="7359.0035775809492"/>
    <n v="66"/>
    <n v="2.6792963464174497"/>
    <n v="64.30311231401879"/>
    <n v="23470.63599461686"/>
    <n v="5024"/>
    <n v="60.521202775636084"/>
    <n v="47.024713729434801"/>
    <n v="2.6627799125481966"/>
    <n v="63.906717901156718"/>
    <n v="23325.952033922204"/>
    <n v="832.01710000000003"/>
    <n v="10.583495640652568"/>
    <n v="10.056228218966847"/>
    <n v="7.7756613332327564"/>
    <n v="803.33759999999995"/>
    <n v="10.218684192394958"/>
    <n v="3862.975908838187"/>
    <n v="3729.8197302241601"/>
    <x v="3"/>
    <x v="1"/>
  </r>
  <r>
    <x v="99"/>
    <n v="9.6999999999999993"/>
    <d v="1899-12-30T08:08:00"/>
    <n v="0.33888888889487134"/>
    <d v="1900-03-18T22:53:00"/>
    <n v="78.953472222223354"/>
    <n v="40.870138888894871"/>
    <n v="18.350694444445253"/>
    <n v="183221"/>
    <n v="23"/>
    <n v="2.8278688524090958"/>
    <n v="67.868852457818292"/>
    <n v="24772.131147103675"/>
    <n v="3462"/>
    <n v="1.8270254105353629"/>
    <n v="43.84860985284871"/>
    <n v="16004.74259628978"/>
    <n v="121017"/>
    <n v="0"/>
    <n v="0"/>
    <n v="0"/>
    <n v="0"/>
    <n v="1585"/>
    <n v="0.83646310678756508"/>
    <n v="20.075114562901561"/>
    <n v="7327.4168154590698"/>
    <n v="23"/>
    <n v="2.8278688524090958"/>
    <n v="67.868852457818292"/>
    <n v="24772.131147103675"/>
    <n v="5047"/>
    <n v="60.582128353685931"/>
    <n v="47.409649952694224"/>
    <n v="2.6634885173229281"/>
    <n v="63.923724415750272"/>
    <n v="23332.159411748849"/>
    <n v="836.15480000000002"/>
    <n v="10.590475332694034"/>
    <n v="10.074083700064792"/>
    <n v="7.8575445979182943"/>
    <n v="807.01529999999991"/>
    <n v="10.221403534078467"/>
    <n v="3865.5234964333222"/>
    <n v="3730.8122899386408"/>
    <x v="3"/>
    <x v="1"/>
  </r>
  <r>
    <x v="100"/>
    <n v="1.9"/>
    <d v="1899-12-30T15:39:00"/>
    <n v="0.6520833333270275"/>
    <d v="1900-03-19T14:32:00"/>
    <n v="79.605555555550382"/>
    <n v="41.522222222221899"/>
    <n v="19.00277777777228"/>
    <n v="183243"/>
    <n v="22"/>
    <n v="1.4057507987356388"/>
    <n v="33.738019169655331"/>
    <n v="12314.376996924197"/>
    <n v="3484"/>
    <n v="1.8235745690558796"/>
    <n v="43.765789657341109"/>
    <n v="15974.513224929506"/>
    <n v="121041"/>
    <n v="24"/>
    <n v="1.5335463258934241"/>
    <n v="36.805111821442175"/>
    <n v="13433.865814826393"/>
    <n v="1609"/>
    <n v="0.84217321515812582"/>
    <n v="20.21215716379502"/>
    <n v="7377.4373647851826"/>
    <n v="46"/>
    <n v="2.9392971246290629"/>
    <n v="70.543130991097513"/>
    <n v="25748.242811750591"/>
    <n v="5093"/>
    <n v="60.738560342521211"/>
    <n v="48.203479023548518"/>
    <n v="2.6657477842140054"/>
    <n v="63.977946821136129"/>
    <n v="23351.950589714688"/>
    <n v="843.34300000000007"/>
    <n v="10.594021913602477"/>
    <n v="10.088992774953251"/>
    <n v="7.9661827218266046"/>
    <n v="814.37069999999994"/>
    <n v="10.230073696699666"/>
    <n v="3866.8179984649041"/>
    <n v="3733.9768992953782"/>
    <x v="3"/>
    <x v="1"/>
  </r>
  <r>
    <x v="101"/>
    <n v="-0.7"/>
    <d v="1899-12-30T23:21:00"/>
    <n v="0.9729166666729725"/>
    <d v="1900-03-20T13:53:00"/>
    <n v="80.578472222223354"/>
    <n v="42.495138888894871"/>
    <n v="19.975694444445253"/>
    <n v="183283"/>
    <n v="40"/>
    <n v="1.7130620984899676"/>
    <n v="41.113490363759226"/>
    <n v="15006.423982772118"/>
    <n v="3524"/>
    <n v="1.8222402247636191"/>
    <n v="43.733765394326859"/>
    <n v="15962.824368929303"/>
    <n v="121061"/>
    <n v="20"/>
    <n v="0.8565310492449838"/>
    <n v="20.556745181879613"/>
    <n v="7503.2119913860588"/>
    <n v="1629"/>
    <n v="0.84234657381950506"/>
    <n v="20.21631777166812"/>
    <n v="7378.9559866588634"/>
    <n v="60"/>
    <n v="2.5695931477349516"/>
    <n v="61.670235545638839"/>
    <n v="22509.635974158176"/>
    <n v="5153"/>
    <n v="60.759890837178709"/>
    <n v="48.8593777159723"/>
    <n v="2.6645867985831244"/>
    <n v="63.950083165994982"/>
    <n v="23341.780355588169"/>
    <n v="853.23099999999999"/>
    <n v="10.588820766505931"/>
    <n v="10.090692987758617"/>
    <n v="8.0731911698241134"/>
    <n v="823.96469999999988"/>
    <n v="10.225618298242596"/>
    <n v="3864.9195797746647"/>
    <n v="3732.3506788585478"/>
    <x v="3"/>
    <x v="1"/>
  </r>
  <r>
    <x v="102"/>
    <n v="8.4"/>
    <d v="1899-12-30T07:04:00"/>
    <n v="0.29444444444379769"/>
    <d v="1900-03-20T20:57:00"/>
    <n v="80.872916666667152"/>
    <n v="42.789583333338669"/>
    <n v="20.270138888889051"/>
    <n v="183303"/>
    <n v="20"/>
    <n v="2.8301886792514996"/>
    <n v="67.924528302035995"/>
    <n v="24792.452830243139"/>
    <n v="3544"/>
    <n v="1.8259099925294204"/>
    <n v="43.821839820706096"/>
    <n v="15994.971534557724"/>
    <n v="121061"/>
    <n v="0"/>
    <n v="0"/>
    <n v="0"/>
    <n v="0"/>
    <n v="1629"/>
    <n v="0.83927973415079737"/>
    <n v="20.142713619619137"/>
    <n v="7352.0904711609846"/>
    <n v="20"/>
    <n v="2.8301886792514996"/>
    <n v="67.924528302035995"/>
    <n v="24792.452830243139"/>
    <n v="5173"/>
    <n v="60.809192268359915"/>
    <n v="49.13631847613788"/>
    <n v="2.665189726680218"/>
    <n v="63.964553440325233"/>
    <n v="23347.062005718712"/>
    <n v="856.82899999999995"/>
    <n v="10.594758236945761"/>
    <n v="10.105342616484448"/>
    <n v="8.13342231662606"/>
    <n v="827.16269999999997"/>
    <n v="10.227932095108004"/>
    <n v="3867.0867564852033"/>
    <n v="3733.1952147144216"/>
    <x v="3"/>
    <x v="1"/>
  </r>
  <r>
    <x v="103"/>
    <n v="-3.6"/>
    <d v="1899-12-30T17:26:00"/>
    <n v="0.726388888884685"/>
    <d v="1900-03-21T14:23:00"/>
    <n v="81.599305555551837"/>
    <n v="43.515972222223354"/>
    <n v="20.996527777773736"/>
    <n v="183324"/>
    <n v="21"/>
    <n v="1.2045889101408147"/>
    <n v="28.910133843379551"/>
    <n v="10552.198852833537"/>
    <n v="3565"/>
    <n v="1.8203790541518918"/>
    <n v="43.689097299645404"/>
    <n v="15946.520514370572"/>
    <n v="121087"/>
    <n v="26"/>
    <n v="1.4913957935076751"/>
    <n v="35.793499044184209"/>
    <n v="13064.627151127237"/>
    <n v="1655"/>
    <n v="0.84508480634540839"/>
    <n v="20.282035352289803"/>
    <n v="7402.9429035857784"/>
    <n v="47"/>
    <n v="2.6959847036484899"/>
    <n v="64.703632887563757"/>
    <n v="23616.82600396077"/>
    <n v="5220"/>
    <n v="60.874200086173673"/>
    <n v="49.674880105847166"/>
    <n v="2.6654638604973004"/>
    <n v="63.971132651935207"/>
    <n v="23349.463417956351"/>
    <n v="864.1065000000001"/>
    <n v="10.589630562624416"/>
    <n v="10.103896972694949"/>
    <n v="8.1986460724341956"/>
    <n v="834.67799999999988"/>
    <n v="10.228984111044438"/>
    <n v="3865.2151553579115"/>
    <n v="3733.5792005312201"/>
    <x v="3"/>
    <x v="1"/>
  </r>
  <r>
    <x v="104"/>
    <n v="9"/>
    <d v="1899-12-30T06:23:00"/>
    <n v="0.26597222222335404"/>
    <d v="1900-03-21T20:46:00"/>
    <n v="81.865277777775191"/>
    <n v="43.781944444446708"/>
    <n v="21.26249999999709"/>
    <n v="183343"/>
    <n v="19"/>
    <n v="2.9765013054703626"/>
    <n v="71.436031331288703"/>
    <n v="26074.151435920376"/>
    <n v="3584"/>
    <n v="1.8241351814465399"/>
    <n v="43.779244354716958"/>
    <n v="15979.424189471691"/>
    <n v="121087"/>
    <n v="0"/>
    <n v="0"/>
    <n v="0"/>
    <n v="0"/>
    <n v="1655"/>
    <n v="0.8423392090664128"/>
    <n v="20.216141017593905"/>
    <n v="7378.8914714217753"/>
    <n v="19"/>
    <n v="2.9765013054703626"/>
    <n v="71.436031331288703"/>
    <n v="26074.151435920376"/>
    <n v="5239"/>
    <n v="60.93836246549823"/>
    <n v="49.947089947096785"/>
    <n v="2.6664743905129527"/>
    <n v="63.995385372310864"/>
    <n v="23358.315660893466"/>
    <n v="867.52460000000008"/>
    <n v="10.596978640381721"/>
    <n v="10.12058750753366"/>
    <n v="8.2568465608476949"/>
    <n v="837.71609999999998"/>
    <n v="10.232862121032507"/>
    <n v="3867.8972037393282"/>
    <n v="3734.9946741768649"/>
    <x v="3"/>
    <x v="1"/>
  </r>
  <r>
    <x v="105"/>
    <n v="-0.4"/>
    <d v="1899-12-30T17:51:00"/>
    <n v="0.74375000000145519"/>
    <d v="1900-03-22T14:37:00"/>
    <n v="82.609027777776646"/>
    <n v="44.525694444448163"/>
    <n v="22.006249999998545"/>
    <n v="183365"/>
    <n v="22"/>
    <n v="1.2324929971964682"/>
    <n v="29.579831932715233"/>
    <n v="10796.63865544106"/>
    <n v="3606"/>
    <n v="1.8188084770127271"/>
    <n v="43.651403448305444"/>
    <n v="15932.762258631486"/>
    <n v="121110"/>
    <n v="23"/>
    <n v="1.288515406159944"/>
    <n v="30.924369747838654"/>
    <n v="11287.394957961109"/>
    <n v="1678"/>
    <n v="0.84635624637475204"/>
    <n v="20.312549912994051"/>
    <n v="7414.0807182428289"/>
    <n v="45"/>
    <n v="2.521008403356412"/>
    <n v="60.504201680553891"/>
    <n v="22084.033613402171"/>
    <n v="5284"/>
    <n v="60.93111031395221"/>
    <n v="50.303890940077167"/>
    <n v="2.6651647233874791"/>
    <n v="63.963953361299495"/>
    <n v="23346.842976874315"/>
    <n v="874.57820000000004"/>
    <n v="10.586956698639149"/>
    <n v="10.109951245378696"/>
    <n v="8.2983152513495995"/>
    <n v="844.91159999999991"/>
    <n v="10.227836142471789"/>
    <n v="3864.2391950032893"/>
    <n v="3733.1601920022026"/>
    <x v="3"/>
    <x v="1"/>
  </r>
  <r>
    <x v="106"/>
    <n v="7.9"/>
    <d v="1899-12-30T06:19:00"/>
    <n v="0.26319444444379769"/>
    <d v="1900-03-22T20:56:00"/>
    <n v="82.872222222220444"/>
    <n v="44.788888888891961"/>
    <n v="22.269444444442343"/>
    <n v="183379"/>
    <n v="14"/>
    <n v="2.2163588390555784"/>
    <n v="53.192612137333875"/>
    <n v="19415.303430126864"/>
    <n v="3620"/>
    <n v="1.820071059864623"/>
    <n v="43.681705436750953"/>
    <n v="15943.822484414099"/>
    <n v="121110"/>
    <n v="0"/>
    <n v="0"/>
    <n v="0"/>
    <n v="0"/>
    <n v="1678"/>
    <n v="0.84366829791514852"/>
    <n v="20.248039149963564"/>
    <n v="7390.5342897367009"/>
    <n v="14"/>
    <n v="2.2163588390555784"/>
    <n v="53.192612137333875"/>
    <n v="19415.303430126864"/>
    <n v="5298"/>
    <n v="60.885636318527204"/>
    <n v="50.338031682679066"/>
    <n v="2.6637393577797717"/>
    <n v="63.92974458671452"/>
    <n v="23334.356774150801"/>
    <n v="877.09680000000003"/>
    <n v="10.583724877656593"/>
    <n v="10.106774497642572"/>
    <n v="8.3133371585388929"/>
    <n v="847.15019999999993"/>
    <n v="10.222366159415651"/>
    <n v="3863.0595803446563"/>
    <n v="3731.1636481867126"/>
    <x v="3"/>
    <x v="1"/>
  </r>
  <r>
    <x v="107"/>
    <n v="11.2"/>
    <d v="1899-12-30T17:28:00"/>
    <n v="0.72777777777810115"/>
    <d v="1900-03-23T14:24:00"/>
    <n v="83.599999999998545"/>
    <n v="45.516666666670062"/>
    <n v="22.997222222220444"/>
    <n v="183405"/>
    <n v="26"/>
    <n v="1.4885496183199494"/>
    <n v="35.725190839678781"/>
    <n v="13039.694656482756"/>
    <n v="3646"/>
    <n v="1.8171850079745133"/>
    <n v="43.612440191388316"/>
    <n v="15918.540669856735"/>
    <n v="121127"/>
    <n v="17"/>
    <n v="0.97328244274765918"/>
    <n v="23.35877862594382"/>
    <n v="8525.9541984694952"/>
    <n v="1695"/>
    <n v="0.84479665071771803"/>
    <n v="20.275119617225233"/>
    <n v="7400.4186602872096"/>
    <n v="43"/>
    <n v="2.4618320610676085"/>
    <n v="59.083969465622602"/>
    <n v="21565.648854952251"/>
    <n v="5341"/>
    <n v="60.856829000361628"/>
    <n v="50.614808551761371"/>
    <n v="2.6619816586922314"/>
    <n v="63.887559808613553"/>
    <n v="23318.959330143945"/>
    <n v="884.06240000000003"/>
    <n v="10.574909090909275"/>
    <n v="10.098208714755746"/>
    <n v="8.3531392680281868"/>
    <n v="854.02589999999998"/>
    <n v="10.215620813397306"/>
    <n v="3859.8418181818852"/>
    <n v="3728.7015968900164"/>
    <x v="3"/>
    <x v="1"/>
  </r>
  <r>
    <x v="108"/>
    <n v="10.4"/>
    <d v="1899-12-30T06:14:00"/>
    <n v="0.25972222222480923"/>
    <d v="1900-03-23T20:38:00"/>
    <n v="83.859722222223354"/>
    <n v="45.776388888894871"/>
    <n v="23.256944444445253"/>
    <n v="183419"/>
    <n v="14"/>
    <n v="2.2459893047904629"/>
    <n v="53.903743314971102"/>
    <n v="19674.866309964451"/>
    <n v="3660"/>
    <n v="1.8185130591761791"/>
    <n v="43.644313420228301"/>
    <n v="15930.174398383329"/>
    <n v="121127"/>
    <n v="0"/>
    <n v="0"/>
    <n v="0"/>
    <n v="0"/>
    <n v="1695"/>
    <n v="0.8421802282250338"/>
    <n v="20.21232547740081"/>
    <n v="7377.4987992512961"/>
    <n v="14"/>
    <n v="2.2459893047904629"/>
    <n v="53.903743314971102"/>
    <n v="19674.866309964451"/>
    <n v="5355"/>
    <n v="60.817379168049335"/>
    <n v="50.651537772467634"/>
    <n v="2.6606932874012128"/>
    <n v="63.856638897629111"/>
    <n v="23307.673197634624"/>
    <n v="886.5809999999999"/>
    <n v="10.57219099355722"/>
    <n v="10.095933978578126"/>
    <n v="8.3681500149295349"/>
    <n v="856.26449999999988"/>
    <n v="10.210676559730894"/>
    <n v="3858.8497126483858"/>
    <n v="3726.8969443017759"/>
    <x v="3"/>
    <x v="1"/>
  </r>
  <r>
    <x v="109"/>
    <n v="3.2"/>
    <d v="1899-12-30T17:48:00"/>
    <n v="0.74166666666133096"/>
    <d v="1900-03-24T14:26:00"/>
    <n v="84.601388888884685"/>
    <n v="46.518055555556202"/>
    <n v="23.998611111106584"/>
    <n v="183441"/>
    <n v="22"/>
    <n v="1.235955056188667"/>
    <n v="29.662921348528009"/>
    <n v="10826.966292212723"/>
    <n v="3682"/>
    <n v="1.8134060052863179"/>
    <n v="43.521744126871631"/>
    <n v="15885.436606308145"/>
    <n v="121145"/>
    <n v="18"/>
    <n v="1.0112359550634549"/>
    <n v="24.269662921522915"/>
    <n v="8858.4269663558644"/>
    <n v="1713"/>
    <n v="0.84366227242136416"/>
    <n v="20.247894538112739"/>
    <n v="7390.4815064111499"/>
    <n v="40"/>
    <n v="2.2471910112521218"/>
    <n v="53.932584270050924"/>
    <n v="19685.393258568587"/>
    <n v="5395"/>
    <n v="60.707610545486276"/>
    <n v="50.752937091276429"/>
    <n v="2.6570682777076819"/>
    <n v="63.76963866498437"/>
    <n v="23275.918112719297"/>
    <n v="892.96159999999998"/>
    <n v="10.554928373254182"/>
    <n v="10.072132087301682"/>
    <n v="8.3754096880622324"/>
    <n v="862.66049999999996"/>
    <n v="10.196765222531001"/>
    <n v="3852.5488562377764"/>
    <n v="3721.8193062238151"/>
    <x v="3"/>
    <x v="1"/>
  </r>
  <r>
    <x v="110"/>
    <n v="10.199999999999999"/>
    <d v="1899-12-30T06:06:00"/>
    <n v="0.25416666666569654"/>
    <d v="1900-03-24T20:32:00"/>
    <n v="84.855555555550382"/>
    <n v="46.772222222221899"/>
    <n v="24.25277777777228"/>
    <n v="183455"/>
    <n v="14"/>
    <n v="2.2950819672218747"/>
    <n v="55.081967213324994"/>
    <n v="20104.918032863621"/>
    <n v="3696"/>
    <n v="1.814848762603227"/>
    <n v="43.556370302477447"/>
    <n v="15898.075160404269"/>
    <n v="121145"/>
    <n v="0"/>
    <n v="0"/>
    <n v="0"/>
    <n v="0"/>
    <n v="1713"/>
    <n v="0.84113526253769699"/>
    <n v="20.187246300904729"/>
    <n v="7368.3448998302256"/>
    <n v="14"/>
    <n v="2.2950819672218747"/>
    <n v="55.081967213324994"/>
    <n v="20104.918032863621"/>
    <n v="5409"/>
    <n v="60.677040028507371"/>
    <n v="50.798304890631144"/>
    <n v="2.6559840251409241"/>
    <n v="63.743616603382179"/>
    <n v="23266.420060234494"/>
    <n v="895.48019999999997"/>
    <n v="10.552994369517469"/>
    <n v="10.071246941442045"/>
    <n v="8.3914841369850652"/>
    <n v="864.89909999999998"/>
    <n v="10.192604294880809"/>
    <n v="3851.8429448738761"/>
    <n v="3720.3005676314951"/>
    <x v="3"/>
    <x v="1"/>
  </r>
  <r>
    <x v="111"/>
    <n v="7.9"/>
    <d v="1899-12-30T18:51:00"/>
    <n v="0.7854166666729725"/>
    <d v="1900-03-25T15:23:00"/>
    <n v="85.640972222223354"/>
    <n v="47.557638888894871"/>
    <n v="25.038194444445253"/>
    <n v="183478"/>
    <n v="23"/>
    <n v="1.2201591511838377"/>
    <n v="29.283819628412104"/>
    <n v="10688.594164370417"/>
    <n v="3719"/>
    <n v="1.809394841189373"/>
    <n v="43.425476188544955"/>
    <n v="15850.298808818909"/>
    <n v="121160"/>
    <n v="15"/>
    <n v="0.79575596816337246"/>
    <n v="19.09814323592094"/>
    <n v="6970.8222811111427"/>
    <n v="1728"/>
    <n v="0.84071908727486866"/>
    <n v="20.177258094596848"/>
    <n v="7364.6992045278494"/>
    <n v="38"/>
    <n v="2.01591511934721"/>
    <n v="48.38196286433304"/>
    <n v="17659.416445481558"/>
    <n v="5447"/>
    <n v="60.473986244753867"/>
    <n v="50.722507280541976"/>
    <n v="2.6501139284642417"/>
    <n v="63.6027342831418"/>
    <n v="23214.998013346758"/>
    <n v="901.63689999999997"/>
    <n v="10.528102105851973"/>
    <n v="10.034377465939189"/>
    <n v="8.3741461655800933"/>
    <n v="870.97529999999995"/>
    <n v="10.170077211874373"/>
    <n v="3842.7572686359704"/>
    <n v="3712.0781823341463"/>
    <x v="3"/>
    <x v="1"/>
  </r>
  <r>
    <x v="112"/>
    <n v="2.7"/>
    <d v="1899-12-30T23:42:00"/>
    <n v="0.98749999999563443"/>
    <d v="1900-03-26T15:05:00"/>
    <n v="86.628472222218988"/>
    <n v="48.545138888890506"/>
    <n v="26.025694444440887"/>
    <n v="183514"/>
    <n v="36"/>
    <n v="1.5189873417788671"/>
    <n v="36.455696202692813"/>
    <n v="13306.329113982876"/>
    <n v="3755"/>
    <n v="1.8060844122009572"/>
    <n v="43.346025892822972"/>
    <n v="15821.299450880384"/>
    <n v="121180"/>
    <n v="20"/>
    <n v="0.84388185654381509"/>
    <n v="20.253164557051562"/>
    <n v="7392.4050633238203"/>
    <n v="1748"/>
    <n v="0.84075514048662403"/>
    <n v="20.178123371678979"/>
    <n v="7365.0150306628275"/>
    <n v="56"/>
    <n v="2.3628691983226822"/>
    <n v="56.708860759744368"/>
    <n v="20698.734177306695"/>
    <n v="5503"/>
    <n v="60.397396466631278"/>
    <n v="50.949649118132747"/>
    <n v="2.6468395526875814"/>
    <n v="63.524149264501951"/>
    <n v="23186.314481543213"/>
    <n v="910.80529999999999"/>
    <n v="10.513925463946842"/>
    <n v="10.01912263786534"/>
    <n v="8.4086862875908714"/>
    <n v="879.92969999999991"/>
    <n v="10.15751146739386"/>
    <n v="3837.582794340598"/>
    <n v="3707.4916855987594"/>
    <x v="3"/>
    <x v="1"/>
  </r>
  <r>
    <x v="113"/>
    <n v="11.8"/>
    <d v="1899-12-30T06:09:00"/>
    <n v="0.25624999999854481"/>
    <d v="1900-03-26T21:14:00"/>
    <n v="86.884722222217533"/>
    <n v="48.801388888889051"/>
    <n v="26.281944444439432"/>
    <n v="183531"/>
    <n v="17"/>
    <n v="2.7642276422921204"/>
    <n v="66.341463415010892"/>
    <n v="24214.634146478977"/>
    <n v="3772"/>
    <n v="1.8089102738303644"/>
    <n v="43.413846571928744"/>
    <n v="15846.053998753992"/>
    <n v="121180"/>
    <n v="0"/>
    <n v="0"/>
    <n v="0"/>
    <n v="0"/>
    <n v="1748"/>
    <n v="0.83827549275065671"/>
    <n v="20.118611826015762"/>
    <n v="7343.2933164957531"/>
    <n v="17"/>
    <n v="2.7642276422921204"/>
    <n v="66.341463415010892"/>
    <n v="24214.634146478977"/>
    <n v="5520"/>
    <n v="60.428608020035661"/>
    <n v="51.099719917570383"/>
    <n v="2.6471857665810212"/>
    <n v="63.532458397944509"/>
    <n v="23189.347315249746"/>
    <n v="913.86360000000002"/>
    <n v="10.518116150071704"/>
    <n v="10.029181774198106"/>
    <n v="8.4430663214094217"/>
    <n v="882.64799999999991"/>
    <n v="10.158840097831325"/>
    <n v="3839.1123947761716"/>
    <n v="3707.9766357084341"/>
    <x v="3"/>
    <x v="1"/>
  </r>
  <r>
    <x v="114"/>
    <n v="8.8000000000000007"/>
    <d v="1899-12-30T17:43:00"/>
    <n v="0.73819444444961846"/>
    <d v="1900-03-27T14:57:00"/>
    <n v="87.622916666667152"/>
    <n v="49.539583333338669"/>
    <n v="27.020138888889051"/>
    <n v="183549"/>
    <n v="18"/>
    <n v="1.0159924741227002"/>
    <n v="24.383819378944803"/>
    <n v="8900.0940733148527"/>
    <n v="3790"/>
    <n v="1.8022302004327155"/>
    <n v="43.253524810385173"/>
    <n v="15787.536555790588"/>
    <n v="121197"/>
    <n v="17"/>
    <n v="0.95954844778255011"/>
    <n v="23.029162746781203"/>
    <n v="8405.6444025751389"/>
    <n v="1765"/>
    <n v="0.83929717777407464"/>
    <n v="20.143132266577791"/>
    <n v="7352.2432773008932"/>
    <n v="35"/>
    <n v="1.9755409219052502"/>
    <n v="47.41298212572601"/>
    <n v="17305.738475889993"/>
    <n v="5555"/>
    <n v="60.234660835184229"/>
    <n v="50.998997661209181"/>
    <n v="2.6415273782067903"/>
    <n v="63.39665707696296"/>
    <n v="23139.779833091481"/>
    <n v="919.39"/>
    <n v="10.492574716469663"/>
    <n v="9.9912911392394292"/>
    <n v="8.4169293479657163"/>
    <n v="888.2444999999999"/>
    <n v="10.137125466606376"/>
    <n v="3829.7897715114268"/>
    <n v="3700.0507953113274"/>
    <x v="3"/>
    <x v="1"/>
  </r>
  <r>
    <x v="115"/>
    <n v="11.1"/>
    <d v="1899-12-30T05:34:00"/>
    <n v="0.23194444444379769"/>
    <d v="1900-03-27T20:31:00"/>
    <n v="87.854861111110949"/>
    <n v="49.771527777782467"/>
    <n v="27.252083333332848"/>
    <n v="183560"/>
    <n v="11"/>
    <n v="1.9760479041971268"/>
    <n v="47.425149700731041"/>
    <n v="17310.17964076683"/>
    <n v="3801"/>
    <n v="1.8026890942289637"/>
    <n v="43.264538261495126"/>
    <n v="15791.556465445721"/>
    <n v="121197"/>
    <n v="0"/>
    <n v="0"/>
    <n v="0"/>
    <n v="0"/>
    <n v="1765"/>
    <n v="0.83708136051410709"/>
    <n v="20.089952652338567"/>
    <n v="7332.8327181035775"/>
    <n v="11"/>
    <n v="1.9760479041971268"/>
    <n v="47.425149700731041"/>
    <n v="17310.17964076683"/>
    <n v="5566"/>
    <n v="60.174966164830877"/>
    <n v="50.968580383763616"/>
    <n v="2.6397704547430707"/>
    <n v="63.354490913833693"/>
    <n v="23124.389183549298"/>
    <n v="921.36889999999994"/>
    <n v="10.487398060247743"/>
    <n v="9.9844895703971268"/>
    <n v="8.4179068878527588"/>
    <n v="890.00339999999994"/>
    <n v="10.130383097122007"/>
    <n v="3827.9002919904269"/>
    <n v="3697.5898304495322"/>
    <x v="3"/>
    <x v="1"/>
  </r>
  <r>
    <x v="116"/>
    <n v="8.1999999999999993"/>
    <d v="1899-12-30T19:17:00"/>
    <n v="0.80347222222189885"/>
    <d v="1900-03-28T15:48:00"/>
    <n v="88.658333333332848"/>
    <n v="50.575000000004366"/>
    <n v="28.055555555554747"/>
    <n v="183583"/>
    <n v="23"/>
    <n v="1.1927398444257178"/>
    <n v="28.625756266217227"/>
    <n v="10448.401037169288"/>
    <n v="3824"/>
    <n v="1.7971613873484449"/>
    <n v="43.131873296362677"/>
    <n v="15743.133753172377"/>
    <n v="121213"/>
    <n v="16"/>
    <n v="0.82973206568745583"/>
    <n v="19.91356957649894"/>
    <n v="7268.4528954221132"/>
    <n v="1781"/>
    <n v="0.83701475702604089"/>
    <n v="20.088354168624981"/>
    <n v="7332.2492715481185"/>
    <n v="39"/>
    <n v="2.0224719101131736"/>
    <n v="48.539325842716167"/>
    <n v="17716.853932591403"/>
    <n v="5605"/>
    <n v="59.990113692530663"/>
    <n v="50.899009900991565"/>
    <n v="2.6341761443744858"/>
    <n v="63.220227464987659"/>
    <n v="23075.383024720497"/>
    <n v="927.66020000000003"/>
    <n v="10.463316477112569"/>
    <n v="9.9502639644084336"/>
    <n v="8.4010740594061843"/>
    <n v="896.23949999999991"/>
    <n v="10.108914371651526"/>
    <n v="3819.1105141460871"/>
    <n v="3689.7537456528071"/>
    <x v="3"/>
    <x v="1"/>
  </r>
  <r>
    <x v="117"/>
    <n v="14.2"/>
    <d v="1899-12-30T05:24:00"/>
    <n v="0.22499999999854481"/>
    <d v="1900-03-28T21:12:00"/>
    <n v="88.883333333331393"/>
    <n v="50.80000000000291"/>
    <n v="28.280555555553292"/>
    <n v="183592"/>
    <n v="9"/>
    <n v="1.6666666666774459"/>
    <n v="40.000000000258702"/>
    <n v="14600.000000094426"/>
    <n v="3833"/>
    <n v="1.7968310519407855"/>
    <n v="43.123945246578856"/>
    <n v="15740.240015001282"/>
    <n v="121213"/>
    <n v="0"/>
    <n v="0"/>
    <n v="0"/>
    <n v="0"/>
    <n v="1781"/>
    <n v="0.83489593099570547"/>
    <n v="20.037502343896932"/>
    <n v="7313.6883555223803"/>
    <n v="9"/>
    <n v="1.6666666666774459"/>
    <n v="40.000000000258702"/>
    <n v="14600.000000094426"/>
    <n v="5614"/>
    <n v="59.901574803146175"/>
    <n v="50.812297416760771"/>
    <n v="2.6317269829364909"/>
    <n v="63.161447590475781"/>
    <n v="23053.928370523659"/>
    <n v="929.27929999999992"/>
    <n v="10.455045565348062"/>
    <n v="9.9380649606293492"/>
    <n v="8.3914864944511169"/>
    <n v="897.67859999999996"/>
    <n v="10.099515469717078"/>
    <n v="3816.0916313520429"/>
    <n v="3686.3231464467326"/>
    <x v="3"/>
    <x v="1"/>
  </r>
  <r>
    <x v="118"/>
    <n v="13"/>
    <d v="1899-12-30T02:07:00"/>
    <n v="8.819444444088731E-2"/>
    <d v="1900-03-28T23:19:00"/>
    <n v="88.97152777777228"/>
    <n v="50.888194444443798"/>
    <n v="28.368749999994179"/>
    <n v="183593"/>
    <n v="1"/>
    <n v="0.47244094490094468"/>
    <n v="11.338582677622671"/>
    <n v="4138.5826773322751"/>
    <n v="3834"/>
    <n v="1.7955182291464515"/>
    <n v="43.092437499514837"/>
    <n v="15728.739687322915"/>
    <n v="121213"/>
    <n v="0"/>
    <n v="0"/>
    <n v="0"/>
    <n v="0"/>
    <n v="1781"/>
    <n v="0.8340683271021988"/>
    <n v="20.01763985045277"/>
    <n v="7306.4385454152616"/>
    <n v="1"/>
    <n v="0.47244094490094468"/>
    <n v="11.338582677622671"/>
    <n v="4138.5826773322751"/>
    <n v="5615"/>
    <n v="59.817410172082802"/>
    <n v="50.689579202477901"/>
    <n v="2.62958655624865"/>
    <n v="63.110077349967604"/>
    <n v="23035.178232738177"/>
    <n v="929.45920000000001"/>
    <n v="10.446703830033663"/>
    <n v="9.924376478936793"/>
    <n v="8.3717400308455172"/>
    <n v="897.83849999999995"/>
    <n v="10.091301368259819"/>
    <n v="3813.0468979622869"/>
    <n v="3683.3249994148341"/>
    <x v="3"/>
    <x v="1"/>
  </r>
  <r>
    <x v="119"/>
    <n v="8.9"/>
    <d v="1899-12-30T14:38:00"/>
    <n v="0.60972222222335404"/>
    <d v="1900-03-29T13:57:00"/>
    <n v="89.581249999995634"/>
    <n v="51.497916666667152"/>
    <n v="28.978472222217533"/>
    <n v="183604"/>
    <n v="11"/>
    <n v="0.75170842824461825"/>
    <n v="18.041002277870838"/>
    <n v="6584.9658314228564"/>
    <n v="3845"/>
    <n v="1.7884136840392508"/>
    <n v="42.921928416942023"/>
    <n v="15666.503872183839"/>
    <n v="121224"/>
    <n v="11"/>
    <n v="0.75170842824461825"/>
    <n v="18.041002277870838"/>
    <n v="6584.9658314228564"/>
    <n v="1792"/>
    <n v="0.83350775599436611"/>
    <n v="20.004186143864786"/>
    <n v="7301.5279425106464"/>
    <n v="22"/>
    <n v="1.5034168564892365"/>
    <n v="36.082004555741676"/>
    <n v="13169.931662845713"/>
    <n v="5637"/>
    <n v="59.536389012499946"/>
    <n v="50.382228186640951"/>
    <n v="2.621921440033617"/>
    <n v="62.926114560806809"/>
    <n v="22968.031814694485"/>
    <n v="932.91869999999994"/>
    <n v="10.41421837717207"/>
    <n v="9.8740518629393446"/>
    <n v="8.3149759639592631"/>
    <n v="901.35629999999992"/>
    <n v="10.061885718273007"/>
    <n v="3801.1897076678056"/>
    <n v="3672.5882871696476"/>
    <x v="3"/>
    <x v="1"/>
  </r>
  <r>
    <x v="120"/>
    <n v="2.4"/>
    <d v="1899-12-31T00:24:00"/>
    <n v="1.0166666666700621"/>
    <d v="1900-03-30T14:21:00"/>
    <n v="90.597916666665697"/>
    <n v="52.514583333337214"/>
    <n v="29.995138888887595"/>
    <n v="183638"/>
    <n v="34"/>
    <n v="1.3934426229461658"/>
    <n v="33.442622950707978"/>
    <n v="12206.557377008412"/>
    <n v="3879"/>
    <n v="1.7839814197346524"/>
    <n v="42.81555407363166"/>
    <n v="15627.677236875556"/>
    <n v="121243"/>
    <n v="19"/>
    <n v="0.77868852458756332"/>
    <n v="18.688524590101519"/>
    <n v="6821.3114753870541"/>
    <n v="1811"/>
    <n v="0.83289258858970239"/>
    <n v="19.989422126152856"/>
    <n v="7296.1390760457925"/>
    <n v="53"/>
    <n v="2.172131147533729"/>
    <n v="52.131147540809501"/>
    <n v="19027.868852395466"/>
    <n v="5690"/>
    <n v="59.393025746811972"/>
    <n v="50.441506725629011"/>
    <n v="2.6168740083243547"/>
    <n v="62.80497619978452"/>
    <n v="22923.81631292135"/>
    <n v="941.59269999999992"/>
    <n v="10.393094396026509"/>
    <n v="9.8480663307804033"/>
    <n v="8.3223251915823262"/>
    <n v="909.8309999999999"/>
    <n v="10.042515694345543"/>
    <n v="3793.4794545496761"/>
    <n v="3665.5182284361235"/>
    <x v="3"/>
    <x v="1"/>
  </r>
  <r>
    <x v="121"/>
    <n v="7.5"/>
    <d v="1899-12-30T06:03:00"/>
    <n v="0.25208333333284827"/>
    <d v="1900-03-30T20:24:00"/>
    <n v="90.849999999998545"/>
    <n v="52.766666666670062"/>
    <n v="30.247222222220444"/>
    <n v="183652"/>
    <n v="14"/>
    <n v="2.3140495867813122"/>
    <n v="55.537190082751493"/>
    <n v="20271.074380204296"/>
    <n v="3893"/>
    <n v="1.7854522106035875"/>
    <n v="42.850853054486102"/>
    <n v="15640.561364887428"/>
    <n v="121243"/>
    <n v="0"/>
    <n v="0"/>
    <n v="0"/>
    <n v="0"/>
    <n v="1811"/>
    <n v="0.83058154467071588"/>
    <n v="19.933957072097183"/>
    <n v="7275.8943313154714"/>
    <n v="14"/>
    <n v="2.3140495867813122"/>
    <n v="55.537190082751493"/>
    <n v="20271.074380204296"/>
    <n v="5704"/>
    <n v="59.374605180034081"/>
    <n v="50.483974653322832"/>
    <n v="2.6160337552743034"/>
    <n v="62.784810126583281"/>
    <n v="22916.455696202898"/>
    <n v="944.11129999999991"/>
    <n v="10.39197908640633"/>
    <n v="9.8487498420713795"/>
    <n v="8.3362332629263758"/>
    <n v="912.06959999999992"/>
    <n v="10.039291139240666"/>
    <n v="3793.0723665383111"/>
    <n v="3664.3412658228431"/>
    <x v="3"/>
    <x v="1"/>
  </r>
  <r>
    <x v="122"/>
    <n v="5.5"/>
    <d v="1899-12-30T17:43:00"/>
    <n v="0.7381944444423425"/>
    <d v="1900-03-31T14:07:00"/>
    <n v="91.588194444440887"/>
    <n v="53.504861111112405"/>
    <n v="30.985416666662786"/>
    <n v="183674"/>
    <n v="22"/>
    <n v="1.2417685794955395"/>
    <n v="29.802445907892949"/>
    <n v="10877.892756380927"/>
    <n v="3915"/>
    <n v="1.781070158544884"/>
    <n v="42.745683805077221"/>
    <n v="15602.174588853186"/>
    <n v="121261"/>
    <n v="18"/>
    <n v="1.0159924741327142"/>
    <n v="24.383819379185141"/>
    <n v="8900.0940734025771"/>
    <n v="1829"/>
    <n v="0.83207594380040684"/>
    <n v="19.969822651209764"/>
    <n v="7288.9852676915643"/>
    <n v="40"/>
    <n v="2.2577610536282537"/>
    <n v="54.186265287078093"/>
    <n v="19777.986829783506"/>
    <n v="5744"/>
    <n v="59.303022830219078"/>
    <n v="50.572177771807581"/>
    <n v="2.6131461023452909"/>
    <n v="62.715506456286981"/>
    <n v="22891.159856544749"/>
    <n v="950.49189999999999"/>
    <n v="10.377886645386226"/>
    <n v="9.8321215881212982"/>
    <n v="8.3435540913074391"/>
    <n v="918.46559999999988"/>
    <n v="10.028209482360287"/>
    <n v="3787.9286255659727"/>
    <n v="3660.2964610615049"/>
    <x v="3"/>
    <x v="1"/>
  </r>
  <r>
    <x v="123"/>
    <n v="3"/>
    <d v="1899-12-31T01:52:00"/>
    <n v="1.077777777776646"/>
    <d v="1900-04-01T15:59:00"/>
    <n v="92.665972222217533"/>
    <n v="54.582638888889051"/>
    <n v="32.063194444439432"/>
    <n v="183717"/>
    <n v="43"/>
    <n v="1.6623711340223644"/>
    <n v="39.896907216536739"/>
    <n v="14562.37113403591"/>
    <n v="3958"/>
    <n v="1.7796895959952639"/>
    <n v="42.712550303886331"/>
    <n v="15590.080860918511"/>
    <n v="121282"/>
    <n v="21"/>
    <n v="0.81185567010394533"/>
    <n v="19.484536082494689"/>
    <n v="7111.8556701105617"/>
    <n v="1850"/>
    <n v="0.83184076619283431"/>
    <n v="19.964178388628024"/>
    <n v="7286.9251118492293"/>
    <n v="64"/>
    <n v="2.4742268041263098"/>
    <n v="59.381443299031432"/>
    <n v="21674.226804146474"/>
    <n v="5808"/>
    <n v="59.304571304978261"/>
    <n v="50.868293950756261"/>
    <n v="2.6115303621880983"/>
    <n v="62.676728692514359"/>
    <n v="22877.00597276774"/>
    <n v="961.05420000000004"/>
    <n v="10.371166210778483"/>
    <n v="9.831488746676138"/>
    <n v="8.3925137423937244"/>
    <n v="928.69919999999991"/>
    <n v="10.022008917933045"/>
    <n v="3785.4756669341468"/>
    <n v="3658.0332550455614"/>
    <x v="3"/>
    <x v="1"/>
  </r>
  <r>
    <x v="124"/>
    <n v="2.1"/>
    <d v="1899-12-30T23:45:00"/>
    <n v="0.98958333333575865"/>
    <d v="1900-04-02T15:44:00"/>
    <n v="93.655555555553292"/>
    <n v="55.572222222224809"/>
    <n v="33.052777777775191"/>
    <n v="183750"/>
    <n v="33"/>
    <n v="1.3894736842071209"/>
    <n v="33.347368420970902"/>
    <n v="12171.789473654379"/>
    <n v="3991"/>
    <n v="1.7755664966188589"/>
    <n v="42.613595918852617"/>
    <n v="15553.962510381205"/>
    <n v="121302"/>
    <n v="20"/>
    <n v="0.8421052631558309"/>
    <n v="20.210526315739941"/>
    <n v="7376.8421052450785"/>
    <n v="1870"/>
    <n v="0.83194922292088858"/>
    <n v="19.966781350101325"/>
    <n v="7287.8751927869835"/>
    <n v="53"/>
    <n v="2.2315789473629519"/>
    <n v="53.557894736710843"/>
    <n v="19548.631578899458"/>
    <n v="5861"/>
    <n v="59.202239328198786"/>
    <n v="50.948819228510587"/>
    <n v="2.6075157195397476"/>
    <n v="62.580377268953939"/>
    <n v="22841.837703168188"/>
    <n v="969.68290000000002"/>
    <n v="10.353714675525223"/>
    <n v="9.8116878936314542"/>
    <n v="8.402304395327997"/>
    <n v="937.17389999999989"/>
    <n v="10.006602325305733"/>
    <n v="3779.1058565667067"/>
    <n v="3652.4098487365932"/>
    <x v="3"/>
    <x v="1"/>
  </r>
  <r>
    <x v="125"/>
    <n v="-0.3"/>
    <d v="1899-12-30T22:38:00"/>
    <n v="0.94305555555183673"/>
    <d v="1900-04-03T14:22:00"/>
    <n v="94.598611111105129"/>
    <n v="56.515277777776646"/>
    <n v="33.995833333327028"/>
    <n v="183787"/>
    <n v="37"/>
    <n v="1.6347569955881842"/>
    <n v="39.234167894116425"/>
    <n v="14320.471281352495"/>
    <n v="4028"/>
    <n v="1.7741627637240334"/>
    <n v="42.579906329376804"/>
    <n v="15541.665810222534"/>
    <n v="121322"/>
    <n v="20"/>
    <n v="0.88365243004766725"/>
    <n v="21.207658321144013"/>
    <n v="7740.7952872175647"/>
    <n v="1890"/>
    <n v="0.83246465328659958"/>
    <n v="19.979151678878392"/>
    <n v="7292.3903627906129"/>
    <n v="57"/>
    <n v="2.5184094256358516"/>
    <n v="60.441826215260434"/>
    <n v="22061.266568570059"/>
    <n v="5918"/>
    <n v="59.222923988106665"/>
    <n v="51.212158352748808"/>
    <n v="2.6066274170106332"/>
    <n v="62.559058008255192"/>
    <n v="22834.056173013145"/>
    <n v="979.03120000000001"/>
    <n v="10.349318964631918"/>
    <n v="9.813374751173674"/>
    <n v="8.4442054173321228"/>
    <n v="946.28819999999996"/>
    <n v="10.003193375520006"/>
    <n v="3777.5014220906505"/>
    <n v="3651.1655820648016"/>
    <x v="3"/>
    <x v="1"/>
  </r>
  <r>
    <x v="126"/>
    <n v="10.199999999999999"/>
    <d v="1899-12-30T06:21:00"/>
    <n v="0.26458333333721384"/>
    <d v="1900-04-03T20:43:00"/>
    <n v="94.863194444442343"/>
    <n v="56.77986111111386"/>
    <n v="34.260416666664241"/>
    <n v="183802"/>
    <n v="15"/>
    <n v="2.3622047243748034"/>
    <n v="56.692913384995286"/>
    <n v="20692.913385523279"/>
    <n v="4043"/>
    <n v="1.7758028740218397"/>
    <n v="42.619268976524154"/>
    <n v="15556.033176431316"/>
    <n v="121322"/>
    <n v="0"/>
    <n v="0"/>
    <n v="0"/>
    <n v="0"/>
    <n v="1890"/>
    <n v="0.83014282263202499"/>
    <n v="19.923427743168599"/>
    <n v="7272.0511262565387"/>
    <n v="15"/>
    <n v="2.3622047243748034"/>
    <n v="56.692913384995286"/>
    <n v="20692.913385523279"/>
    <n v="5933"/>
    <n v="59.211134620791377"/>
    <n v="51.254484645792623"/>
    <n v="2.6059456966538646"/>
    <n v="62.542696719692756"/>
    <n v="22828.084302687857"/>
    <n v="981.72969999999998"/>
    <n v="10.348899863107189"/>
    <n v="9.8151719481912494"/>
    <n v="8.4577576162973447"/>
    <n v="948.68669999999997"/>
    <n v="10.000577205478871"/>
    <n v="3777.3484500341237"/>
    <n v="3650.2106799997882"/>
    <x v="3"/>
    <x v="1"/>
  </r>
  <r>
    <x v="127"/>
    <n v="4.5999999999999996"/>
    <d v="1899-12-30T19:13:00"/>
    <n v="0.8006944444423425"/>
    <d v="1900-04-04T15:56:00"/>
    <n v="95.663888888884685"/>
    <n v="57.580555555556202"/>
    <n v="35.061111111106584"/>
    <n v="183823"/>
    <n v="21"/>
    <n v="1.0928013876871705"/>
    <n v="26.227233304492096"/>
    <n v="9572.9401561396153"/>
    <n v="4064"/>
    <n v="1.7700862394379244"/>
    <n v="42.482069746510184"/>
    <n v="15505.955457476217"/>
    <n v="121343"/>
    <n v="21"/>
    <n v="1.0928013876871705"/>
    <n v="26.227233304492096"/>
    <n v="9572.9401561396153"/>
    <n v="1911"/>
    <n v="0.83234124103490981"/>
    <n v="19.976189784837835"/>
    <n v="7291.3092714658096"/>
    <n v="42"/>
    <n v="2.185602775374341"/>
    <n v="52.454466608984191"/>
    <n v="19145.880312279231"/>
    <n v="5975"/>
    <n v="59.117178831587928"/>
    <n v="51.281888765653903"/>
    <n v="2.6024274804728345"/>
    <n v="62.45825953134802"/>
    <n v="22797.264728942027"/>
    <n v="988.33420000000001"/>
    <n v="10.331319492436355"/>
    <n v="9.7933858845095134"/>
    <n v="8.4529779749654406"/>
    <n v="955.40249999999992"/>
    <n v="9.9870756990625473"/>
    <n v="3770.9316147392692"/>
    <n v="3645.2826301578298"/>
    <x v="3"/>
    <x v="1"/>
  </r>
  <r>
    <x v="128"/>
    <n v="15.9"/>
    <d v="1899-12-31T05:03:00"/>
    <n v="1.2104166666686069"/>
    <d v="1900-04-05T20:59:00"/>
    <n v="96.874305555553292"/>
    <n v="58.790972222224809"/>
    <n v="36.271527777775191"/>
    <n v="183854"/>
    <n v="31"/>
    <n v="1.0671256454371878"/>
    <n v="25.611015490492509"/>
    <n v="9348.0206540297659"/>
    <n v="4095"/>
    <n v="1.7613029484082734"/>
    <n v="42.271270761798561"/>
    <n v="15429.013828056475"/>
    <n v="121360"/>
    <n v="17"/>
    <n v="0.58519793459458691"/>
    <n v="14.044750430270085"/>
    <n v="5126.3339070485808"/>
    <n v="1928"/>
    <n v="0.82925325629576341"/>
    <n v="19.902078151098323"/>
    <n v="7264.2585251508881"/>
    <n v="48"/>
    <n v="1.6523235800317748"/>
    <n v="39.655765920762597"/>
    <n v="14474.354561078348"/>
    <n v="6023"/>
    <n v="58.716497950599241"/>
    <n v="50.893913576232308"/>
    <n v="2.5905562047040367"/>
    <n v="62.173348912896884"/>
    <n v="22693.272353207361"/>
    <n v="996.19929999999999"/>
    <n v="10.283421329185396"/>
    <n v="9.725535713863426"/>
    <n v="8.3877332618565852"/>
    <n v="963.07769999999994"/>
    <n v="9.9415184911722108"/>
    <n v="3753.4487851526696"/>
    <n v="3628.6542492778567"/>
    <x v="3"/>
    <x v="1"/>
  </r>
  <r>
    <x v="129"/>
    <n v="9.1"/>
    <d v="1899-12-30T18:48:00"/>
    <n v="0.78333333333284827"/>
    <d v="1900-04-06T15:47:00"/>
    <n v="97.65763888888614"/>
    <n v="59.574305555557657"/>
    <n v="37.054861111108039"/>
    <n v="183868"/>
    <n v="14"/>
    <n v="0.74468085106429094"/>
    <n v="17.872340425542983"/>
    <n v="6523.4042553231893"/>
    <n v="4109"/>
    <n v="1.7531483996672541"/>
    <n v="42.075561592014097"/>
    <n v="15357.579981085146"/>
    <n v="121373"/>
    <n v="13"/>
    <n v="0.69148936170255582"/>
    <n v="16.59574468086134"/>
    <n v="6057.446808514389"/>
    <n v="1941"/>
    <n v="0.82814822189197868"/>
    <n v="19.875557325407488"/>
    <n v="7254.5784237737334"/>
    <n v="27"/>
    <n v="1.4361702127668468"/>
    <n v="34.468085106404324"/>
    <n v="12580.851063837577"/>
    <n v="6050"/>
    <n v="58.39765931900898"/>
    <n v="50.546674412942963"/>
    <n v="2.5812966215592326"/>
    <n v="61.951118917421582"/>
    <n v="22612.158404858877"/>
    <n v="1000.4677"/>
    <n v="10.244643546403184"/>
    <n v="9.6693044866934468"/>
    <n v="8.3256094004767132"/>
    <n v="967.39499999999987"/>
    <n v="9.9059839148957103"/>
    <n v="3739.2948944371624"/>
    <n v="3615.684128936934"/>
    <x v="3"/>
    <x v="1"/>
  </r>
  <r>
    <x v="130"/>
    <n v="9.1"/>
    <d v="1899-12-31T00:16:00"/>
    <n v="1.0111111111109494"/>
    <d v="1900-04-07T16:03:00"/>
    <n v="98.66874999999709"/>
    <n v="60.585416666668607"/>
    <n v="38.065972222218988"/>
    <n v="183888"/>
    <n v="20"/>
    <n v="0.82417582417595592"/>
    <n v="19.780219780222943"/>
    <n v="7219.7802197813744"/>
    <n v="4129"/>
    <n v="1.7436287240557091"/>
    <n v="41.847089377337014"/>
    <n v="15274.18762272801"/>
    <n v="121387"/>
    <n v="14"/>
    <n v="0.57692307692316913"/>
    <n v="13.84615384615606"/>
    <n v="5053.8461538469619"/>
    <n v="1955"/>
    <n v="0.82557378433734829"/>
    <n v="19.813770824096359"/>
    <n v="7232.0263507951713"/>
    <n v="34"/>
    <n v="1.401098901099125"/>
    <n v="33.626373626379007"/>
    <n v="12273.626373628338"/>
    <n v="6084"/>
    <n v="57.984250885455999"/>
    <n v="50.09723615799021"/>
    <n v="2.5692025083930572"/>
    <n v="61.66086020143338"/>
    <n v="22506.213973523183"/>
    <n v="1005.9501"/>
    <n v="10.195224931906299"/>
    <n v="9.5984237130769596"/>
    <n v="8.2484876037587966"/>
    <n v="972.83159999999987"/>
    <n v="9.859571546209196"/>
    <n v="3721.2571001457991"/>
    <n v="3598.7436143663567"/>
    <x v="3"/>
    <x v="1"/>
  </r>
  <r>
    <x v="131"/>
    <n v="13.9"/>
    <d v="1899-12-30T04:56:00"/>
    <n v="0.20555555555620231"/>
    <d v="1900-04-07T20:59:00"/>
    <n v="98.874305555553292"/>
    <n v="60.790972222224809"/>
    <n v="38.271527777775191"/>
    <n v="183897"/>
    <n v="9"/>
    <n v="1.8243243243185843"/>
    <n v="43.783783783646022"/>
    <n v="15981.081081030798"/>
    <n v="4138"/>
    <n v="1.7437964868414983"/>
    <n v="41.85111568419596"/>
    <n v="15275.657224731525"/>
    <n v="121387"/>
    <n v="0"/>
    <n v="0"/>
    <n v="0"/>
    <n v="0"/>
    <n v="1955"/>
    <n v="0.82385745088814144"/>
    <n v="19.772578821315395"/>
    <n v="7216.9912697801192"/>
    <n v="9"/>
    <n v="1.8243243243185843"/>
    <n v="43.783783783646022"/>
    <n v="15981.081081030798"/>
    <n v="6093"/>
    <n v="57.936234135639936"/>
    <n v="50.063326740581488"/>
    <n v="2.5676539377296397"/>
    <n v="61.623694505511352"/>
    <n v="22492.648494511643"/>
    <n v="1007.5691999999999"/>
    <n v="10.190404820935903"/>
    <n v="9.592601971692206"/>
    <n v="8.2464907550222399"/>
    <n v="974.27069999999992"/>
    <n v="9.8536287514312644"/>
    <n v="3719.4977596416056"/>
    <n v="3596.5744942724114"/>
    <x v="3"/>
    <x v="1"/>
  </r>
  <r>
    <x v="132"/>
    <n v="9.9"/>
    <d v="1899-12-30T20:59:00"/>
    <n v="0.87430555555329192"/>
    <d v="1900-04-08T17:58:00"/>
    <n v="99.748611111106584"/>
    <n v="61.665277777778101"/>
    <n v="39.145833333328483"/>
    <n v="183920"/>
    <n v="23"/>
    <n v="1.0961080222427109"/>
    <n v="26.306592533825061"/>
    <n v="9601.9062748461474"/>
    <n v="4161"/>
    <n v="1.7381194391457089"/>
    <n v="41.71486653949701"/>
    <n v="15225.926286916409"/>
    <n v="121405"/>
    <n v="18"/>
    <n v="0.85782366958125189"/>
    <n v="20.587768069950048"/>
    <n v="7514.5353455317672"/>
    <n v="1973"/>
    <n v="0.82415516785255549"/>
    <n v="19.779724028461334"/>
    <n v="7219.5992703883867"/>
    <n v="41"/>
    <n v="1.9539316918239626"/>
    <n v="46.894360603775105"/>
    <n v="17116.441620377915"/>
    <n v="6134"/>
    <n v="57.779679722515972"/>
    <n v="49.992549228319128"/>
    <n v="2.5622746069982645"/>
    <n v="61.494590567958348"/>
    <n v="22445.525557304798"/>
    <n v="1014.1297"/>
    <n v="10.166855344686407"/>
    <n v="9.5629845717245363"/>
    <n v="8.2299001596604118"/>
    <n v="980.82659999999987"/>
    <n v="9.8329850318165377"/>
    <n v="3710.9022008105385"/>
    <n v="3589.0395366130369"/>
    <x v="3"/>
    <x v="1"/>
  </r>
  <r>
    <x v="133"/>
    <n v="11"/>
    <d v="1899-12-30T23:33:00"/>
    <n v="0.98125000000436557"/>
    <d v="1900-04-09T17:31:00"/>
    <n v="100.72986111111095"/>
    <n v="62.646527777782467"/>
    <n v="40.127083333332848"/>
    <n v="183952"/>
    <n v="32"/>
    <n v="1.3588110403336575"/>
    <n v="32.61146496800778"/>
    <n v="11903.18471332284"/>
    <n v="4193"/>
    <n v="1.7344244438163157"/>
    <n v="41.626186651591574"/>
    <n v="15193.558127830924"/>
    <n v="121423"/>
    <n v="18"/>
    <n v="0.76433121018768235"/>
    <n v="18.343949044504374"/>
    <n v="6695.5414012440961"/>
    <n v="1991"/>
    <n v="0.82357239867357135"/>
    <n v="19.765737568165711"/>
    <n v="7214.4942123804849"/>
    <n v="50"/>
    <n v="2.1231422505213398"/>
    <n v="50.955414012512151"/>
    <n v="18598.726114566936"/>
    <n v="6184"/>
    <n v="57.672789349409832"/>
    <n v="50.016094699133568"/>
    <n v="2.5579968424898869"/>
    <n v="61.391924219757286"/>
    <n v="22408.052340211409"/>
    <n v="1022.3093"/>
    <n v="10.14901925529643"/>
    <n v="9.5437643746320902"/>
    <n v="8.2324921862832632"/>
    <n v="988.82159999999988"/>
    <n v="9.8165686827391898"/>
    <n v="3704.3920281831961"/>
    <n v="3583.047569199804"/>
    <x v="3"/>
    <x v="1"/>
  </r>
  <r>
    <x v="134"/>
    <n v="11.2"/>
    <d v="1899-12-30T22:59:00"/>
    <n v="0.95763888888905058"/>
    <d v="1900-04-10T16:30:00"/>
    <n v="101.6875"/>
    <n v="63.604166666671517"/>
    <n v="41.084722222221899"/>
    <n v="183970"/>
    <n v="18"/>
    <n v="0.78317621464816367"/>
    <n v="18.796229151555927"/>
    <n v="6860.6236403179137"/>
    <n v="4211"/>
    <n v="1.7254660930137267"/>
    <n v="41.411186232329442"/>
    <n v="15115.082974800247"/>
    <n v="121427"/>
    <n v="4"/>
    <n v="0.17403915881070303"/>
    <n v="4.1769398114568723"/>
    <n v="1524.5830311817583"/>
    <n v="1995"/>
    <n v="0.81745543945912724"/>
    <n v="19.618930547019055"/>
    <n v="7160.909649661955"/>
    <n v="22"/>
    <n v="0.95721537345886665"/>
    <n v="22.9731689630128"/>
    <n v="8385.2066714996727"/>
    <n v="6206"/>
    <n v="57.150343924004815"/>
    <n v="49.385754369359098"/>
    <n v="2.542921532472854"/>
    <n v="61.030116779348496"/>
    <n v="22275.9926244622"/>
    <n v="1026.0859"/>
    <n v="10.090580454824831"/>
    <n v="9.4594478873232219"/>
    <n v="8.132524255434296"/>
    <n v="992.33939999999996"/>
    <n v="9.7587156730178233"/>
    <n v="3683.0618660110636"/>
    <n v="3561.9312206515056"/>
    <x v="3"/>
    <x v="1"/>
  </r>
  <r>
    <x v="135"/>
    <n v="10.6"/>
    <d v="1899-12-30T23:11:00"/>
    <n v="0.96597222222044365"/>
    <d v="1900-04-11T15:41:00"/>
    <n v="102.65347222222044"/>
    <n v="64.570138888891961"/>
    <n v="42.050694444442343"/>
    <n v="183982"/>
    <n v="12"/>
    <n v="0.51761322789455477"/>
    <n v="12.422717469469314"/>
    <n v="4534.2918763562993"/>
    <n v="4223"/>
    <n v="1.7141001616820641"/>
    <n v="41.138403880369538"/>
    <n v="15015.517416334882"/>
    <n v="121431"/>
    <n v="4"/>
    <n v="0.17253774263151825"/>
    <n v="4.1409058231564382"/>
    <n v="1511.4306254521"/>
    <n v="1999"/>
    <n v="0.81138674477917261"/>
    <n v="19.473281874700142"/>
    <n v="7107.7478842655519"/>
    <n v="16"/>
    <n v="0.69015097052607299"/>
    <n v="16.563623292625753"/>
    <n v="6045.7225018084"/>
    <n v="6222"/>
    <n v="56.543164732577083"/>
    <n v="48.631777120871753"/>
    <n v="2.5254869064612366"/>
    <n v="60.611685755069679"/>
    <n v="22123.265300600433"/>
    <n v="1028.7831000000001"/>
    <n v="10.021902598413121"/>
    <n v="9.3597057463348285"/>
    <n v="8.009848694532467"/>
    <n v="994.89779999999996"/>
    <n v="9.6918085522356421"/>
    <n v="3657.9944484207886"/>
    <n v="3537.5101215660088"/>
    <x v="3"/>
    <x v="1"/>
  </r>
  <r>
    <x v="136"/>
    <n v="12.4"/>
    <d v="1899-12-30T23:46:00"/>
    <n v="0.99027777777519077"/>
    <d v="1900-04-12T15:27:00"/>
    <n v="103.64374999999563"/>
    <n v="65.560416666667152"/>
    <n v="43.040972222217533"/>
    <n v="183991"/>
    <n v="9"/>
    <n v="0.3786816269294605"/>
    <n v="9.0883590463070529"/>
    <n v="3317.2510519020743"/>
    <n v="4232"/>
    <n v="1.7013407304670156"/>
    <n v="40.83217753120838"/>
    <n v="14903.744798891059"/>
    <n v="121433"/>
    <n v="2"/>
    <n v="8.4151472650991224E-2"/>
    <n v="2.0196353436237895"/>
    <n v="737.16690042268317"/>
    <n v="2001"/>
    <n v="0.80443828016646934"/>
    <n v="19.306518723995264"/>
    <n v="7046.8793342582712"/>
    <n v="11"/>
    <n v="0.46283309958045177"/>
    <n v="11.107994389930841"/>
    <n v="4054.4179523247572"/>
    <n v="6233"/>
    <n v="55.856875019860404"/>
    <n v="47.768437696644391"/>
    <n v="2.5057790106334852"/>
    <n v="60.138696255203641"/>
    <n v="21950.624133149329"/>
    <n v="1030.6714000000002"/>
    <n v="9.9443661581141516"/>
    <n v="9.2471315898184852"/>
    <n v="7.8694319043555625"/>
    <n v="996.65669999999989"/>
    <n v="9.616177531207061"/>
    <n v="3629.6936477116651"/>
    <n v="3509.9047988905772"/>
    <x v="3"/>
    <x v="1"/>
  </r>
  <r>
    <x v="137"/>
    <n v="12.4"/>
    <d v="1899-12-31T00:33:00"/>
    <n v="1.0229166666686069"/>
    <d v="1900-04-13T16:00:00"/>
    <n v="104.66666666666424"/>
    <n v="66.583333333335759"/>
    <n v="44.06388888888614"/>
    <n v="183998"/>
    <n v="7"/>
    <n v="0.28513238289151621"/>
    <n v="6.8431771893963882"/>
    <n v="2497.7596741296816"/>
    <n v="4239"/>
    <n v="1.6875000000000391"/>
    <n v="40.500000000000938"/>
    <n v="14782.500000000342"/>
    <n v="121436"/>
    <n v="3"/>
    <n v="0.12219959266779265"/>
    <n v="2.9327902240270238"/>
    <n v="1070.4684317698636"/>
    <n v="2004"/>
    <n v="0.79777070063696121"/>
    <n v="19.146496815287069"/>
    <n v="6988.4713375797801"/>
    <n v="10"/>
    <n v="0.40733197555930883"/>
    <n v="9.7759674134234125"/>
    <n v="3568.2281058995454"/>
    <n v="6243"/>
    <n v="55.14893617021076"/>
    <n v="46.886465359644859"/>
    <n v="2.4852707006370003"/>
    <n v="59.646496815288003"/>
    <n v="21770.971337580122"/>
    <n v="1032.3344999999999"/>
    <n v="9.8630684713378081"/>
    <n v="9.1300460575716311"/>
    <n v="7.7244907016332114"/>
    <n v="998.25569999999993"/>
    <n v="9.5374748407645509"/>
    <n v="3600.0199920383002"/>
    <n v="3481.1783168790612"/>
    <x v="4"/>
    <x v="1"/>
  </r>
  <r>
    <x v="138"/>
    <n v="17.2"/>
    <d v="1899-12-31T04:44:00"/>
    <n v="1.1972222222248092"/>
    <d v="1900-04-14T20:44:00"/>
    <n v="105.86388888888905"/>
    <n v="67.780555555560568"/>
    <n v="45.261111111110949"/>
    <n v="184008"/>
    <n v="10"/>
    <n v="0.34802784222662614"/>
    <n v="8.3526682134390278"/>
    <n v="3048.7238979052449"/>
    <n v="4249"/>
    <n v="1.6723518144367742"/>
    <n v="40.136443546482582"/>
    <n v="14649.801894466142"/>
    <n v="121438"/>
    <n v="2"/>
    <n v="6.9605568445325228E-2"/>
    <n v="1.6705336426878055"/>
    <n v="609.74477958104899"/>
    <n v="2006"/>
    <n v="0.78953582955052226"/>
    <n v="18.948859909212533"/>
    <n v="6916.3338668625747"/>
    <n v="12"/>
    <n v="0.41763341067195137"/>
    <n v="10.023201856126834"/>
    <n v="3658.4686774862944"/>
    <n v="6255"/>
    <n v="54.35187082496217"/>
    <n v="45.911378421505013"/>
    <n v="2.4618876439872963"/>
    <n v="59.085303455695119"/>
    <n v="21566.135761328718"/>
    <n v="1034.4027000000001"/>
    <n v="9.7710627377922243"/>
    <n v="8.999293307650662"/>
    <n v="7.5658615441267019"/>
    <n v="1000.1745"/>
    <n v="9.4477400225656485"/>
    <n v="3566.4378992941615"/>
    <n v="3448.4251082364617"/>
    <x v="4"/>
    <x v="1"/>
  </r>
  <r>
    <x v="139"/>
    <n v="2.7"/>
    <d v="1899-12-30T18:47:00"/>
    <n v="0.78263888888614019"/>
    <d v="1900-04-15T15:31:00"/>
    <n v="106.64652777777519"/>
    <n v="68.563194444446708"/>
    <n v="46.04374999999709"/>
    <n v="184017"/>
    <n v="9"/>
    <n v="0.47914818101321788"/>
    <n v="11.499556344317229"/>
    <n v="4197.338065675789"/>
    <n v="4258"/>
    <n v="1.6635953402661061"/>
    <n v="39.926288166386549"/>
    <n v="14573.09518073109"/>
    <n v="121451"/>
    <n v="13"/>
    <n v="0.69210292813020358"/>
    <n v="16.610470275124886"/>
    <n v="6062.821650420583"/>
    <n v="2019"/>
    <n v="0.78882080601157079"/>
    <n v="18.9316993442777"/>
    <n v="6910.0702606613604"/>
    <n v="22"/>
    <n v="1.1712511091434215"/>
    <n v="28.110026619442113"/>
    <n v="10260.159716096372"/>
    <n v="6277"/>
    <n v="54.052323991449732"/>
    <n v="45.608795982085141"/>
    <n v="2.452416146277677"/>
    <n v="58.857987510664245"/>
    <n v="21483.165441392448"/>
    <n v="1037.7716"/>
    <n v="9.7309459728727195"/>
    <n v="8.9457033758391074"/>
    <n v="7.5104264965390941"/>
    <n v="1003.6922999999999"/>
    <n v="9.4113922029552128"/>
    <n v="3551.7952800985422"/>
    <n v="3435.1581540786519"/>
    <x v="4"/>
    <x v="1"/>
  </r>
  <r>
    <x v="140"/>
    <n v="6.4"/>
    <d v="1899-12-31T01:47:00"/>
    <n v="1.0743055555576575"/>
    <d v="1900-04-16T17:18:00"/>
    <n v="107.72083333333285"/>
    <n v="69.637500000004366"/>
    <n v="47.118055555554747"/>
    <n v="184051"/>
    <n v="34"/>
    <n v="1.3186813186787385"/>
    <n v="31.648351648289726"/>
    <n v="11551.64835162575"/>
    <n v="4292"/>
    <n v="1.6601554945267549"/>
    <n v="39.843731868642116"/>
    <n v="14542.962132054372"/>
    <n v="121467"/>
    <n v="16"/>
    <n v="0.62055591467234761"/>
    <n v="14.893341952136343"/>
    <n v="5436.0698125297649"/>
    <n v="2035"/>
    <n v="0.78714269137044413"/>
    <n v="18.891424592890658"/>
    <n v="6895.3699764050898"/>
    <n v="50"/>
    <n v="1.9392372333510861"/>
    <n v="46.541693600426065"/>
    <n v="16987.718164155514"/>
    <n v="6327"/>
    <n v="53.936456650508198"/>
    <n v="45.630066322771604"/>
    <n v="2.4472981858971989"/>
    <n v="58.735156461532775"/>
    <n v="21438.332108459465"/>
    <n v="1046.0418"/>
    <n v="9.7106731133717989"/>
    <n v="8.9264577275169401"/>
    <n v="7.5147073839352796"/>
    <n v="1011.6872999999999"/>
    <n v="9.39175151819909"/>
    <n v="3544.3956863807066"/>
    <n v="3427.9893041426681"/>
    <x v="4"/>
    <x v="1"/>
  </r>
  <r>
    <x v="141"/>
    <n v="5.9"/>
    <d v="1899-12-30T23:21:00"/>
    <n v="0.97291666666569654"/>
    <d v="1900-04-17T16:39:00"/>
    <n v="108.69374999999854"/>
    <n v="70.610416666670062"/>
    <n v="48.090972222220444"/>
    <n v="184064"/>
    <n v="13"/>
    <n v="0.55674518201340306"/>
    <n v="13.361884368321675"/>
    <n v="4877.0877944374115"/>
    <n v="4305"/>
    <n v="1.65027887988042"/>
    <n v="39.606693117130078"/>
    <n v="14456.442987752478"/>
    <n v="121482"/>
    <n v="15"/>
    <n v="0.64239828693854206"/>
    <n v="15.417558886525009"/>
    <n v="5627.4089935816282"/>
    <n v="2050"/>
    <n v="0.78584708565734285"/>
    <n v="18.860330055776227"/>
    <n v="6884.0204703583231"/>
    <n v="28"/>
    <n v="1.1991434689519451"/>
    <n v="28.779443254846683"/>
    <n v="10504.49678801904"/>
    <n v="6355"/>
    <n v="53.589826807892855"/>
    <n v="45.289165499416846"/>
    <n v="2.4361259655377627"/>
    <n v="58.467023172906309"/>
    <n v="21340.463458110804"/>
    <n v="1050.3995"/>
    <n v="9.6638445172791823"/>
    <n v="8.8651778243290806"/>
    <n v="7.4532928621972117"/>
    <n v="1016.1644999999999"/>
    <n v="9.3488770053477168"/>
    <n v="3527.3032488069011"/>
    <n v="3412.3401069519173"/>
    <x v="4"/>
    <x v="1"/>
  </r>
  <r>
    <x v="142"/>
    <n v="-1.5"/>
    <d v="1899-12-30T21:51:00"/>
    <n v="0.91041666666569654"/>
    <d v="1900-04-18T14:30:00"/>
    <n v="109.60416666666424"/>
    <n v="71.520833333335759"/>
    <n v="49.00138888888614"/>
    <n v="184087"/>
    <n v="23"/>
    <n v="1.0526315789484901"/>
    <n v="25.263157894763761"/>
    <n v="9221.0526315887728"/>
    <n v="4328"/>
    <n v="1.6453145789774171"/>
    <n v="39.48754989545801"/>
    <n v="14412.955711842173"/>
    <n v="121499"/>
    <n v="17"/>
    <n v="0.77803203661410136"/>
    <n v="18.672768878738434"/>
    <n v="6815.5606407395289"/>
    <n v="2067"/>
    <n v="0.78578217069000023"/>
    <n v="18.858772096560006"/>
    <n v="6883.4518152444025"/>
    <n v="40"/>
    <n v="1.8306636155625915"/>
    <n v="43.935926773502196"/>
    <n v="16036.613272328301"/>
    <n v="6395"/>
    <n v="53.466938537720296"/>
    <n v="45.264023128598666"/>
    <n v="2.4310967496674176"/>
    <n v="58.346321992018019"/>
    <n v="21296.407527086576"/>
    <n v="1056.8253999999999"/>
    <n v="9.6422009503898725"/>
    <n v="8.8421760559274585"/>
    <n v="7.4459522122392992"/>
    <n v="1022.5604999999999"/>
    <n v="9.3295768865236806"/>
    <n v="3519.4033468923035"/>
    <n v="3405.2955635811431"/>
    <x v="4"/>
    <x v="1"/>
  </r>
  <r>
    <x v="143"/>
    <n v="6.6"/>
    <d v="1899-12-30T06:20:00"/>
    <n v="0.26388888889050577"/>
    <d v="1900-04-18T20:50:00"/>
    <n v="109.86805555555475"/>
    <n v="71.784722222226264"/>
    <n v="49.265277777776646"/>
    <n v="184102"/>
    <n v="15"/>
    <n v="2.3684210526170673"/>
    <n v="56.842105262809618"/>
    <n v="20747.368420925512"/>
    <n v="4343"/>
    <n v="1.6470513873965105"/>
    <n v="39.529233297516249"/>
    <n v="14428.170153593432"/>
    <n v="121499"/>
    <n v="0"/>
    <n v="0"/>
    <n v="0"/>
    <n v="0"/>
    <n v="2067"/>
    <n v="0.78389482333607807"/>
    <n v="18.813475760065874"/>
    <n v="6866.918652424044"/>
    <n v="15"/>
    <n v="2.3684210526170673"/>
    <n v="56.842105262809618"/>
    <n v="20747.368420925512"/>
    <n v="6410"/>
    <n v="53.479346038499457"/>
    <n v="45.326040991233313"/>
    <n v="2.4309462107325883"/>
    <n v="58.342709057582127"/>
    <n v="21295.088806017477"/>
    <n v="1059.5238999999999"/>
    <n v="9.6436029075280398"/>
    <n v="8.8472627648248849"/>
    <n v="7.4608429421219036"/>
    <n v="1024.9589999999998"/>
    <n v="9.3289991783073809"/>
    <n v="3519.9150612477347"/>
    <n v="3405.0847000821941"/>
    <x v="4"/>
    <x v="1"/>
  </r>
  <r>
    <x v="144"/>
    <n v="1.1000000000000001"/>
    <d v="1899-12-30T19:15:00"/>
    <n v="0.80208333332848269"/>
    <d v="1900-04-19T16:05:00"/>
    <n v="110.67013888888323"/>
    <n v="72.586805555554747"/>
    <n v="50.067361111105129"/>
    <n v="184127"/>
    <n v="25"/>
    <n v="1.2987012987091526"/>
    <n v="31.168831169019665"/>
    <n v="11376.623376692178"/>
    <n v="4368"/>
    <n v="1.6445267154018348"/>
    <n v="39.468641169644037"/>
    <n v="14406.054026920074"/>
    <n v="121519"/>
    <n v="20"/>
    <n v="1.0389610389673221"/>
    <n v="24.935064935215731"/>
    <n v="9101.2987013537422"/>
    <n v="2087"/>
    <n v="0.78574341919497004"/>
    <n v="18.857842060679282"/>
    <n v="6883.1123521479376"/>
    <n v="45"/>
    <n v="2.3376623376764747"/>
    <n v="56.103896104235396"/>
    <n v="20477.922078045918"/>
    <n v="6455"/>
    <n v="53.508347285339035"/>
    <n v="45.498703136058253"/>
    <n v="2.430270134596805"/>
    <n v="58.326483230323319"/>
    <n v="21289.16637906801"/>
    <n v="1066.7134000000001"/>
    <n v="9.6386740877863932"/>
    <n v="8.8485475436499446"/>
    <n v="7.4849161546259158"/>
    <n v="1032.1544999999999"/>
    <n v="9.3264046685286974"/>
    <n v="3518.1160420420338"/>
    <n v="3404.1377040129746"/>
    <x v="4"/>
    <x v="1"/>
  </r>
  <r>
    <x v="145"/>
    <n v="5.8"/>
    <d v="1899-12-31T00:24:00"/>
    <n v="1.0166666666700621"/>
    <d v="1900-04-20T16:29:00"/>
    <n v="111.68680555555329"/>
    <n v="73.603472222224809"/>
    <n v="51.084027777775191"/>
    <n v="184158"/>
    <n v="31"/>
    <n v="1.2704918032744454"/>
    <n v="30.491803278586687"/>
    <n v="11129.508196684141"/>
    <n v="4399"/>
    <n v="1.6411219369641379"/>
    <n v="39.386926487139313"/>
    <n v="14376.22816780585"/>
    <n v="121538"/>
    <n v="19"/>
    <n v="0.77868852458756332"/>
    <n v="18.688524590101519"/>
    <n v="6821.3114753870541"/>
    <n v="2106"/>
    <n v="0.78567919964684574"/>
    <n v="18.856300791524298"/>
    <n v="6882.549788906369"/>
    <n v="50"/>
    <n v="2.0491803278620084"/>
    <n v="49.180327868688209"/>
    <n v="17950.819672071197"/>
    <n v="6505"/>
    <n v="53.448565417164055"/>
    <n v="45.571974279851688"/>
    <n v="2.4268011366109836"/>
    <n v="58.24322727866361"/>
    <n v="21258.777956712216"/>
    <n v="1074.8477"/>
    <n v="9.6237661615755332"/>
    <n v="8.8368398984797203"/>
    <n v="7.4951861992092006"/>
    <n v="1040.1495"/>
    <n v="9.3130920418583116"/>
    <n v="3512.6746489750699"/>
    <n v="3399.2785952782829"/>
    <x v="4"/>
    <x v="1"/>
  </r>
  <r>
    <x v="146"/>
    <n v="8.4"/>
    <d v="1899-12-30T23:24:00"/>
    <n v="0.97499999999854481"/>
    <d v="1900-04-21T15:53:00"/>
    <n v="112.66180555555184"/>
    <n v="74.578472222223354"/>
    <n v="52.059027777773736"/>
    <n v="184180"/>
    <n v="22"/>
    <n v="0.94017094017234337"/>
    <n v="22.564102564136242"/>
    <n v="8235.8974359097283"/>
    <n v="4421"/>
    <n v="1.6350557531452217"/>
    <n v="39.241338075485324"/>
    <n v="14323.088397552143"/>
    <n v="121553"/>
    <n v="15"/>
    <n v="0.64102564102659776"/>
    <n v="15.384615384638346"/>
    <n v="5615.3846153929962"/>
    <n v="2121"/>
    <n v="0.78442733599208669"/>
    <n v="18.826256063810082"/>
    <n v="6871.5834632906799"/>
    <n v="37"/>
    <n v="1.5811965811989412"/>
    <n v="37.948717948774586"/>
    <n v="13851.282051302724"/>
    <n v="6542"/>
    <n v="53.245928505581496"/>
    <n v="45.429200293473812"/>
    <n v="2.4194830891373083"/>
    <n v="58.067594139295402"/>
    <n v="21194.67186084282"/>
    <n v="1080.8244999999999"/>
    <n v="9.5935307859686461"/>
    <n v="8.8014527576283879"/>
    <n v="7.469618942173593"/>
    <n v="1046.0657999999999"/>
    <n v="9.285008302873333"/>
    <n v="3501.6387368785558"/>
    <n v="3389.0280305487668"/>
    <x v="4"/>
    <x v="1"/>
  </r>
  <r>
    <x v="147"/>
    <n v="5"/>
    <d v="1899-12-31T23:39:00"/>
    <n v="1.9854166666700621"/>
    <d v="1900-04-23T15:32:00"/>
    <n v="114.6472222222219"/>
    <n v="76.563888888893416"/>
    <n v="54.044444444443798"/>
    <n v="184220"/>
    <n v="40"/>
    <n v="0.8394543546680292"/>
    <n v="20.146904512032702"/>
    <n v="7353.6201468919362"/>
    <n v="4461"/>
    <n v="1.6212778329658661"/>
    <n v="38.910667991180787"/>
    <n v="14202.393816780987"/>
    <n v="121578"/>
    <n v="25"/>
    <n v="0.52465897166751829"/>
    <n v="12.591815320020439"/>
    <n v="4596.01259180746"/>
    <n v="2146"/>
    <n v="0.77992876699052871"/>
    <n v="18.718290407772688"/>
    <n v="6832.1759988370313"/>
    <n v="65"/>
    <n v="1.3641133263355474"/>
    <n v="32.738719832053143"/>
    <n v="11949.632738699396"/>
    <n v="6607"/>
    <n v="52.714145775130213"/>
    <n v="44.96299342105317"/>
    <n v="2.4012065999563945"/>
    <n v="57.628958398953472"/>
    <n v="21034.569815618019"/>
    <n v="1091.3855000000001"/>
    <n v="9.519511060499628"/>
    <n v="8.7111549541046269"/>
    <n v="7.3906227384869325"/>
    <n v="1056.4593"/>
    <n v="9.2148704479926611"/>
    <n v="3474.6215370823638"/>
    <n v="3363.4277135173211"/>
    <x v="4"/>
    <x v="1"/>
  </r>
  <r>
    <x v="148"/>
    <n v="-0.1"/>
    <d v="1899-12-30T22:57:00"/>
    <n v="0.95624999999563443"/>
    <d v="1900-04-24T14:29:00"/>
    <n v="115.60347222221753"/>
    <n v="77.520138888889051"/>
    <n v="55.000694444439432"/>
    <n v="184247"/>
    <n v="27"/>
    <n v="1.176470588240665"/>
    <n v="28.235294117775961"/>
    <n v="10305.882352988227"/>
    <n v="4488"/>
    <n v="1.6175984717876057"/>
    <n v="38.822363322902532"/>
    <n v="14170.162612859423"/>
    <n v="121596"/>
    <n v="18"/>
    <n v="0.78431372549377676"/>
    <n v="18.82352941185064"/>
    <n v="6870.5882353254838"/>
    <n v="2164"/>
    <n v="0.77996503853573496"/>
    <n v="18.71916092485764"/>
    <n v="6832.4937375730387"/>
    <n v="45"/>
    <n v="1.9607843137344418"/>
    <n v="47.058823529626601"/>
    <n v="17176.47058831371"/>
    <n v="6652"/>
    <n v="52.644384523734765"/>
    <n v="44.999431825359842"/>
    <n v="2.3975635103233408"/>
    <n v="57.541524247760172"/>
    <n v="21002.656350432462"/>
    <n v="1098.6656"/>
    <n v="9.5037422222760046"/>
    <n v="8.6976108358938813"/>
    <n v="7.3944920897470165"/>
    <n v="1063.6548"/>
    <n v="9.2008897272168522"/>
    <n v="3468.8659111307416"/>
    <n v="3358.3247504341502"/>
    <x v="4"/>
    <x v="1"/>
  </r>
  <r>
    <x v="149"/>
    <n v="0.8"/>
    <d v="1899-12-31T00:31:00"/>
    <n v="1.0215277777824667"/>
    <d v="1900-04-25T15:00:00"/>
    <n v="116.625"/>
    <n v="78.541666666671517"/>
    <n v="56.022222222221899"/>
    <n v="184275"/>
    <n v="28"/>
    <n v="1.1420802175338467"/>
    <n v="27.409925220812323"/>
    <n v="10004.622705596497"/>
    <n v="4516"/>
    <n v="1.6134333690603786"/>
    <n v="38.722400857449088"/>
    <n v="14133.676312968917"/>
    <n v="121613"/>
    <n v="17"/>
    <n v="0.69340584635983549"/>
    <n v="16.641740312636053"/>
    <n v="6074.2352141121592"/>
    <n v="2181"/>
    <n v="0.77920685959271163"/>
    <n v="18.70096463022508"/>
    <n v="6825.8520900321546"/>
    <n v="45"/>
    <n v="1.8354860638936823"/>
    <n v="44.051665533448372"/>
    <n v="16078.857919708656"/>
    <n v="6697"/>
    <n v="52.532625994691713"/>
    <n v="44.982149940500058"/>
    <n v="2.3926402286530903"/>
    <n v="57.423365487674168"/>
    <n v="20959.52840300107"/>
    <n v="1105.991"/>
    <n v="9.4833097534833861"/>
    <n v="8.6777557559676328"/>
    <n v="7.3904172947243589"/>
    <n v="1070.8502999999998"/>
    <n v="9.1819961414790985"/>
    <n v="3461.4080600214361"/>
    <n v="3351.4285916398708"/>
    <x v="4"/>
    <x v="1"/>
  </r>
  <r>
    <x v="150"/>
    <n v="10.1"/>
    <d v="1899-12-30T04:34:00"/>
    <n v="0.19027777777228039"/>
    <d v="1900-04-25T19:34:00"/>
    <n v="116.81527777777228"/>
    <n v="78.731944444443798"/>
    <n v="56.212499999994179"/>
    <n v="184285"/>
    <n v="10"/>
    <n v="2.189781021961076"/>
    <n v="52.554744527065822"/>
    <n v="19182.481752379026"/>
    <n v="4526"/>
    <n v="1.6143721687850761"/>
    <n v="38.744932050841825"/>
    <n v="14141.900198557267"/>
    <n v="121613"/>
    <n v="0"/>
    <n v="0"/>
    <n v="0"/>
    <n v="0"/>
    <n v="2181"/>
    <n v="0.77793762707031611"/>
    <n v="18.670503049687586"/>
    <n v="6814.7336131359689"/>
    <n v="10"/>
    <n v="2.189781021961076"/>
    <n v="52.554744527065822"/>
    <n v="19182.481752379026"/>
    <n v="6707"/>
    <n v="52.532679450315321"/>
    <n v="45.007782966426717"/>
    <n v="2.3923097958553923"/>
    <n v="57.415435100529415"/>
    <n v="20956.633811693235"/>
    <n v="1107.79"/>
    <n v="9.4832629864343936"/>
    <n v="8.6796332139644718"/>
    <n v="7.3974044918842434"/>
    <n v="1072.4493"/>
    <n v="9.1807280725746523"/>
    <n v="3461.3909900485542"/>
    <n v="3350.9657464897477"/>
    <x v="4"/>
    <x v="1"/>
  </r>
  <r>
    <x v="151"/>
    <n v="10.4"/>
    <d v="1899-12-30T01:08:00"/>
    <n v="4.7222222223354038E-2"/>
    <d v="1900-04-25T20:42:00"/>
    <n v="116.86249999999563"/>
    <n v="78.779166666667152"/>
    <n v="56.259722222217533"/>
    <n v="184287"/>
    <n v="2"/>
    <n v="1.764705882310645"/>
    <n v="42.352941175455477"/>
    <n v="15458.823529041249"/>
    <n v="4528"/>
    <n v="1.6144329161764785"/>
    <n v="38.746389988235485"/>
    <n v="14142.432345705953"/>
    <n v="121613"/>
    <n v="0"/>
    <n v="0"/>
    <n v="0"/>
    <n v="0"/>
    <n v="2181"/>
    <n v="0.77762327521662977"/>
    <n v="18.662958605199115"/>
    <n v="6811.9798908976773"/>
    <n v="2"/>
    <n v="1.764705882310645"/>
    <n v="42.352941175455477"/>
    <n v="15458.823529041249"/>
    <n v="6709"/>
    <n v="52.526577458083985"/>
    <n v="45.005554595505764"/>
    <n v="2.3920561913931082"/>
    <n v="57.409348593434601"/>
    <n v="20954.412236603628"/>
    <n v="1108.1498000000001"/>
    <n v="9.4825097871433659"/>
    <n v="8.6789976199290741"/>
    <n v="7.3975907374040313"/>
    <n v="1072.7691"/>
    <n v="9.179754840090192"/>
    <n v="3461.1160723073281"/>
    <n v="3350.6105166329198"/>
    <x v="4"/>
    <x v="1"/>
  </r>
  <r>
    <x v="152"/>
    <n v="11.5"/>
    <d v="1899-12-30T02:19:00"/>
    <n v="9.6527777779556345E-2"/>
    <d v="1900-04-25T23:01:00"/>
    <n v="116.95902777777519"/>
    <n v="78.875694444446708"/>
    <n v="56.35624999999709"/>
    <n v="184289"/>
    <n v="2"/>
    <n v="0.86330935250207874"/>
    <n v="20.71942446004989"/>
    <n v="7562.5899279182095"/>
    <n v="4530"/>
    <n v="1.6138130043165995"/>
    <n v="38.731512103598391"/>
    <n v="14137.001917813413"/>
    <n v="121613"/>
    <n v="0"/>
    <n v="0"/>
    <n v="0"/>
    <n v="0"/>
    <n v="2181"/>
    <n v="0.77698149280673368"/>
    <n v="18.647555827361607"/>
    <n v="6806.3578769869864"/>
    <n v="2"/>
    <n v="0.86330935250207874"/>
    <n v="20.71942446004989"/>
    <n v="7562.5899279182095"/>
    <n v="6711"/>
    <n v="52.487651984045122"/>
    <n v="44.963956970169782"/>
    <n v="2.3907944971233333"/>
    <n v="57.379067930959998"/>
    <n v="20943.359794800399"/>
    <n v="1108.5095999999999"/>
    <n v="9.4777600418002219"/>
    <n v="8.6729379033462592"/>
    <n v="7.3913044249754272"/>
    <n v="1073.0889"/>
    <n v="9.1749129621605032"/>
    <n v="3459.3824152570814"/>
    <n v="3348.8432311885836"/>
    <x v="4"/>
    <x v="1"/>
  </r>
  <r>
    <x v="153"/>
    <n v="10.1"/>
    <d v="1899-12-30T03:02:00"/>
    <n v="0.12638888888614019"/>
    <d v="1900-04-26T02:03:00"/>
    <n v="117.08541666666133"/>
    <n v="79.002083333332848"/>
    <n v="56.48263888888323"/>
    <n v="184290"/>
    <n v="1"/>
    <n v="0.32967032967749932"/>
    <n v="7.9120879122599836"/>
    <n v="2887.9120879748939"/>
    <n v="4531"/>
    <n v="1.6124268251455336"/>
    <n v="38.698243803492808"/>
    <n v="14124.858988274875"/>
    <n v="121613"/>
    <n v="0"/>
    <n v="0"/>
    <n v="0"/>
    <n v="0"/>
    <n v="2181"/>
    <n v="0.77614277326029768"/>
    <n v="18.627426558247144"/>
    <n v="6799.0106937602077"/>
    <n v="1"/>
    <n v="0.32967032967749932"/>
    <n v="7.9120879122599836"/>
    <n v="2887.9120879748939"/>
    <n v="6712"/>
    <n v="52.41633923156067"/>
    <n v="44.881047519522539"/>
    <n v="2.3885695984058311"/>
    <n v="57.325670361739945"/>
    <n v="20923.869682035081"/>
    <n v="1108.6895"/>
    <n v="9.4690656749884212"/>
    <n v="8.6613399435669418"/>
    <n v="7.3779502551184617"/>
    <n v="1073.2487999999998"/>
    <n v="9.1663746908422166"/>
    <n v="3456.2089713707737"/>
    <n v="3345.7267621574092"/>
    <x v="4"/>
    <x v="1"/>
  </r>
  <r>
    <x v="154"/>
    <n v="9.6"/>
    <d v="1900-01-01T00:01:00"/>
    <n v="2.0006944444467081"/>
    <d v="1900-04-28T02:04:00"/>
    <n v="119.08611111110804"/>
    <n v="81.002777777779556"/>
    <n v="58.483333333329938"/>
    <n v="184351"/>
    <n v="61"/>
    <n v="1.2703922249204647"/>
    <n v="30.489413398091155"/>
    <n v="11128.635890303272"/>
    <n v="4592"/>
    <n v="1.6066805066362291"/>
    <n v="38.5603321592695"/>
    <n v="14074.521238133368"/>
    <n v="121649"/>
    <n v="36"/>
    <n v="0.74973967372355299"/>
    <n v="17.993752169365273"/>
    <n v="6567.7195418183246"/>
    <n v="2217"/>
    <n v="0.77569919059506098"/>
    <n v="18.616780574281464"/>
    <n v="6795.124909612734"/>
    <n v="97"/>
    <n v="2.0201318986440175"/>
    <n v="48.483165567456425"/>
    <n v="17696.355432121596"/>
    <n v="6809"/>
    <n v="52.319193443296406"/>
    <n v="45.004274722145674"/>
    <n v="2.3823796972312898"/>
    <n v="57.177112733550963"/>
    <n v="20869.646147746102"/>
    <n v="1124.509"/>
    <n v="9.4428224207508684"/>
    <n v="8.6427085490893472"/>
    <n v="7.3960490168143371"/>
    <n v="1088.7591"/>
    <n v="9.1426203260947982"/>
    <n v="3446.6301835740669"/>
    <n v="3337.0564190246014"/>
    <x v="4"/>
    <x v="1"/>
  </r>
  <r>
    <x v="155"/>
    <n v="2.1"/>
    <d v="1899-12-30T13:50:00"/>
    <n v="0.57638888889050577"/>
    <d v="1900-04-28T15:54:00"/>
    <n v="119.66249999999854"/>
    <n v="81.579166666670062"/>
    <n v="59.059722222220444"/>
    <n v="184364"/>
    <n v="13"/>
    <n v="0.93975903614194212"/>
    <n v="22.554216867406609"/>
    <n v="8232.2891566034123"/>
    <n v="4605"/>
    <n v="1.6034680873289655"/>
    <n v="38.48323409589517"/>
    <n v="14046.380445001738"/>
    <n v="121668"/>
    <n v="19"/>
    <n v="1.3734939758997615"/>
    <n v="32.963855421594275"/>
    <n v="12031.807228881909"/>
    <n v="2236"/>
    <n v="0.77857864131760413"/>
    <n v="18.685887391622497"/>
    <n v="6820.3488979422118"/>
    <n v="32"/>
    <n v="2.3132530120417036"/>
    <n v="55.518072289000891"/>
    <n v="20264.096385485325"/>
    <n v="6841"/>
    <n v="52.341794780119379"/>
    <n v="45.106883333726635"/>
    <n v="2.3820467286465696"/>
    <n v="57.169121487517671"/>
    <n v="20866.729342943949"/>
    <n v="1129.4050999999999"/>
    <n v="9.4382542567639298"/>
    <n v="8.6416609632766193"/>
    <n v="7.4067686663690111"/>
    <n v="1093.8759"/>
    <n v="9.1413425258540748"/>
    <n v="3444.9628037188345"/>
    <n v="3336.5900219367372"/>
    <x v="4"/>
    <x v="1"/>
  </r>
  <r>
    <x v="156"/>
    <n v="10.6"/>
    <d v="1900-01-03T00:13:00"/>
    <n v="4.0090277777781012"/>
    <d v="1900-05-02T16:07:00"/>
    <n v="123.67152777777665"/>
    <n v="85.588194444448163"/>
    <n v="63.068749999998545"/>
    <n v="184441"/>
    <n v="77"/>
    <n v="0.80027715226045859"/>
    <n v="19.206651654251004"/>
    <n v="7010.4278538016169"/>
    <n v="4682"/>
    <n v="1.5774312555099619"/>
    <n v="37.858350132239082"/>
    <n v="13818.297798267266"/>
    <n v="121734"/>
    <n v="66"/>
    <n v="0.68595184479467874"/>
    <n v="16.462844275072289"/>
    <n v="6008.9381604013852"/>
    <n v="2302"/>
    <n v="0.77557598252540194"/>
    <n v="18.613823580609647"/>
    <n v="6794.0456069225211"/>
    <n v="143"/>
    <n v="1.4862289970551374"/>
    <n v="35.669495929323297"/>
    <n v="13019.366014203004"/>
    <n v="6984"/>
    <n v="51.560849351300426"/>
    <n v="44.506986423546763"/>
    <n v="2.3530072380353637"/>
    <n v="56.472173712848729"/>
    <n v="20612.343405189786"/>
    <n v="1152.1410000000001"/>
    <n v="9.3161378427398702"/>
    <n v="8.5025207591256144"/>
    <n v="7.2964439599644946"/>
    <n v="1116.7415999999998"/>
    <n v="9.0299005766845113"/>
    <n v="3400.3903126000523"/>
    <n v="3295.9137104898464"/>
    <x v="4"/>
    <x v="1"/>
  </r>
  <r>
    <x v="157"/>
    <n v="7"/>
    <d v="1900-01-02T22:44:00"/>
    <n v="3.9472222222175333"/>
    <d v="1900-05-06T14:51:00"/>
    <n v="127.61874999999418"/>
    <n v="89.535416666665697"/>
    <n v="67.015972222216078"/>
    <n v="184494"/>
    <n v="53"/>
    <n v="0.55946516537716007"/>
    <n v="13.42716396905184"/>
    <n v="4900.914848703922"/>
    <n v="4735"/>
    <n v="1.5459457694631522"/>
    <n v="37.102698467115651"/>
    <n v="13542.484940497212"/>
    <n v="121748"/>
    <n v="14"/>
    <n v="0.14778325123170263"/>
    <n v="3.5467980295608634"/>
    <n v="1294.5812807897153"/>
    <n v="2316"/>
    <n v="0.75615847984723561"/>
    <n v="18.147803516333656"/>
    <n v="6623.9482834617847"/>
    <n v="67"/>
    <n v="0.70724841660886262"/>
    <n v="16.973961998612705"/>
    <n v="6195.4961294936375"/>
    <n v="7051"/>
    <n v="50.036065802639165"/>
    <n v="42.885298902628719"/>
    <n v="2.3021042493103878"/>
    <n v="55.250501983449311"/>
    <n v="20166.433223959"/>
    <n v="1163.5600999999999"/>
    <n v="9.1174698075326148"/>
    <n v="8.2552193033483903"/>
    <n v="7.0370791374367858"/>
    <n v="1127.4549"/>
    <n v="8.8345552671535437"/>
    <n v="3327.876479749405"/>
    <n v="3224.6126725110439"/>
    <x v="4"/>
    <x v="1"/>
  </r>
  <r>
    <x v="158"/>
    <n v="8.5"/>
    <d v="1899-12-30T22:45:00"/>
    <n v="0.94791666667151731"/>
    <d v="1900-05-07T13:36:00"/>
    <n v="128.5666666666657"/>
    <n v="90.483333333337214"/>
    <n v="67.963888888887595"/>
    <n v="184505"/>
    <n v="11"/>
    <n v="0.48351648351400928"/>
    <n v="11.604395604336222"/>
    <n v="4235.6043955827208"/>
    <n v="4746"/>
    <n v="1.538112522686037"/>
    <n v="36.914700544464885"/>
    <n v="13473.865698729684"/>
    <n v="121751"/>
    <n v="3"/>
    <n v="0.13186813186745708"/>
    <n v="3.1648351648189701"/>
    <n v="1155.164835158924"/>
    <n v="2319"/>
    <n v="0.75155561317086383"/>
    <n v="18.037334716100734"/>
    <n v="6583.6271713767683"/>
    <n v="14"/>
    <n v="0.61538461538146638"/>
    <n v="14.769230769155193"/>
    <n v="5390.7692307416455"/>
    <n v="7065"/>
    <n v="49.666605268003025"/>
    <n v="42.493154044223637"/>
    <n v="2.2896681358569007"/>
    <n v="54.952035260565623"/>
    <n v="20057.492870106453"/>
    <n v="1165.9428"/>
    <n v="9.0687798807363915"/>
    <n v="8.1950694418858152"/>
    <n v="6.9739888012426237"/>
    <n v="1129.6934999999999"/>
    <n v="8.7868304381644418"/>
    <n v="3310.1046564687831"/>
    <n v="3207.1931099300214"/>
    <x v="4"/>
    <x v="1"/>
  </r>
  <r>
    <x v="159"/>
    <n v="8.9"/>
    <d v="1899-12-31T01:06:00"/>
    <n v="1.0458333333299379"/>
    <d v="1900-05-08T14:42:00"/>
    <n v="129.61249999999563"/>
    <n v="91.529166666667152"/>
    <n v="69.009722222217533"/>
    <n v="184517"/>
    <n v="12"/>
    <n v="0.47808764940394261"/>
    <n v="11.474103585694623"/>
    <n v="4188.0478087785377"/>
    <n v="4758"/>
    <n v="1.5295592631884014"/>
    <n v="36.709422316521632"/>
    <n v="13398.939145530396"/>
    <n v="121754"/>
    <n v="3"/>
    <n v="0.11952191235098565"/>
    <n v="2.8685258964236557"/>
    <n v="1047.0119521946344"/>
    <n v="2322"/>
    <n v="0.74645578165688697"/>
    <n v="17.914938759765288"/>
    <n v="6538.9526473143305"/>
    <n v="15"/>
    <n v="0.5976095617549283"/>
    <n v="14.342629482118278"/>
    <n v="5235.0597609731713"/>
    <n v="7080"/>
    <n v="49.262985387171405"/>
    <n v="42.066536518609333"/>
    <n v="2.2760150448452885"/>
    <n v="54.624361076286924"/>
    <n v="19937.891792844726"/>
    <n v="1168.5054"/>
    <n v="9.015375831806649"/>
    <n v="8.1294283243045946"/>
    <n v="6.9054328093872304"/>
    <n v="1132.0919999999999"/>
    <n v="8.7344353360982776"/>
    <n v="3290.6121786094272"/>
    <n v="3188.0688976758715"/>
    <x v="4"/>
    <x v="1"/>
  </r>
  <r>
    <x v="160"/>
    <n v="15.1"/>
    <d v="1900-01-01T11:47:00"/>
    <n v="2.4909722222218988"/>
    <d v="1900-05-11T02:29:00"/>
    <n v="132.10347222221753"/>
    <n v="94.020138888889051"/>
    <n v="71.500694444439432"/>
    <n v="184547"/>
    <n v="30"/>
    <n v="0.50181209924734704"/>
    <n v="12.043490381936328"/>
    <n v="4395.8739894067594"/>
    <n v="4788"/>
    <n v="1.5101798358820695"/>
    <n v="36.24431606116967"/>
    <n v="13229.175362326929"/>
    <n v="121761"/>
    <n v="7"/>
    <n v="0.11708948982438097"/>
    <n v="2.8101477557851431"/>
    <n v="1025.7039308615772"/>
    <n v="2329"/>
    <n v="0.73458831198190055"/>
    <n v="17.630119487565612"/>
    <n v="6434.993612961448"/>
    <n v="37"/>
    <n v="0.61890158907172799"/>
    <n v="14.853638137721472"/>
    <n v="5421.577920268337"/>
    <n v="7117"/>
    <n v="48.351343166726906"/>
    <n v="41.11848175523059"/>
    <n v="2.2447681478639701"/>
    <n v="53.874435548735278"/>
    <n v="19664.168975288376"/>
    <n v="1174.8446000000001"/>
    <n v="8.8933665424307549"/>
    <n v="7.9814708728183108"/>
    <n v="6.7535176231781833"/>
    <n v="1138.0083"/>
    <n v="8.6145222442427709"/>
    <n v="3246.0787879872255"/>
    <n v="3144.3006191486111"/>
    <x v="4"/>
    <x v="1"/>
  </r>
  <r>
    <x v="161"/>
    <n v="7.2"/>
    <d v="1900-01-03T13:24:00"/>
    <n v="4.5583333333343035"/>
    <d v="1900-05-15T15:53:00"/>
    <n v="136.66180555555184"/>
    <n v="98.578472222223354"/>
    <n v="76.059027777773736"/>
    <n v="184624"/>
    <n v="77"/>
    <n v="0.703839122486139"/>
    <n v="16.892138939667337"/>
    <n v="6165.6307129785782"/>
    <n v="4865"/>
    <n v="1.4832844664190694"/>
    <n v="35.598827194057669"/>
    <n v="12993.571925831049"/>
    <n v="121801"/>
    <n v="40"/>
    <n v="0.36563071297981248"/>
    <n v="8.7751371115154999"/>
    <n v="3202.9250457031576"/>
    <n v="2369"/>
    <n v="0.72228178847826841"/>
    <n v="17.33476292347844"/>
    <n v="6327.1884670696309"/>
    <n v="117"/>
    <n v="1.0694698354659515"/>
    <n v="25.667276051182839"/>
    <n v="9368.5557586817358"/>
    <n v="7234"/>
    <n v="47.302416997174575"/>
    <n v="40.192467473181779"/>
    <n v="2.205566254897338"/>
    <n v="52.933590117536106"/>
    <n v="19320.76039290068"/>
    <n v="1194.0808999999999"/>
    <n v="8.7374881017111719"/>
    <n v="7.8075393404858451"/>
    <n v="6.6016818078067869"/>
    <n v="1156.7166"/>
    <n v="8.4640810597940241"/>
    <n v="3189.1831571245784"/>
    <n v="3089.3895868248183"/>
    <x v="5"/>
    <x v="1"/>
  </r>
  <r>
    <x v="162"/>
    <n v="10.6"/>
    <d v="1899-12-30T22:18:00"/>
    <n v="0.92916666666860692"/>
    <d v="1900-05-16T14:11:00"/>
    <n v="137.59097222222044"/>
    <n v="99.507638888891961"/>
    <n v="76.988194444442343"/>
    <n v="184635"/>
    <n v="11"/>
    <n v="0.49327354259986683"/>
    <n v="11.838565022396804"/>
    <n v="4321.0762331748329"/>
    <n v="4876"/>
    <n v="1.4765988159349308"/>
    <n v="35.438371582438343"/>
    <n v="12935.005627589995"/>
    <n v="121816"/>
    <n v="15"/>
    <n v="0.6726457399089093"/>
    <n v="16.143497757813822"/>
    <n v="5892.3766816020452"/>
    <n v="2384"/>
    <n v="0.72194659089189395"/>
    <n v="17.326718181405457"/>
    <n v="6324.2521362129919"/>
    <n v="26"/>
    <n v="1.1659192825087761"/>
    <n v="27.982062780210626"/>
    <n v="10213.452914776879"/>
    <n v="7260"/>
    <n v="47.122010454248986"/>
    <n v="40.04510070988627"/>
    <n v="2.1985454068268249"/>
    <n v="52.765089763843797"/>
    <n v="19259.257763802987"/>
    <n v="1198.0788"/>
    <n v="8.7075393148978311"/>
    <n v="7.7748121514956665"/>
    <n v="6.5739351812599329"/>
    <n v="1160.8739999999998"/>
    <n v="8.437137853238621"/>
    <n v="3178.2518499377088"/>
    <n v="3079.5553164320972"/>
    <x v="5"/>
    <x v="1"/>
  </r>
  <r>
    <x v="163"/>
    <n v="11.8"/>
    <d v="1900-01-01T14:40:00"/>
    <n v="2.6111111111094942"/>
    <d v="1900-05-19T04:51:00"/>
    <n v="140.20208333332994"/>
    <n v="102.11875000000146"/>
    <n v="79.599305555551837"/>
    <n v="184709"/>
    <n v="74"/>
    <n v="1.1808510638305185"/>
    <n v="28.340425531932443"/>
    <n v="10344.255319155342"/>
    <n v="4950"/>
    <n v="1.4710908361442916"/>
    <n v="35.306180067463004"/>
    <n v="12886.755724623996"/>
    <n v="121843"/>
    <n v="27"/>
    <n v="0.430851063830054"/>
    <n v="10.340425531921296"/>
    <n v="3774.2553191512729"/>
    <n v="2411"/>
    <n v="0.71652525372603781"/>
    <n v="17.196606089424908"/>
    <n v="6276.7612226400915"/>
    <n v="101"/>
    <n v="1.6117021276605725"/>
    <n v="38.680851063853737"/>
    <n v="14118.510638306614"/>
    <n v="7361"/>
    <n v="46.906175408531062"/>
    <n v="40.000348970103857"/>
    <n v="2.1876160898703296"/>
    <n v="52.502786156887908"/>
    <n v="19163.516947264085"/>
    <n v="1215.0255999999999"/>
    <n v="8.6662449737731855"/>
    <n v="7.741967072648154"/>
    <n v="6.5711904940547283"/>
    <n v="1177.0238999999999"/>
    <n v="8.3951955064863757"/>
    <n v="3163.1794154272129"/>
    <n v="3064.2463598675267"/>
    <x v="5"/>
    <x v="1"/>
  </r>
  <r>
    <x v="164"/>
    <n v="15.4"/>
    <d v="1900-02-07T08:42:00"/>
    <n v="39.36250000000291"/>
    <d v="1900-06-27T13:33:00"/>
    <n v="179.56458333333285"/>
    <n v="141.48125000000437"/>
    <n v="118.96180555555475"/>
    <n v="185206"/>
    <n v="497"/>
    <n v="0.52609293955749259"/>
    <n v="12.626230549379823"/>
    <n v="4608.5741505236356"/>
    <n v="5447"/>
    <n v="1.2639370699957106"/>
    <n v="30.334489679897054"/>
    <n v="11072.088733162425"/>
    <n v="122063"/>
    <n v="220"/>
    <n v="0.23287816237957418"/>
    <n v="5.5890758971097805"/>
    <n v="2040.0127024450699"/>
    <n v="2631"/>
    <n v="0.61050457704400851"/>
    <n v="14.652109849056206"/>
    <n v="5348.0200949055152"/>
    <n v="717"/>
    <n v="0.75897110193706674"/>
    <n v="18.215306446489603"/>
    <n v="6648.586852968705"/>
    <n v="8078"/>
    <n v="38.923885673895519"/>
    <n v="32.792037593765727"/>
    <n v="1.8744416470397192"/>
    <n v="44.986599528953263"/>
    <n v="16420.10882806794"/>
    <n v="1334.0479"/>
    <n v="7.4293486790964458"/>
    <n v="6.4292780845516413"/>
    <n v="5.397400426140547"/>
    <n v="1291.6722"/>
    <n v="7.1933572646796264"/>
    <n v="2711.7122678702026"/>
    <n v="2625.5754016080632"/>
    <x v="6"/>
    <x v="1"/>
  </r>
  <r>
    <x v="165"/>
    <n v="22.3"/>
    <d v="1900-01-17T09:42:00"/>
    <n v="18.404166666667152"/>
    <d v="1900-07-15T23:15:00"/>
    <n v="197.96875"/>
    <n v="159.88541666667152"/>
    <n v="137.3659722222219"/>
    <n v="185377"/>
    <n v="171"/>
    <n v="0.38714059316276994"/>
    <n v="9.2913742359064795"/>
    <n v="3391.3515961058652"/>
    <n v="5618"/>
    <n v="1.1824256774533017"/>
    <n v="28.378216258879242"/>
    <n v="10358.048934490924"/>
    <n v="122107"/>
    <n v="44"/>
    <n v="9.9615123386911572E-2"/>
    <n v="2.3907629612858776"/>
    <n v="872.62848086934537"/>
    <n v="2675"/>
    <n v="0.56300973428045253"/>
    <n v="13.512233622730861"/>
    <n v="4931.9652722967639"/>
    <n v="215"/>
    <n v="0.48675571654968153"/>
    <n v="11.682137197192358"/>
    <n v="4263.9800769752101"/>
    <n v="8293"/>
    <n v="35.788129519837341"/>
    <n v="29.963752546674353"/>
    <n v="1.7454354117337543"/>
    <n v="41.890449881610103"/>
    <n v="15290.014206787688"/>
    <n v="1370.7332000000001"/>
    <n v="6.9239877505919498"/>
    <n v="5.9186611245030463"/>
    <n v="4.9413241796296514"/>
    <n v="1326.0506999999998"/>
    <n v="6.6982829360694547"/>
    <n v="2527.2555289660618"/>
    <n v="2444.8732716653512"/>
    <x v="7"/>
    <x v="1"/>
  </r>
  <r>
    <x v="166"/>
    <n v="24.2"/>
    <d v="1900-03-11T01:42:00"/>
    <n v="71.070833333331393"/>
    <d v="1900-09-25T00:57:00"/>
    <n v="269.03958333333139"/>
    <n v="230.95625000000291"/>
    <n v="208.43680555555329"/>
    <n v="186019"/>
    <n v="642"/>
    <n v="0.37638506185144954"/>
    <n v="9.0332414844347895"/>
    <n v="3297.1331418186983"/>
    <n v="6260"/>
    <n v="0.96949798279374089"/>
    <n v="23.26795158704978"/>
    <n v="8492.8023292731687"/>
    <n v="122283"/>
    <n v="176"/>
    <n v="0.10318344374743789"/>
    <n v="2.4764026499385094"/>
    <n v="903.88696722755594"/>
    <n v="2851"/>
    <n v="0.44153973625318776"/>
    <n v="10.596953670076505"/>
    <n v="3867.8880895779243"/>
    <n v="818"/>
    <n v="0.47956850559888747"/>
    <n v="11.509644134373298"/>
    <n v="4201.0201090462542"/>
    <n v="9111"/>
    <n v="28.317051389602653"/>
    <n v="23.671443183219257"/>
    <n v="1.4110377190469285"/>
    <n v="33.864905257126289"/>
    <n v="12360.690418851096"/>
    <n v="1509.9186"/>
    <n v="5.612254454502553"/>
    <n v="4.6999940464914296"/>
    <n v="3.9242359228250394"/>
    <n v="1456.8489"/>
    <n v="5.4149983506144928"/>
    <n v="2048.4728758934316"/>
    <n v="1976.47439797429"/>
    <x v="8"/>
    <x v="1"/>
  </r>
  <r>
    <x v="167"/>
    <n v="5"/>
    <d v="1900-01-16T12:02:00"/>
    <n v="17.50138888888614"/>
    <d v="1900-10-12T12:59:00"/>
    <n v="286.54097222221753"/>
    <n v="248.45763888888905"/>
    <n v="225.93819444443943"/>
    <n v="186182"/>
    <n v="163"/>
    <n v="0.38806443933027285"/>
    <n v="9.3135465439265488"/>
    <n v="3399.4444885331905"/>
    <n v="6423"/>
    <n v="0.93398510490308562"/>
    <n v="22.415642517674055"/>
    <n v="8181.7095189510301"/>
    <n v="122332"/>
    <n v="49"/>
    <n v="0.11665740814222926"/>
    <n v="2.7997777954135024"/>
    <n v="1021.9188953259284"/>
    <n v="2900"/>
    <n v="0.42169652875898311"/>
    <n v="10.120716690215595"/>
    <n v="3694.061591928692"/>
    <n v="212"/>
    <n v="0.50472184747250204"/>
    <n v="12.11332433934005"/>
    <n v="4421.3633838591186"/>
    <n v="9323"/>
    <n v="27.175658716693807"/>
    <n v="22.776140230090469"/>
    <n v="1.3556816336620687"/>
    <n v="32.536359207889653"/>
    <n v="11875.771110879723"/>
    <n v="1545.8377"/>
    <n v="5.3948225554325822"/>
    <n v="4.5134941514174924"/>
    <n v="3.7792383979149515"/>
    <n v="1490.7476999999999"/>
    <n v="5.2025638373415548"/>
    <n v="1969.1102327328922"/>
    <n v="1898.9358006296675"/>
    <x v="8"/>
    <x v="1"/>
  </r>
  <r>
    <x v="168"/>
    <m/>
    <d v="1900-01-14T06:01:00"/>
    <n v="15.250694444446708"/>
    <d v="1900-10-27T19:00:00"/>
    <n v="301.79166666666424"/>
    <n v="263.70833333333576"/>
    <n v="241.18888888888614"/>
    <n v="186426"/>
    <n v="244"/>
    <n v="0.66663630982185818"/>
    <n v="15.999271435724596"/>
    <n v="5839.7340740394775"/>
    <n v="6667"/>
    <n v="0.92047494132266372"/>
    <n v="22.091398591743928"/>
    <n v="8063.3604859865336"/>
    <n v="122389"/>
    <n v="57"/>
    <n v="0.15573061336002425"/>
    <n v="3.737534720640582"/>
    <n v="1364.2001730338125"/>
    <n v="2957"/>
    <n v="0.40825624741129696"/>
    <n v="9.798149937871127"/>
    <n v="3576.3247273229613"/>
    <n v="301"/>
    <n v="0.82236692318188243"/>
    <n v="19.736806156365176"/>
    <n v="7203.934247073289"/>
    <n v="9624"/>
    <n v="26.745457418233283"/>
    <n v="22.583959091537551"/>
    <n v="1.3287311887339608"/>
    <n v="31.889548529615055"/>
    <n v="11639.685213309494"/>
    <n v="1597.4054999999998"/>
    <n v="5.2930735882921862"/>
    <n v="4.4480198451571713"/>
    <n v="3.7540788224996966"/>
    <n v="1538.8775999999998"/>
    <n v="5.0991388098854467"/>
    <n v="1931.9718597266481"/>
    <n v="1861.1856656081879"/>
    <x v="9"/>
    <x v="1"/>
  </r>
  <r>
    <x v="169"/>
    <n v="8.4"/>
    <d v="1900-01-17T06:23:00"/>
    <n v="18.265972222223354"/>
    <d v="1900-11-15T01:23:00"/>
    <n v="320.0576388888876"/>
    <n v="281.97430555555911"/>
    <n v="259.45486111110949"/>
    <n v="186810"/>
    <n v="384"/>
    <n v="0.87594570961481855"/>
    <n v="21.022697030755644"/>
    <n v="7673.2844162258098"/>
    <n v="7051"/>
    <n v="0.91793361872753321"/>
    <n v="22.0304068494608"/>
    <n v="8041.0985000531919"/>
    <n v="122479"/>
    <n v="90"/>
    <n v="0.2052997756909731"/>
    <n v="4.9271946165833542"/>
    <n v="1798.4260350529244"/>
    <n v="3047"/>
    <n v="0.39667334225823198"/>
    <n v="9.5201602141975687"/>
    <n v="3474.8584781821128"/>
    <n v="474"/>
    <n v="1.0812454853057916"/>
    <n v="25.949891647339001"/>
    <n v="9471.7104512787355"/>
    <n v="10098"/>
    <n v="26.693921579733829"/>
    <n v="22.820925284049231"/>
    <n v="1.3146069609857653"/>
    <n v="31.550567063658367"/>
    <n v="11515.956978235305"/>
    <n v="1678.6010999999999"/>
    <n v="5.2446837570489899"/>
    <n v="4.4478361158792961"/>
    <n v="3.8027335305060253"/>
    <n v="1614.6701999999998"/>
    <n v="5.0449356734789719"/>
    <n v="1914.3095713228818"/>
    <n v="1841.401520819825"/>
    <x v="10"/>
    <x v="1"/>
  </r>
  <r>
    <x v="170"/>
    <n v="11.4"/>
    <d v="1900-01-07T17:32:00"/>
    <n v="8.7305555555576575"/>
    <d v="1900-11-23T18:55:00"/>
    <n v="328.78819444444525"/>
    <n v="290.70486111111677"/>
    <n v="268.18541666666715"/>
    <n v="187090"/>
    <n v="280"/>
    <n v="1.3363028953226181"/>
    <n v="32.071269487742832"/>
    <n v="11706.013363026133"/>
    <n v="7331"/>
    <n v="0.9290428868635856"/>
    <n v="22.297029284726054"/>
    <n v="8138.4156889250098"/>
    <n v="122555"/>
    <n v="76"/>
    <n v="0.36271078587328209"/>
    <n v="8.7050588609587702"/>
    <n v="3177.3464842499511"/>
    <n v="3123"/>
    <n v="0.39577150943595385"/>
    <n v="9.4985162264628933"/>
    <n v="3466.9584226589559"/>
    <n v="356"/>
    <n v="1.6990136811959002"/>
    <n v="40.776328348701604"/>
    <n v="14883.359847276086"/>
    <n v="10454"/>
    <n v="27.116849611217418"/>
    <n v="23.405448655703022"/>
    <n v="1.3248143962995396"/>
    <n v="31.795545511188948"/>
    <n v="11605.374111583966"/>
    <n v="1739.2027"/>
    <n v="5.2897358524041227"/>
    <n v="4.5227214122761081"/>
    <n v="3.9049077053344559"/>
    <n v="1671.5945999999999"/>
    <n v="5.084107727239112"/>
    <n v="1930.7535861275046"/>
    <n v="1855.6993204422761"/>
    <x v="10"/>
    <x v="1"/>
  </r>
  <r>
    <x v="171"/>
    <n v="3.8"/>
    <d v="1900-01-07T23:10:00"/>
    <n v="8.9652777777737356"/>
    <d v="1900-12-02T18:05:00"/>
    <n v="337.75347222221899"/>
    <n v="299.67013888889051"/>
    <n v="277.15069444444089"/>
    <n v="187397"/>
    <n v="307"/>
    <n v="1.4268009295126496"/>
    <n v="34.243222308303586"/>
    <n v="12498.776142530809"/>
    <n v="7638"/>
    <n v="0.94225530208794706"/>
    <n v="22.61412725011073"/>
    <n v="8254.1564462904171"/>
    <n v="122594"/>
    <n v="39"/>
    <n v="0.18125484120844734"/>
    <n v="4.350116189002736"/>
    <n v="1587.7924089859987"/>
    <n v="3162"/>
    <n v="0.39007741099791682"/>
    <n v="9.3618578639500036"/>
    <n v="3417.0781203417514"/>
    <n v="346"/>
    <n v="1.6080557707210967"/>
    <n v="38.593338497306327"/>
    <n v="14086.56855151681"/>
    <n v="10800"/>
    <n v="27.460193499797082"/>
    <n v="23.896746906140919"/>
    <n v="1.332332713085864"/>
    <n v="31.975985114060734"/>
    <n v="11671.234566632167"/>
    <n v="1799.6813999999999"/>
    <n v="5.3283875607825903"/>
    <n v="4.5892320305891641"/>
    <n v="3.9968075931415679"/>
    <n v="1726.9199999999998"/>
    <n v="5.1129600197383107"/>
    <n v="1944.861459685646"/>
    <n v="1866.2304072044833"/>
    <x v="10"/>
    <x v="1"/>
  </r>
  <r>
    <x v="172"/>
    <n v="5.6"/>
    <d v="1900-01-07T01:21:00"/>
    <n v="8.0562500000014552"/>
    <d v="1900-12-10T19:26:00"/>
    <n v="345.80972222222044"/>
    <n v="307.72638888889196"/>
    <n v="285.20694444444234"/>
    <n v="187800"/>
    <n v="403"/>
    <n v="2.084303077320544"/>
    <n v="50.023273855693056"/>
    <n v="18258.494957327966"/>
    <n v="8041"/>
    <n v="0.96886132788182822"/>
    <n v="23.252671869163876"/>
    <n v="8487.2252322448148"/>
    <n v="122648"/>
    <n v="54"/>
    <n v="0.2792862684250853"/>
    <n v="6.7028704422020473"/>
    <n v="2446.5477114037471"/>
    <n v="3216"/>
    <n v="0.38749633509115278"/>
    <n v="9.2999120421876675"/>
    <n v="3394.4678953984985"/>
    <n v="457"/>
    <n v="2.3635893457456296"/>
    <n v="56.726144297895104"/>
    <n v="20705.042668731712"/>
    <n v="11257"/>
    <n v="28.226373537097519"/>
    <n v="24.824079980910732"/>
    <n v="1.356357662972981"/>
    <n v="32.552583911351547"/>
    <n v="11881.693127643315"/>
    <n v="1879.4495000000002"/>
    <n v="5.4349238301410425"/>
    <n v="4.7283039496666399"/>
    <n v="4.163594621838949"/>
    <n v="1799.9942999999998"/>
    <n v="5.2051581674251119"/>
    <n v="1983.74719800148"/>
    <n v="1899.8827311101659"/>
    <x v="10"/>
    <x v="1"/>
  </r>
  <r>
    <x v="173"/>
    <n v="7.1"/>
    <d v="1900-01-08T08:43:00"/>
    <n v="9.3631944444423425"/>
    <d v="1900-12-20T04:09:00"/>
    <n v="355.17291666666279"/>
    <n v="317.0895833333343"/>
    <n v="294.57013888888469"/>
    <n v="188205"/>
    <n v="405"/>
    <n v="1.8022695245869209"/>
    <n v="43.254468590086105"/>
    <n v="15787.881035381428"/>
    <n v="8446"/>
    <n v="0.99083193045641993"/>
    <n v="23.779966330954078"/>
    <n v="8679.6877107982382"/>
    <n v="122809"/>
    <n v="161"/>
    <n v="0.71645776162591179"/>
    <n v="17.194986279021883"/>
    <n v="6276.1699918429877"/>
    <n v="3377"/>
    <n v="0.39616853293290671"/>
    <n v="9.5080447903897607"/>
    <n v="3470.4363484922628"/>
    <n v="566"/>
    <n v="2.5187272862128327"/>
    <n v="60.449454869107988"/>
    <n v="22064.051027224417"/>
    <n v="11823"/>
    <n v="29.177874286314896"/>
    <n v="25.956466697"/>
    <n v="1.3870004633893267"/>
    <n v="33.288011121343843"/>
    <n v="12150.124059290503"/>
    <n v="1973.9796000000001"/>
    <n v="5.5577987717251007"/>
    <n v="4.8868019684237352"/>
    <n v="4.3521594036508624"/>
    <n v="1890.4976999999999"/>
    <n v="5.32275297830288"/>
    <n v="2028.5965516796616"/>
    <n v="1942.8048370805514"/>
    <x v="0"/>
    <x v="1"/>
  </r>
  <r>
    <x v="174"/>
    <n v="1.5"/>
    <d v="1900-01-10T14:58:00"/>
    <n v="11.62361111111386"/>
    <d v="1900-12-31T19:07:00"/>
    <n v="366.79652777777665"/>
    <n v="328.71319444444816"/>
    <n v="306.19374999999854"/>
    <n v="188716"/>
    <n v="511"/>
    <n v="1.8317600669131766"/>
    <n v="43.96224160591624"/>
    <n v="16046.218186159427"/>
    <n v="8957"/>
    <n v="1.0174805513956262"/>
    <n v="24.419533233495031"/>
    <n v="8913.1296302256869"/>
    <n v="123033"/>
    <n v="224"/>
    <n v="0.80296331700303636"/>
    <n v="19.271119608072873"/>
    <n v="7033.9586569465982"/>
    <n v="3601"/>
    <n v="0.40905967015470024"/>
    <n v="9.8174320837128057"/>
    <n v="3583.3627105551741"/>
    <n v="735"/>
    <n v="2.6347233839162127"/>
    <n v="63.233361213989113"/>
    <n v="23080.176843106026"/>
    <n v="12558"/>
    <n v="30.382108685593945"/>
    <n v="27.371558041273016"/>
    <n v="1.4265402215503264"/>
    <n v="34.23696531720784"/>
    <n v="12496.492340780862"/>
    <n v="2096.0589"/>
    <n v="5.7145003871734996"/>
    <n v="5.0853854614056342"/>
    <n v="4.585643893776429"/>
    <n v="2008.0241999999998"/>
    <n v="5.4744907542215326"/>
    <n v="2085.7926413183277"/>
    <n v="1998.1891252908597"/>
    <x v="0"/>
    <x v="1"/>
  </r>
  <r>
    <x v="175"/>
    <n v="1.8"/>
    <d v="1899-12-31T05:13:00"/>
    <n v="1.2173611111065838"/>
    <d v="1901-01-02T00:20:00"/>
    <n v="368.01388888888323"/>
    <n v="329.93055555555475"/>
    <n v="307.41111111110513"/>
    <n v="188797"/>
    <n v="81"/>
    <n v="2.7723901882590267"/>
    <n v="66.537364518216648"/>
    <n v="24286.138049149078"/>
    <n v="9038"/>
    <n v="1.0232856549798248"/>
    <n v="24.558855719515794"/>
    <n v="8963.9823376232653"/>
    <n v="123058"/>
    <n v="25"/>
    <n v="0.85567598403056377"/>
    <n v="20.536223616733533"/>
    <n v="7495.7216201077399"/>
    <n v="3626"/>
    <n v="0.41053704192928131"/>
    <n v="9.8528890063027514"/>
    <n v="3596.3044873005042"/>
    <n v="106"/>
    <n v="3.6280661722895906"/>
    <n v="87.073588134950171"/>
    <n v="31781.859669256814"/>
    <n v="12664"/>
    <n v="30.591286045043223"/>
    <n v="27.607980626739973"/>
    <n v="1.4338226969091061"/>
    <n v="34.411744725818544"/>
    <n v="12560.286824923769"/>
    <n v="2113.9958000000001"/>
    <n v="5.7443370041892425"/>
    <n v="5.1209873458219448"/>
    <n v="4.6258327971953044"/>
    <n v="2024.9735999999998"/>
    <n v="5.5024379816583853"/>
    <n v="2096.6830065290733"/>
    <n v="2008.3898633053104"/>
    <x v="0"/>
    <x v="1"/>
  </r>
  <r>
    <x v="176"/>
    <n v="-0.7"/>
    <d v="1900-01-01T00:03:00"/>
    <n v="2.0020833333401242"/>
    <d v="1901-01-04T00:23:00"/>
    <n v="370.01597222222335"/>
    <n v="331.93263888889487"/>
    <n v="309.41319444444525"/>
    <n v="188917"/>
    <n v="120"/>
    <n v="2.497398543175712"/>
    <n v="59.937565036217094"/>
    <n v="21877.211238219239"/>
    <n v="9158"/>
    <n v="1.0312617886239863"/>
    <n v="24.750282926975675"/>
    <n v="9033.8532683461217"/>
    <n v="123108"/>
    <n v="50"/>
    <n v="1.0405827263232135"/>
    <n v="24.973985431757121"/>
    <n v="9115.5046825913487"/>
    <n v="3676"/>
    <n v="0.41394609466933546"/>
    <n v="9.9347062720640515"/>
    <n v="3626.1677893033789"/>
    <n v="170"/>
    <n v="3.5379812694989257"/>
    <n v="84.911550467974209"/>
    <n v="30992.715920810588"/>
    <n v="12834"/>
    <n v="30.91892389478231"/>
    <n v="27.978768053326675"/>
    <n v="1.4452078832933219"/>
    <n v="34.684989199039727"/>
    <n v="12660.021057649501"/>
    <n v="2142.3137999999999"/>
    <n v="5.7897873627827448"/>
    <n v="5.175412112983004"/>
    <n v="4.6874225987812821"/>
    <n v="2052.1565999999998"/>
    <n v="5.5461297729264514"/>
    <n v="2113.2723874157023"/>
    <n v="2024.337367118155"/>
    <x v="0"/>
    <x v="1"/>
  </r>
  <r>
    <x v="177"/>
    <n v="11"/>
    <d v="1899-12-31T22:25:00"/>
    <n v="1.9340277777737356"/>
    <d v="1901-01-05T22:48:00"/>
    <n v="371.94999999999709"/>
    <n v="333.86666666666861"/>
    <n v="311.34722222221899"/>
    <n v="189001"/>
    <n v="84"/>
    <n v="1.8096947935405867"/>
    <n v="43.432675044974083"/>
    <n v="15852.92639141554"/>
    <n v="9242"/>
    <n v="1.0353094053860368"/>
    <n v="24.847425729264881"/>
    <n v="9069.3103911816816"/>
    <n v="123141"/>
    <n v="33"/>
    <n v="0.71095152603380185"/>
    <n v="17.062836624811247"/>
    <n v="6227.9353680561053"/>
    <n v="3709"/>
    <n v="0.41549043330197039"/>
    <n v="9.9717703992472888"/>
    <n v="3639.6961957252606"/>
    <n v="117"/>
    <n v="2.5206463195743884"/>
    <n v="60.495511669785323"/>
    <n v="22080.861759471642"/>
    <n v="12951"/>
    <n v="31.090255591054131"/>
    <n v="28.18075567649581"/>
    <n v="1.450799838688007"/>
    <n v="34.819196128512168"/>
    <n v="12709.00658690694"/>
    <n v="2161.8672000000001"/>
    <n v="5.8122521844334374"/>
    <n v="5.2039984025558805"/>
    <n v="4.7211078021145161"/>
    <n v="2070.8649"/>
    <n v="5.5675894609490957"/>
    <n v="2121.4720473182047"/>
    <n v="2032.1701532464197"/>
    <x v="0"/>
    <x v="1"/>
  </r>
  <r>
    <x v="178"/>
    <n v="10.6"/>
    <d v="1900-01-01T03:29:00"/>
    <n v="2.1451388888890506"/>
    <d v="1901-01-08T02:17:00"/>
    <n v="374.09513888888614"/>
    <n v="336.01180555555766"/>
    <n v="313.49236111110804"/>
    <n v="189020"/>
    <n v="19"/>
    <n v="0.36905147296857044"/>
    <n v="8.8572353512456896"/>
    <n v="3232.8909032046768"/>
    <n v="9261"/>
    <n v="1.0314889446200817"/>
    <n v="24.755734670881957"/>
    <n v="9035.8431548719145"/>
    <n v="123146"/>
    <n v="5"/>
    <n v="9.7118808675939583E-2"/>
    <n v="2.33085140822255"/>
    <n v="850.76076400123077"/>
    <n v="3714"/>
    <n v="0.41366482456743148"/>
    <n v="9.9279557896183555"/>
    <n v="3623.7038632106996"/>
    <n v="24"/>
    <n v="0.46617028164451002"/>
    <n v="11.188086759468241"/>
    <n v="4083.6516672059083"/>
    <n v="12975"/>
    <n v="30.963197804309758"/>
    <n v="28.064479685620828"/>
    <n v="1.4451537691875131"/>
    <n v="34.683690460500316"/>
    <n v="12659.547018082616"/>
    <n v="2165.9583000000002"/>
    <n v="5.7898595165742952"/>
    <n v="5.1829509297168057"/>
    <n v="4.7018526855829403"/>
    <n v="2074.7024999999999"/>
    <n v="5.5459221046340001"/>
    <n v="2113.2987235496175"/>
    <n v="2024.2615681914101"/>
    <x v="0"/>
    <x v="1"/>
  </r>
  <r>
    <x v="179"/>
    <n v="4.5999999999999996"/>
    <d v="1900-01-20T23:41:00"/>
    <n v="21.986805555556202"/>
    <d v="1901-01-30T01:58:00"/>
    <n v="396.08194444444234"/>
    <n v="357.99861111111386"/>
    <n v="335.47916666666424"/>
    <n v="189901"/>
    <n v="881"/>
    <n v="1.6695619216069753"/>
    <n v="40.069486118567404"/>
    <n v="14625.362433277103"/>
    <n v="10142"/>
    <n v="1.0669088537374829"/>
    <n v="25.605812489699588"/>
    <n v="9346.1215587403494"/>
    <n v="123525"/>
    <n v="379"/>
    <n v="0.71823378920436276"/>
    <n v="17.237610940904709"/>
    <n v="6291.7279934302187"/>
    <n v="4093"/>
    <n v="0.43057167603505397"/>
    <n v="10.333720224841295"/>
    <n v="3771.807882067073"/>
    <n v="1260"/>
    <n v="2.3877957108113379"/>
    <n v="57.307097059472113"/>
    <n v="20917.09042670732"/>
    <n v="14235"/>
    <n v="32.581131987631608"/>
    <n v="29.980997329690336"/>
    <n v="1.4974805297725369"/>
    <n v="35.939532714540881"/>
    <n v="13117.929440807422"/>
    <n v="2375.4636"/>
    <n v="5.9974044091605938"/>
    <n v="5.4498479587521258"/>
    <n v="5.018195963485101"/>
    <n v="2276.1765"/>
    <n v="5.7467312810550872"/>
    <n v="2189.052609343617"/>
    <n v="2097.5569175851065"/>
    <x v="1"/>
    <x v="2"/>
  </r>
  <r>
    <x v="180"/>
    <n v="3.1"/>
    <d v="1899-12-31T12:32:00"/>
    <n v="1.5222222222218988"/>
    <d v="1901-01-31T14:30:00"/>
    <n v="397.60416666666424"/>
    <n v="359.52083333333576"/>
    <n v="337.00138888888614"/>
    <n v="189960"/>
    <n v="59"/>
    <n v="1.6149635036499781"/>
    <n v="38.759124087599474"/>
    <n v="14147.080291973809"/>
    <n v="10201"/>
    <n v="1.069007073618031"/>
    <n v="25.656169766832747"/>
    <n v="9364.5019648939524"/>
    <n v="123565"/>
    <n v="40"/>
    <n v="1.0948905109491378"/>
    <n v="26.277372262779306"/>
    <n v="9591.2408759144473"/>
    <n v="4133"/>
    <n v="0.43311501178936601"/>
    <n v="10.394760282944784"/>
    <n v="3794.0875032748463"/>
    <n v="99"/>
    <n v="2.7098540145991157"/>
    <n v="65.036496350378783"/>
    <n v="23738.321167888254"/>
    <n v="14334"/>
    <n v="32.718548994610664"/>
    <n v="30.139341661137482"/>
    <n v="1.5021220854073971"/>
    <n v="36.050930049777534"/>
    <n v="13158.589468168801"/>
    <n v="2391.4616999999998"/>
    <n v="6.0146796751375788"/>
    <n v="5.4712715303934258"/>
    <n v="5.0430008778401412"/>
    <n v="2292.0065999999997"/>
    <n v="5.7645437149594265"/>
    <n v="2195.3580814252164"/>
    <n v="2104.0584559601912"/>
    <x v="1"/>
    <x v="2"/>
  </r>
  <r>
    <x v="181"/>
    <n v="4.8"/>
    <d v="1899-12-30T23:52:00"/>
    <n v="0.99444444444088731"/>
    <d v="1901-02-01T14:22:00"/>
    <n v="398.59861111110513"/>
    <n v="360.51527777777665"/>
    <n v="337.99583333332703"/>
    <n v="190008"/>
    <n v="48"/>
    <n v="2.0111731843647358"/>
    <n v="48.268156424753663"/>
    <n v="17617.877095035088"/>
    <n v="10249"/>
    <n v="1.0713576383928576"/>
    <n v="25.712583321428585"/>
    <n v="9385.0929123214337"/>
    <n v="123583"/>
    <n v="18"/>
    <n v="0.75418994413677598"/>
    <n v="18.100558659282623"/>
    <n v="6606.7039106381571"/>
    <n v="4151"/>
    <n v="0.43391604614779511"/>
    <n v="10.413985107547083"/>
    <n v="3801.1045642546851"/>
    <n v="66"/>
    <n v="2.7653631285015119"/>
    <n v="66.368715084036282"/>
    <n v="24224.581005673244"/>
    <n v="14400"/>
    <n v="32.811369528953648"/>
    <n v="30.24593498440619"/>
    <n v="1.5052736845406527"/>
    <n v="36.126568428975666"/>
    <n v="13186.197476576119"/>
    <n v="2402.5196999999998"/>
    <n v="6.0274161350008395"/>
    <n v="5.4868523525355464"/>
    <n v="5.060879843193427"/>
    <n v="2302.56"/>
    <n v="5.7766382917932093"/>
    <n v="2200.0068892753065"/>
    <n v="2108.4729765045213"/>
    <x v="1"/>
    <x v="2"/>
  </r>
  <r>
    <x v="182"/>
    <n v="-1.5"/>
    <d v="1899-12-31T00:27:00"/>
    <n v="1.0187500000029104"/>
    <d v="1901-02-02T14:49:00"/>
    <n v="399.61736111110804"/>
    <n v="361.53402777777956"/>
    <n v="339.01458333332994"/>
    <n v="190052"/>
    <n v="44"/>
    <n v="1.7995910020398487"/>
    <n v="43.190184048956368"/>
    <n v="15764.417177869074"/>
    <n v="10293"/>
    <n v="1.0732141336591161"/>
    <n v="25.757139207818788"/>
    <n v="9401.3558108538582"/>
    <n v="123606"/>
    <n v="23"/>
    <n v="0.94069529652082995"/>
    <n v="22.576687116499919"/>
    <n v="8240.4907975224705"/>
    <n v="4174"/>
    <n v="0.43520798541660849"/>
    <n v="10.444991649998602"/>
    <n v="3812.42195224949"/>
    <n v="67"/>
    <n v="2.7402862985606786"/>
    <n v="65.766871165456294"/>
    <n v="24004.907975391547"/>
    <n v="14467"/>
    <n v="32.904233311371712"/>
    <n v="30.352676568731983"/>
    <n v="1.5084221190757245"/>
    <n v="36.202130857817394"/>
    <n v="13213.77776310335"/>
    <n v="2413.5311000000002"/>
    <n v="6.0396052195764121"/>
    <n v="5.5018486426473343"/>
    <n v="5.0781523410374945"/>
    <n v="2313.2732999999998"/>
    <n v="5.7887207241650005"/>
    <n v="2204.4559051453907"/>
    <n v="2112.8830643202255"/>
    <x v="1"/>
    <x v="2"/>
  </r>
  <r>
    <x v="183"/>
    <n v="-2.1"/>
    <d v="1899-12-31T00:19:00"/>
    <n v="1.0131944444437977"/>
    <d v="1901-02-03T15:08:00"/>
    <n v="400.63055555555184"/>
    <n v="362.54722222222335"/>
    <n v="340.02777777777374"/>
    <n v="190102"/>
    <n v="50"/>
    <n v="2.0562028786853426"/>
    <n v="49.348869088448225"/>
    <n v="18012.337217283603"/>
    <n v="10343"/>
    <n v="1.0757001116295939"/>
    <n v="25.816802679110253"/>
    <n v="9423.1329778752424"/>
    <n v="123631"/>
    <n v="25"/>
    <n v="1.0281014393426713"/>
    <n v="24.674434544224113"/>
    <n v="9006.1686086418013"/>
    <n v="4199"/>
    <n v="0.4367074126203872"/>
    <n v="10.480977902889293"/>
    <n v="3825.5569345545919"/>
    <n v="75"/>
    <n v="3.0843043180280141"/>
    <n v="74.023303632672338"/>
    <n v="27018.505825925404"/>
    <n v="14542"/>
    <n v="33.019146931051026"/>
    <n v="30.482803692509144"/>
    <n v="1.512407524249981"/>
    <n v="36.297780581999547"/>
    <n v="13248.689912429834"/>
    <n v="2425.8910999999998"/>
    <n v="6.0551824277008333"/>
    <n v="5.5205649838718154"/>
    <n v="5.0993707376848896"/>
    <n v="2325.2657999999997"/>
    <n v="5.804015115061727"/>
    <n v="2210.1415861108044"/>
    <n v="2118.4655169975304"/>
    <x v="1"/>
    <x v="2"/>
  </r>
  <r>
    <x v="184"/>
    <n v="2"/>
    <d v="1899-12-31T00:06:00"/>
    <n v="1.0041666666656965"/>
    <d v="1901-02-04T15:14:00"/>
    <n v="401.63472222221753"/>
    <n v="363.55138888888905"/>
    <n v="341.03194444443943"/>
    <n v="190159"/>
    <n v="57"/>
    <n v="2.3651452282180525"/>
    <n v="56.76348547723326"/>
    <n v="20718.67219919014"/>
    <n v="10400"/>
    <n v="1.078923980814531"/>
    <n v="25.894175539548744"/>
    <n v="9451.3740719352918"/>
    <n v="123655"/>
    <n v="24"/>
    <n v="0.99585062240760114"/>
    <n v="23.900414937782426"/>
    <n v="8723.6514522905854"/>
    <n v="4223"/>
    <n v="0.43810538182497738"/>
    <n v="10.514529163799457"/>
    <n v="3837.803144786802"/>
    <n v="81"/>
    <n v="3.3609958506256539"/>
    <n v="80.663900415015689"/>
    <n v="29442.323651480725"/>
    <n v="14623"/>
    <n v="33.150746684902394"/>
    <n v="30.630561653152853"/>
    <n v="1.5170293626395084"/>
    <n v="36.408704703348199"/>
    <n v="13289.177216722093"/>
    <n v="2439.3757999999998"/>
    <n v="6.0736178050122254"/>
    <n v="5.5424082030279962"/>
    <n v="5.1238965395063927"/>
    <n v="2338.2176999999997"/>
    <n v="5.8217518820653771"/>
    <n v="2216.8704988294626"/>
    <n v="2124.9394369538627"/>
    <x v="1"/>
    <x v="2"/>
  </r>
  <r>
    <x v="185"/>
    <n v="-0.7"/>
    <d v="1899-12-30T23:44:00"/>
    <n v="0.98888888888905058"/>
    <d v="1901-02-05T14:58:00"/>
    <n v="402.62361111110658"/>
    <n v="364.5402777777781"/>
    <n v="342.02083333332848"/>
    <n v="190210"/>
    <n v="51"/>
    <n v="2.1488764044940307"/>
    <n v="51.573033707856737"/>
    <n v="18824.157303367709"/>
    <n v="10451"/>
    <n v="1.081551904349608"/>
    <n v="25.957245704390594"/>
    <n v="9474.3946821025675"/>
    <n v="123679"/>
    <n v="24"/>
    <n v="1.0112359550560144"/>
    <n v="24.269662921344345"/>
    <n v="8858.4269662906863"/>
    <n v="4247"/>
    <n v="0.43951305499691756"/>
    <n v="10.548313319926022"/>
    <n v="3850.1343617729981"/>
    <n v="75"/>
    <n v="3.1601123595500451"/>
    <n v="75.842696629201086"/>
    <n v="27682.584269658397"/>
    <n v="14698"/>
    <n v="33.266557193420908"/>
    <n v="30.761284034842369"/>
    <n v="1.5210649593465255"/>
    <n v="36.505559024316611"/>
    <n v="13324.529043875564"/>
    <n v="2451.7811000000002"/>
    <n v="6.0895114750819106"/>
    <n v="5.5614032895313308"/>
    <n v="5.1453523542669917"/>
    <n v="2350.2102"/>
    <n v="5.8372388879882262"/>
    <n v="2222.6716884048974"/>
    <n v="2130.5921941157026"/>
    <x v="1"/>
    <x v="2"/>
  </r>
  <r>
    <x v="186"/>
    <n v="-3.4"/>
    <d v="1899-12-30T23:43:00"/>
    <n v="0.98819444444961846"/>
    <d v="1901-02-06T14:41:00"/>
    <n v="403.6118055555562"/>
    <n v="365.52847222222772"/>
    <n v="343.0090277777781"/>
    <n v="190263"/>
    <n v="53"/>
    <n v="2.2347153900093817"/>
    <n v="53.63316936022516"/>
    <n v="19576.106816482185"/>
    <n v="10504"/>
    <n v="1.0843752849702581"/>
    <n v="26.025006839286196"/>
    <n v="9499.1274963394608"/>
    <n v="123706"/>
    <n v="27"/>
    <n v="1.1384399156651568"/>
    <n v="27.322557975963761"/>
    <n v="9972.7336612267736"/>
    <n v="4274"/>
    <n v="0.44122429245648165"/>
    <n v="10.589383018955559"/>
    <n v="3865.1248019187788"/>
    <n v="80"/>
    <n v="3.3731553056745383"/>
    <n v="80.955727336188914"/>
    <n v="29548.840477708953"/>
    <n v="14778"/>
    <n v="33.395483327981623"/>
    <n v="30.90589209467678"/>
    <n v="1.5255995774267397"/>
    <n v="36.614389858241758"/>
    <n v="13364.252298258241"/>
    <n v="2464.9499999999998"/>
    <n v="6.1072296847390044"/>
    <n v="5.5823952306496025"/>
    <n v="5.1689210965859687"/>
    <n v="2363.0021999999999"/>
    <n v="5.8546409383328566"/>
    <n v="2229.1388349297367"/>
    <n v="2136.9439424914926"/>
    <x v="1"/>
    <x v="2"/>
  </r>
  <r>
    <x v="187"/>
    <n v="-1.1000000000000001"/>
    <d v="1899-12-31T00:04:00"/>
    <n v="1.0027777777722804"/>
    <d v="1901-02-07T14:45:00"/>
    <n v="404.61458333332848"/>
    <n v="366.53125"/>
    <n v="344.01180555555038"/>
    <n v="190316"/>
    <n v="53"/>
    <n v="2.2022160664940675"/>
    <n v="52.853185595857617"/>
    <n v="19291.412742488032"/>
    <n v="10557"/>
    <n v="1.0871456890559561"/>
    <n v="26.091496537342948"/>
    <n v="9523.3962361301765"/>
    <n v="123731"/>
    <n v="25"/>
    <n v="1.0387811634405979"/>
    <n v="24.930747922574348"/>
    <n v="9099.7229917396362"/>
    <n v="4299"/>
    <n v="0.44270524933708022"/>
    <n v="10.624925984089925"/>
    <n v="3878.0979841928229"/>
    <n v="78"/>
    <n v="3.2409972299346652"/>
    <n v="77.783933518431965"/>
    <n v="28391.135734227668"/>
    <n v="14856"/>
    <n v="33.516923863927019"/>
    <n v="31.042539318539681"/>
    <n v="1.5298509383930363"/>
    <n v="36.716422521432875"/>
    <n v="13401.494220323"/>
    <n v="2477.8497000000002"/>
    <n v="6.1239752645265009"/>
    <n v="5.6023165828288866"/>
    <n v="5.1913517825818296"/>
    <n v="2375.4743999999996"/>
    <n v="5.8709559611771152"/>
    <n v="2235.2509715521728"/>
    <n v="2142.8989258296474"/>
    <x v="1"/>
    <x v="2"/>
  </r>
  <r>
    <x v="188"/>
    <n v="-1.8"/>
    <d v="1899-12-30T23:37:00"/>
    <n v="0.98402777777664596"/>
    <d v="1901-02-08T14:22:00"/>
    <n v="405.59861111110513"/>
    <n v="367.51527777777665"/>
    <n v="344.99583333332703"/>
    <n v="190377"/>
    <n v="61"/>
    <n v="2.5829216654934437"/>
    <n v="61.990119971842645"/>
    <n v="22626.393789722566"/>
    <n v="10618"/>
    <n v="1.0907746095448931"/>
    <n v="26.178590629077437"/>
    <n v="9555.1855796132641"/>
    <n v="123760"/>
    <n v="29"/>
    <n v="1.2279463655624567"/>
    <n v="29.470712773498963"/>
    <n v="10756.810162327121"/>
    <n v="4328"/>
    <n v="0.44461033246471066"/>
    <n v="10.670647979153056"/>
    <n v="3894.7865123908655"/>
    <n v="90"/>
    <n v="3.8108680310559007"/>
    <n v="91.460832745341605"/>
    <n v="33383.203952049684"/>
    <n v="14946"/>
    <n v="33.67206956626908"/>
    <n v="31.21486974480425"/>
    <n v="1.5353849420096037"/>
    <n v="36.849238608230493"/>
    <n v="13449.972092004131"/>
    <n v="2492.7269999999999"/>
    <n v="6.145797672165032"/>
    <n v="5.6277970605908463"/>
    <n v="5.2196676771459538"/>
    <n v="2389.8653999999997"/>
    <n v="5.892193253456055"/>
    <n v="2243.2161503402367"/>
    <n v="2150.6505375114602"/>
    <x v="1"/>
    <x v="2"/>
  </r>
  <r>
    <x v="189"/>
    <n v="5.4"/>
    <d v="1899-12-31T01:09:00"/>
    <n v="1.0479166666700621"/>
    <d v="1901-02-09T15:31:00"/>
    <n v="406.64652777777519"/>
    <n v="368.56319444444671"/>
    <n v="346.04374999999709"/>
    <n v="190435"/>
    <n v="58"/>
    <n v="2.3061630218613147"/>
    <n v="55.347912524671557"/>
    <n v="20201.988071505119"/>
    <n v="10676"/>
    <n v="1.0939066313051775"/>
    <n v="26.25375915132426"/>
    <n v="9582.6220902333553"/>
    <n v="123781"/>
    <n v="21"/>
    <n v="0.83499005963944162"/>
    <n v="20.039761431346598"/>
    <n v="7314.5129224415086"/>
    <n v="4349"/>
    <n v="0.44561633004366963"/>
    <n v="10.69479192104807"/>
    <n v="3903.5990511825457"/>
    <n v="79"/>
    <n v="3.1411530815007564"/>
    <n v="75.387673956018162"/>
    <n v="27516.500993946629"/>
    <n v="15025"/>
    <n v="33.79067738647241"/>
    <n v="31.348637274911312"/>
    <n v="1.539522961348847"/>
    <n v="36.948551072372332"/>
    <n v="13486.221141415901"/>
    <n v="2505.9877999999999"/>
    <n v="6.1625702638963045"/>
    <n v="5.6477755548479012"/>
    <n v="5.2421822385175716"/>
    <n v="2402.4974999999999"/>
    <n v="5.9080733164723354"/>
    <n v="2249.3381463221513"/>
    <n v="2156.4467605124023"/>
    <x v="1"/>
    <x v="2"/>
  </r>
  <r>
    <x v="190"/>
    <n v="5.7"/>
    <d v="1899-12-30T23:05:00"/>
    <n v="0.96180555555474712"/>
    <d v="1901-02-10T14:36:00"/>
    <n v="407.60833333332994"/>
    <n v="369.52500000000146"/>
    <n v="347.00555555555184"/>
    <n v="190474"/>
    <n v="39"/>
    <n v="1.6895306859219978"/>
    <n v="40.548736462127948"/>
    <n v="14800.288808676702"/>
    <n v="10715"/>
    <n v="1.0953120847218623"/>
    <n v="26.287490033324694"/>
    <n v="9594.9338621635125"/>
    <n v="123799"/>
    <n v="18"/>
    <n v="0.77978339350246051"/>
    <n v="18.714801444059052"/>
    <n v="6830.9025270815537"/>
    <n v="4367"/>
    <n v="0.44640484124875152"/>
    <n v="10.713716189970036"/>
    <n v="3910.5064093390633"/>
    <n v="57"/>
    <n v="2.4693140794244584"/>
    <n v="59.263537906186997"/>
    <n v="21631.191335758253"/>
    <n v="15082"/>
    <n v="33.856978553548338"/>
    <n v="31.42600983013434"/>
    <n v="1.5417169259706136"/>
    <n v="37.00120622329473"/>
    <n v="13505.440271502577"/>
    <n v="2515.4267"/>
    <n v="6.1711856561650791"/>
    <n v="5.6586187673364234"/>
    <n v="5.2548533324795228"/>
    <n v="2411.6117999999997"/>
    <n v="5.9164928751048267"/>
    <n v="2252.4827645002542"/>
    <n v="2159.519899413262"/>
    <x v="1"/>
    <x v="2"/>
  </r>
  <r>
    <x v="191"/>
    <n v="7"/>
    <d v="1899-12-31T01:16:00"/>
    <n v="1.0527777777751908"/>
    <d v="1901-02-11T15:52:00"/>
    <n v="408.66111111110513"/>
    <n v="370.57777777777665"/>
    <n v="348.05833333332703"/>
    <n v="190516"/>
    <n v="42"/>
    <n v="1.6622691292916836"/>
    <n v="39.894459103000408"/>
    <n v="14561.477572595149"/>
    <n v="10757"/>
    <n v="1.0967726586821624"/>
    <n v="26.322543808371897"/>
    <n v="9607.7284900557424"/>
    <n v="123814"/>
    <n v="15"/>
    <n v="0.59366754617560136"/>
    <n v="14.248021108214431"/>
    <n v="5200.5277044982677"/>
    <n v="4382"/>
    <n v="0.44678421403227997"/>
    <n v="10.722821136774719"/>
    <n v="3913.8297149227724"/>
    <n v="57"/>
    <n v="2.2559366754672849"/>
    <n v="54.142480211214838"/>
    <n v="19762.005277093416"/>
    <n v="15139"/>
    <n v="33.914607819621118"/>
    <n v="31.494720712524813"/>
    <n v="1.5435568727144424"/>
    <n v="37.045364945146616"/>
    <n v="13521.558204978515"/>
    <n v="2525.0015000000003"/>
    <n v="6.1787173561359818"/>
    <n v="5.668380636843386"/>
    <n v="5.2664680728805999"/>
    <n v="2420.7260999999999"/>
    <n v="5.9235538547289437"/>
    <n v="2255.2318349896332"/>
    <n v="2162.0971569760645"/>
    <x v="1"/>
    <x v="2"/>
  </r>
  <r>
    <x v="192"/>
    <n v="7.1"/>
    <d v="1899-12-30T22:35:00"/>
    <n v="0.94097222222626442"/>
    <d v="1901-02-12T14:27:00"/>
    <n v="409.60208333333139"/>
    <n v="371.51875000000291"/>
    <n v="348.99930555555329"/>
    <n v="190548"/>
    <n v="32"/>
    <n v="1.4169741697356104"/>
    <n v="34.007380073654652"/>
    <n v="12412.693726883948"/>
    <n v="10789"/>
    <n v="1.0975082524197826"/>
    <n v="26.34019805807478"/>
    <n v="9614.1722911972938"/>
    <n v="123831"/>
    <n v="17"/>
    <n v="0.75276752767204302"/>
    <n v="18.066420664129033"/>
    <n v="6594.2435424070973"/>
    <n v="4399"/>
    <n v="0.44748714453560323"/>
    <n v="10.739691468854478"/>
    <n v="3919.9873861318843"/>
    <n v="49"/>
    <n v="2.1697416974076535"/>
    <n v="52.073800737783685"/>
    <n v="19006.937269291044"/>
    <n v="15188"/>
    <n v="33.960600911797592"/>
    <n v="31.550206045459543"/>
    <n v="1.5449953969553858"/>
    <n v="37.079889526929257"/>
    <n v="13534.159677329179"/>
    <n v="2533.0464999999999"/>
    <n v="6.1841641023554654"/>
    <n v="5.675678280032928"/>
    <n v="5.2753202390167466"/>
    <n v="2428.5611999999996"/>
    <n v="5.9290743353559874"/>
    <n v="2257.2198973597447"/>
    <n v="2164.1121324049354"/>
    <x v="1"/>
    <x v="2"/>
  </r>
  <r>
    <x v="193"/>
    <n v="4"/>
    <d v="1899-12-30T23:57:00"/>
    <n v="0.99791666666715173"/>
    <d v="1901-02-13T14:24:00"/>
    <n v="410.59999999999854"/>
    <n v="372.51666666667006"/>
    <n v="349.99722222222044"/>
    <n v="190589"/>
    <n v="41"/>
    <n v="1.7118997912309006"/>
    <n v="41.085594989541619"/>
    <n v="14996.24217118269"/>
    <n v="10830"/>
    <n v="1.0990014612761851"/>
    <n v="26.376035070628443"/>
    <n v="9627.2528007793826"/>
    <n v="123851"/>
    <n v="20"/>
    <n v="0.83507306889312227"/>
    <n v="20.041753653434935"/>
    <n v="7315.2400835037515"/>
    <n v="4419"/>
    <n v="0.44842912810521346"/>
    <n v="10.762299074525123"/>
    <n v="3928.2391622016698"/>
    <n v="61"/>
    <n v="2.5469728601240229"/>
    <n v="61.12734864297655"/>
    <n v="22311.482254686442"/>
    <n v="15249"/>
    <n v="34.033376582702921"/>
    <n v="31.634536782038115"/>
    <n v="1.5474305893813987"/>
    <n v="37.138334145153564"/>
    <n v="13555.49196298105"/>
    <n v="2543.1143999999999"/>
    <n v="6.1936541646371381"/>
    <n v="5.6875006934812236"/>
    <n v="5.2890448336891831"/>
    <n v="2438.3150999999998"/>
    <n v="5.9384196298100544"/>
    <n v="2260.6837700925557"/>
    <n v="2167.5231648806698"/>
    <x v="2"/>
    <x v="2"/>
  </r>
  <r>
    <x v="194"/>
    <n v="7.6"/>
    <d v="1899-12-31T00:28:00"/>
    <n v="1.0194444444423425"/>
    <d v="1901-02-14T14:52:00"/>
    <n v="411.61944444444089"/>
    <n v="373.5361111111124"/>
    <n v="351.01666666666279"/>
    <n v="190628"/>
    <n v="39"/>
    <n v="1.5940054495945672"/>
    <n v="38.256130790269616"/>
    <n v="13963.48773844841"/>
    <n v="10869"/>
    <n v="1.1002274214991019"/>
    <n v="26.405458115978444"/>
    <n v="9637.9922123321321"/>
    <n v="123866"/>
    <n v="15"/>
    <n v="0.61307901907483353"/>
    <n v="14.713896457796006"/>
    <n v="5370.5722070955417"/>
    <n v="4434"/>
    <n v="0.44883691111666368"/>
    <n v="10.772085866799928"/>
    <n v="3931.8113413819738"/>
    <n v="54"/>
    <n v="2.2070844686694007"/>
    <n v="52.97002724806562"/>
    <n v="19334.059945543951"/>
    <n v="15303"/>
    <n v="34.085057967026721"/>
    <n v="31.696500640995556"/>
    <n v="1.5490643326157656"/>
    <n v="37.177543982778374"/>
    <n v="13569.803553714106"/>
    <n v="2552.1495"/>
    <n v="6.2002646727357922"/>
    <n v="5.6961665464442479"/>
    <n v="5.2994238640141127"/>
    <n v="2446.9496999999997"/>
    <n v="5.9446892828462614"/>
    <n v="2263.0966055485642"/>
    <n v="2169.8115882388852"/>
    <x v="2"/>
    <x v="2"/>
  </r>
  <r>
    <x v="195"/>
    <n v="3.7"/>
    <d v="1899-12-31T00:28:00"/>
    <n v="1.0194444444423425"/>
    <d v="1901-02-15T15:20:00"/>
    <n v="412.63888888888323"/>
    <n v="374.55555555555475"/>
    <n v="352.03611111110513"/>
    <n v="190665"/>
    <n v="37"/>
    <n v="1.5122615803845894"/>
    <n v="36.294277929230148"/>
    <n v="13247.411444169004"/>
    <n v="10906"/>
    <n v="1.1012453719286586"/>
    <n v="26.429888926287809"/>
    <n v="9646.9094580950496"/>
    <n v="123883"/>
    <n v="17"/>
    <n v="0.69482288828481131"/>
    <n v="16.675749318835472"/>
    <n v="6086.648501374947"/>
    <n v="4451"/>
    <n v="0.44944463143723268"/>
    <n v="10.786671154493584"/>
    <n v="3937.1349713901582"/>
    <n v="54"/>
    <n v="2.2070844686694007"/>
    <n v="52.97002724806562"/>
    <n v="19334.059945543951"/>
    <n v="15357"/>
    <n v="34.136458024325201"/>
    <n v="31.758105623634478"/>
    <n v="1.5506900033658912"/>
    <n v="37.216560080781392"/>
    <n v="13584.044429485208"/>
    <n v="2561.0940000000001"/>
    <n v="6.2066229552340131"/>
    <n v="5.7045433402551291"/>
    <n v="5.3094854221079864"/>
    <n v="2455.5843"/>
    <n v="5.9509279569169449"/>
    <n v="2265.4173786604147"/>
    <n v="2172.0887042746845"/>
    <x v="2"/>
    <x v="2"/>
  </r>
  <r>
    <x v="196"/>
    <n v="7.3"/>
    <d v="1899-12-31T00:03:00"/>
    <n v="1.0020833333401242"/>
    <d v="1901-02-16T15:23:00"/>
    <n v="413.64097222222335"/>
    <n v="375.55763888889487"/>
    <n v="353.03819444444525"/>
    <n v="190705"/>
    <n v="40"/>
    <n v="1.6632016631903921"/>
    <n v="39.916839916569408"/>
    <n v="14569.646569547835"/>
    <n v="10946"/>
    <n v="1.1026067627756864"/>
    <n v="26.462562306616476"/>
    <n v="9658.8352419150142"/>
    <n v="123899"/>
    <n v="16"/>
    <n v="0.66528066527615681"/>
    <n v="15.966735966627764"/>
    <n v="5827.8586278191342"/>
    <n v="4467"/>
    <n v="0.44996751409820862"/>
    <n v="10.799220338357006"/>
    <n v="3941.7154235003072"/>
    <n v="56"/>
    <n v="2.3284823284665488"/>
    <n v="55.883575883197175"/>
    <n v="20397.505197366969"/>
    <n v="15413"/>
    <n v="34.194484867871857"/>
    <n v="31.826584706171552"/>
    <n v="1.552574276873895"/>
    <n v="37.261782644973479"/>
    <n v="13600.55066541532"/>
    <n v="2570.4436000000001"/>
    <n v="6.2141900165031574"/>
    <n v="5.7142174137346702"/>
    <n v="5.3208979355790387"/>
    <n v="2464.5386999999996"/>
    <n v="5.9581590449312589"/>
    <n v="2268.1793560236524"/>
    <n v="2174.7280513999094"/>
    <x v="2"/>
    <x v="2"/>
  </r>
  <r>
    <x v="197"/>
    <n v="-0.7"/>
    <d v="1899-12-31T00:24:00"/>
    <n v="1.0166666666627862"/>
    <d v="1901-02-17T15:47:00"/>
    <n v="414.65763888888614"/>
    <n v="376.57430555555766"/>
    <n v="354.05486111110804"/>
    <n v="190743"/>
    <n v="38"/>
    <n v="1.5573770491862722"/>
    <n v="37.377049180470536"/>
    <n v="13642.622950871746"/>
    <n v="10984"/>
    <n v="1.1037217785087168"/>
    <n v="26.489322684209203"/>
    <n v="9668.6027797363586"/>
    <n v="123919"/>
    <n v="20"/>
    <n v="0.81967213115066961"/>
    <n v="19.672131147616071"/>
    <n v="7180.3278688798655"/>
    <n v="4487"/>
    <n v="0.4508739639629108"/>
    <n v="10.82097513510986"/>
    <n v="3949.6559243150987"/>
    <n v="58"/>
    <n v="2.3770491803369418"/>
    <n v="57.049180328086607"/>
    <n v="20822.950819751612"/>
    <n v="15471"/>
    <n v="34.256187450093584"/>
    <n v="31.899011256494973"/>
    <n v="1.5545957424716277"/>
    <n v="37.310297819319061"/>
    <n v="13618.258704051457"/>
    <n v="2579.9718000000003"/>
    <n v="6.221932404075023"/>
    <n v="5.7240926112044122"/>
    <n v="5.3325306537946764"/>
    <n v="2473.8128999999999"/>
    <n v="5.9659166213091179"/>
    <n v="2271.0053274873831"/>
    <n v="2177.559566777828"/>
    <x v="2"/>
    <x v="2"/>
  </r>
  <r>
    <x v="198"/>
    <n v="8.3000000000000007"/>
    <d v="1899-12-31T01:35:00"/>
    <n v="1.0659722222189885"/>
    <d v="1901-02-18T17:22:00"/>
    <n v="415.72361111110513"/>
    <n v="377.64027777777665"/>
    <n v="355.12083333332703"/>
    <n v="190784"/>
    <n v="41"/>
    <n v="1.6026058631970441"/>
    <n v="38.462540716729059"/>
    <n v="14038.827361606107"/>
    <n v="11025"/>
    <n v="1.1050009855640091"/>
    <n v="26.520023653536217"/>
    <n v="9679.8086335407188"/>
    <n v="123938"/>
    <n v="19"/>
    <n v="0.74267100977423994"/>
    <n v="17.82410423458176"/>
    <n v="6505.7980456223422"/>
    <n v="4506"/>
    <n v="0.45162217151486844"/>
    <n v="10.838932116356844"/>
    <n v="3956.210222470248"/>
    <n v="60"/>
    <n v="2.3452768729712843"/>
    <n v="56.286644951310819"/>
    <n v="20544.62540722845"/>
    <n v="15531"/>
    <n v="34.318373231433604"/>
    <n v="31.9722160297557"/>
    <n v="1.5566231570788776"/>
    <n v="37.358955769893058"/>
    <n v="13636.018856010965"/>
    <n v="2589.9050999999999"/>
    <n v="6.2298725181327965"/>
    <n v="5.7342387118841218"/>
    <n v="5.3444955120910498"/>
    <n v="2483.4069"/>
    <n v="5.9736970276059003"/>
    <n v="2273.9034691184706"/>
    <n v="2180.3994150761532"/>
    <x v="2"/>
    <x v="2"/>
  </r>
  <r>
    <x v="199"/>
    <n v="7.6"/>
    <d v="1899-12-30T21:18:00"/>
    <n v="0.88750000000436557"/>
    <d v="1901-02-19T14:40:00"/>
    <n v="416.61111111110949"/>
    <n v="378.52777777778101"/>
    <n v="356.00833333333139"/>
    <n v="190816"/>
    <n v="32"/>
    <n v="1.5023474178329856"/>
    <n v="36.056338027991657"/>
    <n v="13160.563380216954"/>
    <n v="11057"/>
    <n v="1.1058474463261811"/>
    <n v="26.540338711828348"/>
    <n v="9687.2236298173466"/>
    <n v="123952"/>
    <n v="14"/>
    <n v="0.65727699530193118"/>
    <n v="15.774647887246349"/>
    <n v="5757.7464788449179"/>
    <n v="4520"/>
    <n v="0.45206027470329552"/>
    <n v="10.849446592879092"/>
    <n v="3960.0480064008684"/>
    <n v="46"/>
    <n v="2.1596244131349169"/>
    <n v="51.830985915238003"/>
    <n v="18918.309859061872"/>
    <n v="15577"/>
    <n v="34.359433477654363"/>
    <n v="32.021722337960426"/>
    <n v="1.5579077210294767"/>
    <n v="37.389785304707438"/>
    <n v="13647.271636218215"/>
    <n v="2597.5463"/>
    <n v="6.2349424456594456"/>
    <n v="5.7409807881411412"/>
    <n v="5.3526356592776674"/>
    <n v="2490.7622999999999"/>
    <n v="5.9786266702227193"/>
    <n v="2275.7539926656973"/>
    <n v="2182.1987346312922"/>
    <x v="2"/>
    <x v="2"/>
  </r>
  <r>
    <x v="200"/>
    <n v="-0.3"/>
    <d v="1899-12-30T23:48:00"/>
    <n v="0.99166666666860692"/>
    <d v="1901-02-20T14:28:00"/>
    <n v="417.6027777777781"/>
    <n v="379.51944444444962"/>
    <n v="357"/>
    <n v="190847"/>
    <n v="31"/>
    <n v="1.302521008400813"/>
    <n v="31.260504201619508"/>
    <n v="11410.08403359112"/>
    <n v="11088"/>
    <n v="1.1063144801346301"/>
    <n v="26.551547523231122"/>
    <n v="9691.3148459793592"/>
    <n v="123970"/>
    <n v="18"/>
    <n v="0.75630252100692363"/>
    <n v="18.151260504166167"/>
    <n v="6625.2100840206513"/>
    <n v="4538"/>
    <n v="0.45278274809261826"/>
    <n v="10.866785954222838"/>
    <n v="3966.3768732913359"/>
    <n v="49"/>
    <n v="2.0588235294077366"/>
    <n v="49.411764705785679"/>
    <n v="18035.294117611771"/>
    <n v="15626"/>
    <n v="34.398764519457615"/>
    <n v="32.070028011204485"/>
    <n v="1.5590972282272482"/>
    <n v="37.418333477453956"/>
    <n v="13657.691719270693"/>
    <n v="2605.5459999999998"/>
    <n v="6.2392927888676724"/>
    <n v="5.7470583706001683"/>
    <n v="5.3601753501400555"/>
    <n v="2498.5973999999997"/>
    <n v="5.9831915230448871"/>
    <n v="2277.3418679367005"/>
    <n v="2183.8649059113836"/>
    <x v="2"/>
    <x v="2"/>
  </r>
  <r>
    <x v="201"/>
    <n v="0.1"/>
    <d v="1899-12-31T01:05:00"/>
    <n v="1.0451388888832298"/>
    <d v="1901-02-21T15:33:00"/>
    <n v="418.64791666666133"/>
    <n v="380.56458333333285"/>
    <n v="358.04513888888323"/>
    <n v="190879"/>
    <n v="32"/>
    <n v="1.2757475083125556"/>
    <n v="30.617940199501334"/>
    <n v="11175.548172817988"/>
    <n v="11120"/>
    <n v="1.1067374633617291"/>
    <n v="26.561699120681499"/>
    <n v="9695.0201790487481"/>
    <n v="123990"/>
    <n v="20"/>
    <n v="0.79734219269534723"/>
    <n v="19.136212624688334"/>
    <n v="6984.7176080112413"/>
    <n v="4558"/>
    <n v="0.45364292787794619"/>
    <n v="10.887430269070709"/>
    <n v="3973.9120482108087"/>
    <n v="52"/>
    <n v="2.0730897010079028"/>
    <n v="49.754152824189667"/>
    <n v="18160.265780829228"/>
    <n v="15678"/>
    <n v="34.440934795342493"/>
    <n v="32.121648224832498"/>
    <n v="1.5603803912396754"/>
    <n v="37.449129389752208"/>
    <n v="13668.932227259556"/>
    <n v="2613.9947999999999"/>
    <n v="6.2438977860275191"/>
    <n v="5.7534760087808205"/>
    <n v="5.3681259462553088"/>
    <n v="2506.9121999999998"/>
    <n v="5.9881157894213777"/>
    <n v="2279.0226919000447"/>
    <n v="2185.6622631388027"/>
    <x v="2"/>
    <x v="2"/>
  </r>
  <r>
    <x v="202"/>
    <n v="5.6"/>
    <d v="1899-12-31T00:03:00"/>
    <n v="1.0020833333328483"/>
    <d v="1901-02-22T15:36:00"/>
    <n v="419.64999999999418"/>
    <n v="381.5666666666657"/>
    <n v="359.04722222221608"/>
    <n v="190916"/>
    <n v="37"/>
    <n v="1.5384615384622831"/>
    <n v="36.923076923094797"/>
    <n v="13476.923076929601"/>
    <n v="11157"/>
    <n v="1.1077683784105956"/>
    <n v="26.586441081854293"/>
    <n v="9704.0509948768176"/>
    <n v="124008"/>
    <n v="18"/>
    <n v="0.74844074844111075"/>
    <n v="17.962577962586657"/>
    <n v="6556.3409563441301"/>
    <n v="4576"/>
    <n v="0.4543468763652313"/>
    <n v="10.90432503276555"/>
    <n v="3980.0786369594257"/>
    <n v="55"/>
    <n v="2.2869022869033939"/>
    <n v="54.885654885681454"/>
    <n v="20033.264033273732"/>
    <n v="15733"/>
    <n v="34.494627413296151"/>
    <n v="32.185181460192261"/>
    <n v="1.5621152547758268"/>
    <n v="37.490766114619845"/>
    <n v="13684.129631836244"/>
    <n v="2623.0739000000003"/>
    <n v="6.2506229000358315"/>
    <n v="5.7621603040097993"/>
    <n v="5.37843041382681"/>
    <n v="2515.7066999999997"/>
    <n v="5.9947735017277131"/>
    <n v="2281.4773585130783"/>
    <n v="2188.092328130615"/>
    <x v="2"/>
    <x v="2"/>
  </r>
  <r>
    <x v="203"/>
    <n v="0.1"/>
    <d v="1899-12-30T23:41:00"/>
    <n v="0.98680555555620231"/>
    <d v="1901-02-23T15:17:00"/>
    <n v="420.63680555555038"/>
    <n v="382.5534722222219"/>
    <n v="360.03402777777228"/>
    <n v="190953"/>
    <n v="37"/>
    <n v="1.5622800844465483"/>
    <n v="37.494722026717156"/>
    <n v="13685.573539751762"/>
    <n v="11194"/>
    <n v="1.1088346538069895"/>
    <n v="26.612031691367747"/>
    <n v="9713.3915673492284"/>
    <n v="124028"/>
    <n v="20"/>
    <n v="0.84447572132245852"/>
    <n v="20.267417311739003"/>
    <n v="7397.607318784736"/>
    <n v="4596"/>
    <n v="0.45526211085375412"/>
    <n v="10.9262906604901"/>
    <n v="3988.0960910788863"/>
    <n v="57"/>
    <n v="2.4067558057690066"/>
    <n v="57.762139338456159"/>
    <n v="21083.180858536496"/>
    <n v="15790"/>
    <n v="34.554646500035425"/>
    <n v="32.255284512074006"/>
    <n v="1.5640967646607435"/>
    <n v="37.53832235185785"/>
    <n v="13701.487658428116"/>
    <n v="2632.4222"/>
    <n v="6.2581832241790254"/>
    <n v="5.7717332616900006"/>
    <n v="5.3896538945972363"/>
    <n v="2524.8209999999999"/>
    <n v="6.0023777440620698"/>
    <n v="2284.2368768253441"/>
    <n v="2190.8678765826553"/>
    <x v="2"/>
    <x v="2"/>
  </r>
  <r>
    <x v="204"/>
    <n v="-0.9"/>
    <d v="1899-12-30T23:05:00"/>
    <n v="0.96180555555474712"/>
    <d v="1901-02-24T14:22:00"/>
    <n v="421.59861111110513"/>
    <n v="383.51527777777665"/>
    <n v="360.99583333332703"/>
    <n v="190988"/>
    <n v="35"/>
    <n v="1.5162454873658955"/>
    <n v="36.38989169678149"/>
    <n v="13282.310469325244"/>
    <n v="11229"/>
    <n v="1.1097640923601133"/>
    <n v="26.634338216642721"/>
    <n v="9721.5334490745936"/>
    <n v="124049"/>
    <n v="21"/>
    <n v="0.90974729241953722"/>
    <n v="21.833935018068892"/>
    <n v="7969.3862815951461"/>
    <n v="4617"/>
    <n v="0.45629894152877759"/>
    <n v="10.951174596690661"/>
    <n v="3997.1787277920912"/>
    <n v="56"/>
    <n v="2.4259927797854326"/>
    <n v="58.223826714850382"/>
    <n v="21251.69675092039"/>
    <n v="15846"/>
    <n v="34.614005671221371"/>
    <n v="32.324472812475314"/>
    <n v="1.566063033888891"/>
    <n v="37.585512813333381"/>
    <n v="13718.712176866684"/>
    <n v="2641.5452999999998"/>
    <n v="6.265545545888588"/>
    <n v="5.7810466191771459"/>
    <n v="5.4005662115214639"/>
    <n v="2533.7754"/>
    <n v="6.0099234988520083"/>
    <n v="2286.9241242493349"/>
    <n v="2193.6220770809828"/>
    <x v="2"/>
    <x v="2"/>
  </r>
  <r>
    <x v="205"/>
    <n v="5.5"/>
    <d v="1900-01-01T00:15:00"/>
    <n v="2.0104166666715173"/>
    <d v="1901-02-26T14:37:00"/>
    <n v="423.60902777777665"/>
    <n v="385.52569444444816"/>
    <n v="363.00624999999854"/>
    <n v="191066"/>
    <n v="78"/>
    <n v="1.6165803108769286"/>
    <n v="38.797927461046285"/>
    <n v="14161.243523281893"/>
    <n v="11307"/>
    <n v="1.1121694041118264"/>
    <n v="26.692065698683834"/>
    <n v="9742.6039800195995"/>
    <n v="124087"/>
    <n v="38"/>
    <n v="0.787564766837478"/>
    <n v="18.901554404099471"/>
    <n v="6899.0673574963066"/>
    <n v="4655"/>
    <n v="0.45787110428412064"/>
    <n v="10.988906502818896"/>
    <n v="4010.9508735288969"/>
    <n v="116"/>
    <n v="2.4041450777144067"/>
    <n v="57.699481865145756"/>
    <n v="21060.310880778201"/>
    <n v="15962"/>
    <n v="34.734390451709722"/>
    <n v="32.465005767807156"/>
    <n v="1.5700405083959472"/>
    <n v="37.680972201502733"/>
    <n v="13753.554853548498"/>
    <n v="2660.6923000000002"/>
    <n v="6.2810094344726455"/>
    <n v="5.8005646114522005"/>
    <n v="5.4234022141492275"/>
    <n v="2552.3237999999997"/>
    <n v="6.0251874550202862"/>
    <n v="2292.5684435825156"/>
    <n v="2199.1934210824047"/>
    <x v="2"/>
    <x v="2"/>
  </r>
  <r>
    <x v="206"/>
    <n v="2.6"/>
    <d v="1899-12-30T23:42:00"/>
    <n v="0.98749999999563443"/>
    <d v="1901-02-27T14:19:00"/>
    <n v="424.59652777777228"/>
    <n v="386.5131944444438"/>
    <n v="363.99374999999418"/>
    <n v="191102"/>
    <n v="36"/>
    <n v="1.5189873417788671"/>
    <n v="36.455696202692813"/>
    <n v="13306.329113982876"/>
    <n v="11343"/>
    <n v="1.1131155557809109"/>
    <n v="26.714773338741864"/>
    <n v="9750.8922686407805"/>
    <n v="124107"/>
    <n v="20"/>
    <n v="0.84388185654381509"/>
    <n v="20.253164557051562"/>
    <n v="7392.4050633238203"/>
    <n v="4675"/>
    <n v="0.45876886390511845"/>
    <n v="11.010452733722843"/>
    <n v="4018.8152478088377"/>
    <n v="56"/>
    <n v="2.3628691983226822"/>
    <n v="56.708860759744368"/>
    <n v="20698.734177306695"/>
    <n v="16018"/>
    <n v="34.790532880327916"/>
    <n v="32.530778344408908"/>
    <n v="1.5718844196860295"/>
    <n v="37.725226072464707"/>
    <n v="13769.707516449618"/>
    <n v="2669.8607000000002"/>
    <n v="6.2879946615987565"/>
    <n v="5.8094655817053926"/>
    <n v="5.4338770926699471"/>
    <n v="2561.2781999999997"/>
    <n v="6.0322636489871062"/>
    <n v="2295.118051483546"/>
    <n v="2201.7762318802938"/>
    <x v="2"/>
    <x v="2"/>
  </r>
  <r>
    <x v="207"/>
    <n v="11.2"/>
    <d v="1899-12-31T00:29:00"/>
    <n v="1.0201388888890506"/>
    <d v="1901-02-28T14:48:00"/>
    <n v="425.61666666666133"/>
    <n v="387.53333333333285"/>
    <n v="365.01388888888323"/>
    <n v="191138"/>
    <n v="36"/>
    <n v="1.4703880190603524"/>
    <n v="35.28931245744846"/>
    <n v="12880.599046968688"/>
    <n v="11379"/>
    <n v="1.1139718839331305"/>
    <n v="26.735325214395136"/>
    <n v="9758.3937032542253"/>
    <n v="124123"/>
    <n v="16"/>
    <n v="0.65350578624904554"/>
    <n v="15.684138869977092"/>
    <n v="5724.7106875416384"/>
    <n v="4691"/>
    <n v="0.45923561890590697"/>
    <n v="11.021654853741769"/>
    <n v="4022.9040216157455"/>
    <n v="52"/>
    <n v="2.1238938053093981"/>
    <n v="50.973451327425551"/>
    <n v="18605.309734510327"/>
    <n v="16070"/>
    <n v="34.83313263375198"/>
    <n v="32.582321829459048"/>
    <n v="1.5732075028390375"/>
    <n v="37.756980068136905"/>
    <n v="13781.29772486997"/>
    <n v="2678.4907000000003"/>
    <n v="6.2931997493833274"/>
    <n v="5.8164418544641396"/>
    <n v="5.4423334576310731"/>
    <n v="2569.5929999999998"/>
    <n v="6.0373411128950902"/>
    <n v="2297.0179085249147"/>
    <n v="2203.6295062067079"/>
    <x v="2"/>
    <x v="2"/>
  </r>
  <r>
    <x v="208"/>
    <n v="10.9"/>
    <d v="1899-12-31T01:04:00"/>
    <n v="1.0444444444437977"/>
    <d v="1901-03-01T15:52:00"/>
    <n v="426.66111111110513"/>
    <n v="388.57777777777665"/>
    <n v="366.05833333332703"/>
    <n v="191171"/>
    <n v="33"/>
    <n v="1.316489361702943"/>
    <n v="31.595744680870627"/>
    <n v="11532.44680851778"/>
    <n v="11412"/>
    <n v="1.1144676362973633"/>
    <n v="26.747223271136718"/>
    <n v="9762.7364939649015"/>
    <n v="124137"/>
    <n v="14"/>
    <n v="0.55851063829821823"/>
    <n v="13.404255319157237"/>
    <n v="4892.5531914923913"/>
    <n v="4705"/>
    <n v="0.4594786390447857"/>
    <n v="11.027487337074856"/>
    <n v="4025.0328780323225"/>
    <n v="47"/>
    <n v="1.8750000000011611"/>
    <n v="45.000000000027867"/>
    <n v="16425.000000010172"/>
    <n v="16117"/>
    <n v="34.860459796408655"/>
    <n v="32.617752179753332"/>
    <n v="1.5739462753421489"/>
    <n v="37.774710608211571"/>
    <n v="13787.769371997223"/>
    <n v="2686.3117999999999"/>
    <n v="6.296125262047771"/>
    <n v="5.8209355484387677"/>
    <n v="5.4481710109956092"/>
    <n v="2577.1082999999999"/>
    <n v="6.0401762262530303"/>
    <n v="2298.0857206474366"/>
    <n v="2204.6643225823559"/>
    <x v="2"/>
    <x v="2"/>
  </r>
  <r>
    <x v="209"/>
    <n v="11.2"/>
    <d v="1900-01-02T03:10:00"/>
    <n v="3.1319444444452529"/>
    <d v="1901-03-04T19:02:00"/>
    <n v="429.79305555555038"/>
    <n v="391.7097222222219"/>
    <n v="369.19027777777228"/>
    <n v="191274"/>
    <n v="103"/>
    <n v="1.3702882483366752"/>
    <n v="32.886917960080204"/>
    <n v="12003.725055429275"/>
    <n v="11515"/>
    <n v="1.1163318263634765"/>
    <n v="26.791963832723436"/>
    <n v="9779.0667989440535"/>
    <n v="124188"/>
    <n v="51"/>
    <n v="0.67849223946767412"/>
    <n v="16.28381374722418"/>
    <n v="5943.5920177368253"/>
    <n v="4756"/>
    <n v="0.46107461278199691"/>
    <n v="11.065790706767926"/>
    <n v="4039.0136079702929"/>
    <n v="154"/>
    <n v="2.0487804878043492"/>
    <n v="49.170731707304384"/>
    <n v="17947.317073166101"/>
    <n v="16271"/>
    <n v="34.974878648091902"/>
    <n v="32.758175737443914"/>
    <n v="1.5774064391454734"/>
    <n v="37.85775453949136"/>
    <n v="13818.080406914347"/>
    <n v="2711.7060999999999"/>
    <n v="6.3093297226379086"/>
    <n v="5.839223205959633"/>
    <n v="5.4707364239308305"/>
    <n v="2601.7329"/>
    <n v="6.0534549508646682"/>
    <n v="2302.9053487628366"/>
    <n v="2209.5110570656038"/>
    <x v="2"/>
    <x v="2"/>
  </r>
  <r>
    <x v="210"/>
    <n v="6"/>
    <d v="1899-12-30T20:20:00"/>
    <n v="0.84722222222626442"/>
    <d v="1901-03-05T15:22:00"/>
    <n v="430.64027777777665"/>
    <n v="392.55694444444816"/>
    <n v="370.03749999999854"/>
    <n v="191298"/>
    <n v="24"/>
    <n v="1.1803278688468275"/>
    <n v="28.32786885232386"/>
    <n v="10339.672131098208"/>
    <n v="11539"/>
    <n v="1.1164577292855307"/>
    <n v="26.794985502852736"/>
    <n v="9780.1697085412488"/>
    <n v="124203"/>
    <n v="15"/>
    <n v="0.73770491802926719"/>
    <n v="17.704918032702412"/>
    <n v="6462.2950819363805"/>
    <n v="4771"/>
    <n v="0.4616188427438484"/>
    <n v="11.078852225852362"/>
    <n v="4043.7810624361123"/>
    <n v="39"/>
    <n v="1.9180327868760947"/>
    <n v="46.032786885026276"/>
    <n v="16801.96721303459"/>
    <n v="16310"/>
    <n v="34.998743989725149"/>
    <n v="32.788568726142749"/>
    <n v="1.578076572029379"/>
    <n v="37.873837728705098"/>
    <n v="13823.950770977361"/>
    <n v="2718.0427"/>
    <n v="6.3116314015629351"/>
    <n v="5.8427627697325732"/>
    <n v="5.4753350673918399"/>
    <n v="2607.9689999999996"/>
    <n v="6.056026652819944"/>
    <n v="2303.7454615704714"/>
    <n v="2210.44972827928"/>
    <x v="2"/>
    <x v="2"/>
  </r>
  <r>
    <x v="211"/>
    <n v="8.3000000000000007"/>
    <d v="1899-12-31T01:11:00"/>
    <n v="1.0493055555562023"/>
    <d v="1901-03-06T16:33:00"/>
    <n v="431.68958333333285"/>
    <n v="393.60625000000437"/>
    <n v="371.08680555555475"/>
    <n v="191335"/>
    <n v="37"/>
    <n v="1.4692256783577973"/>
    <n v="35.261416280587135"/>
    <n v="12870.416942414304"/>
    <n v="11576"/>
    <n v="1.1173152004478539"/>
    <n v="26.815564810748494"/>
    <n v="9787.681155923201"/>
    <n v="124222"/>
    <n v="19"/>
    <n v="0.75446724023778777"/>
    <n v="18.107213765706906"/>
    <n v="6609.1330244830206"/>
    <n v="4790"/>
    <n v="0.46233066777342952"/>
    <n v="11.09593602656231"/>
    <n v="4050.0166496952429"/>
    <n v="56"/>
    <n v="2.2236929185955852"/>
    <n v="53.368630046294044"/>
    <n v="19479.549966897324"/>
    <n v="16366"/>
    <n v="35.047715832763956"/>
    <n v="32.846762044669916"/>
    <n v="1.5796458682212835"/>
    <n v="37.911500837310804"/>
    <n v="13837.697805618443"/>
    <n v="2727.2563999999998"/>
    <n v="6.3176330986289404"/>
    <n v="5.8505951061497985"/>
    <n v="5.484681668896739"/>
    <n v="2616.9233999999997"/>
    <n v="6.0620489838859966"/>
    <n v="2305.9360809995637"/>
    <n v="2212.647879118389"/>
    <x v="2"/>
    <x v="2"/>
  </r>
  <r>
    <x v="212"/>
    <n v="4.2"/>
    <d v="1899-12-31T23:02:00"/>
    <n v="1.9597222222218988"/>
    <d v="1901-03-08T15:35:00"/>
    <n v="433.64930555555475"/>
    <n v="395.56597222222626"/>
    <n v="373.04652777777665"/>
    <n v="191391"/>
    <n v="56"/>
    <n v="1.1906449326720603"/>
    <n v="28.57547838412945"/>
    <n v="10430.04961020725"/>
    <n v="11632"/>
    <n v="1.1176465878245851"/>
    <n v="26.823518107790044"/>
    <n v="9790.5841093433664"/>
    <n v="124252"/>
    <n v="30"/>
    <n v="0.63784549964574666"/>
    <n v="15.308291991497919"/>
    <n v="5587.5265768967402"/>
    <n v="4820"/>
    <n v="0.46312384399196188"/>
    <n v="11.114972255807084"/>
    <n v="4056.9648733695858"/>
    <n v="86"/>
    <n v="1.8284904323178071"/>
    <n v="43.883770375627371"/>
    <n v="16017.57618710399"/>
    <n v="16452"/>
    <n v="35.091491621533486"/>
    <n v="32.904742668754182"/>
    <n v="1.580770431816547"/>
    <n v="37.938490363597126"/>
    <n v="13847.548982712951"/>
    <n v="2741.3688000000002"/>
    <n v="6.3216261732230628"/>
    <n v="5.8572864267969873"/>
    <n v="5.4936991699352538"/>
    <n v="2630.6747999999998"/>
    <n v="6.0663646091391801"/>
    <n v="2307.3935532264177"/>
    <n v="2214.2230823358009"/>
    <x v="2"/>
    <x v="2"/>
  </r>
  <r>
    <x v="213"/>
    <n v="6.3"/>
    <d v="1899-12-31T01:20:00"/>
    <n v="1.0555555555547471"/>
    <d v="1901-03-09T16:55:00"/>
    <n v="434.70486111110949"/>
    <n v="396.62152777778101"/>
    <n v="374.10208333333139"/>
    <n v="191430"/>
    <n v="39"/>
    <n v="1.5394736842117054"/>
    <n v="36.947368421080931"/>
    <n v="13485.78947369454"/>
    <n v="11671"/>
    <n v="1.1186708734374418"/>
    <n v="26.848100962498602"/>
    <n v="9799.5568513119906"/>
    <n v="124275"/>
    <n v="23"/>
    <n v="0.90789473684280064"/>
    <n v="21.789473684227215"/>
    <n v="7953.1578947429334"/>
    <n v="4843"/>
    <n v="0.46420384200647163"/>
    <n v="11.14089220815532"/>
    <n v="4066.4256559766918"/>
    <n v="62"/>
    <n v="2.4473684210545059"/>
    <n v="58.736842105308142"/>
    <n v="21438.947368437472"/>
    <n v="16514"/>
    <n v="35.154420583574527"/>
    <n v="32.977629769058304"/>
    <n v="1.5828747154439133"/>
    <n v="37.98899317065392"/>
    <n v="13865.982507288682"/>
    <n v="2751.4807000000001"/>
    <n v="6.3295374543712049"/>
    <n v="5.8671931224666194"/>
    <n v="5.50522809616362"/>
    <n v="2640.5885999999996"/>
    <n v="6.0744400079875609"/>
    <n v="2310.2811708454897"/>
    <n v="2217.1706029154598"/>
    <x v="2"/>
    <x v="2"/>
  </r>
  <r>
    <x v="214"/>
    <n v="0.2"/>
    <d v="1900-01-01T21:40:00"/>
    <n v="2.9027777777737356"/>
    <d v="1901-03-12T14:35:00"/>
    <n v="437.60763888888323"/>
    <n v="399.52430555555475"/>
    <n v="377.00486111110513"/>
    <n v="191530"/>
    <n v="100"/>
    <n v="1.4354066985665921"/>
    <n v="34.449760765598214"/>
    <n v="12574.162679443349"/>
    <n v="11771"/>
    <n v="1.1207718735866719"/>
    <n v="26.898524966080121"/>
    <n v="9817.961612619245"/>
    <n v="124345"/>
    <n v="70"/>
    <n v="1.0047846889966146"/>
    <n v="24.114832535918747"/>
    <n v="8801.9138756103421"/>
    <n v="4913"/>
    <n v="0.46778967079528655"/>
    <n v="11.226952099086878"/>
    <n v="4097.8375161667109"/>
    <n v="170"/>
    <n v="2.4401913875632069"/>
    <n v="58.564593301516958"/>
    <n v="21376.076555053689"/>
    <n v="16684"/>
    <n v="35.324509181926494"/>
    <n v="33.174638552774859"/>
    <n v="1.5885615443819583"/>
    <n v="38.125477065166997"/>
    <n v="13915.799128785953"/>
    <n v="2778.8926999999999"/>
    <n v="6.3501923939349076"/>
    <n v="5.8931761278604009"/>
    <n v="5.5355501089546211"/>
    <n v="2667.7715999999996"/>
    <n v="6.096263782720202"/>
    <n v="2317.8202237862415"/>
    <n v="2225.1362806928737"/>
    <x v="2"/>
    <x v="2"/>
  </r>
  <r>
    <x v="215"/>
    <n v="8.1"/>
    <d v="1899-12-30T23:57:00"/>
    <n v="0.99791666666715173"/>
    <d v="1901-03-13T14:32:00"/>
    <n v="438.60555555555038"/>
    <n v="400.5222222222219"/>
    <n v="378.00277777777228"/>
    <n v="191555"/>
    <n v="25"/>
    <n v="1.043841336116403"/>
    <n v="25.052192066793669"/>
    <n v="9144.0501043796885"/>
    <n v="11796"/>
    <n v="1.1205968409986327"/>
    <n v="26.894324183967182"/>
    <n v="9816.4283271480217"/>
    <n v="124359"/>
    <n v="14"/>
    <n v="0.58455114822518561"/>
    <n v="14.029227557404454"/>
    <n v="5120.6680584526257"/>
    <n v="4927"/>
    <n v="0.4680553268565838"/>
    <n v="11.233327844558012"/>
    <n v="4100.1646632636748"/>
    <n v="39"/>
    <n v="1.6283924843415885"/>
    <n v="39.081419624198119"/>
    <n v="14264.718162832314"/>
    <n v="16723"/>
    <n v="35.333869670152886"/>
    <n v="33.190232288122999"/>
    <n v="1.5886521678552163"/>
    <n v="38.127652028525191"/>
    <n v="13916.592990411695"/>
    <n v="2785.2746000000002"/>
    <n v="6.3502948485732045"/>
    <n v="5.8944269980858373"/>
    <n v="5.5378196221368965"/>
    <n v="2674.0076999999997"/>
    <n v="6.096611559361178"/>
    <n v="2317.8576197292196"/>
    <n v="2225.2632191668299"/>
    <x v="3"/>
    <x v="2"/>
  </r>
  <r>
    <x v="216"/>
    <n v="7.8"/>
    <d v="1899-12-31T00:58:00"/>
    <n v="1.0402777777781012"/>
    <d v="1901-03-14T15:30:00"/>
    <n v="439.64583333332848"/>
    <n v="401.5625"/>
    <n v="379.04305555555038"/>
    <n v="191577"/>
    <n v="22"/>
    <n v="0.88117489986621478"/>
    <n v="21.148197596789153"/>
    <n v="7719.0921228280404"/>
    <n v="11818"/>
    <n v="1.1200303274416084"/>
    <n v="26.8807278585986"/>
    <n v="9811.4656683884896"/>
    <n v="124373"/>
    <n v="14"/>
    <n v="0.56074766355122752"/>
    <n v="13.457943925229461"/>
    <n v="4912.1495327087532"/>
    <n v="4941"/>
    <n v="0.46827465289295878"/>
    <n v="11.23859166943101"/>
    <n v="4102.0859593423183"/>
    <n v="36"/>
    <n v="1.4419225634174422"/>
    <n v="34.606141522018618"/>
    <n v="12631.241655536796"/>
    <n v="16759"/>
    <n v="35.331984435797665"/>
    <n v="33.19411822902017"/>
    <n v="1.588304980334567"/>
    <n v="38.119319528029614"/>
    <n v="13913.551627730809"/>
    <n v="2791.1167999999998"/>
    <n v="6.3485573804673017"/>
    <n v="5.893705712062256"/>
    <n v="5.5380341869694529"/>
    <n v="2679.7640999999999"/>
    <n v="6.0952791925319341"/>
    <n v="2317.2234438705655"/>
    <n v="2224.776905274156"/>
    <x v="3"/>
    <x v="2"/>
  </r>
  <r>
    <x v="217"/>
    <n v="8.4"/>
    <d v="1899-12-30T23:57:00"/>
    <n v="0.99791666666715173"/>
    <d v="1901-03-15T15:27:00"/>
    <n v="440.64374999999563"/>
    <n v="402.56041666666715"/>
    <n v="380.04097222221753"/>
    <n v="191605"/>
    <n v="28"/>
    <n v="1.1691022964503712"/>
    <n v="28.058455114808908"/>
    <n v="10241.336116905251"/>
    <n v="11846"/>
    <n v="1.1201414597014896"/>
    <n v="26.88339503283575"/>
    <n v="9812.4391869850497"/>
    <n v="124388"/>
    <n v="15"/>
    <n v="0.6263048016698417"/>
    <n v="15.031315240076202"/>
    <n v="5486.4300626278136"/>
    <n v="4956"/>
    <n v="0.46863254045927588"/>
    <n v="11.247180971022621"/>
    <n v="4105.2210544232566"/>
    <n v="43"/>
    <n v="1.7954070981202128"/>
    <n v="43.089770354885111"/>
    <n v="15727.766179533066"/>
    <n v="16802"/>
    <n v="35.351215397274693"/>
    <n v="33.220102364694277"/>
    <n v="1.5887740001607653"/>
    <n v="38.130576003858373"/>
    <n v="13917.660241408306"/>
    <n v="2798.1730000000002"/>
    <n v="6.3501933251067966"/>
    <n v="5.8966239643117682"/>
    <n v="5.5420592881981614"/>
    <n v="2686.6397999999999"/>
    <n v="6.0970791030169531"/>
    <n v="2317.8205636639805"/>
    <n v="2225.4338726011879"/>
    <x v="3"/>
    <x v="2"/>
  </r>
  <r>
    <x v="218"/>
    <n v="7"/>
    <d v="1899-12-30T23:58:00"/>
    <n v="0.99861111111385981"/>
    <d v="1901-03-16T15:25:00"/>
    <n v="441.64236111110949"/>
    <n v="403.55902777778101"/>
    <n v="381.03958333333139"/>
    <n v="191630"/>
    <n v="25"/>
    <n v="1.0431154381056129"/>
    <n v="25.034770514534706"/>
    <n v="9137.6912378051675"/>
    <n v="11871"/>
    <n v="1.1199672937976188"/>
    <n v="26.87921505114285"/>
    <n v="9810.9134936671398"/>
    <n v="124403"/>
    <n v="15"/>
    <n v="0.62586926286336764"/>
    <n v="15.020862308720824"/>
    <n v="5482.6147426831012"/>
    <n v="4971"/>
    <n v="0.4689880732430261"/>
    <n v="11.255713757832627"/>
    <n v="4108.3355216089085"/>
    <n v="40"/>
    <n v="1.6689847009689804"/>
    <n v="40.055632823255529"/>
    <n v="14620.305980488269"/>
    <n v="16842"/>
    <n v="35.36285652828537"/>
    <n v="33.23801661026048"/>
    <n v="1.5889553670406449"/>
    <n v="38.134928808975474"/>
    <n v="13919.249015276047"/>
    <n v="2804.6895"/>
    <n v="6.3505898595048702"/>
    <n v="5.8981802813507809"/>
    <n v="5.5446368104801289"/>
    <n v="2693.0357999999997"/>
    <n v="6.0977751165551775"/>
    <n v="2317.9652987192776"/>
    <n v="2225.6879175426398"/>
    <x v="3"/>
    <x v="2"/>
  </r>
  <r>
    <x v="219"/>
    <n v="2.8"/>
    <d v="1899-12-31T00:03:00"/>
    <n v="1.0020833333328483"/>
    <d v="1901-03-17T15:28:00"/>
    <n v="442.64444444444234"/>
    <n v="404.56111111111386"/>
    <n v="382.04166666666424"/>
    <n v="191664"/>
    <n v="34"/>
    <n v="1.4137214137220981"/>
    <n v="33.929313929330355"/>
    <n v="12384.19958420558"/>
    <n v="11905"/>
    <n v="1.1206323108589842"/>
    <n v="26.895175460615622"/>
    <n v="9816.7390431247022"/>
    <n v="124424"/>
    <n v="21"/>
    <n v="0.87318087318129589"/>
    <n v="20.956340956351099"/>
    <n v="7649.0644490681507"/>
    <n v="4992"/>
    <n v="0.4699031075857244"/>
    <n v="11.277674582057386"/>
    <n v="4116.3512224509459"/>
    <n v="55"/>
    <n v="2.2869022869033939"/>
    <n v="54.885654885681454"/>
    <n v="20033.264033273732"/>
    <n v="16897"/>
    <n v="35.411213798217304"/>
    <n v="33.294797687861482"/>
    <n v="1.5905354184447087"/>
    <n v="38.172850042673005"/>
    <n v="13933.090265575647"/>
    <n v="2813.6327000000001"/>
    <n v="6.3564170641096744"/>
    <n v="5.9056766317408043"/>
    <n v="5.5535023666703376"/>
    <n v="2701.8302999999996"/>
    <n v="6.1038387218234131"/>
    <n v="2320.0922284000312"/>
    <n v="2227.9011334655456"/>
    <x v="3"/>
    <x v="2"/>
  </r>
  <r>
    <x v="220"/>
    <n v="-3"/>
    <d v="1899-12-31T23:18:00"/>
    <n v="1.9708333333328483"/>
    <d v="1901-03-19T14:46:00"/>
    <n v="444.61527777777519"/>
    <n v="406.53194444444671"/>
    <n v="384.01249999999709"/>
    <n v="191729"/>
    <n v="65"/>
    <n v="1.3742071881610147"/>
    <n v="32.980972515864352"/>
    <n v="12038.054968290488"/>
    <n v="11970"/>
    <n v="1.1217563249126183"/>
    <n v="26.922151797902838"/>
    <n v="9826.5854062345352"/>
    <n v="124463"/>
    <n v="39"/>
    <n v="0.82452431289660888"/>
    <n v="19.788583509518613"/>
    <n v="7222.8329809742936"/>
    <n v="5031"/>
    <n v="0.47147502678658165"/>
    <n v="11.315400642877959"/>
    <n v="4130.1212346504553"/>
    <n v="104"/>
    <n v="2.1987315010576238"/>
    <n v="52.769556025382968"/>
    <n v="19260.887949264783"/>
    <n v="17001"/>
    <n v="35.495365609508418"/>
    <n v="33.394746264770284"/>
    <n v="1.5932313516991998"/>
    <n v="38.237552440780796"/>
    <n v="13956.70664088499"/>
    <n v="2830.5756000000001"/>
    <n v="6.3663480349740942"/>
    <n v="5.9187230742424584"/>
    <n v="5.5691213176654832"/>
    <n v="2718.4598999999998"/>
    <n v="6.1141846352808491"/>
    <n v="2323.717032765544"/>
    <n v="2231.6773918775098"/>
    <x v="3"/>
    <x v="2"/>
  </r>
  <r>
    <x v="221"/>
    <n v="6.5"/>
    <d v="1899-12-30T23:53:00"/>
    <n v="0.99513888888759539"/>
    <d v="1901-03-20T14:39:00"/>
    <n v="445.61041666666279"/>
    <n v="407.5270833333343"/>
    <n v="385.00763888888469"/>
    <n v="191766"/>
    <n v="37"/>
    <n v="1.5491974877898713"/>
    <n v="37.180739706956913"/>
    <n v="13570.969993039273"/>
    <n v="12007"/>
    <n v="1.1227108881543673"/>
    <n v="26.945061315704816"/>
    <n v="9834.9473802322573"/>
    <n v="124483"/>
    <n v="20"/>
    <n v="0.83740404745398445"/>
    <n v="20.097697138895629"/>
    <n v="7335.6594556969048"/>
    <n v="5051"/>
    <n v="0.47229222087679767"/>
    <n v="11.335013301043144"/>
    <n v="4137.2798548807477"/>
    <n v="57"/>
    <n v="2.3866015352438557"/>
    <n v="57.278436845852539"/>
    <n v="20906.629448736177"/>
    <n v="17058"/>
    <n v="35.548557611201623"/>
    <n v="33.456479038114686"/>
    <n v="1.5950031090311649"/>
    <n v="38.28007461674796"/>
    <n v="13972.227235113005"/>
    <n v="2839.9238999999998"/>
    <n v="6.3731093210157033"/>
    <n v="5.9272092550085995"/>
    <n v="5.5790074872252413"/>
    <n v="2727.5741999999996"/>
    <n v="6.1209839312179977"/>
    <n v="2326.1849021707317"/>
    <n v="2234.1591348945694"/>
    <x v="3"/>
    <x v="2"/>
  </r>
  <r>
    <x v="222"/>
    <n v="8.3000000000000007"/>
    <d v="1899-12-31T00:12:00"/>
    <n v="1.0083333333313931"/>
    <d v="1901-03-21T14:51:00"/>
    <n v="446.61874999999418"/>
    <n v="408.5354166666657"/>
    <n v="386.01597222221608"/>
    <n v="191799"/>
    <n v="33"/>
    <n v="1.3636363636389877"/>
    <n v="32.727272727335702"/>
    <n v="11945.454545477531"/>
    <n v="12040"/>
    <n v="1.1232548267771409"/>
    <n v="26.958115842651381"/>
    <n v="9839.7122825677543"/>
    <n v="124498"/>
    <n v="15"/>
    <n v="0.6198347107449943"/>
    <n v="14.876033057879864"/>
    <n v="5429.7520661261506"/>
    <n v="5066"/>
    <n v="0.47262532827682691"/>
    <n v="11.343007878643846"/>
    <n v="4140.1978757050038"/>
    <n v="48"/>
    <n v="1.9834710743839818"/>
    <n v="47.603305785215568"/>
    <n v="17375.206611603684"/>
    <n v="17106"/>
    <n v="35.578310733973581"/>
    <n v="33.49343273432536"/>
    <n v="1.5958801550539679"/>
    <n v="38.301123721295227"/>
    <n v="13979.910158272758"/>
    <n v="2847.8796000000002"/>
    <n v="6.3765339005584458"/>
    <n v="5.9320536265215829"/>
    <n v="5.5850440270355275"/>
    <n v="2735.2493999999997"/>
    <n v="6.1243496830351063"/>
    <n v="2327.4348737038326"/>
    <n v="2235.3876343078136"/>
    <x v="3"/>
    <x v="2"/>
  </r>
  <r>
    <x v="223"/>
    <n v="9.1999999999999993"/>
    <d v="1899-12-31T00:34:00"/>
    <n v="1.023611111115315"/>
    <d v="1901-03-22T15:25:00"/>
    <n v="447.64236111110949"/>
    <n v="409.55902777778101"/>
    <n v="387.03958333333139"/>
    <n v="191826"/>
    <n v="27"/>
    <n v="1.0990502035233018"/>
    <n v="26.377204884559241"/>
    <n v="9627.6797828641229"/>
    <n v="12067"/>
    <n v="1.1231994787505568"/>
    <n v="26.956787490013362"/>
    <n v="9839.2274338548777"/>
    <n v="124510"/>
    <n v="12"/>
    <n v="0.48846675712146742"/>
    <n v="11.723202170915219"/>
    <n v="4278.9687923840547"/>
    <n v="5078"/>
    <n v="0.47266155242357893"/>
    <n v="11.343877258165895"/>
    <n v="4140.5151992305518"/>
    <n v="39"/>
    <n v="1.5875169606447692"/>
    <n v="38.100407055474463"/>
    <n v="13906.648575248179"/>
    <n v="17145"/>
    <n v="35.584614210744675"/>
    <n v="33.505616888884269"/>
    <n v="1.5958610311741357"/>
    <n v="38.300664748179258"/>
    <n v="13979.742633085429"/>
    <n v="2854.3521000000001"/>
    <n v="6.3764119484025334"/>
    <n v="5.9330312243011578"/>
    <n v="5.5869962482304523"/>
    <n v="2741.4854999999998"/>
    <n v="6.1242762932338621"/>
    <n v="2327.3903611669248"/>
    <n v="2235.3608470303598"/>
    <x v="3"/>
    <x v="2"/>
  </r>
  <r>
    <x v="224"/>
    <n v="10"/>
    <d v="1899-12-31T00:38:00"/>
    <n v="1.0263888888875954"/>
    <d v="1901-03-23T16:03:00"/>
    <n v="448.66874999999709"/>
    <n v="410.58541666666861"/>
    <n v="388.06597222221899"/>
    <n v="191853"/>
    <n v="27"/>
    <n v="1.0960757780798658"/>
    <n v="26.305818673916779"/>
    <n v="9601.6238159796249"/>
    <n v="12094"/>
    <n v="1.1231374297110506"/>
    <n v="26.955298313065214"/>
    <n v="9838.683884268803"/>
    <n v="124525"/>
    <n v="15"/>
    <n v="0.60893098782214761"/>
    <n v="14.614343707731544"/>
    <n v="5334.2354533220141"/>
    <n v="5093"/>
    <n v="0.47297328671393918"/>
    <n v="11.351358881134541"/>
    <n v="4143.245991614107"/>
    <n v="42"/>
    <n v="1.7050067659020134"/>
    <n v="40.920162381648325"/>
    <n v="14935.859269301638"/>
    <n v="17187"/>
    <n v="35.597952111060764"/>
    <n v="33.525227490314606"/>
    <n v="1.5961107164249899"/>
    <n v="38.306657194199758"/>
    <n v="13981.929875882912"/>
    <n v="2861.2284"/>
    <n v="6.3771510719211415"/>
    <n v="5.934947275485686"/>
    <n v="5.5899387095908768"/>
    <n v="2748.2012999999997"/>
    <n v="6.1252344853525402"/>
    <n v="2327.6601412512164"/>
    <n v="2235.7105871536774"/>
    <x v="3"/>
    <x v="2"/>
  </r>
  <r>
    <x v="225"/>
    <n v="6.8"/>
    <d v="1899-12-30T22:35:00"/>
    <n v="0.94097222222626442"/>
    <d v="1901-03-24T14:38:00"/>
    <n v="449.60972222222335"/>
    <n v="411.52638888889487"/>
    <n v="389.00694444444525"/>
    <n v="191879"/>
    <n v="26"/>
    <n v="1.1512915129101835"/>
    <n v="27.630996309844402"/>
    <n v="10085.313653093206"/>
    <n v="12120"/>
    <n v="1.123196352392041"/>
    <n v="26.95671245740898"/>
    <n v="9839.2000469542782"/>
    <n v="124538"/>
    <n v="13"/>
    <n v="0.57564575645509175"/>
    <n v="13.815498154922201"/>
    <n v="5042.656826546603"/>
    <n v="5106"/>
    <n v="0.47318816628001326"/>
    <n v="11.356515990720318"/>
    <n v="4145.1283366129164"/>
    <n v="39"/>
    <n v="1.7269372693652751"/>
    <n v="41.446494464766602"/>
    <n v="15127.970479639809"/>
    <n v="17226"/>
    <n v="35.611325046658429"/>
    <n v="33.544388310691325"/>
    <n v="1.5963845186720542"/>
    <n v="38.313228448129301"/>
    <n v="13984.328383567195"/>
    <n v="2867.6556"/>
    <n v="6.378099623438831"/>
    <n v="5.936994724923049"/>
    <n v="5.5929392291625639"/>
    <n v="2754.4373999999998"/>
    <n v="6.1262852288558749"/>
    <n v="2328.0063625551734"/>
    <n v="2236.0941085323943"/>
    <x v="3"/>
    <x v="2"/>
  </r>
  <r>
    <x v="226"/>
    <m/>
    <d v="1899-12-31T01:58:00"/>
    <n v="1.0819444444423425"/>
    <d v="1901-03-25T16:36:00"/>
    <n v="450.6916666666657"/>
    <n v="412.60833333333721"/>
    <n v="390.0888888888876"/>
    <n v="191910"/>
    <n v="31"/>
    <n v="1.1938382541743346"/>
    <n v="28.652118100184033"/>
    <n v="10458.023106567172"/>
    <n v="12151"/>
    <n v="1.1233659375404494"/>
    <n v="26.960782500970787"/>
    <n v="9840.6856128543368"/>
    <n v="124553"/>
    <n v="15"/>
    <n v="0.57766367137467811"/>
    <n v="13.863928112992275"/>
    <n v="5060.3337612421801"/>
    <n v="5121"/>
    <n v="0.4734389734297294"/>
    <n v="11.362535362313505"/>
    <n v="4147.3254072444297"/>
    <n v="46"/>
    <n v="1.7715019255490128"/>
    <n v="42.51604621317631"/>
    <n v="15518.356867809352"/>
    <n v="17272"/>
    <n v="35.629430654575231"/>
    <n v="33.569271960806766"/>
    <n v="1.596804910970179"/>
    <n v="38.323317863284295"/>
    <n v="13988.011020098767"/>
    <n v="2875.2514999999999"/>
    <n v="6.3796420316920424"/>
    <n v="5.9398361642396384"/>
    <n v="5.5968989688959958"/>
    <n v="2761.7927999999997"/>
    <n v="6.1278985263391581"/>
    <n v="2328.5693415675955"/>
    <n v="2236.6829621137927"/>
    <x v="3"/>
    <x v="2"/>
  </r>
  <r>
    <x v="227"/>
    <m/>
    <d v="1899-12-30T22:13:00"/>
    <n v="0.9256944444423425"/>
    <d v="1901-03-26T14:49:00"/>
    <n v="451.61736111110804"/>
    <n v="413.53402777777956"/>
    <n v="391.01458333332994"/>
    <n v="191941"/>
    <n v="31"/>
    <n v="1.3953488372124707"/>
    <n v="33.488372093099294"/>
    <n v="12223.255813981243"/>
    <n v="12182"/>
    <n v="1.1239234295256786"/>
    <n v="26.974162308616283"/>
    <n v="9845.5692426449423"/>
    <n v="124573"/>
    <n v="20"/>
    <n v="0.90022505626611016"/>
    <n v="21.605401350386643"/>
    <n v="7885.9714928911244"/>
    <n v="5141"/>
    <n v="0.47431377041467027"/>
    <n v="11.383530489952086"/>
    <n v="4154.9886288325115"/>
    <n v="51"/>
    <n v="2.295573893478581"/>
    <n v="55.093773443485937"/>
    <n v="20109.227306872366"/>
    <n v="17323"/>
    <n v="35.673001516400653"/>
    <n v="33.6202294245209"/>
    <n v="1.5982371999403489"/>
    <n v="38.357692798568372"/>
    <n v="14000.557871477457"/>
    <n v="2883.5203999999999"/>
    <n v="6.38487500326762"/>
    <n v="5.9465355564922016"/>
    <n v="5.6047960700528492"/>
    <n v="2769.9476999999997"/>
    <n v="6.1333950784910813"/>
    <n v="2330.4793761926812"/>
    <n v="2238.689203649245"/>
    <x v="3"/>
    <x v="2"/>
  </r>
  <r>
    <x v="228"/>
    <m/>
    <d v="1899-12-30T23:47:00"/>
    <n v="0.99097222222189885"/>
    <d v="1901-03-27T14:36:00"/>
    <n v="452.60833333332994"/>
    <n v="414.52500000000146"/>
    <n v="392.00555555555184"/>
    <n v="191968"/>
    <n v="27"/>
    <n v="1.1352487736513865"/>
    <n v="27.245970567633279"/>
    <n v="9944.7792571861464"/>
    <n v="12209"/>
    <n v="1.1239482260232441"/>
    <n v="26.974757424557858"/>
    <n v="9845.7864599636177"/>
    <n v="124587"/>
    <n v="14"/>
    <n v="0.58864751226368195"/>
    <n v="14.127540294328366"/>
    <n v="5156.5522074298533"/>
    <n v="5155"/>
    <n v="0.47456410067571658"/>
    <n v="11.389538416217198"/>
    <n v="4157.1815219192767"/>
    <n v="41"/>
    <n v="1.7238962859150686"/>
    <n v="41.373510861961641"/>
    <n v="15101.331464616"/>
    <n v="17364"/>
    <n v="35.686629274470654"/>
    <n v="33.639829367497946"/>
    <n v="1.5985123266989607"/>
    <n v="38.364295840775057"/>
    <n v="14002.967981882895"/>
    <n v="2890.2620999999999"/>
    <n v="6.3857907315007933"/>
    <n v="5.9485833182558139"/>
    <n v="5.6078253709556796"/>
    <n v="2776.5035999999996"/>
    <n v="6.1344509049399303"/>
    <n v="2330.8136169977897"/>
    <n v="2239.074580303075"/>
    <x v="3"/>
    <x v="2"/>
  </r>
  <r>
    <x v="229"/>
    <m/>
    <d v="1899-12-31T00:04:00"/>
    <n v="1.0027777777795563"/>
    <d v="1901-03-28T14:40:00"/>
    <n v="453.61111111110949"/>
    <n v="415.52777777778101"/>
    <n v="393.00833333333139"/>
    <n v="191988"/>
    <n v="20"/>
    <n v="0.83102493074644845"/>
    <n v="19.944598337914766"/>
    <n v="7279.7783933388891"/>
    <n v="12229"/>
    <n v="1.1233006736068625"/>
    <n v="26.959216166564701"/>
    <n v="9840.1139007961156"/>
    <n v="124600"/>
    <n v="13"/>
    <n v="0.54016620498519152"/>
    <n v="12.963988919644597"/>
    <n v="4731.8559556702785"/>
    <n v="5168"/>
    <n v="0.47470912431108558"/>
    <n v="11.393018983466055"/>
    <n v="4158.4519289651098"/>
    <n v="33"/>
    <n v="1.37119113573164"/>
    <n v="32.908587257559361"/>
    <n v="12011.634349009168"/>
    <n v="17397"/>
    <n v="35.679925128684793"/>
    <n v="33.637963571595343"/>
    <n v="1.5980097979179482"/>
    <n v="38.352235150030758"/>
    <n v="13998.565829761226"/>
    <n v="2895.6098999999999"/>
    <n v="6.3834633435395203"/>
    <n v="5.9470977204358118"/>
    <n v="5.6071241067831741"/>
    <n v="2781.7802999999999"/>
    <n v="6.1325224004899175"/>
    <n v="2329.964120391925"/>
    <n v="2238.3706761788198"/>
    <x v="3"/>
    <x v="2"/>
  </r>
  <r>
    <x v="230"/>
    <m/>
    <d v="1899-12-31T02:44:00"/>
    <n v="1.1138888888890506"/>
    <d v="1901-03-29T17:24:00"/>
    <n v="454.72499999999854"/>
    <n v="416.64166666667006"/>
    <n v="394.12222222222044"/>
    <n v="192020"/>
    <n v="32"/>
    <n v="1.1970074812965843"/>
    <n v="28.728179551118025"/>
    <n v="10485.785536158079"/>
    <n v="12261"/>
    <n v="1.1234812249161616"/>
    <n v="26.96354939798788"/>
    <n v="9841.6955302655751"/>
    <n v="124615"/>
    <n v="15"/>
    <n v="0.5610972568577739"/>
    <n v="13.466334164586574"/>
    <n v="4915.2119700740996"/>
    <n v="5183"/>
    <n v="0.47492073964117659"/>
    <n v="11.398097751388239"/>
    <n v="4160.3056792567068"/>
    <n v="47"/>
    <n v="1.7581047381543582"/>
    <n v="42.194513715704595"/>
    <n v="15400.997506232177"/>
    <n v="17444"/>
    <n v="35.697341840510141"/>
    <n v="33.662146542245928"/>
    <n v="1.5984019645573384"/>
    <n v="38.361647149376118"/>
    <n v="14002.001209522283"/>
    <n v="2903.3857000000003"/>
    <n v="6.3849264940348771"/>
    <n v="5.9498612316738528"/>
    <n v="5.6110063714020164"/>
    <n v="2789.2955999999999"/>
    <n v="6.1340273791852411"/>
    <n v="2330.4981703227295"/>
    <n v="2238.9199934026128"/>
    <x v="3"/>
    <x v="2"/>
  </r>
  <r>
    <x v="231"/>
    <m/>
    <d v="1899-12-30T21:59:00"/>
    <n v="0.91597222222480923"/>
    <d v="1901-03-30T15:23:00"/>
    <n v="455.64097222222335"/>
    <n v="417.55763888889487"/>
    <n v="395.03819444444525"/>
    <n v="192049"/>
    <n v="29"/>
    <n v="1.3191811978734538"/>
    <n v="31.660348748962893"/>
    <n v="11556.027293371455"/>
    <n v="12290"/>
    <n v="1.123874639358776"/>
    <n v="26.972991344610623"/>
    <n v="9845.1418407828769"/>
    <n v="124635"/>
    <n v="20"/>
    <n v="0.90978013646445099"/>
    <n v="21.834723275146821"/>
    <n v="7969.6739954285895"/>
    <n v="5203"/>
    <n v="0.47579493479118889"/>
    <n v="11.419078434988533"/>
    <n v="4167.9636287708145"/>
    <n v="49"/>
    <n v="2.2289613343379049"/>
    <n v="53.495072024109717"/>
    <n v="19525.701288800046"/>
    <n v="17493"/>
    <n v="35.736383699522008"/>
    <n v="33.708133004016773"/>
    <n v="1.5996695741499649"/>
    <n v="38.392069779599154"/>
    <n v="14013.105469553691"/>
    <n v="2911.2948000000001"/>
    <n v="6.3894491002449083"/>
    <n v="5.955750699753608"/>
    <n v="5.6180172732945888"/>
    <n v="2797.1306999999997"/>
    <n v="6.1388919577579042"/>
    <n v="2332.1489215893912"/>
    <n v="2240.6955645816352"/>
    <x v="3"/>
    <x v="2"/>
  </r>
  <r>
    <x v="232"/>
    <m/>
    <d v="1899-12-30T23:32:00"/>
    <n v="0.98055555555038154"/>
    <d v="1901-03-31T14:55:00"/>
    <n v="456.62152777777374"/>
    <n v="418.53819444444525"/>
    <n v="396.01874999999563"/>
    <n v="192080"/>
    <n v="31"/>
    <n v="1.3172804532647411"/>
    <n v="31.614730878353786"/>
    <n v="11539.376770599132"/>
    <n v="12321"/>
    <n v="1.1242899617510955"/>
    <n v="26.982959082026291"/>
    <n v="9848.7800649395958"/>
    <n v="124652"/>
    <n v="17"/>
    <n v="0.72237960340324514"/>
    <n v="17.337110481677882"/>
    <n v="6328.0453258124271"/>
    <n v="5220"/>
    <n v="0.47632445421156711"/>
    <n v="11.43178690107761"/>
    <n v="4172.6022188933275"/>
    <n v="48"/>
    <n v="2.0396600566679863"/>
    <n v="48.951841360031672"/>
    <n v="17867.422096411559"/>
    <n v="17541"/>
    <n v="35.767345008669324"/>
    <n v="33.745876931332539"/>
    <n v="1.6006144159626625"/>
    <n v="38.414745983103899"/>
    <n v="14021.382283832923"/>
    <n v="2919.1599000000001"/>
    <n v="6.3929528557415765"/>
    <n v="5.9605893395498439"/>
    <n v="5.6239672995281778"/>
    <n v="2804.8058999999998"/>
    <n v="6.1425178826983133"/>
    <n v="2333.4277923456752"/>
    <n v="2242.0190271848842"/>
    <x v="3"/>
    <x v="2"/>
  </r>
  <r>
    <x v="233"/>
    <m/>
    <d v="1899-12-31T01:18:00"/>
    <n v="1.0541666666686069"/>
    <d v="1901-04-01T16:13:00"/>
    <n v="457.67569444444234"/>
    <n v="419.59236111111386"/>
    <n v="397.07291666666424"/>
    <n v="192104"/>
    <n v="24"/>
    <n v="0.94861660078876786"/>
    <n v="22.766798418930428"/>
    <n v="8309.881422909606"/>
    <n v="12345"/>
    <n v="1.1238853324391263"/>
    <n v="26.973247978539028"/>
    <n v="9845.235512166746"/>
    <n v="124666"/>
    <n v="14"/>
    <n v="0.55335968379344791"/>
    <n v="13.280632411042751"/>
    <n v="4847.4308300306038"/>
    <n v="5234"/>
    <n v="0.47650188983283809"/>
    <n v="11.436045355988114"/>
    <n v="4174.1565549356619"/>
    <n v="38"/>
    <n v="1.5019762845822158"/>
    <n v="36.04743082997318"/>
    <n v="13157.312252940212"/>
    <n v="17579"/>
    <n v="35.76804868481787"/>
    <n v="33.751987197985464"/>
    <n v="1.6003872222719642"/>
    <n v="38.409293334527142"/>
    <n v="14019.392067102406"/>
    <n v="2925.3618999999999"/>
    <n v="6.3917790162551711"/>
    <n v="5.9603952116223518"/>
    <n v="5.6246558409192602"/>
    <n v="2810.8820999999998"/>
    <n v="6.1416460041908891"/>
    <n v="2332.9993409331378"/>
    <n v="2241.7007915296745"/>
    <x v="3"/>
    <x v="2"/>
  </r>
  <r>
    <x v="234"/>
    <m/>
    <d v="1899-12-30T22:40:00"/>
    <n v="0.94444444444525288"/>
    <d v="1901-04-02T14:53:00"/>
    <n v="458.6201388888876"/>
    <n v="420.53680555555911"/>
    <n v="398.01736111110949"/>
    <n v="192121"/>
    <n v="17"/>
    <n v="0.74999999999935796"/>
    <n v="17.999999999984592"/>
    <n v="6569.9999999943757"/>
    <n v="12362"/>
    <n v="1.1231153838582857"/>
    <n v="26.954769212598858"/>
    <n v="9838.4907625985834"/>
    <n v="124678"/>
    <n v="12"/>
    <n v="0.52941176470542917"/>
    <n v="12.705882352930301"/>
    <n v="4637.6470588195598"/>
    <n v="5246"/>
    <n v="0.4766108480602303"/>
    <n v="11.438660353445528"/>
    <n v="4175.1110290076176"/>
    <n v="29"/>
    <n v="1.2794117647047871"/>
    <n v="30.705882352914891"/>
    <n v="11207.647058813935"/>
    <n v="17608"/>
    <n v="35.756680036923406"/>
    <n v="33.74475917961437"/>
    <n v="1.5997262319185162"/>
    <n v="38.393429566044389"/>
    <n v="14013.601791606203"/>
    <n v="2930.0353999999998"/>
    <n v="6.3888066649203026"/>
    <n v="5.95812249225109"/>
    <n v="5.6230511999581481"/>
    <n v="2815.5191999999997"/>
    <n v="6.139109387610497"/>
    <n v="2331.9144326959104"/>
    <n v="2240.7749264778317"/>
    <x v="3"/>
    <x v="2"/>
  </r>
  <r>
    <x v="235"/>
    <m/>
    <d v="1899-12-30T23:28:00"/>
    <n v="0.97777777777810115"/>
    <d v="1901-04-03T14:21:00"/>
    <n v="459.5979166666657"/>
    <n v="421.51458333333721"/>
    <n v="398.9951388888876"/>
    <n v="192136"/>
    <n v="15"/>
    <n v="0.63920454545433403"/>
    <n v="15.340909090904017"/>
    <n v="5599.4318181799663"/>
    <n v="12377"/>
    <n v="1.1220858812277059"/>
    <n v="26.930061149464944"/>
    <n v="9829.4723195547049"/>
    <n v="124691"/>
    <n v="13"/>
    <n v="0.55397727272708952"/>
    <n v="13.295454545450148"/>
    <n v="4852.8409090893038"/>
    <n v="5259"/>
    <n v="0.47677544230237584"/>
    <n v="11.442610615257019"/>
    <n v="4176.5528745688116"/>
    <n v="28"/>
    <n v="1.1931818181814235"/>
    <n v="28.636363636354165"/>
    <n v="10452.27272726927"/>
    <n v="17636"/>
    <n v="35.740163201154239"/>
    <n v="33.732240541777806"/>
    <n v="1.5988613235300817"/>
    <n v="38.372671764721964"/>
    <n v="14006.025194123516"/>
    <n v="2934.4836999999998"/>
    <n v="6.3848933896023379"/>
    <n v="5.9548547055014351"/>
    <n v="5.6204201039764996"/>
    <n v="2819.9963999999995"/>
    <n v="6.1357902151790409"/>
    <n v="2330.4860872048534"/>
    <n v="2239.5634285403503"/>
    <x v="3"/>
    <x v="2"/>
  </r>
  <r>
    <x v="236"/>
    <m/>
    <d v="1899-12-31T01:35:00"/>
    <n v="1.0659722222189885"/>
    <d v="1901-04-04T15:56:00"/>
    <n v="460.66388888888469"/>
    <n v="422.5805555555562"/>
    <n v="400.06111111110658"/>
    <n v="192159"/>
    <n v="23"/>
    <n v="0.89902280130565893"/>
    <n v="21.576547231335812"/>
    <n v="7875.4397394375719"/>
    <n v="12400"/>
    <n v="1.1215697152057218"/>
    <n v="26.917673164937323"/>
    <n v="9824.9507052021236"/>
    <n v="124704"/>
    <n v="13"/>
    <n v="0.50814332247711158"/>
    <n v="12.195439739450677"/>
    <n v="4451.3355048994972"/>
    <n v="5272"/>
    <n v="0.47684802730359399"/>
    <n v="11.444352655286256"/>
    <n v="4177.1887191794831"/>
    <n v="36"/>
    <n v="1.4071661237827704"/>
    <n v="33.771986970786493"/>
    <n v="12326.77524433707"/>
    <n v="17672"/>
    <n v="35.735198417132771"/>
    <n v="33.732346447070967"/>
    <n v="1.5984177425093158"/>
    <n v="38.362025820223579"/>
    <n v="14002.139424381607"/>
    <n v="2940.3712"/>
    <n v="6.3828992697737545"/>
    <n v="5.953765659407467"/>
    <n v="5.6201608643124601"/>
    <n v="2825.7527999999998"/>
    <n v="6.1340879286537495"/>
    <n v="2329.7582334674207"/>
    <n v="2238.9420939586189"/>
    <x v="3"/>
    <x v="2"/>
  </r>
  <r>
    <x v="237"/>
    <m/>
    <d v="1899-12-30T22:49:00"/>
    <n v="0.95069444444379769"/>
    <d v="1901-04-05T14:45:00"/>
    <n v="461.61458333332848"/>
    <n v="423.53125"/>
    <n v="401.01180555555038"/>
    <n v="192182"/>
    <n v="23"/>
    <n v="1.008035062089802"/>
    <n v="24.192841490155246"/>
    <n v="8830.3871439066643"/>
    <n v="12423"/>
    <n v="1.121335890781914"/>
    <n v="26.912061378765937"/>
    <n v="9822.9024032495672"/>
    <n v="124721"/>
    <n v="17"/>
    <n v="0.74506939371854919"/>
    <n v="17.881665449245183"/>
    <n v="6526.807888974492"/>
    <n v="5289"/>
    <n v="0.47740042874873567"/>
    <n v="11.457610289969656"/>
    <n v="4182.0277558389243"/>
    <n v="40"/>
    <n v="1.7531044558083511"/>
    <n v="42.074506939400429"/>
    <n v="15357.195032881156"/>
    <n v="17712"/>
    <n v="35.749428170884677"/>
    <n v="33.752123534739816"/>
    <n v="1.5987363195306499"/>
    <n v="38.369671668735592"/>
    <n v="14004.930159088492"/>
    <n v="2946.7970999999998"/>
    <n v="6.3836741870699072"/>
    <n v="5.9555735261565701"/>
    <n v="5.6228611446394128"/>
    <n v="2832.1487999999999"/>
    <n v="6.1353104998308217"/>
    <n v="2330.0410782805166"/>
    <n v="2239.3883324382496"/>
    <x v="3"/>
    <x v="2"/>
  </r>
  <r>
    <x v="238"/>
    <m/>
    <d v="1899-12-31T00:30:00"/>
    <n v="1.0208333333357587"/>
    <d v="1901-04-06T15:15:00"/>
    <n v="462.63541666666424"/>
    <n v="424.55208333333576"/>
    <n v="402.03263888888614"/>
    <n v="192201"/>
    <n v="19"/>
    <n v="0.77551020407979021"/>
    <n v="18.612244897914966"/>
    <n v="6793.4693877389627"/>
    <n v="12442"/>
    <n v="1.120572805259727"/>
    <n v="26.893747326233452"/>
    <n v="9816.2177740752104"/>
    <n v="124735"/>
    <n v="14"/>
    <n v="0.57142857142721382"/>
    <n v="13.714285714253132"/>
    <n v="5005.7142857023928"/>
    <n v="5303"/>
    <n v="0.47760790759462568"/>
    <n v="11.462589782271017"/>
    <n v="4183.845270528921"/>
    <n v="33"/>
    <n v="1.3469387755070039"/>
    <n v="32.326530612168099"/>
    <n v="11799.183673441355"/>
    <n v="17745"/>
    <n v="35.741197831047224"/>
    <n v="33.748503697357584"/>
    <n v="1.5981807128543528"/>
    <n v="38.356337108504469"/>
    <n v="14000.06304460413"/>
    <n v="2952.0996"/>
    <n v="6.3810497286830765"/>
    <n v="5.9537430134700449"/>
    <n v="5.6217729143743895"/>
    <n v="2837.4254999999998"/>
    <n v="6.1331783036498644"/>
    <n v="2329.0831509693235"/>
    <n v="2238.6100808322003"/>
    <x v="3"/>
    <x v="2"/>
  </r>
  <r>
    <x v="239"/>
    <m/>
    <d v="1899-12-30T23:12:00"/>
    <n v="0.96666666666715173"/>
    <d v="1901-04-07T14:27:00"/>
    <n v="463.60208333333139"/>
    <n v="425.51875000000291"/>
    <n v="402.99930555555329"/>
    <n v="192213"/>
    <n v="12"/>
    <n v="0.51724137931008529"/>
    <n v="12.413793103442046"/>
    <n v="4531.0344827563467"/>
    <n v="12454"/>
    <n v="1.1193147859380173"/>
    <n v="26.863554862512416"/>
    <n v="9805.1975248170311"/>
    <n v="124749"/>
    <n v="14"/>
    <n v="0.60344827586176619"/>
    <n v="14.482758620682388"/>
    <n v="5286.2068965490716"/>
    <n v="5317"/>
    <n v="0.4778703000507819"/>
    <n v="11.468887201218765"/>
    <n v="4186.1438284448495"/>
    <n v="26"/>
    <n v="1.1206896551718515"/>
    <n v="26.896551724124436"/>
    <n v="9817.2413793054184"/>
    <n v="17771"/>
    <n v="35.721105121689455"/>
    <n v="33.732068052226637"/>
    <n v="1.597185085988799"/>
    <n v="38.332442063731179"/>
    <n v="13991.34135326188"/>
    <n v="2956.1428000000001"/>
    <n v="6.3764657370500295"/>
    <n v="5.9497194894466645"/>
    <n v="5.6183208476717432"/>
    <n v="2841.5828999999999"/>
    <n v="6.1293574859906155"/>
    <n v="2327.4099940232609"/>
    <n v="2237.2154823865744"/>
    <x v="3"/>
    <x v="2"/>
  </r>
  <r>
    <x v="240"/>
    <m/>
    <d v="1899-12-31T02:31:00"/>
    <n v="1.1048611111109494"/>
    <d v="1901-04-08T16:58:00"/>
    <n v="464.70694444444234"/>
    <n v="426.62361111111386"/>
    <n v="404.10416666666424"/>
    <n v="192233"/>
    <n v="20"/>
    <n v="0.75424261470784137"/>
    <n v="18.101822752988191"/>
    <n v="6607.1653048406897"/>
    <n v="12474"/>
    <n v="1.1184468108634824"/>
    <n v="26.842723460723576"/>
    <n v="9797.594063164106"/>
    <n v="124759"/>
    <n v="10"/>
    <n v="0.37712130735392069"/>
    <n v="9.0509113764940956"/>
    <n v="3303.5826524203449"/>
    <n v="5327"/>
    <n v="0.47763076490859152"/>
    <n v="11.463138357806196"/>
    <n v="4184.0455005992617"/>
    <n v="30"/>
    <n v="1.131363922061762"/>
    <n v="27.15273412948229"/>
    <n v="9910.7479572610355"/>
    <n v="17801"/>
    <n v="35.698914929566229"/>
    <n v="33.714079496829612"/>
    <n v="1.5960775757720738"/>
    <n v="38.30586181852977"/>
    <n v="13981.639563763367"/>
    <n v="2961.0868"/>
    <n v="6.3719443735448857"/>
    <n v="5.9458996969094802"/>
    <n v="5.6151942671547479"/>
    <n v="2846.3798999999999"/>
    <n v="6.1251073047829108"/>
    <n v="2325.7596963438837"/>
    <n v="2235.6641662457623"/>
    <x v="3"/>
    <x v="2"/>
  </r>
  <r>
    <x v="241"/>
    <m/>
    <d v="1899-12-30T21:58:00"/>
    <n v="0.91527777777810115"/>
    <d v="1901-04-09T14:56:00"/>
    <n v="465.62222222222044"/>
    <n v="427.53888888889196"/>
    <n v="405.01944444444234"/>
    <n v="192247"/>
    <n v="14"/>
    <n v="0.63732928679795386"/>
    <n v="15.295902883150893"/>
    <n v="5583.0045523500758"/>
    <n v="12488"/>
    <n v="1.1175010738319138"/>
    <n v="26.820025771965931"/>
    <n v="9789.3094067675647"/>
    <n v="124769"/>
    <n v="10"/>
    <n v="0.45523520485568136"/>
    <n v="10.925644916536353"/>
    <n v="3987.8603945357686"/>
    <n v="5337"/>
    <n v="0.47758674175535903"/>
    <n v="11.462081802128617"/>
    <n v="4183.6598577769455"/>
    <n v="24"/>
    <n v="1.0925644916536352"/>
    <n v="26.221547799687247"/>
    <n v="9570.8649468858457"/>
    <n v="17825"/>
    <n v="35.678625726054555"/>
    <n v="33.697147599223804"/>
    <n v="1.5950878155872728"/>
    <n v="38.282107574094546"/>
    <n v="13972.969264544508"/>
    <n v="2964.9513999999999"/>
    <n v="6.3677188469431822"/>
    <n v="5.9422098574528199"/>
    <n v="5.6120466095592407"/>
    <n v="2850.2174999999997"/>
    <n v="6.1213090010977176"/>
    <n v="2324.217379134262"/>
    <n v="2234.2777854006667"/>
    <x v="3"/>
    <x v="2"/>
  </r>
  <r>
    <x v="242"/>
    <m/>
    <d v="1899-12-30T23:27:00"/>
    <n v="0.97708333333139308"/>
    <d v="1901-04-10T14:23:00"/>
    <n v="466.59930555555184"/>
    <n v="428.51597222222335"/>
    <n v="405.99652777777374"/>
    <n v="192254"/>
    <n v="7"/>
    <n v="0.29850746268715994"/>
    <n v="7.1641791044918381"/>
    <n v="2614.9253731395211"/>
    <n v="12495"/>
    <n v="1.1157860584042727"/>
    <n v="26.778865401702543"/>
    <n v="9774.2858716214287"/>
    <n v="124774"/>
    <n v="5"/>
    <n v="0.21321961620511423"/>
    <n v="5.1172707889227418"/>
    <n v="1867.8038379568009"/>
    <n v="5342"/>
    <n v="0.47703314317692069"/>
    <n v="11.448795436246098"/>
    <n v="4178.8103342298255"/>
    <n v="12"/>
    <n v="0.5117270788922742"/>
    <n v="12.28144989341458"/>
    <n v="4482.7292110963217"/>
    <n v="17837"/>
    <n v="35.625276511474425"/>
    <n v="33.645607943418021"/>
    <n v="1.5928192015811933"/>
    <n v="38.22766083794864"/>
    <n v="13953.096205851254"/>
    <n v="2966.8836999999999"/>
    <n v="6.3585257514850113"/>
    <n v="5.9331699745406707"/>
    <n v="5.6032998913852783"/>
    <n v="2852.1362999999997"/>
    <n v="6.1126029679879865"/>
    <n v="2320.8618992920296"/>
    <n v="2231.1000833156154"/>
    <x v="3"/>
    <x v="2"/>
  </r>
  <r>
    <x v="243"/>
    <m/>
    <d v="1899-12-30T23:52:00"/>
    <n v="0.99444444444816327"/>
    <d v="1901-04-11T14:15:00"/>
    <n v="467.59375"/>
    <n v="429.51041666667152"/>
    <n v="406.9909722222219"/>
    <n v="192269"/>
    <n v="15"/>
    <n v="0.62849162010938153"/>
    <n v="15.083798882625157"/>
    <n v="5505.5865921581826"/>
    <n v="12510"/>
    <n v="1.1147497159660495"/>
    <n v="26.753993183185191"/>
    <n v="9765.2075118625944"/>
    <n v="124786"/>
    <n v="12"/>
    <n v="0.50279329608750523"/>
    <n v="12.067039106100125"/>
    <n v="4404.4692737265459"/>
    <n v="5354"/>
    <n v="0.47708792800017824"/>
    <n v="11.450110272004277"/>
    <n v="4179.290249281561"/>
    <n v="27"/>
    <n v="1.1312849161968868"/>
    <n v="27.150837988725282"/>
    <n v="9910.0558658847276"/>
    <n v="17864"/>
    <n v="35.605655664152096"/>
    <n v="33.629738579377467"/>
    <n v="1.5918376439662278"/>
    <n v="38.204103455189468"/>
    <n v="13944.497761144155"/>
    <n v="2971.1974"/>
    <n v="6.3542282162667911"/>
    <n v="5.9294762156524445"/>
    <n v="5.60020775781609"/>
    <n v="2856.4535999999998"/>
    <n v="6.1088361424847957"/>
    <n v="2319.2932989373789"/>
    <n v="2229.7251920069502"/>
    <x v="3"/>
    <x v="2"/>
  </r>
  <r>
    <x v="244"/>
    <m/>
    <d v="1899-12-31T01:15:00"/>
    <n v="1.0520833333284827"/>
    <d v="1901-04-12T15:30:00"/>
    <n v="468.64583333332848"/>
    <n v="430.5625"/>
    <n v="408.04305555555038"/>
    <n v="192295"/>
    <n v="26"/>
    <n v="1.0297029703017773"/>
    <n v="24.712871287242653"/>
    <n v="9020.1980198435685"/>
    <n v="12536"/>
    <n v="1.114558790842421"/>
    <n v="26.749410980218101"/>
    <n v="9763.5350077796065"/>
    <n v="124802"/>
    <n v="16"/>
    <n v="0.63366336633955522"/>
    <n v="15.207920792149324"/>
    <n v="5550.8910891345031"/>
    <n v="5370"/>
    <n v="0.47743943098466818"/>
    <n v="11.458546343632037"/>
    <n v="4182.3694154256937"/>
    <n v="42"/>
    <n v="1.6633663366413323"/>
    <n v="39.920792079391973"/>
    <n v="14571.089108978071"/>
    <n v="17906"/>
    <n v="35.616199738713888"/>
    <n v="33.645959202290491"/>
    <n v="1.5919982218270892"/>
    <n v="38.207957323850138"/>
    <n v="13945.9044232053"/>
    <n v="2978.0284000000001"/>
    <n v="6.3545393731941093"/>
    <n v="5.9308527797938746"/>
    <n v="5.6025092667917704"/>
    <n v="2863.1693999999998"/>
    <n v="6.1094523760836372"/>
    <n v="2319.4068712158496"/>
    <n v="2229.9501172705272"/>
    <x v="3"/>
    <x v="2"/>
  </r>
  <r>
    <x v="245"/>
    <m/>
    <d v="1899-12-30T23:10:00"/>
    <n v="0.96527777778101154"/>
    <d v="1901-04-13T14:40:00"/>
    <n v="469.61111111110949"/>
    <n v="431.52777777778101"/>
    <n v="409.00833333333139"/>
    <n v="192329"/>
    <n v="34"/>
    <n v="1.4676258992756588"/>
    <n v="35.223021582615814"/>
    <n v="12856.402877654773"/>
    <n v="12570"/>
    <n v="1.115284514373599"/>
    <n v="26.766828344966378"/>
    <n v="9769.8923459127273"/>
    <n v="124826"/>
    <n v="24"/>
    <n v="1.0359712230181122"/>
    <n v="24.86330935243469"/>
    <n v="9075.1079136386616"/>
    <n v="5394"/>
    <n v="0.47858748373358734"/>
    <n v="11.486099609606097"/>
    <n v="4192.426357506225"/>
    <n v="58"/>
    <n v="2.5035971222937712"/>
    <n v="60.086330935050505"/>
    <n v="21931.510791293433"/>
    <n v="17964"/>
    <n v="35.670936594785701"/>
    <n v="33.708359650374028"/>
    <n v="1.5938719981071863"/>
    <n v="38.252927954572471"/>
    <n v="13962.318703418952"/>
    <n v="2987.3753999999999"/>
    <n v="6.3613814267124313"/>
    <n v="5.9392463984550563"/>
    <n v="5.6121399319492529"/>
    <n v="2872.4435999999996"/>
    <n v="6.1166431799361378"/>
    <n v="2321.9042207500374"/>
    <n v="2232.5747606766904"/>
    <x v="4"/>
    <x v="2"/>
  </r>
  <r>
    <x v="246"/>
    <m/>
    <d v="1899-12-31T00:26:00"/>
    <n v="1.0180555555562023"/>
    <d v="1901-04-14T15:06:00"/>
    <n v="470.6291666666657"/>
    <n v="432.54583333333721"/>
    <n v="410.0263888888876"/>
    <n v="192380"/>
    <n v="51"/>
    <n v="2.0873124147326441"/>
    <n v="50.095497953583454"/>
    <n v="18284.85675305796"/>
    <n v="12621"/>
    <n v="1.1173871855937554"/>
    <n v="26.817292454250129"/>
    <n v="9788.3117458012966"/>
    <n v="124849"/>
    <n v="23"/>
    <n v="0.94133697135001593"/>
    <n v="22.59208731240038"/>
    <n v="8246.1118690261392"/>
    <n v="5417"/>
    <n v="0.47958849412577231"/>
    <n v="11.510123859018536"/>
    <n v="4201.1952085417661"/>
    <n v="74"/>
    <n v="3.0286493860826598"/>
    <n v="72.687585265983842"/>
    <n v="26530.968622084103"/>
    <n v="18038"/>
    <n v="35.758060321160251"/>
    <n v="33.805141268007922"/>
    <n v="1.5969756797195276"/>
    <n v="38.327416313268664"/>
    <n v="13989.506954343062"/>
    <n v="2999.6461000000004"/>
    <n v="6.3736935839434938"/>
    <n v="5.9536361271926337"/>
    <n v="5.6281321459662337"/>
    <n v="2884.2761999999998"/>
    <n v="6.1285538684916592"/>
    <n v="2326.398158139375"/>
    <n v="2236.9221619994555"/>
    <x v="4"/>
    <x v="2"/>
  </r>
  <r>
    <x v="247"/>
    <m/>
    <d v="1899-12-31T23:47:00"/>
    <n v="1.9909722222218988"/>
    <d v="1901-04-16T14:53:00"/>
    <n v="472.6201388888876"/>
    <n v="434.53680555555911"/>
    <n v="412.01736111110949"/>
    <n v="192470"/>
    <n v="90"/>
    <n v="1.8835019183818895"/>
    <n v="45.204046041165348"/>
    <n v="16499.476805025351"/>
    <n v="12711"/>
    <n v="1.1206145409823811"/>
    <n v="26.894748983577148"/>
    <n v="9816.5833790056586"/>
    <n v="124895"/>
    <n v="46"/>
    <n v="0.96267875828407679"/>
    <n v="23.104290198817843"/>
    <n v="8433.0659225685122"/>
    <n v="5463"/>
    <n v="0.48162357307739345"/>
    <n v="11.558965753857443"/>
    <n v="4219.0225001579665"/>
    <n v="136"/>
    <n v="2.8461806766659663"/>
    <n v="68.308336239983191"/>
    <n v="24932.542727593864"/>
    <n v="18174"/>
    <n v="35.907200035797722"/>
    <n v="33.971869443203879"/>
    <n v="1.6022381140597746"/>
    <n v="38.453714737434588"/>
    <n v="14035.605879163624"/>
    <n v="3022.0286999999998"/>
    <n v="6.3942021326147405"/>
    <n v="5.9778667003337995"/>
    <n v="5.6552599961234318"/>
    <n v="2906.0225999999998"/>
    <n v="6.1487489865157903"/>
    <n v="2333.8837784043803"/>
    <n v="2244.2933800782635"/>
    <x v="4"/>
    <x v="2"/>
  </r>
  <r>
    <x v="248"/>
    <m/>
    <d v="1899-12-30T23:35:00"/>
    <n v="0.98263888889050577"/>
    <d v="1901-04-17T14:28:00"/>
    <n v="473.6027777777781"/>
    <n v="435.51944444444962"/>
    <n v="413"/>
    <n v="192499"/>
    <n v="29"/>
    <n v="1.2296819787965632"/>
    <n v="29.512367491117516"/>
    <n v="10772.014134257894"/>
    <n v="12740"/>
    <n v="1.1208408359091355"/>
    <n v="26.900180061819253"/>
    <n v="9818.565722564028"/>
    <n v="124912"/>
    <n v="17"/>
    <n v="0.72084805653591633"/>
    <n v="17.300353356861994"/>
    <n v="6314.6289752546272"/>
    <n v="5480"/>
    <n v="0.48211991999859199"/>
    <n v="11.570878079966208"/>
    <n v="4223.3704991876657"/>
    <n v="46"/>
    <n v="1.9505300353324795"/>
    <n v="46.812720847979506"/>
    <n v="17086.643109512519"/>
    <n v="18220"/>
    <n v="35.931805570614486"/>
    <n v="34.002421307506054"/>
    <n v="1.6029607559077275"/>
    <n v="38.471058141785463"/>
    <n v="14041.936221751694"/>
    <n v="3029.5339999999997"/>
    <n v="6.3967825826847342"/>
    <n v="5.9816121489663603"/>
    <n v="5.6599772397094421"/>
    <n v="2913.3779999999997"/>
    <n v="6.1515221968714942"/>
    <n v="2334.8256426799285"/>
    <n v="2245.3056018580955"/>
    <x v="4"/>
    <x v="2"/>
  </r>
  <r>
    <x v="249"/>
    <m/>
    <d v="1899-12-31T00:20:00"/>
    <n v="1.0138888888832298"/>
    <d v="1901-04-18T14:48:00"/>
    <n v="474.61666666666133"/>
    <n v="436.53333333333285"/>
    <n v="414.01388888888323"/>
    <n v="192525"/>
    <n v="26"/>
    <n v="1.0684931506908955"/>
    <n v="25.643835616581487"/>
    <n v="9360.0000000522432"/>
    <n v="12766"/>
    <n v="1.1207290093760003"/>
    <n v="26.897496225024007"/>
    <n v="9817.5861221337618"/>
    <n v="124925"/>
    <n v="13"/>
    <n v="0.53424657534544773"/>
    <n v="12.821917808290744"/>
    <n v="4680.0000000261216"/>
    <n v="5493"/>
    <n v="0.48223127436177105"/>
    <n v="11.573550584682506"/>
    <n v="4224.345963409115"/>
    <n v="39"/>
    <n v="1.602739726036343"/>
    <n v="38.465753424872233"/>
    <n v="14040.000000078366"/>
    <n v="18259"/>
    <n v="35.937690897984155"/>
    <n v="34.013351672314194"/>
    <n v="1.6029602837377712"/>
    <n v="38.471046809706515"/>
    <n v="14041.932085542878"/>
    <n v="3035.9611999999997"/>
    <n v="6.3966594795800829"/>
    <n v="5.9824425778863839"/>
    <n v="5.6616404978363004"/>
    <n v="2919.6140999999998"/>
    <n v="6.1515203848720708"/>
    <n v="2334.7807100467307"/>
    <n v="2245.304940478306"/>
    <x v="4"/>
    <x v="2"/>
  </r>
  <r>
    <x v="250"/>
    <m/>
    <d v="1899-12-31T00:13:00"/>
    <n v="1.0090277777781012"/>
    <d v="1901-04-19T15:01:00"/>
    <n v="475.62569444443943"/>
    <n v="437.54236111111095"/>
    <n v="415.02291666666133"/>
    <n v="192553"/>
    <n v="28"/>
    <n v="1.1562284927732014"/>
    <n v="27.749483826556833"/>
    <n v="10128.561596693244"/>
    <n v="12794"/>
    <n v="1.1208043206244525"/>
    <n v="26.899303694986859"/>
    <n v="9818.2458486702035"/>
    <n v="124939"/>
    <n v="14"/>
    <n v="0.57811424638660069"/>
    <n v="13.874741913278417"/>
    <n v="5064.2807983466219"/>
    <n v="5507"/>
    <n v="0.48243468764099262"/>
    <n v="11.578432503383823"/>
    <n v="4226.1278637350952"/>
    <n v="42"/>
    <n v="1.7343427391598021"/>
    <n v="41.624225739835246"/>
    <n v="15192.842395039865"/>
    <n v="18301"/>
    <n v="35.950804763348323"/>
    <n v="34.031855670621034"/>
    <n v="1.6032390082654451"/>
    <n v="38.477736198370678"/>
    <n v="14044.373712405297"/>
    <n v="3042.8828000000003"/>
    <n v="6.3976417496835989"/>
    <n v="5.9844655803168294"/>
    <n v="5.664553222462688"/>
    <n v="2926.3298999999997"/>
    <n v="6.1525900181194713"/>
    <n v="2335.1392386345133"/>
    <n v="2245.6953566136067"/>
    <x v="4"/>
    <x v="2"/>
  </r>
  <r>
    <x v="251"/>
    <m/>
    <d v="1899-12-31T00:24:00"/>
    <n v="1.0166666666700621"/>
    <d v="1901-04-20T15:25:00"/>
    <n v="476.64236111110949"/>
    <n v="438.55902777778101"/>
    <n v="416.03958333333139"/>
    <n v="192583"/>
    <n v="30"/>
    <n v="1.2295081967172052"/>
    <n v="29.508196721212926"/>
    <n v="10770.491803242718"/>
    <n v="12824"/>
    <n v="1.121036183371825"/>
    <n v="26.904868400923799"/>
    <n v="9820.2769663371873"/>
    <n v="124952"/>
    <n v="13"/>
    <n v="0.53278688524412221"/>
    <n v="12.786885245858933"/>
    <n v="4667.2131147385107"/>
    <n v="5520"/>
    <n v="0.48254208766472811"/>
    <n v="11.581010103953474"/>
    <n v="4227.0686879430177"/>
    <n v="43"/>
    <n v="1.7622950819613274"/>
    <n v="42.295081967071859"/>
    <n v="15437.704917981229"/>
    <n v="18344"/>
    <n v="35.96551205415436"/>
    <n v="34.052048332740931"/>
    <n v="1.6035782710365531"/>
    <n v="38.48587850487727"/>
    <n v="14047.345654280203"/>
    <n v="3050.0295999999998"/>
    <n v="6.3989897853183288"/>
    <n v="5.9868885000593357"/>
    <n v="5.6678890530248278"/>
    <n v="2933.2055999999998"/>
    <n v="6.1538919729298751"/>
    <n v="2335.6312716411903"/>
    <n v="2246.1705701194041"/>
    <x v="4"/>
    <x v="2"/>
  </r>
  <r>
    <x v="252"/>
    <m/>
    <d v="1899-12-31T00:08:00"/>
    <n v="1.0055555555518367"/>
    <d v="1901-04-21T15:33:00"/>
    <n v="477.64791666666133"/>
    <n v="439.56458333333285"/>
    <n v="417.04513888888323"/>
    <n v="192611"/>
    <n v="28"/>
    <n v="1.1602209944794288"/>
    <n v="27.845303867506296"/>
    <n v="10163.535911639798"/>
    <n v="12852"/>
    <n v="1.1211186761518155"/>
    <n v="26.906848227643572"/>
    <n v="9820.9996030899038"/>
    <n v="124972"/>
    <n v="20"/>
    <n v="0.82872928177102068"/>
    <n v="19.889502762504495"/>
    <n v="7259.668508314141"/>
    <n v="5540"/>
    <n v="0.48327088903525189"/>
    <n v="11.598501336846045"/>
    <n v="4233.4529879488064"/>
    <n v="48"/>
    <n v="1.9889502762504496"/>
    <n v="47.734806630010787"/>
    <n v="17423.204419953938"/>
    <n v="18392"/>
    <n v="35.992435696309364"/>
    <n v="34.085039422525"/>
    <n v="1.6043895651870672"/>
    <n v="38.505349564489613"/>
    <n v="14054.452591038709"/>
    <n v="3057.7587999999996"/>
    <n v="6.401700276092555"/>
    <n v="5.9907765544501954"/>
    <n v="5.6727562064458876"/>
    <n v="2940.8807999999999"/>
    <n v="6.1570053953618897"/>
    <n v="2336.6206007737828"/>
    <n v="2247.3069693070893"/>
    <x v="4"/>
    <x v="2"/>
  </r>
  <r>
    <x v="253"/>
    <m/>
    <d v="1899-12-30T23:06:00"/>
    <n v="0.96250000000145519"/>
    <d v="1901-04-22T14:39:00"/>
    <n v="478.61041666666279"/>
    <n v="440.5270833333343"/>
    <n v="418.00763888888469"/>
    <n v="192637"/>
    <n v="26"/>
    <n v="1.1255411255394239"/>
    <n v="27.012987012946173"/>
    <n v="9859.7402597253531"/>
    <n v="12878"/>
    <n v="1.1211275698310739"/>
    <n v="26.907061675945773"/>
    <n v="9821.0775117202065"/>
    <n v="124991"/>
    <n v="19"/>
    <n v="0.82251082250957896"/>
    <n v="19.740259740229895"/>
    <n v="7205.1948051839117"/>
    <n v="5559"/>
    <n v="0.48395311078513276"/>
    <n v="11.614874658843187"/>
    <n v="4239.4292504777632"/>
    <n v="45"/>
    <n v="1.9480519480490028"/>
    <n v="46.753246753176064"/>
    <n v="17064.935064909263"/>
    <n v="18437"/>
    <n v="36.015946806145969"/>
    <n v="34.114209103701597"/>
    <n v="1.6050806806162066"/>
    <n v="38.521936334788961"/>
    <n v="14060.506762197971"/>
    <n v="3064.9935999999998"/>
    <n v="6.4039425245829369"/>
    <n v="5.9941104642639127"/>
    <n v="5.6770019952453588"/>
    <n v="2948.0762999999997"/>
    <n v="6.1596576199327542"/>
    <n v="2337.4390214727719"/>
    <n v="2248.2750312754551"/>
    <x v="4"/>
    <x v="2"/>
  </r>
  <r>
    <x v="254"/>
    <m/>
    <d v="1899-12-31T00:07:00"/>
    <n v="1.0048611111124046"/>
    <d v="1901-04-23T14:46:00"/>
    <n v="479.61527777777519"/>
    <n v="441.53194444444671"/>
    <n v="419.01249999999709"/>
    <n v="192658"/>
    <n v="21"/>
    <n v="0.87076710435271465"/>
    <n v="20.898410504465151"/>
    <n v="7627.9198341297797"/>
    <n v="12899"/>
    <n v="1.1206030296273404"/>
    <n v="26.894472711056171"/>
    <n v="9816.4825395355019"/>
    <n v="125005"/>
    <n v="14"/>
    <n v="0.5805114029018098"/>
    <n v="13.932273669643434"/>
    <n v="5085.2798894198531"/>
    <n v="5573"/>
    <n v="0.48415541391682831"/>
    <n v="11.61972993400388"/>
    <n v="4241.2014259114158"/>
    <n v="35"/>
    <n v="1.4512785072545245"/>
    <n v="34.830684174108583"/>
    <n v="12713.199723549633"/>
    <n v="18472"/>
    <n v="36.013249324479297"/>
    <n v="34.115927329137193"/>
    <n v="1.6047584435441689"/>
    <n v="38.514202645060053"/>
    <n v="14057.683965446919"/>
    <n v="3070.6558999999997"/>
    <n v="6.402331289835927"/>
    <n v="5.9932929730137499"/>
    <n v="5.6769010471048382"/>
    <n v="2953.6727999999998"/>
    <n v="6.1584210029451016"/>
    <n v="2336.8509207901134"/>
    <n v="2247.8236660749621"/>
    <x v="4"/>
    <x v="2"/>
  </r>
  <r>
    <x v="255"/>
    <m/>
    <d v="1899-12-30T23:52:00"/>
    <n v="0.99444444444816327"/>
    <d v="1901-04-24T14:38:00"/>
    <n v="480.60972222222335"/>
    <n v="442.52638888889487"/>
    <n v="420.00694444444525"/>
    <n v="192669"/>
    <n v="11"/>
    <n v="0.46089385474687977"/>
    <n v="11.061452513925115"/>
    <n v="4037.4301675826669"/>
    <n v="12910"/>
    <n v="1.1192380049647557"/>
    <n v="26.861712119154134"/>
    <n v="9804.524923491259"/>
    <n v="125009"/>
    <n v="4"/>
    <n v="0.16759776536250173"/>
    <n v="4.0223463687000418"/>
    <n v="1468.1564245755153"/>
    <n v="5577"/>
    <n v="0.48350041469314037"/>
    <n v="11.604009952635369"/>
    <n v="4235.4636327119097"/>
    <n v="15"/>
    <n v="0.62849162010938153"/>
    <n v="15.083798882625157"/>
    <n v="5505.5865921581826"/>
    <n v="18487"/>
    <n v="35.966216703962552"/>
    <n v="34.070865230402873"/>
    <n v="1.602738419657896"/>
    <n v="38.465722071789507"/>
    <n v="14039.98855620317"/>
    <n v="3073.1732000000002"/>
    <n v="6.3943217498605502"/>
    <n v="5.9855133309688826"/>
    <n v="5.6694534018947991"/>
    <n v="2956.0712999999996"/>
    <n v="6.150668959279141"/>
    <n v="2333.9274386991005"/>
    <n v="2244.9941701368866"/>
    <x v="4"/>
    <x v="2"/>
  </r>
  <r>
    <x v="256"/>
    <m/>
    <d v="1899-12-30T23:58:00"/>
    <n v="0.99861111110658385"/>
    <d v="1901-04-25T14:36:00"/>
    <n v="481.60833333332994"/>
    <n v="443.52500000000146"/>
    <n v="421.00555555555184"/>
    <n v="192681"/>
    <n v="12"/>
    <n v="0.50069541029434228"/>
    <n v="12.016689847064214"/>
    <n v="4386.0917941784382"/>
    <n v="12922"/>
    <n v="1.1179554617341279"/>
    <n v="26.83093108161907"/>
    <n v="9793.2898447909611"/>
    <n v="125023"/>
    <n v="14"/>
    <n v="0.58414464534339927"/>
    <n v="14.019471488241583"/>
    <n v="5117.1070932081775"/>
    <n v="5591"/>
    <n v="0.48370909971796233"/>
    <n v="11.609018393231096"/>
    <n v="4237.2917135293501"/>
    <n v="26"/>
    <n v="1.0848400556377416"/>
    <n v="26.036161335305799"/>
    <n v="9503.1988873866158"/>
    <n v="18513"/>
    <n v="35.943858858012398"/>
    <n v="34.051807181219864"/>
    <n v="1.6016645614520904"/>
    <n v="38.439949474850167"/>
    <n v="14030.581558320311"/>
    <n v="3077.2164000000002"/>
    <n v="6.3894583773121765"/>
    <n v="5.981152809875411"/>
    <n v="5.6656093215978123"/>
    <n v="2960.2286999999997"/>
    <n v="6.1465479210285405"/>
    <n v="2332.1523077189445"/>
    <n v="2243.4899911754173"/>
    <x v="4"/>
    <x v="2"/>
  </r>
  <r>
    <x v="257"/>
    <m/>
    <d v="1899-12-31T00:37:00"/>
    <n v="1.0256944444481633"/>
    <d v="1901-04-26T15:13:00"/>
    <n v="482.6340277777781"/>
    <n v="444.55069444444962"/>
    <n v="422.03125"/>
    <n v="192698"/>
    <n v="17"/>
    <n v="0.69058903181875542"/>
    <n v="16.574136763650131"/>
    <n v="6049.5599187322978"/>
    <n v="12939"/>
    <n v="1.1170472220583509"/>
    <n v="26.809133329400421"/>
    <n v="9785.3336652311536"/>
    <n v="125028"/>
    <n v="5"/>
    <n v="0.20311442112316339"/>
    <n v="4.8747461069559206"/>
    <n v="1779.282329038911"/>
    <n v="5596"/>
    <n v="0.48311277955317505"/>
    <n v="11.594706709276201"/>
    <n v="4232.0679488858132"/>
    <n v="22"/>
    <n v="0.89370345294191889"/>
    <n v="21.448882870606052"/>
    <n v="7828.8422477712093"/>
    <n v="18535"/>
    <n v="35.910415166373873"/>
    <n v="34.021177341725284"/>
    <n v="1.6001600016115261"/>
    <n v="38.40384003867662"/>
    <n v="14017.401614116967"/>
    <n v="3080.9476999999997"/>
    <n v="6.3836106090277118"/>
    <n v="5.9757461481863787"/>
    <n v="5.6606810514624204"/>
    <n v="2963.7464999999997"/>
    <n v="6.1407740221843916"/>
    <n v="2330.017872295115"/>
    <n v="2241.3825180973026"/>
    <x v="4"/>
    <x v="2"/>
  </r>
  <r>
    <x v="258"/>
    <m/>
    <d v="1899-12-31T01:01:00"/>
    <n v="1.0423611111109494"/>
    <d v="1901-04-27T16:14:00"/>
    <n v="483.67638888888905"/>
    <n v="445.59305555556057"/>
    <n v="423.07361111111095"/>
    <n v="192708"/>
    <n v="10"/>
    <n v="0.39973351099273358"/>
    <n v="9.5936042638256058"/>
    <n v="3501.665556296346"/>
    <n v="12949"/>
    <n v="1.1155013539240823"/>
    <n v="26.772032494177974"/>
    <n v="9771.7918603749604"/>
    <n v="125031"/>
    <n v="3"/>
    <n v="0.11992005329782007"/>
    <n v="2.8780812791476817"/>
    <n v="1050.4996668889039"/>
    <n v="5599"/>
    <n v="0.48233007032364944"/>
    <n v="11.575921687767586"/>
    <n v="4225.2114160351693"/>
    <n v="13"/>
    <n v="0.51965356429055365"/>
    <n v="12.471685542973287"/>
    <n v="4552.1652231852495"/>
    <n v="18548"/>
    <n v="35.855585720652783"/>
    <n v="33.968084093587613"/>
    <n v="1.5978314242477316"/>
    <n v="38.34795418194556"/>
    <n v="13997.003276410129"/>
    <n v="3083.1504999999997"/>
    <n v="6.3744077048761341"/>
    <n v="5.9667108067587149"/>
    <n v="5.6519410268110697"/>
    <n v="2965.8251999999998"/>
    <n v="6.1318378736930947"/>
    <n v="2326.6588122797893"/>
    <n v="2238.1208238979793"/>
    <x v="4"/>
    <x v="2"/>
  </r>
  <r>
    <x v="259"/>
    <m/>
    <d v="1899-12-30T22:20:00"/>
    <n v="0.93055555555474712"/>
    <d v="1901-04-28T14:34:00"/>
    <n v="484.6069444444438"/>
    <n v="446.52361111111531"/>
    <n v="424.0041666666657"/>
    <n v="192715"/>
    <n v="7"/>
    <n v="0.31343283582116782"/>
    <n v="7.5223880597080282"/>
    <n v="2745.6716417934304"/>
    <n v="12956"/>
    <n v="1.1139611999415349"/>
    <n v="26.735068798596835"/>
    <n v="9758.3001114878443"/>
    <n v="125035"/>
    <n v="4"/>
    <n v="0.17910447761209589"/>
    <n v="4.2985074626903019"/>
    <n v="1568.9552238819601"/>
    <n v="5603"/>
    <n v="0.48174780821800089"/>
    <n v="11.561947397232021"/>
    <n v="4220.1107999896876"/>
    <n v="11"/>
    <n v="0.49253731343326373"/>
    <n v="11.820895522398329"/>
    <n v="4314.62686567539"/>
    <n v="18559"/>
    <n v="35.805497407440477"/>
    <n v="33.919477992551251"/>
    <n v="1.5957090081595358"/>
    <n v="38.29701619582886"/>
    <n v="13978.410911477535"/>
    <n v="3084.9481999999998"/>
    <n v="6.3658769965350004"/>
    <n v="5.9583021676718033"/>
    <n v="5.6437766138304584"/>
    <n v="2967.5840999999996"/>
    <n v="6.123692889713034"/>
    <n v="2323.545103735275"/>
    <n v="2235.1479047452576"/>
    <x v="4"/>
    <x v="2"/>
  </r>
  <r>
    <x v="260"/>
    <m/>
    <d v="1899-12-31T00:47:00"/>
    <n v="1.0326388888861402"/>
    <d v="1901-04-29T15:21:00"/>
    <n v="485.63958333332994"/>
    <n v="447.55625000000146"/>
    <n v="425.03680555555184"/>
    <n v="192725"/>
    <n v="10"/>
    <n v="0.40349697377377075"/>
    <n v="9.6839273705704976"/>
    <n v="3534.6334902582316"/>
    <n v="12966"/>
    <n v="1.1124505055618312"/>
    <n v="26.698812133483951"/>
    <n v="9745.0664287216423"/>
    <n v="125038"/>
    <n v="3"/>
    <n v="0.12104909213213122"/>
    <n v="2.9051782111711493"/>
    <n v="1060.3900470774695"/>
    <n v="5606"/>
    <n v="0.48098083712630157"/>
    <n v="11.543540091031238"/>
    <n v="4213.3921332264017"/>
    <n v="13"/>
    <n v="0.52454606590590191"/>
    <n v="12.589105581741647"/>
    <n v="4595.0235373357009"/>
    <n v="18572"/>
    <n v="35.751930623245563"/>
    <n v="33.867655252078137"/>
    <n v="1.5934313426881328"/>
    <n v="38.242352224515187"/>
    <n v="13958.458561948044"/>
    <n v="3087.1509999999998"/>
    <n v="6.3568767990665673"/>
    <n v="5.9494765183147171"/>
    <n v="5.6352475096111441"/>
    <n v="2969.6627999999996"/>
    <n v="6.1149521206999777"/>
    <n v="2320.2600316592971"/>
    <n v="2231.9575240554918"/>
    <x v="4"/>
    <x v="2"/>
  </r>
  <r>
    <x v="261"/>
    <m/>
    <d v="1899-12-31T23:23:00"/>
    <n v="1.9743055555591127"/>
    <d v="1901-05-01T14:44:00"/>
    <n v="487.61388888888905"/>
    <n v="449.53055555556057"/>
    <n v="427.01111111111095"/>
    <n v="192738"/>
    <n v="13"/>
    <n v="0.27435807245817612"/>
    <n v="6.5845937389962268"/>
    <n v="2403.376714733623"/>
    <n v="12979"/>
    <n v="1.1090571433454288"/>
    <n v="26.617371440290295"/>
    <n v="9715.3405757059572"/>
    <n v="125044"/>
    <n v="6"/>
    <n v="0.12662680267300436"/>
    <n v="3.0390432641521046"/>
    <n v="1109.2507914155183"/>
    <n v="5612"/>
    <n v="0.47954608894788098"/>
    <n v="11.509106134749143"/>
    <n v="4200.8237391834373"/>
    <n v="19"/>
    <n v="0.40098487513118047"/>
    <n v="9.6236370031483318"/>
    <n v="3512.627506149141"/>
    <n v="18591"/>
    <n v="35.637177055075576"/>
    <n v="33.755561916161447"/>
    <n v="1.5886032322933099"/>
    <n v="38.126477575039438"/>
    <n v="13916.164314889395"/>
    <n v="3090.2973000000002"/>
    <n v="6.3375908078454586"/>
    <n v="5.930345928777486"/>
    <n v="5.6165608753350185"/>
    <n v="2972.7008999999998"/>
    <n v="6.0964237642488053"/>
    <n v="2313.2206448635925"/>
    <n v="2225.1946739508139"/>
    <x v="4"/>
    <x v="2"/>
  </r>
  <r>
    <x v="262"/>
    <m/>
    <d v="1899-12-30T23:41:00"/>
    <n v="0.98680555555620231"/>
    <d v="1901-05-02T14:25:00"/>
    <n v="488.60069444444525"/>
    <n v="450.51736111111677"/>
    <n v="427.99791666666715"/>
    <n v="192759"/>
    <n v="21"/>
    <n v="0.88669950738858139"/>
    <n v="21.280788177325952"/>
    <n v="7767.487684723973"/>
    <n v="13000"/>
    <n v="1.1086080573065069"/>
    <n v="26.606593375356166"/>
    <n v="9711.406582005"/>
    <n v="125057"/>
    <n v="13"/>
    <n v="0.54890921885959798"/>
    <n v="13.173821252630352"/>
    <n v="4808.4447572100789"/>
    <n v="5625"/>
    <n v="0.47968617864223861"/>
    <n v="11.512468287413727"/>
    <n v="4202.0509249060106"/>
    <n v="34"/>
    <n v="1.4356087262481794"/>
    <n v="34.454609429956307"/>
    <n v="12575.932441934052"/>
    <n v="18625"/>
    <n v="35.634586779088409"/>
    <n v="33.757173662254935"/>
    <n v="1.5882942359487455"/>
    <n v="38.119061662769894"/>
    <n v="13913.457506911011"/>
    <n v="3095.8250000000003"/>
    <n v="6.336104379712463"/>
    <n v="5.9296258714902654"/>
    <n v="5.6165264044314798"/>
    <n v="2978.1374999999998"/>
    <n v="6.095237959876906"/>
    <n v="2312.6780985950486"/>
    <n v="2224.7618553550706"/>
    <x v="4"/>
    <x v="2"/>
  </r>
  <r>
    <x v="263"/>
    <m/>
    <d v="1899-12-31T00:08:00"/>
    <n v="1.0055555555518367"/>
    <d v="1901-05-03T14:33:00"/>
    <n v="489.60624999999709"/>
    <n v="451.52291666666861"/>
    <n v="429.00347222221899"/>
    <n v="192776"/>
    <n v="17"/>
    <n v="0.7044198895053676"/>
    <n v="16.906077348128822"/>
    <n v="6170.7182320670199"/>
    <n v="13017"/>
    <n v="1.10777793379885"/>
    <n v="26.586670411172403"/>
    <n v="9704.1347000779278"/>
    <n v="125066"/>
    <n v="9"/>
    <n v="0.37292817679695928"/>
    <n v="8.9502762431270231"/>
    <n v="3266.8508287413633"/>
    <n v="5634"/>
    <n v="0.47946691856977192"/>
    <n v="11.507206045674526"/>
    <n v="4200.1302066712014"/>
    <n v="26"/>
    <n v="1.0773480663023269"/>
    <n v="25.856353591255846"/>
    <n v="9437.5690608083842"/>
    <n v="18651"/>
    <n v="35.612810350157417"/>
    <n v="33.738654666418718"/>
    <n v="1.587244852368622"/>
    <n v="38.093876456846928"/>
    <n v="13904.264906749129"/>
    <n v="3100.0947000000001"/>
    <n v="6.3318119407177065"/>
    <n v="5.9258766304773864"/>
    <n v="5.6133142408521461"/>
    <n v="2982.2948999999999"/>
    <n v="6.0912108454498233"/>
    <n v="2311.1113583619631"/>
    <n v="2223.2919585891855"/>
    <x v="4"/>
    <x v="2"/>
  </r>
  <r>
    <x v="264"/>
    <m/>
    <d v="1899-12-31T00:47:00"/>
    <n v="1.0326388888861402"/>
    <d v="1901-05-04T15:20:00"/>
    <n v="490.63888888888323"/>
    <n v="452.55555555555475"/>
    <n v="430.03611111110513"/>
    <n v="192787"/>
    <n v="11"/>
    <n v="0.44384667115114779"/>
    <n v="10.652320107627547"/>
    <n v="3888.0968392840546"/>
    <n v="13028"/>
    <n v="1.106380569552184"/>
    <n v="26.553133669252414"/>
    <n v="9691.8937892771319"/>
    <n v="125068"/>
    <n v="2"/>
    <n v="8.0699394754754142E-2"/>
    <n v="1.9367854741140995"/>
    <n v="706.92669805164633"/>
    <n v="5636"/>
    <n v="0.47862763969881095"/>
    <n v="11.487063352771463"/>
    <n v="4192.7781237615836"/>
    <n v="13"/>
    <n v="0.52454606590590191"/>
    <n v="12.589105581741647"/>
    <n v="4595.0235373357009"/>
    <n v="18664"/>
    <n v="35.560274981586119"/>
    <n v="33.687868589847575"/>
    <n v="1.5850082092509949"/>
    <n v="38.040197022023875"/>
    <n v="13884.671913038714"/>
    <n v="3102.3427999999999"/>
    <n v="6.3230674743815483"/>
    <n v="5.917322563221223"/>
    <n v="5.6050627789656682"/>
    <n v="2984.3735999999999"/>
    <n v="6.0826275038216178"/>
    <n v="2307.919628149265"/>
    <n v="2220.1590388948903"/>
    <x v="4"/>
    <x v="2"/>
  </r>
  <r>
    <x v="265"/>
    <m/>
    <d v="1899-12-31T02:44:00"/>
    <n v="1.1138888888890506"/>
    <d v="1901-05-05T18:04:00"/>
    <n v="491.75277777777228"/>
    <n v="453.6694444444438"/>
    <n v="431.14999999999418"/>
    <n v="192796"/>
    <n v="9"/>
    <n v="0.33665835411466433"/>
    <n v="8.0798004987519452"/>
    <n v="2949.1271820444599"/>
    <n v="13037"/>
    <n v="1.104637040970238"/>
    <n v="26.511288983285709"/>
    <n v="9676.6204788992836"/>
    <n v="125070"/>
    <n v="2"/>
    <n v="7.4812967581036519E-2"/>
    <n v="1.7955112219448766"/>
    <n v="655.36159600987992"/>
    <n v="5638"/>
    <n v="0.47771294293090444"/>
    <n v="11.465110630341707"/>
    <n v="4184.765380074723"/>
    <n v="11"/>
    <n v="0.41147132169570089"/>
    <n v="9.8753117206968213"/>
    <n v="3604.4887780543399"/>
    <n v="18675"/>
    <n v="35.497211013892937"/>
    <n v="33.626348138699285"/>
    <n v="1.5823499839011423"/>
    <n v="37.976399613627414"/>
    <n v="13861.385858974007"/>
    <n v="3104.2311"/>
    <n v="6.3125847789370928"/>
    <n v="5.9069561170945644"/>
    <n v="5.5949616142874463"/>
    <n v="2986.1324999999997"/>
    <n v="6.0724262982190229"/>
    <n v="2304.0934443120386"/>
    <n v="2216.4355988499433"/>
    <x v="4"/>
    <x v="2"/>
  </r>
  <r>
    <x v="266"/>
    <m/>
    <d v="1899-12-30T21:29:00"/>
    <n v="0.89513888888905058"/>
    <d v="1901-05-06T15:33:00"/>
    <n v="492.64791666666133"/>
    <n v="454.56458333333285"/>
    <n v="432.04513888888323"/>
    <n v="192809"/>
    <n v="13"/>
    <n v="0.60512024825435151"/>
    <n v="14.522885958104437"/>
    <n v="5300.8533747081192"/>
    <n v="13050"/>
    <n v="1.1037294213666913"/>
    <n v="26.489506112800587"/>
    <n v="9668.6697311722146"/>
    <n v="125073"/>
    <n v="3"/>
    <n v="0.13964313421254265"/>
    <n v="3.3514352211010237"/>
    <n v="1223.2738557018736"/>
    <n v="5641"/>
    <n v="0.47709867171873599"/>
    <n v="11.450368121249664"/>
    <n v="4179.3843642561269"/>
    <n v="16"/>
    <n v="0.74476338246689422"/>
    <n v="17.874321179205459"/>
    <n v="6524.127230409993"/>
    <n v="18691"/>
    <n v="35.462507619471054"/>
    <n v="33.593712076767112"/>
    <n v="1.5808280930854273"/>
    <n v="37.939874234050251"/>
    <n v="13848.054095428342"/>
    <n v="3106.9736000000003"/>
    <n v="6.3066816988130308"/>
    <n v="5.9013572512156847"/>
    <n v="5.5897173295615099"/>
    <n v="2988.6908999999996"/>
    <n v="6.0665858900246343"/>
    <n v="2301.9388200667563"/>
    <n v="2214.3038498589917"/>
    <x v="4"/>
    <x v="2"/>
  </r>
  <r>
    <x v="267"/>
    <m/>
    <d v="1900-01-01T00:02:00"/>
    <n v="2.0013888888934162"/>
    <d v="1901-05-08T15:35:00"/>
    <n v="494.64930555555475"/>
    <n v="456.56597222222626"/>
    <n v="434.04652777777665"/>
    <n v="192845"/>
    <n v="36"/>
    <n v="0.74947952810378693"/>
    <n v="17.987508674490886"/>
    <n v="6565.4406661891735"/>
    <n v="13086"/>
    <n v="1.1022960992285518"/>
    <n v="26.455106381485244"/>
    <n v="9656.1138292421147"/>
    <n v="125080"/>
    <n v="7"/>
    <n v="0.14573213046462524"/>
    <n v="3.4975711311510058"/>
    <n v="1276.613462870117"/>
    <n v="5648"/>
    <n v="0.475757937371455"/>
    <n v="11.418190496914921"/>
    <n v="4167.6395313739458"/>
    <n v="43"/>
    <n v="0.89521165856841223"/>
    <n v="21.485079805641892"/>
    <n v="7842.0541290592901"/>
    <n v="18734"/>
    <n v="35.401236586534125"/>
    <n v="33.537879163620218"/>
    <n v="1.5780540366000069"/>
    <n v="37.873296878400161"/>
    <n v="13823.75336061606"/>
    <n v="3114.3922000000002"/>
    <n v="6.2961620789139436"/>
    <n v="5.8917369310446581"/>
    <n v="5.5810348544943009"/>
    <n v="2995.5665999999997"/>
    <n v="6.0559401708561857"/>
    <n v="2298.0991588035895"/>
    <n v="2210.4181623625077"/>
    <x v="4"/>
    <x v="2"/>
  </r>
  <r>
    <x v="268"/>
    <m/>
    <d v="1899-12-31T00:45:00"/>
    <n v="1.03125"/>
    <d v="1901-05-09T16:20:00"/>
    <n v="495.68055555555475"/>
    <n v="457.59722222222626"/>
    <n v="435.07777777777665"/>
    <n v="192867"/>
    <n v="22"/>
    <n v="0.88888888888888884"/>
    <n v="21.333333333333332"/>
    <n v="7786.6666666666661"/>
    <n v="13108"/>
    <n v="1.1018521112947985"/>
    <n v="26.444450671075163"/>
    <n v="9652.2244949424348"/>
    <n v="125085"/>
    <n v="5"/>
    <n v="0.20202020202020202"/>
    <n v="4.8484848484848486"/>
    <n v="1769.6969696969697"/>
    <n v="5653"/>
    <n v="0.47518843341085565"/>
    <n v="11.404522401860536"/>
    <n v="4162.6506766790953"/>
    <n v="27"/>
    <n v="1.0909090909090908"/>
    <n v="26.181818181818183"/>
    <n v="9556.3636363636379"/>
    <n v="18761"/>
    <n v="35.380459525904932"/>
    <n v="33.520443343463583"/>
    <n v="1.5770405447056541"/>
    <n v="37.848973072935699"/>
    <n v="13814.87517162153"/>
    <n v="3119.0229999999997"/>
    <n v="6.2924053910168496"/>
    <n v="5.8885790147812624"/>
    <n v="5.5784499323237364"/>
    <n v="2999.8838999999998"/>
    <n v="6.052050794362418"/>
    <n v="2296.7279677211504"/>
    <n v="2208.9985399422826"/>
    <x v="4"/>
    <x v="2"/>
  </r>
  <r>
    <x v="269"/>
    <m/>
    <d v="1899-12-30T22:12:00"/>
    <n v="0.92499999999563443"/>
    <d v="1901-05-10T14:32:00"/>
    <n v="496.60555555555038"/>
    <n v="458.5222222222219"/>
    <n v="436.00277777777228"/>
    <n v="192878"/>
    <n v="11"/>
    <n v="0.495495495497834"/>
    <n v="11.891891891948017"/>
    <n v="4340.5405405610263"/>
    <n v="13119"/>
    <n v="1.1007226839991613"/>
    <n v="26.417344415979869"/>
    <n v="9642.330711832652"/>
    <n v="125087"/>
    <n v="2"/>
    <n v="9.0090090090515274E-2"/>
    <n v="2.1621621621723666"/>
    <n v="789.18918919291377"/>
    <n v="5655"/>
    <n v="0.47447113179474482"/>
    <n v="11.387307163073874"/>
    <n v="4156.3671145219641"/>
    <n v="13"/>
    <n v="0.58558558558834928"/>
    <n v="14.054054054120384"/>
    <n v="5129.7297297539399"/>
    <n v="18774"/>
    <n v="35.337436692756953"/>
    <n v="33.479144500863697"/>
    <n v="1.575193815793906"/>
    <n v="37.804651579053747"/>
    <n v="13798.697826354617"/>
    <n v="3121.2710999999999"/>
    <n v="6.285211804584522"/>
    <n v="5.8816026122567706"/>
    <n v="5.5717711533438941"/>
    <n v="3001.9625999999998"/>
    <n v="6.0449637874906932"/>
    <n v="2294.1023086733503"/>
    <n v="2206.4117824341029"/>
    <x v="4"/>
    <x v="2"/>
  </r>
  <r>
    <x v="270"/>
    <m/>
    <d v="1899-12-31T00:32:00"/>
    <n v="1.0222222222218988"/>
    <d v="1901-05-11T15:04:00"/>
    <n v="497.62777777777228"/>
    <n v="459.5444444444438"/>
    <n v="437.02499999999418"/>
    <n v="192886"/>
    <n v="8"/>
    <n v="0.32608695652184227"/>
    <n v="7.8260869565242146"/>
    <n v="2856.5217391313381"/>
    <n v="13127"/>
    <n v="1.0991314346957353"/>
    <n v="26.379154432697643"/>
    <n v="9628.3913679346388"/>
    <n v="125090"/>
    <n v="3"/>
    <n v="0.12228260869569085"/>
    <n v="2.9347826086965805"/>
    <n v="1071.1956521742518"/>
    <n v="5658"/>
    <n v="0.47374766949862646"/>
    <n v="11.369944067967035"/>
    <n v="4150.0295848079677"/>
    <n v="11"/>
    <n v="0.44836956521753313"/>
    <n v="10.760869565220796"/>
    <n v="3927.7173913055904"/>
    <n v="18785"/>
    <n v="35.282767958606399"/>
    <n v="33.426005377267195"/>
    <n v="1.5728791041943617"/>
    <n v="37.74909850066468"/>
    <n v="13778.420952742608"/>
    <n v="3123.1141000000002"/>
    <n v="6.27600435399067"/>
    <n v="5.8725299209362012"/>
    <n v="5.562955666151896"/>
    <n v="3003.7214999999997"/>
    <n v="6.0360808502562815"/>
    <n v="2290.7415892065942"/>
    <n v="2203.1695103435427"/>
    <x v="4"/>
    <x v="2"/>
  </r>
  <r>
    <x v="271"/>
    <m/>
    <d v="1899-12-31T00:34:00"/>
    <n v="1.023611111115315"/>
    <d v="1901-05-12T15:38:00"/>
    <n v="498.6513888888876"/>
    <n v="460.56805555555911"/>
    <n v="438.04861111110949"/>
    <n v="192893"/>
    <n v="7"/>
    <n v="0.28493894165418937"/>
    <n v="6.8385345997005444"/>
    <n v="2496.0651288906988"/>
    <n v="13134"/>
    <n v="1.0974600937528751"/>
    <n v="26.339042250069003"/>
    <n v="9613.7504212751865"/>
    <n v="125092"/>
    <n v="2"/>
    <n v="8.1411126186911237E-2"/>
    <n v="1.9538670284858697"/>
    <n v="713.16146539734245"/>
    <n v="5660"/>
    <n v="0.47294229714034364"/>
    <n v="11.350615131368247"/>
    <n v="4142.9745229494101"/>
    <n v="9"/>
    <n v="0.36635006784110058"/>
    <n v="8.7924016281864148"/>
    <n v="3209.2265942880413"/>
    <n v="18794"/>
    <n v="35.223893199520852"/>
    <n v="33.368442746397498"/>
    <n v="1.5704023908932188"/>
    <n v="37.68965738143725"/>
    <n v="13756.724944224596"/>
    <n v="3124.6426000000001"/>
    <n v="6.2661864974695805"/>
    <n v="5.862796968719139"/>
    <n v="5.553445755322711"/>
    <n v="3005.1605999999997"/>
    <n v="6.0265762152918159"/>
    <n v="2287.1580715763967"/>
    <n v="2199.7003185815129"/>
    <x v="4"/>
    <x v="2"/>
  </r>
  <r>
    <x v="272"/>
    <m/>
    <d v="1899-12-30T23:27:00"/>
    <n v="0.97708333333139308"/>
    <d v="1901-05-13T15:05:00"/>
    <n v="499.62847222221899"/>
    <n v="461.54513888889051"/>
    <n v="439.02569444444089"/>
    <n v="192901"/>
    <n v="8"/>
    <n v="0.34115138592818278"/>
    <n v="8.1876332622763872"/>
    <n v="2988.4861407308813"/>
    <n v="13142"/>
    <n v="1.0959810414683204"/>
    <n v="26.30354499523969"/>
    <n v="9600.7939232624867"/>
    <n v="125094"/>
    <n v="2"/>
    <n v="8.5287846482045696E-2"/>
    <n v="2.0469083155690968"/>
    <n v="747.12153518272032"/>
    <n v="5662"/>
    <n v="0.47218419242076015"/>
    <n v="11.332420618098244"/>
    <n v="4136.333525605859"/>
    <n v="10"/>
    <n v="0.42643923241022846"/>
    <n v="10.234541577845484"/>
    <n v="3735.6076759136017"/>
    <n v="18804"/>
    <n v="35.170991160428692"/>
    <n v="33.316956581572157"/>
    <n v="1.5681652338890806"/>
    <n v="37.63596561333793"/>
    <n v="13737.127448868345"/>
    <n v="3126.3510000000001"/>
    <n v="6.2573515598396439"/>
    <n v="5.8540870054541836"/>
    <n v="5.5449775054295234"/>
    <n v="3006.7595999999999"/>
    <n v="6.0179909015727349"/>
    <n v="2283.93331934147"/>
    <n v="2196.5666790740484"/>
    <x v="5"/>
    <x v="2"/>
  </r>
  <r>
    <x v="273"/>
    <m/>
    <d v="1899-12-30T23:33:00"/>
    <n v="0.98125000000436557"/>
    <d v="1901-05-14T14:38:00"/>
    <n v="500.60972222222335"/>
    <n v="462.52638888889487"/>
    <n v="440.00694444444525"/>
    <n v="192916"/>
    <n v="15"/>
    <n v="0.63694267515640191"/>
    <n v="15.286624203753647"/>
    <n v="5579.6178343700813"/>
    <n v="13157"/>
    <n v="1.0950812758885669"/>
    <n v="26.281950621325603"/>
    <n v="9592.9119767838456"/>
    <n v="125097"/>
    <n v="3"/>
    <n v="0.12738853503128039"/>
    <n v="3.0573248407507294"/>
    <n v="1115.9235668740162"/>
    <n v="5665"/>
    <n v="0.47150835508920957"/>
    <n v="11.316200522141029"/>
    <n v="4130.4131905814756"/>
    <n v="18"/>
    <n v="0.76433121018768235"/>
    <n v="18.343949044504374"/>
    <n v="6695.5414012440961"/>
    <n v="18822"/>
    <n v="35.135292580903339"/>
    <n v="33.283565600290338"/>
    <n v="1.5665896309777763"/>
    <n v="37.59815114346663"/>
    <n v="13723.325167365319"/>
    <n v="3129.4533000000001"/>
    <n v="6.2512835070566588"/>
    <n v="5.8483748494829868"/>
    <n v="5.5396623411877872"/>
    <n v="3009.6378"/>
    <n v="6.0119443678403144"/>
    <n v="2281.7184800756804"/>
    <n v="2194.3596942617146"/>
    <x v="5"/>
    <x v="2"/>
  </r>
  <r>
    <x v="274"/>
    <m/>
    <d v="1899-12-30T23:50:00"/>
    <n v="0.99305555555474712"/>
    <d v="1901-05-15T14:28:00"/>
    <n v="501.6027777777781"/>
    <n v="463.51944444444962"/>
    <n v="441"/>
    <n v="192924"/>
    <n v="8"/>
    <n v="0.3356643356646089"/>
    <n v="8.055944055950615"/>
    <n v="2940.4195804219744"/>
    <n v="13165"/>
    <n v="1.0935778089125407"/>
    <n v="26.245867413900978"/>
    <n v="9579.7416060738578"/>
    <n v="125100"/>
    <n v="3"/>
    <n v="0.12587412587422836"/>
    <n v="3.0209790209814802"/>
    <n v="1102.6573426582402"/>
    <n v="5668"/>
    <n v="0.47082408058612085"/>
    <n v="11.299777934066901"/>
    <n v="4124.4189459344188"/>
    <n v="11"/>
    <n v="0.46153846153883726"/>
    <n v="11.076923076932095"/>
    <n v="4043.0769230802148"/>
    <n v="18833"/>
    <n v="35.083749333300979"/>
    <n v="33.233560090702944"/>
    <n v="1.5644018894986615"/>
    <n v="37.545645347967877"/>
    <n v="13704.160552008276"/>
    <n v="3131.2963"/>
    <n v="6.2425816576861903"/>
    <n v="5.8398212468612076"/>
    <n v="5.5313671201814056"/>
    <n v="3011.3966999999998"/>
    <n v="6.0035486911400637"/>
    <n v="2278.54230505546"/>
    <n v="2191.295272266123"/>
    <x v="5"/>
    <x v="2"/>
  </r>
  <r>
    <x v="275"/>
    <m/>
    <d v="1899-12-31T00:44:00"/>
    <n v="1.0305555555532919"/>
    <d v="1901-05-16T15:12:00"/>
    <n v="502.63333333333139"/>
    <n v="464.55000000000291"/>
    <n v="442.03055555555329"/>
    <n v="192933"/>
    <n v="9"/>
    <n v="0.36388140161804994"/>
    <n v="8.7331536388331994"/>
    <n v="3187.6010781741179"/>
    <n v="13174"/>
    <n v="1.0920817030307091"/>
    <n v="26.209960872737021"/>
    <n v="9566.6357185490124"/>
    <n v="125102"/>
    <n v="2"/>
    <n v="8.0862533692899988E-2"/>
    <n v="1.9407008086295998"/>
    <n v="708.35579514980395"/>
    <n v="5670"/>
    <n v="0.47002453743617134"/>
    <n v="11.280588898468112"/>
    <n v="4117.4149479408607"/>
    <n v="11"/>
    <n v="0.44474393531094991"/>
    <n v="10.673854447462798"/>
    <n v="3895.9568733239212"/>
    <n v="18844"/>
    <n v="35.029598536217627"/>
    <n v="33.180964111329828"/>
    <n v="1.5621062404668804"/>
    <n v="37.490549771205131"/>
    <n v="13684.050666489873"/>
    <n v="3133.1846000000005"/>
    <n v="6.2335392267391985"/>
    <n v="5.8309310085028168"/>
    <n v="5.5227430984535051"/>
    <n v="3013.1555999999996"/>
    <n v="5.9947389084156999"/>
    <n v="2275.2418177598074"/>
    <n v="2188.0797015717303"/>
    <x v="5"/>
    <x v="2"/>
  </r>
  <r>
    <x v="276"/>
    <m/>
    <d v="1899-12-30T23:10:00"/>
    <n v="0.96527777777373558"/>
    <d v="1901-05-17T14:22:00"/>
    <n v="503.59861111110513"/>
    <n v="465.51527777777665"/>
    <n v="442.99583333332703"/>
    <n v="192942"/>
    <n v="9"/>
    <n v="0.38848920863472036"/>
    <n v="9.3237410072332896"/>
    <n v="3403.1654676401508"/>
    <n v="13183"/>
    <n v="1.0907330849359325"/>
    <n v="26.177594038462381"/>
    <n v="9554.8218240387687"/>
    <n v="125106"/>
    <n v="4"/>
    <n v="0.17266187050432016"/>
    <n v="4.1438848921036842"/>
    <n v="1512.5179856178447"/>
    <n v="5674"/>
    <n v="0.46945456450932876"/>
    <n v="11.266909548223889"/>
    <n v="4112.4219851017197"/>
    <n v="13"/>
    <n v="0.5611510791390405"/>
    <n v="13.467625899336973"/>
    <n v="4915.6834532579951"/>
    <n v="18857"/>
    <n v="34.98488831074296"/>
    <n v="33.13800919873259"/>
    <n v="1.5601876494452613"/>
    <n v="37.444503586686267"/>
    <n v="13667.243809140487"/>
    <n v="3135.3421000000003"/>
    <n v="6.2258751927103182"/>
    <n v="5.8234748232991667"/>
    <n v="5.5155794166612591"/>
    <n v="3015.2342999999996"/>
    <n v="5.987376123511134"/>
    <n v="2272.4444453392662"/>
    <n v="2185.3922850815638"/>
    <x v="5"/>
    <x v="2"/>
  </r>
  <r>
    <x v="277"/>
    <m/>
    <d v="1899-12-31T00:23:00"/>
    <n v="1.015972222223354"/>
    <d v="1901-05-18T14:45:00"/>
    <n v="504.61458333332848"/>
    <n v="466.53125"/>
    <n v="444.01180555555038"/>
    <n v="192951"/>
    <n v="9"/>
    <n v="0.36910457963048421"/>
    <n v="8.8585099111316215"/>
    <n v="3233.3561175630416"/>
    <n v="13192"/>
    <n v="1.0892801849596538"/>
    <n v="26.142724439031689"/>
    <n v="9542.0944202465671"/>
    <n v="125110"/>
    <n v="4"/>
    <n v="0.16404647983577078"/>
    <n v="3.9371155160584985"/>
    <n v="1437.047163361352"/>
    <n v="5678"/>
    <n v="0.46883966723778914"/>
    <n v="11.252152013706938"/>
    <n v="4107.0354850030326"/>
    <n v="13"/>
    <n v="0.53315105946625496"/>
    <n v="12.795625427190119"/>
    <n v="4670.4032809243936"/>
    <n v="18870"/>
    <n v="34.936566414361309"/>
    <n v="33.09146247049901"/>
    <n v="1.5581198521974429"/>
    <n v="37.394876452738629"/>
    <n v="13649.1299052496"/>
    <n v="3137.4996000000001"/>
    <n v="6.2176157876267553"/>
    <n v="5.8154175095451803"/>
    <n v="5.5078179665518796"/>
    <n v="3017.3129999999996"/>
    <n v="5.9794407447929059"/>
    <n v="2269.4297624837654"/>
    <n v="2182.4958718494108"/>
    <x v="5"/>
    <x v="2"/>
  </r>
  <r>
    <x v="278"/>
    <m/>
    <d v="1899-12-31T00:41:00"/>
    <n v="1.0284722222277196"/>
    <d v="1901-05-19T15:26:00"/>
    <n v="505.6430555555562"/>
    <n v="467.55972222222772"/>
    <n v="445.0402777777781"/>
    <n v="192960"/>
    <n v="9"/>
    <n v="0.36461850101088022"/>
    <n v="8.7508440242611254"/>
    <n v="3194.0580688553109"/>
    <n v="13201"/>
    <n v="1.0878062313390799"/>
    <n v="26.107349552137922"/>
    <n v="9529.1825865303417"/>
    <n v="125112"/>
    <n v="2"/>
    <n v="8.1026333557973382E-2"/>
    <n v="1.9446320053913611"/>
    <n v="709.79068196784681"/>
    <n v="5680"/>
    <n v="0.4680508593292913"/>
    <n v="11.233220623902991"/>
    <n v="4100.1255277245918"/>
    <n v="11"/>
    <n v="0.44564483456885357"/>
    <n v="10.695476029652486"/>
    <n v="3903.8487508231574"/>
    <n v="18881"/>
    <n v="34.88324426766593"/>
    <n v="33.039706143950745"/>
    <n v="1.5558570906683713"/>
    <n v="37.340570176040913"/>
    <n v="13629.308114254933"/>
    <n v="3139.3878999999997"/>
    <n v="6.2087036804069538"/>
    <n v="5.8066641991664074"/>
    <n v="5.4993325822569066"/>
    <n v="3019.0718999999999"/>
    <n v="5.970757171148942"/>
    <n v="2266.1768433485386"/>
    <n v="2179.3263674693635"/>
    <x v="5"/>
    <x v="2"/>
  </r>
  <r>
    <x v="279"/>
    <m/>
    <d v="1899-12-31T03:10:00"/>
    <n v="1.1319444444379769"/>
    <d v="1901-05-20T18:36:00"/>
    <n v="506.77499999999418"/>
    <n v="468.6916666666657"/>
    <n v="446.17222222221608"/>
    <n v="192968"/>
    <n v="8"/>
    <n v="0.29447852760904453"/>
    <n v="7.0674846626170682"/>
    <n v="2579.6319018552299"/>
    <n v="13209"/>
    <n v="1.0860342361008462"/>
    <n v="26.064821666420308"/>
    <n v="9513.6599082434132"/>
    <n v="125115"/>
    <n v="3"/>
    <n v="0.11042944785339169"/>
    <n v="2.6503067484814005"/>
    <n v="967.36196319571116"/>
    <n v="5683"/>
    <n v="0.46725206781445294"/>
    <n v="11.214049627546871"/>
    <n v="4093.128114054608"/>
    <n v="11"/>
    <n v="0.40490797546243618"/>
    <n v="9.7177914110984691"/>
    <n v="3546.9938650509412"/>
    <n v="18892"/>
    <n v="34.822466795868003"/>
    <n v="32.980538157911575"/>
    <n v="1.5532863039152991"/>
    <n v="37.278871293967178"/>
    <n v="13606.78802229802"/>
    <n v="3141.2309"/>
    <n v="6.1984724976568222"/>
    <n v="5.7965726579307768"/>
    <n v="5.4895113994347726"/>
    <n v="3020.8307999999997"/>
    <n v="5.9608915199053509"/>
    <n v="2262.4424616447404"/>
    <n v="2175.7254047654533"/>
    <x v="5"/>
    <x v="2"/>
  </r>
  <r>
    <x v="280"/>
    <m/>
    <d v="1899-12-30T20:09:00"/>
    <n v="0.83958333333430346"/>
    <d v="1901-05-21T14:45:00"/>
    <n v="507.61458333332848"/>
    <n v="469.53125"/>
    <n v="447.01180555555038"/>
    <n v="192975"/>
    <n v="7"/>
    <n v="0.34739454094252664"/>
    <n v="8.3374689826206385"/>
    <n v="3043.176178656533"/>
    <n v="13216"/>
    <n v="1.0848125423241983"/>
    <n v="26.03550101578076"/>
    <n v="9502.9578707599776"/>
    <n v="125117"/>
    <n v="2"/>
    <n v="9.9255583126436175E-2"/>
    <n v="2.3821339950344682"/>
    <n v="869.47890818758094"/>
    <n v="5685"/>
    <n v="0.46664340973918483"/>
    <n v="11.199441833740437"/>
    <n v="4087.7962693152595"/>
    <n v="9"/>
    <n v="0.44665012406896282"/>
    <n v="10.719602977655107"/>
    <n v="3912.6550868441141"/>
    <n v="18901"/>
    <n v="34.779367720465892"/>
    <n v="32.938727382604306"/>
    <n v="1.551455952063383"/>
    <n v="37.234942849521197"/>
    <n v="13590.754140075236"/>
    <n v="3142.7593999999999"/>
    <n v="6.1912315035604211"/>
    <n v="5.7894630016638935"/>
    <n v="5.4826203011666061"/>
    <n v="3022.2698999999998"/>
    <n v="5.953867361638439"/>
    <n v="2259.7994987995539"/>
    <n v="2173.1615869980301"/>
    <x v="5"/>
    <x v="2"/>
  </r>
  <r>
    <x v="281"/>
    <m/>
    <d v="1899-12-30T23:45:00"/>
    <n v="0.98958333333575865"/>
    <d v="1901-05-22T14:30:00"/>
    <n v="508.60416666666424"/>
    <n v="470.52083333333576"/>
    <n v="448.00138888888614"/>
    <n v="192980"/>
    <n v="5"/>
    <n v="0.21052631578895772"/>
    <n v="5.0526315789349852"/>
    <n v="1844.2105263112696"/>
    <n v="13221"/>
    <n v="1.0831114570106142"/>
    <n v="25.994674968254742"/>
    <n v="9488.0563634129812"/>
    <n v="125120"/>
    <n v="3"/>
    <n v="0.12631578947337463"/>
    <n v="3.0315789473609911"/>
    <n v="1106.5263157867616"/>
    <n v="5688"/>
    <n v="0.46598123950354542"/>
    <n v="11.18354974808509"/>
    <n v="4081.9956580510579"/>
    <n v="8"/>
    <n v="0.33684210526233233"/>
    <n v="8.0842105262959763"/>
    <n v="2950.7368420980315"/>
    <n v="18909"/>
    <n v="34.72322337834828"/>
    <n v="32.883826625041664"/>
    <n v="1.5490926965141596"/>
    <n v="37.178224716339834"/>
    <n v="13570.05202146404"/>
    <n v="3144.0626999999999"/>
    <n v="6.181747822881281"/>
    <n v="5.7800567102058586"/>
    <n v="5.4734189688152339"/>
    <n v="3023.5490999999997"/>
    <n v="5.944798132142739"/>
    <n v="2256.3379553516679"/>
    <n v="2169.8513182320999"/>
    <x v="5"/>
    <x v="2"/>
  </r>
  <r>
    <x v="282"/>
    <m/>
    <d v="1899-12-31T01:09:00"/>
    <n v="1.0479166666700621"/>
    <d v="1901-05-23T15:39:00"/>
    <n v="509.6520833333343"/>
    <n v="471.56875000000582"/>
    <n v="449.0493055555562"/>
    <n v="192988"/>
    <n v="8"/>
    <n v="0.31809145129121585"/>
    <n v="7.6341948309891805"/>
    <n v="2786.4811133110511"/>
    <n v="13229"/>
    <n v="1.0815384678273148"/>
    <n v="25.956923227855555"/>
    <n v="9474.2769781672778"/>
    <n v="125122"/>
    <n v="2"/>
    <n v="7.9522862822803964E-2"/>
    <n v="1.9085487077472951"/>
    <n v="696.62027832776278"/>
    <n v="5690"/>
    <n v="0.46518662649765069"/>
    <n v="11.164479035943616"/>
    <n v="4075.0348481194201"/>
    <n v="10"/>
    <n v="0.39761431411401982"/>
    <n v="9.5427435387364756"/>
    <n v="3483.1013916388138"/>
    <n v="18919"/>
    <n v="34.667267498110931"/>
    <n v="32.829357083096802"/>
    <n v="1.5467250943249655"/>
    <n v="37.121402263799169"/>
    <n v="13549.311826286697"/>
    <n v="3145.7710999999999"/>
    <n v="6.1723893669292247"/>
    <n v="5.7708351115292658"/>
    <n v="5.464450494949971"/>
    <n v="3025.1480999999999"/>
    <n v="5.9357122219814871"/>
    <n v="2252.9221189291675"/>
    <n v="2166.5349610232429"/>
    <x v="5"/>
    <x v="2"/>
  </r>
  <r>
    <x v="283"/>
    <m/>
    <d v="1899-12-30T22:36:00"/>
    <n v="0.94166666666569654"/>
    <d v="1901-05-24T14:15:00"/>
    <n v="510.59375"/>
    <n v="472.51041666667152"/>
    <n v="449.9909722222219"/>
    <n v="192996"/>
    <n v="8"/>
    <n v="0.35398230088532046"/>
    <n v="8.4955752212476909"/>
    <n v="3100.8849557554072"/>
    <n v="13237"/>
    <n v="1.0801966664626559"/>
    <n v="25.924719995103739"/>
    <n v="9462.5227982128654"/>
    <n v="125124"/>
    <n v="2"/>
    <n v="8.8495575221330114E-2"/>
    <n v="2.1238938053119227"/>
    <n v="775.2212389388518"/>
    <n v="5692"/>
    <n v="0.46449191096966358"/>
    <n v="11.147805863271927"/>
    <n v="4068.9491400942534"/>
    <n v="10"/>
    <n v="0.44247787610665051"/>
    <n v="10.619469026559614"/>
    <n v="3876.1061946942591"/>
    <n v="18929"/>
    <n v="34.619342607085024"/>
    <n v="32.782879903454877"/>
    <n v="1.5446885774323194"/>
    <n v="37.072525858375663"/>
    <n v="13531.471938307117"/>
    <n v="3147.4794999999999"/>
    <n v="6.1643517963155636"/>
    <n v="5.762949987874987"/>
    <n v="5.4568119175230398"/>
    <n v="3026.7470999999996"/>
    <n v="5.9278968847542686"/>
    <n v="2249.9884056551809"/>
    <n v="2163.682362935308"/>
    <x v="5"/>
    <x v="2"/>
  </r>
  <r>
    <x v="284"/>
    <m/>
    <d v="1899-12-31T01:07:00"/>
    <n v="1.046527777776646"/>
    <d v="1901-05-25T15:22:00"/>
    <n v="511.64027777777665"/>
    <n v="473.55694444444816"/>
    <n v="451.03749999999854"/>
    <n v="193003"/>
    <n v="7"/>
    <n v="0.27869940278729544"/>
    <n v="6.6887856668950905"/>
    <n v="2441.406768416708"/>
    <n v="13244"/>
    <n v="1.0785572545815363"/>
    <n v="25.885374109956867"/>
    <n v="9448.1615501342567"/>
    <n v="125126"/>
    <n v="2"/>
    <n v="7.9628400796370125E-2"/>
    <n v="1.911081619112883"/>
    <n v="697.54479097620231"/>
    <n v="5694"/>
    <n v="0.46370469703920769"/>
    <n v="11.128912728940985"/>
    <n v="4062.0531460634597"/>
    <n v="9"/>
    <n v="0.35832780358366556"/>
    <n v="8.5998672860079743"/>
    <n v="3138.9515593929104"/>
    <n v="18938"/>
    <n v="34.561841383618386"/>
    <n v="32.726768838511319"/>
    <n v="1.5422619516207439"/>
    <n v="37.014286838897853"/>
    <n v="13510.214696197716"/>
    <n v="3149.0079999999998"/>
    <n v="6.1547304556966971"/>
    <n v="5.7534419713691136"/>
    <n v="5.447539506138642"/>
    <n v="3028.1861999999996"/>
    <n v="5.9185844655397659"/>
    <n v="2246.4766163292943"/>
    <n v="2160.2833299220147"/>
    <x v="5"/>
    <x v="2"/>
  </r>
  <r>
    <x v="285"/>
    <m/>
    <d v="1899-12-30T23:41:00"/>
    <n v="0.98680555555620231"/>
    <d v="1901-05-26T15:03:00"/>
    <n v="512.62708333333285"/>
    <n v="474.54375000000437"/>
    <n v="452.02430555555475"/>
    <n v="193011"/>
    <n v="8"/>
    <n v="0.33779028852898341"/>
    <n v="8.1069669246956018"/>
    <n v="2959.0429275138945"/>
    <n v="13252"/>
    <n v="1.0771312804548476"/>
    <n v="25.851150730916341"/>
    <n v="9435.6700167844647"/>
    <n v="125128"/>
    <n v="2"/>
    <n v="8.4447572132245852E-2"/>
    <n v="2.0267417311739004"/>
    <n v="739.76073187847362"/>
    <n v="5696"/>
    <n v="0.46297462824259067"/>
    <n v="11.111391077822176"/>
    <n v="4055.6577434050946"/>
    <n v="10"/>
    <n v="0.42223786066122926"/>
    <n v="10.133708655869501"/>
    <n v="3698.803659392368"/>
    <n v="18948"/>
    <n v="34.511043502311111"/>
    <n v="32.677446363964634"/>
    <n v="1.5401059086974382"/>
    <n v="36.962541808738521"/>
    <n v="13491.327760189561"/>
    <n v="3150.7163999999998"/>
    <n v="6.1462152555667142"/>
    <n v="5.7450778774348512"/>
    <n v="5.4394265303457532"/>
    <n v="3029.7851999999998"/>
    <n v="5.9103104352172888"/>
    <n v="2243.3685682818509"/>
    <n v="2157.2633088543107"/>
    <x v="5"/>
    <x v="2"/>
  </r>
  <r>
    <x v="286"/>
    <m/>
    <d v="1899-12-31T00:56:00"/>
    <n v="1.038888888884685"/>
    <d v="1901-05-27T15:59:00"/>
    <n v="513.66597222221753"/>
    <n v="475.58263888888905"/>
    <n v="453.06319444443943"/>
    <n v="193021"/>
    <n v="10"/>
    <n v="0.40106951871820046"/>
    <n v="9.6256684492368123"/>
    <n v="3513.3689839714366"/>
    <n v="13262"/>
    <n v="1.0757639462523707"/>
    <n v="25.818334710056895"/>
    <n v="9423.6921691707666"/>
    <n v="125131"/>
    <n v="3"/>
    <n v="0.12032085561546015"/>
    <n v="2.8877005347710436"/>
    <n v="1054.0106951914308"/>
    <n v="5699"/>
    <n v="0.46228161134762935"/>
    <n v="11.094758672343104"/>
    <n v="4049.586915405233"/>
    <n v="13"/>
    <n v="0.52139037433366064"/>
    <n v="12.513368984007855"/>
    <n v="4567.3796791628665"/>
    <n v="18961"/>
    <n v="34.462990571506573"/>
    <n v="32.631209467651885"/>
    <n v="1.5380455576000001"/>
    <n v="36.9130933824"/>
    <n v="13473.279084575999"/>
    <n v="3152.9191999999998"/>
    <n v="6.1380729316366169"/>
    <n v="5.737159805443321"/>
    <n v="5.4318157603106609"/>
    <n v="3031.8638999999998"/>
    <n v="5.9024036318457593"/>
    <n v="2240.3966200473651"/>
    <n v="2154.3773256237023"/>
    <x v="5"/>
    <x v="2"/>
  </r>
  <r>
    <x v="287"/>
    <m/>
    <d v="1899-12-30T22:34:00"/>
    <n v="0.94027777777955635"/>
    <d v="1901-05-28T14:33:00"/>
    <n v="514.60624999999709"/>
    <n v="476.52291666666861"/>
    <n v="454.00347222221899"/>
    <n v="193028"/>
    <n v="7"/>
    <n v="0.31019202363309123"/>
    <n v="7.44460856719419"/>
    <n v="2717.2821270258792"/>
    <n v="13269"/>
    <n v="1.074365109246153"/>
    <n v="25.784762621907671"/>
    <n v="9411.4383569962993"/>
    <n v="125134"/>
    <n v="3"/>
    <n v="0.13293943869989625"/>
    <n v="3.1905465287975101"/>
    <n v="1164.5494830110913"/>
    <n v="5702"/>
    <n v="0.46167984421746661"/>
    <n v="11.080316261219199"/>
    <n v="4044.3154353450077"/>
    <n v="10"/>
    <n v="0.4431314623329875"/>
    <n v="10.635155095991701"/>
    <n v="3881.8316100369707"/>
    <n v="18971"/>
    <n v="34.415973348605867"/>
    <n v="32.585653866450713"/>
    <n v="1.5360449534636196"/>
    <n v="36.86507888312687"/>
    <n v="13455.753792341307"/>
    <n v="3154.5823"/>
    <n v="6.1300893644412948"/>
    <n v="5.7293292819949837"/>
    <n v="5.4242292199796944"/>
    <n v="3033.4628999999995"/>
    <n v="5.8947261134119859"/>
    <n v="2237.4826180210721"/>
    <n v="2151.5750313953749"/>
    <x v="5"/>
    <x v="2"/>
  </r>
  <r>
    <x v="288"/>
    <m/>
    <d v="1899-12-30T23:58:00"/>
    <n v="0.99861111111385981"/>
    <d v="1901-05-29T14:31:00"/>
    <n v="515.60486111111095"/>
    <n v="477.52152777778247"/>
    <n v="455.00208333333285"/>
    <n v="193034"/>
    <n v="6"/>
    <n v="0.2503477051453471"/>
    <n v="6.0083449234883295"/>
    <n v="2193.0458970732402"/>
    <n v="13275"/>
    <n v="1.0727691721292822"/>
    <n v="25.746460131102772"/>
    <n v="9397.457947852512"/>
    <n v="125138"/>
    <n v="4"/>
    <n v="0.16689847009689804"/>
    <n v="4.0055632823255536"/>
    <n v="1462.030598048827"/>
    <n v="5706"/>
    <n v="0.46110891873217957"/>
    <n v="11.06661404957231"/>
    <n v="4039.314128093893"/>
    <n v="10"/>
    <n v="0.41724617524224511"/>
    <n v="10.013908205813882"/>
    <n v="3655.0764951220672"/>
    <n v="18981"/>
    <n v="34.364942825439471"/>
    <n v="32.536114761379331"/>
    <n v="1.5338780908614618"/>
    <n v="36.813074180675081"/>
    <n v="13436.772075946405"/>
    <n v="3156.2001"/>
    <n v="6.1213544286578214"/>
    <n v="5.7207358016144729"/>
    <n v="5.4158800371793223"/>
    <n v="3035.0618999999997"/>
    <n v="5.8864105614899449"/>
    <n v="2234.2943664601053"/>
    <n v="2148.5398549438301"/>
    <x v="5"/>
    <x v="2"/>
  </r>
  <r>
    <x v="289"/>
    <m/>
    <d v="1899-12-31T00:57:00"/>
    <n v="1.0395833333313931"/>
    <d v="1901-05-30T15:28:00"/>
    <n v="516.64444444444234"/>
    <n v="478.56111111111386"/>
    <n v="456.04166666666424"/>
    <n v="193040"/>
    <n v="6"/>
    <n v="0.24048096192429652"/>
    <n v="5.771543086183117"/>
    <n v="2106.6132264568378"/>
    <n v="13281"/>
    <n v="1.0710944556755173"/>
    <n v="25.706266936212415"/>
    <n v="9382.7874317175319"/>
    <n v="125142"/>
    <n v="4"/>
    <n v="0.16032064128286436"/>
    <n v="3.8476953907887443"/>
    <n v="1404.4088176378916"/>
    <n v="5710"/>
    <n v="0.46050367757753208"/>
    <n v="11.052088261860771"/>
    <n v="4034.0122155791814"/>
    <n v="10"/>
    <n v="0.40080160320716085"/>
    <n v="9.6192384769718604"/>
    <n v="3511.0220440947292"/>
    <n v="18991"/>
    <n v="34.311187471703171"/>
    <n v="32.483873915029868"/>
    <n v="1.5315981332530493"/>
    <n v="36.758355198073183"/>
    <n v="13416.799647296712"/>
    <n v="3157.8179"/>
    <n v="6.1121685018710732"/>
    <n v="5.7116891375767311"/>
    <n v="5.4070815897670457"/>
    <n v="3036.6608999999999"/>
    <n v="5.877660996171902"/>
    <n v="2230.9415031829417"/>
    <n v="2145.3462636027439"/>
    <x v="5"/>
    <x v="2"/>
  </r>
  <r>
    <x v="290"/>
    <m/>
    <d v="1899-12-30T22:54:00"/>
    <n v="0.95416666666278616"/>
    <d v="1901-05-31T14:22:00"/>
    <n v="517.59861111110513"/>
    <n v="479.51527777777665"/>
    <n v="456.99583333332703"/>
    <n v="193048"/>
    <n v="8"/>
    <n v="0.3493449781673596"/>
    <n v="8.3842794760166317"/>
    <n v="3060.2620087460705"/>
    <n v="13289"/>
    <n v="1.0697639472886395"/>
    <n v="25.674334734927349"/>
    <n v="9371.1321782484829"/>
    <n v="125145"/>
    <n v="3"/>
    <n v="0.13100436681275987"/>
    <n v="3.1441048035062367"/>
    <n v="1147.5982532797764"/>
    <n v="5713"/>
    <n v="0.45989626238693643"/>
    <n v="11.037510297286474"/>
    <n v="4028.6912585095629"/>
    <n v="11"/>
    <n v="0.4803493449801195"/>
    <n v="11.528384279522868"/>
    <n v="4207.8602620258471"/>
    <n v="19002"/>
    <n v="34.265852959151538"/>
    <n v="32.440120715907774"/>
    <n v="1.529660209675576"/>
    <n v="36.711845032213823"/>
    <n v="13399.823436758046"/>
    <n v="3159.6608999999999"/>
    <n v="6.1044617048281893"/>
    <n v="5.7041671595448085"/>
    <n v="5.3998249436994152"/>
    <n v="3038.4197999999997"/>
    <n v="5.8702240206509897"/>
    <n v="2228.1285222622892"/>
    <n v="2142.6317675376113"/>
    <x v="5"/>
    <x v="2"/>
  </r>
  <r>
    <x v="291"/>
    <m/>
    <d v="1899-12-31T00:54:00"/>
    <n v="1.0375000000058208"/>
    <d v="1901-06-01T15:16:00"/>
    <n v="518.63611111111095"/>
    <n v="480.55277777778247"/>
    <n v="458.03333333333285"/>
    <n v="193054"/>
    <n v="6"/>
    <n v="0.24096385542033485"/>
    <n v="5.7831325300880367"/>
    <n v="2110.8433734821333"/>
    <n v="13295"/>
    <n v="1.0681059831074027"/>
    <n v="25.634543594577668"/>
    <n v="9356.6084120208488"/>
    <n v="125148"/>
    <n v="3"/>
    <n v="0.12048192771016743"/>
    <n v="2.8915662650440184"/>
    <n v="1055.4216867410667"/>
    <n v="5716"/>
    <n v="0.45921728465151668"/>
    <n v="11.021214831636399"/>
    <n v="4022.7434135472859"/>
    <n v="9"/>
    <n v="0.3614457831305023"/>
    <n v="8.6746987951320538"/>
    <n v="3166.2650602231997"/>
    <n v="19011"/>
    <n v="34.210602373423789"/>
    <n v="32.386289207481298"/>
    <n v="1.5273232677589195"/>
    <n v="36.655758426214064"/>
    <n v="13379.351825568134"/>
    <n v="3161.1441"/>
    <n v="6.0951099090027814"/>
    <n v="5.69493846785236"/>
    <n v="5.3908318899643461"/>
    <n v="3039.8588999999997"/>
    <n v="5.8612557723516288"/>
    <n v="2224.7151167860152"/>
    <n v="2139.3583569083444"/>
    <x v="5"/>
    <x v="2"/>
  </r>
  <r>
    <x v="292"/>
    <m/>
    <d v="1899-12-30T22:34:00"/>
    <n v="0.94027777777228039"/>
    <d v="1901-06-02T13:50:00"/>
    <n v="519.57638888888323"/>
    <n v="481.49305555555475"/>
    <n v="458.97361111110513"/>
    <n v="193059"/>
    <n v="5"/>
    <n v="0.22156573116820824"/>
    <n v="5.317577548036998"/>
    <n v="1940.9158050335043"/>
    <n v="13300"/>
    <n v="1.0665739985832592"/>
    <n v="25.59777596599822"/>
    <n v="9343.1882275893513"/>
    <n v="125152"/>
    <n v="4"/>
    <n v="0.17725258493456661"/>
    <n v="4.2540620384295984"/>
    <n v="1552.7326440268034"/>
    <n v="5720"/>
    <n v="0.45870701292452953"/>
    <n v="11.008968310188708"/>
    <n v="4018.2734332188784"/>
    <n v="9"/>
    <n v="0.39881831610277485"/>
    <n v="9.5716395864665955"/>
    <n v="3493.6484490603075"/>
    <n v="19020"/>
    <n v="34.162486478690475"/>
    <n v="32.339549901501655"/>
    <n v="1.5252810115077886"/>
    <n v="36.60674427618693"/>
    <n v="13361.461660808229"/>
    <n v="3162.5820000000003"/>
    <n v="6.0868470308344804"/>
    <n v="5.6868035133770922"/>
    <n v="5.3829208045730761"/>
    <n v="3041.2979999999998"/>
    <n v="5.8534184097622894"/>
    <n v="2221.6991662545852"/>
    <n v="2136.4977195632355"/>
    <x v="5"/>
    <x v="2"/>
  </r>
  <r>
    <x v="293"/>
    <m/>
    <d v="1900-01-01T00:53:00"/>
    <n v="2.0368055555591127"/>
    <d v="1901-06-04T14:43:00"/>
    <n v="521.61319444444234"/>
    <n v="483.52986111111386"/>
    <n v="461.01041666666424"/>
    <n v="193069"/>
    <n v="10"/>
    <n v="0.20456870098839144"/>
    <n v="4.9096488237213949"/>
    <n v="1792.021820658309"/>
    <n v="13310"/>
    <n v="1.0632080231866194"/>
    <n v="25.516992556478868"/>
    <n v="9313.7022831147879"/>
    <n v="125157"/>
    <n v="5"/>
    <n v="0.10228435049419572"/>
    <n v="2.4548244118606974"/>
    <n v="896.01091032915451"/>
    <n v="5725"/>
    <n v="0.45731524663737017"/>
    <n v="10.975565919296884"/>
    <n v="4006.0815605433627"/>
    <n v="15"/>
    <n v="0.30685305148258718"/>
    <n v="7.3644732355820928"/>
    <n v="2688.0327309874638"/>
    <n v="19035"/>
    <n v="34.049603394022064"/>
    <n v="32.229206679169565"/>
    <n v="1.5205232698239897"/>
    <n v="36.492558475775752"/>
    <n v="13319.78384365815"/>
    <n v="3165.0540000000001"/>
    <n v="6.0678181336479096"/>
    <n v="5.6679610101064908"/>
    <n v="5.3645004767607665"/>
    <n v="3043.6964999999996"/>
    <n v="5.8351601002765419"/>
    <n v="2214.7536187814867"/>
    <n v="2129.8334366009381"/>
    <x v="5"/>
    <x v="2"/>
  </r>
  <r>
    <x v="294"/>
    <m/>
    <d v="1899-12-30T23:58:00"/>
    <n v="0.99861111111385981"/>
    <d v="1901-06-05T14:41:00"/>
    <n v="522.6118055555562"/>
    <n v="484.52847222222772"/>
    <n v="462.0090277777781"/>
    <n v="193077"/>
    <n v="8"/>
    <n v="0.33379694019379608"/>
    <n v="8.0111265646511072"/>
    <n v="2924.0611960976539"/>
    <n v="13318"/>
    <n v="1.061814258246174"/>
    <n v="25.483542197908179"/>
    <n v="9301.492902236485"/>
    <n v="125161"/>
    <n v="4"/>
    <n v="0.16689847009689804"/>
    <n v="4.0055632823255536"/>
    <n v="1462.030598048827"/>
    <n v="5729"/>
    <n v="0.45676031577506615"/>
    <n v="10.962247578601588"/>
    <n v="4001.2203661895796"/>
    <n v="12"/>
    <n v="0.5006954102906942"/>
    <n v="12.016689846976659"/>
    <n v="4386.0917941464804"/>
    <n v="19047"/>
    <n v="34.004193653336692"/>
    <n v="32.185518260375481"/>
    <n v="1.5185745740212402"/>
    <n v="36.445789776509763"/>
    <n v="13302.713268426063"/>
    <n v="3167.0315999999998"/>
    <n v="6.060007765483455"/>
    <n v="5.6603608605731441"/>
    <n v="5.3571857933271465"/>
    <n v="3045.6152999999999"/>
    <n v="5.8276817852639118"/>
    <n v="2211.9028344014614"/>
    <n v="2127.1038516213275"/>
    <x v="5"/>
    <x v="2"/>
  </r>
  <r>
    <x v="295"/>
    <m/>
    <d v="1899-12-31T00:39:00"/>
    <n v="1.0270833333270275"/>
    <d v="1901-06-06T15:20:00"/>
    <n v="523.63888888888323"/>
    <n v="485.55555555555475"/>
    <n v="463.03611111110513"/>
    <n v="193082"/>
    <n v="5"/>
    <n v="0.20283975659353742"/>
    <n v="4.8681541582448986"/>
    <n v="1776.8762677593879"/>
    <n v="13323"/>
    <n v="1.0601294361041969"/>
    <n v="25.443106466500726"/>
    <n v="9286.733860272765"/>
    <n v="125164"/>
    <n v="3"/>
    <n v="0.12170385395612246"/>
    <n v="2.9208924949469393"/>
    <n v="1066.1257606556328"/>
    <n v="5732"/>
    <n v="0.45610312450268381"/>
    <n v="10.946474988064413"/>
    <n v="3995.4633706435106"/>
    <n v="8"/>
    <n v="0.32454361054965991"/>
    <n v="7.7890466531918374"/>
    <n v="2843.0020284150205"/>
    <n v="19055"/>
    <n v="33.948741418764357"/>
    <n v="32.131403238288769"/>
    <n v="1.5162325606068807"/>
    <n v="36.389581454565139"/>
    <n v="13282.197230916276"/>
    <n v="3168.3348999999998"/>
    <n v="6.0506103867169498"/>
    <n v="5.6510717848970344"/>
    <n v="5.3481174374449525"/>
    <n v="3046.8944999999999"/>
    <n v="5.8186940745849656"/>
    <n v="2208.472791151687"/>
    <n v="2123.8233372235122"/>
    <x v="5"/>
    <x v="2"/>
  </r>
  <r>
    <x v="296"/>
    <m/>
    <d v="1899-12-31T01:02:00"/>
    <n v="1.0430555555576575"/>
    <d v="1901-06-07T16:22:00"/>
    <n v="524.68194444444089"/>
    <n v="486.5986111111124"/>
    <n v="464.07916666666279"/>
    <n v="193092"/>
    <n v="10"/>
    <n v="0.39946737683008715"/>
    <n v="9.5872170439220916"/>
    <n v="3499.3342210315636"/>
    <n v="13333"/>
    <n v="1.0588160552292334"/>
    <n v="25.411585325501601"/>
    <n v="9275.2286438080846"/>
    <n v="125166"/>
    <n v="2"/>
    <n v="7.989347536601743E-2"/>
    <n v="1.9174434087844183"/>
    <n v="699.86684420631263"/>
    <n v="5734"/>
    <n v="0.45535522843204262"/>
    <n v="10.928525482369022"/>
    <n v="3988.911801064693"/>
    <n v="12"/>
    <n v="0.47936085219610458"/>
    <n v="11.50466045270651"/>
    <n v="4199.2010652378758"/>
    <n v="19067"/>
    <n v="33.90063108140113"/>
    <n v="32.085042961420285"/>
    <n v="1.514171283661276"/>
    <n v="36.340110807870623"/>
    <n v="13264.140444872777"/>
    <n v="3170.4031000000004"/>
    <n v="6.0425237299846088"/>
    <n v="5.6432086678787705"/>
    <n v="5.3405536770845945"/>
    <n v="3048.8132999999998"/>
    <n v="5.810783718178512"/>
    <n v="2205.5211614443824"/>
    <n v="2120.9360571351567"/>
    <x v="5"/>
    <x v="2"/>
  </r>
  <r>
    <x v="297"/>
    <m/>
    <d v="1899-12-30T22:44:00"/>
    <n v="0.94722222222480923"/>
    <d v="1901-06-08T15:06:00"/>
    <n v="525.6291666666657"/>
    <n v="487.54583333333721"/>
    <n v="465.0263888888876"/>
    <n v="193098"/>
    <n v="6"/>
    <n v="0.26392961876760762"/>
    <n v="6.3343108504225825"/>
    <n v="2312.0234604042425"/>
    <n v="13339"/>
    <n v="1.0573836117034368"/>
    <n v="25.37720668088248"/>
    <n v="9262.6804385221058"/>
    <n v="125168"/>
    <n v="2"/>
    <n v="8.797653958920254E-2"/>
    <n v="2.111436950140861"/>
    <n v="770.67448680141422"/>
    <n v="5736"/>
    <n v="0.45469318515112928"/>
    <n v="10.912636443627102"/>
    <n v="3983.1123019238921"/>
    <n v="8"/>
    <n v="0.35190615835681016"/>
    <n v="8.4457478005634439"/>
    <n v="3082.6979472056569"/>
    <n v="19075"/>
    <n v="33.851176385125918"/>
    <n v="32.036891574253644"/>
    <n v="1.5120767968545659"/>
    <n v="36.289843124509581"/>
    <n v="13245.792740445997"/>
    <n v="3171.7516999999998"/>
    <n v="6.0342003472029662"/>
    <n v="5.6350109305962235"/>
    <n v="5.3325754392672007"/>
    <n v="3050.0924999999997"/>
    <n v="5.8027459156090817"/>
    <n v="2202.4831267290829"/>
    <n v="2118.0022591973147"/>
    <x v="5"/>
    <x v="2"/>
  </r>
  <r>
    <x v="298"/>
    <m/>
    <d v="1899-12-30T23:15:00"/>
    <n v="0.96875"/>
    <d v="1901-06-09T14:21:00"/>
    <n v="526.5979166666657"/>
    <n v="488.51458333333721"/>
    <n v="465.9951388888876"/>
    <n v="193106"/>
    <n v="8"/>
    <n v="0.34408602150537637"/>
    <n v="8.258064516129032"/>
    <n v="3014.1935483870966"/>
    <n v="13347"/>
    <n v="1.0560714017257018"/>
    <n v="25.345713641416847"/>
    <n v="9251.1854791171481"/>
    <n v="125171"/>
    <n v="3"/>
    <n v="0.12903225806451613"/>
    <n v="3.096774193548387"/>
    <n v="1130.3225806451612"/>
    <n v="5739"/>
    <n v="0.45409408664897005"/>
    <n v="10.898258079575282"/>
    <n v="3977.8641990449778"/>
    <n v="11"/>
    <n v="0.4731182795698925"/>
    <n v="11.35483870967742"/>
    <n v="4144.5161290322585"/>
    <n v="19086"/>
    <n v="33.80656496948631"/>
    <n v="31.993895978290276"/>
    <n v="1.510165488374672"/>
    <n v="36.243971720992128"/>
    <n v="13229.049678162128"/>
    <n v="3173.5947000000001"/>
    <n v="6.0265994216017233"/>
    <n v="5.6276090700123653"/>
    <n v="5.3254446085364053"/>
    <n v="3051.8513999999996"/>
    <n v="5.7954110781866399"/>
    <n v="2199.708788884629"/>
    <n v="2115.3250435381242"/>
    <x v="5"/>
    <x v="2"/>
  </r>
  <r>
    <x v="299"/>
    <m/>
    <d v="1899-12-31T01:13:00"/>
    <n v="1.0506944444423425"/>
    <d v="1901-06-10T15:34:00"/>
    <n v="527.64861111110804"/>
    <n v="489.56527777777956"/>
    <n v="467.04583333332994"/>
    <n v="193115"/>
    <n v="9"/>
    <n v="0.35690680766760097"/>
    <n v="8.5657633840224232"/>
    <n v="3126.5036351681842"/>
    <n v="13356"/>
    <n v="1.0546791714814476"/>
    <n v="25.312300115554745"/>
    <n v="9238.9895421774818"/>
    <n v="125174"/>
    <n v="3"/>
    <n v="0.11896893588920032"/>
    <n v="2.8552544613408077"/>
    <n v="1042.1678783893949"/>
    <n v="5742"/>
    <n v="0.45342675970698354"/>
    <n v="10.882242232967606"/>
    <n v="3972.0184150331761"/>
    <n v="12"/>
    <n v="0.47587574355680129"/>
    <n v="11.421017845363231"/>
    <n v="4168.6715135575796"/>
    <n v="19098"/>
    <n v="33.758521590867055"/>
    <n v="31.947613992202996"/>
    <n v="1.5081059311884313"/>
    <n v="36.194542348522347"/>
    <n v="13211.007957210657"/>
    <n v="3175.6176"/>
    <n v="6.0184325953457378"/>
    <n v="5.6196632499921781"/>
    <n v="5.3177954340670022"/>
    <n v="3053.7701999999999"/>
    <n v="5.7875073215287234"/>
    <n v="2196.7278973011944"/>
    <n v="2112.440172357984"/>
    <x v="5"/>
    <x v="2"/>
  </r>
  <r>
    <x v="300"/>
    <m/>
    <d v="1899-12-30T23:08:00"/>
    <n v="0.96388888888759539"/>
    <d v="1901-06-11T14:42:00"/>
    <n v="528.61249999999563"/>
    <n v="490.52916666666715"/>
    <n v="468.00972222221753"/>
    <n v="193124"/>
    <n v="9"/>
    <n v="0.38904899135498894"/>
    <n v="9.3371757925197354"/>
    <n v="3408.0691642697034"/>
    <n v="13365"/>
    <n v="1.0534654401853998"/>
    <n v="25.283170564449591"/>
    <n v="9228.3572560241009"/>
    <n v="125176"/>
    <n v="2"/>
    <n v="8.6455331412219769E-2"/>
    <n v="2.0749279538932743"/>
    <n v="757.34870317104514"/>
    <n v="5744"/>
    <n v="0.45275761230265138"/>
    <n v="10.866182695263634"/>
    <n v="3966.1566837712262"/>
    <n v="11"/>
    <n v="0.47550432276720872"/>
    <n v="11.41210374641301"/>
    <n v="4165.4178674407485"/>
    <n v="19109"/>
    <n v="33.714610921878553"/>
    <n v="31.905320105529942"/>
    <n v="1.5062230524880511"/>
    <n v="36.149353259713223"/>
    <n v="13194.513939795326"/>
    <n v="3177.5059000000001"/>
    <n v="6.0110305753269673"/>
    <n v="5.6124701385408562"/>
    <n v="5.3108779197963534"/>
    <n v="3055.5290999999997"/>
    <n v="5.7802815862281447"/>
    <n v="2194.0261599943428"/>
    <n v="2109.8027789732723"/>
    <x v="5"/>
    <x v="2"/>
  </r>
  <r>
    <x v="301"/>
    <m/>
    <d v="1899-12-31T00:03:00"/>
    <n v="1.0020833333328483"/>
    <d v="1901-06-12T14:45:00"/>
    <n v="529.61458333332848"/>
    <n v="491.53125"/>
    <n v="469.01180555555038"/>
    <n v="193129"/>
    <n v="5"/>
    <n v="0.20790020790030853"/>
    <n v="4.9896049896074048"/>
    <n v="1821.2058212067027"/>
    <n v="13370"/>
    <n v="1.0518655468796194"/>
    <n v="25.244773125110864"/>
    <n v="9214.3421906654658"/>
    <n v="125178"/>
    <n v="2"/>
    <n v="8.316008316012341E-2"/>
    <n v="1.9958419958429618"/>
    <n v="728.48232848268105"/>
    <n v="5746"/>
    <n v="0.45205829711071749"/>
    <n v="10.84939913065722"/>
    <n v="3960.0306826898855"/>
    <n v="7"/>
    <n v="0.29106029106043196"/>
    <n v="6.9854469854503671"/>
    <n v="2549.6881496893839"/>
    <n v="19116"/>
    <n v="33.660118252908639"/>
    <n v="31.852076691981274"/>
    <n v="1.5039238439903369"/>
    <n v="36.094172255768086"/>
    <n v="13174.372873355351"/>
    <n v="3178.6745999999998"/>
    <n v="6.0018638081939066"/>
    <n v="5.603405683768834"/>
    <n v="5.3020226155170214"/>
    <n v="3056.6483999999996"/>
    <n v="5.7714581436973162"/>
    <n v="2190.6802899907761"/>
    <n v="2106.5822224495205"/>
    <x v="5"/>
    <x v="2"/>
  </r>
  <r>
    <x v="302"/>
    <m/>
    <d v="1899-12-31T00:00:00"/>
    <n v="1"/>
    <d v="1901-06-13T14:45:00"/>
    <n v="530.61458333332848"/>
    <n v="492.53125"/>
    <n v="470.01180555555038"/>
    <n v="193134"/>
    <n v="5"/>
    <n v="0.20833333333333334"/>
    <n v="5"/>
    <n v="1825"/>
    <n v="13375"/>
    <n v="1.0502758200985589"/>
    <n v="25.206619682365414"/>
    <n v="9200.4161840633769"/>
    <n v="125180"/>
    <n v="2"/>
    <n v="8.3333333333333329E-2"/>
    <n v="2"/>
    <n v="730"/>
    <n v="5748"/>
    <n v="0.4513633954337582"/>
    <n v="10.832721490410197"/>
    <n v="3953.9433439997219"/>
    <n v="7"/>
    <n v="0.29166666666666669"/>
    <n v="7"/>
    <n v="2555"/>
    <n v="19123"/>
    <n v="33.605989467673368"/>
    <n v="31.799201261197986"/>
    <n v="1.5016392155323171"/>
    <n v="36.039341172775607"/>
    <n v="13154.359528063096"/>
    <n v="3179.8433"/>
    <n v="5.99275519346675"/>
    <n v="5.5944017765370218"/>
    <n v="5.2932285329713045"/>
    <n v="3057.7676999999999"/>
    <n v="5.7626906535268194"/>
    <n v="2187.3556456153642"/>
    <n v="2103.3820885372888"/>
    <x v="6"/>
    <x v="2"/>
  </r>
  <r>
    <x v="303"/>
    <m/>
    <d v="1899-12-30T23:33:00"/>
    <n v="0.98125000000436557"/>
    <d v="1901-06-14T14:18:00"/>
    <n v="531.59583333333285"/>
    <n v="493.51250000000437"/>
    <n v="470.99305555555475"/>
    <n v="193142"/>
    <n v="8"/>
    <n v="0.33970276008341438"/>
    <n v="8.1528662420019451"/>
    <n v="2975.7961783307101"/>
    <n v="13383"/>
    <n v="1.0489642036948505"/>
    <n v="25.175140888676413"/>
    <n v="9188.9264243668913"/>
    <n v="125182"/>
    <n v="2"/>
    <n v="8.4925690020853595E-2"/>
    <n v="2.0382165605004863"/>
    <n v="743.94904458267752"/>
    <n v="5750"/>
    <n v="0.45068700375441911"/>
    <n v="10.816488090106059"/>
    <n v="3948.0181528887115"/>
    <n v="10"/>
    <n v="0.42462845010426792"/>
    <n v="10.19108280250243"/>
    <n v="3719.7452229133874"/>
    <n v="19133"/>
    <n v="33.559433651629604"/>
    <n v="31.754183684001056"/>
    <n v="1.4996512074492696"/>
    <n v="35.991628978782472"/>
    <n v="13136.944577255603"/>
    <n v="3181.5517"/>
    <n v="5.9849071428011626"/>
    <n v="5.5867401534915038"/>
    <n v="5.2858280406351916"/>
    <n v="3059.3666999999996"/>
    <n v="5.7550614737073165"/>
    <n v="2184.4911071224242"/>
    <n v="2100.5974379031709"/>
    <x v="6"/>
    <x v="2"/>
  </r>
  <r>
    <x v="304"/>
    <m/>
    <d v="1899-12-31T00:07:00"/>
    <n v="1.0048611111124046"/>
    <d v="1901-06-15T14:25:00"/>
    <n v="532.60069444444525"/>
    <n v="494.51736111111677"/>
    <n v="471.99791666666715"/>
    <n v="193149"/>
    <n v="7"/>
    <n v="0.2902557014509049"/>
    <n v="6.9661368348217172"/>
    <n v="2542.6399447099266"/>
    <n v="13390"/>
    <n v="1.0475327435474497"/>
    <n v="25.14078584513879"/>
    <n v="9176.3868334756589"/>
    <n v="125187"/>
    <n v="5"/>
    <n v="0.20732550103636063"/>
    <n v="4.9758120248726554"/>
    <n v="1816.1713890785193"/>
    <n v="5755"/>
    <n v="0.45022785206240273"/>
    <n v="10.805468449497665"/>
    <n v="3943.9959840666479"/>
    <n v="12"/>
    <n v="0.49758120248726551"/>
    <n v="11.941948859694373"/>
    <n v="4358.8113337884461"/>
    <n v="19145"/>
    <n v="33.515506842389435"/>
    <n v="31.712004378550368"/>
    <n v="1.4977605956098523"/>
    <n v="35.946254294636461"/>
    <n v="13120.382817542308"/>
    <n v="3183.4839999999999"/>
    <n v="5.977243426842854"/>
    <n v="5.5792953230211193"/>
    <n v="5.2786686381913706"/>
    <n v="3061.2855"/>
    <n v="5.7478060617123692"/>
    <n v="2181.693850797642"/>
    <n v="2097.9492125250149"/>
    <x v="6"/>
    <x v="2"/>
  </r>
  <r>
    <x v="305"/>
    <m/>
    <d v="1899-12-31T00:55:00"/>
    <n v="1.0381944444379769"/>
    <d v="1901-06-16T15:20:00"/>
    <n v="533.63888888888323"/>
    <n v="495.55555555555475"/>
    <n v="473.03611111110513"/>
    <n v="193160"/>
    <n v="11"/>
    <n v="0.44147157190910469"/>
    <n v="10.595317725818512"/>
    <n v="3867.2909699237571"/>
    <n v="13401"/>
    <n v="1.0463536515538083"/>
    <n v="25.112487637291402"/>
    <n v="9166.0579876113625"/>
    <n v="125190"/>
    <n v="3"/>
    <n v="0.1204013377933922"/>
    <n v="2.8896321070414124"/>
    <n v="1054.7157190701155"/>
    <n v="5758"/>
    <n v="0.44958617458748068"/>
    <n v="10.790068190099536"/>
    <n v="3938.3748893863308"/>
    <n v="14"/>
    <n v="0.56187290970249693"/>
    <n v="13.484949832859925"/>
    <n v="4922.0066889938726"/>
    <n v="19159"/>
    <n v="33.473542600896913"/>
    <n v="31.672000610712526"/>
    <n v="1.4959398261412891"/>
    <n v="35.902555827390941"/>
    <n v="13104.432876997693"/>
    <n v="3185.8667"/>
    <n v="5.9700797043361211"/>
    <n v="5.5724147757847629"/>
    <n v="5.2721203337777318"/>
    <n v="3063.5240999999996"/>
    <n v="5.7408186767998099"/>
    <n v="2179.0790920826844"/>
    <n v="2095.3988170319308"/>
    <x v="6"/>
    <x v="2"/>
  </r>
  <r>
    <x v="306"/>
    <m/>
    <d v="1899-12-31T00:00:00"/>
    <n v="1"/>
    <d v="1901-06-17T15:20:00"/>
    <n v="534.63888888888323"/>
    <n v="496.55555555555475"/>
    <n v="474.03611111110513"/>
    <n v="193170"/>
    <n v="10"/>
    <n v="0.41666666666666669"/>
    <n v="10"/>
    <n v="3650"/>
    <n v="13411"/>
    <n v="1.0451758715644106"/>
    <n v="25.084220917545856"/>
    <n v="9155.7406349042376"/>
    <n v="125195"/>
    <n v="5"/>
    <n v="0.20833333333333334"/>
    <n v="5"/>
    <n v="1825"/>
    <n v="5763"/>
    <n v="0.44913493011898431"/>
    <n v="10.779238322855624"/>
    <n v="3934.4219878423028"/>
    <n v="15"/>
    <n v="0.625"/>
    <n v="15"/>
    <n v="5475"/>
    <n v="19174"/>
    <n v="33.436339225777637"/>
    <n v="31.636830293051212"/>
    <n v="1.494310801683395"/>
    <n v="35.863459240401482"/>
    <n v="13090.16262274654"/>
    <n v="3188.3386999999998"/>
    <n v="5.9635368213228661"/>
    <n v="5.5661709330946607"/>
    <n v="5.2662133569290388"/>
    <n v="3065.9225999999999"/>
    <n v="5.7345671325401968"/>
    <n v="2176.6909397828463"/>
    <n v="2093.1170033771718"/>
    <x v="6"/>
    <x v="2"/>
  </r>
  <r>
    <x v="307"/>
    <m/>
    <d v="1899-12-31T23:18:00"/>
    <n v="1.9708333333401242"/>
    <d v="1901-06-19T14:38:00"/>
    <n v="536.60972222222335"/>
    <n v="498.52638888889487"/>
    <n v="476.00694444444525"/>
    <n v="193180"/>
    <n v="10"/>
    <n v="0.21141649048552946"/>
    <n v="5.0739957716527071"/>
    <n v="1852.008456653238"/>
    <n v="13421"/>
    <n v="1.042113681834768"/>
    <n v="25.010728364034435"/>
    <n v="9128.9158528725693"/>
    <n v="125201"/>
    <n v="6"/>
    <n v="0.12684989429131768"/>
    <n v="3.0443974629916242"/>
    <n v="1111.2050739919428"/>
    <n v="5769"/>
    <n v="0.44795125776803346"/>
    <n v="10.750830186432802"/>
    <n v="3924.0530180479727"/>
    <n v="16"/>
    <n v="0.33826638477684712"/>
    <n v="8.1183932346443317"/>
    <n v="2963.213530645181"/>
    <n v="19190"/>
    <n v="33.336249334844794"/>
    <n v="31.539455831935172"/>
    <n v="1.4900649396028014"/>
    <n v="35.761558550467235"/>
    <n v="13052.96887092054"/>
    <n v="3190.9452999999999"/>
    <n v="5.9464917757836497"/>
    <n v="5.5493946993778218"/>
    <n v="5.2498853833248136"/>
    <n v="3068.4809999999998"/>
    <n v="5.7182732122197102"/>
    <n v="2170.4694981610323"/>
    <n v="2087.1697224601944"/>
    <x v="6"/>
    <x v="2"/>
  </r>
  <r>
    <x v="308"/>
    <m/>
    <d v="1899-12-31T01:07:00"/>
    <n v="1.046527777776646"/>
    <d v="1901-06-20T15:45:00"/>
    <n v="537.65625"/>
    <n v="499.57291666667152"/>
    <n v="477.0534722222219"/>
    <n v="193188"/>
    <n v="8"/>
    <n v="0.3185136031854805"/>
    <n v="7.644326476451532"/>
    <n v="2790.1791639048092"/>
    <n v="13429"/>
    <n v="1.0407052213503827"/>
    <n v="24.976925312409183"/>
    <n v="9116.5777390293515"/>
    <n v="125205"/>
    <n v="4"/>
    <n v="0.15925680159274025"/>
    <n v="3.822163238225766"/>
    <n v="1395.0895819524046"/>
    <n v="5773"/>
    <n v="0.44738932480867966"/>
    <n v="10.737343795408311"/>
    <n v="3919.1304853240335"/>
    <n v="12"/>
    <n v="0.47777040477822075"/>
    <n v="11.466489714677298"/>
    <n v="4185.2687458572136"/>
    <n v="19202"/>
    <n v="33.290435580391261"/>
    <n v="31.495421110782793"/>
    <n v="1.4880945461590622"/>
    <n v="35.714269107817493"/>
    <n v="13035.708224353386"/>
    <n v="3192.9229"/>
    <n v="5.9385953385643706"/>
    <n v="5.5417281594694927"/>
    <n v="5.2425139855915326"/>
    <n v="3070.3997999999997"/>
    <n v="5.7107116303400165"/>
    <n v="2167.5872985759952"/>
    <n v="2084.409745074106"/>
    <x v="6"/>
    <x v="2"/>
  </r>
  <r>
    <x v="309"/>
    <m/>
    <d v="1899-12-30T22:55:00"/>
    <n v="0.95486111110949423"/>
    <d v="1901-06-21T14:40:00"/>
    <n v="538.61111111110949"/>
    <n v="500.52777777778101"/>
    <n v="478.00833333333139"/>
    <n v="193197"/>
    <n v="9"/>
    <n v="0.39272727272793773"/>
    <n v="9.4254545454705063"/>
    <n v="3440.2909090967346"/>
    <n v="13438"/>
    <n v="1.0395564724084612"/>
    <n v="24.949355337803066"/>
    <n v="9106.5146982981187"/>
    <n v="125208"/>
    <n v="3"/>
    <n v="0.13090909090931258"/>
    <n v="3.1418181818235018"/>
    <n v="1146.7636363655781"/>
    <n v="5776"/>
    <n v="0.44682826199071818"/>
    <n v="10.723878287777238"/>
    <n v="3914.2155750386919"/>
    <n v="12"/>
    <n v="0.5236363636372503"/>
    <n v="12.567272727294007"/>
    <n v="4587.0545454623125"/>
    <n v="19214"/>
    <n v="33.250901825850278"/>
    <n v="31.457610571642881"/>
    <n v="1.4863847343991794"/>
    <n v="35.673233625580302"/>
    <n v="13020.730273336811"/>
    <n v="3194.9458"/>
    <n v="5.931823042805588"/>
    <n v="5.535197691325787"/>
    <n v="5.2362735656631019"/>
    <n v="3072.3185999999996"/>
    <n v="5.7041500567302901"/>
    <n v="2165.1154106240397"/>
    <n v="2082.0147707065557"/>
    <x v="6"/>
    <x v="2"/>
  </r>
  <r>
    <x v="310"/>
    <m/>
    <d v="1899-12-31T00:21:00"/>
    <n v="1.0145833333299379"/>
    <d v="1901-06-22T15:01:00"/>
    <n v="539.62569444443943"/>
    <n v="501.54236111111095"/>
    <n v="479.02291666666133"/>
    <n v="193204"/>
    <n v="7"/>
    <n v="0.28747433264983269"/>
    <n v="6.8993839835959854"/>
    <n v="2518.2751540125346"/>
    <n v="13445"/>
    <n v="1.0381424366941687"/>
    <n v="24.915418480660051"/>
    <n v="9094.1277454409192"/>
    <n v="125212"/>
    <n v="4"/>
    <n v="0.16427104722847582"/>
    <n v="3.94250513348342"/>
    <n v="1439.0143737214482"/>
    <n v="5780"/>
    <n v="0.4462970088577386"/>
    <n v="10.711128212585727"/>
    <n v="3909.5617975937903"/>
    <n v="11"/>
    <n v="0.45174537987830854"/>
    <n v="10.841889117079406"/>
    <n v="3957.289527733983"/>
    <n v="19225"/>
    <n v="33.205570040195461"/>
    <n v="31.413945922907658"/>
    <n v="1.4844394455519074"/>
    <n v="35.626546693245778"/>
    <n v="13003.689543034709"/>
    <n v="3196.7435"/>
    <n v="5.9240016420847823"/>
    <n v="5.5275847365280173"/>
    <n v="5.2289358459712405"/>
    <n v="3074.0774999999999"/>
    <n v="5.6966848162499995"/>
    <n v="2162.2605993609459"/>
    <n v="2079.2899579312498"/>
    <x v="6"/>
    <x v="2"/>
  </r>
  <r>
    <x v="311"/>
    <m/>
    <d v="1899-12-30T23:41:00"/>
    <n v="0.98680555555620231"/>
    <d v="1901-06-23T14:42:00"/>
    <n v="540.61249999999563"/>
    <n v="502.52916666666715"/>
    <n v="480.00972222221753"/>
    <n v="193211"/>
    <n v="7"/>
    <n v="0.29556650246286048"/>
    <n v="7.0935960591086511"/>
    <n v="2589.1625615746575"/>
    <n v="13452"/>
    <n v="1.0367869777335976"/>
    <n v="24.882887465606341"/>
    <n v="9082.2539249463152"/>
    <n v="125215"/>
    <n v="3"/>
    <n v="0.12667135819836878"/>
    <n v="3.0401125967608507"/>
    <n v="1109.6410978177105"/>
    <n v="5783"/>
    <n v="0.44571358104619352"/>
    <n v="10.697125945108644"/>
    <n v="3904.4509699646551"/>
    <n v="10"/>
    <n v="0.42223786066122926"/>
    <n v="10.133708655869501"/>
    <n v="3698.803659392368"/>
    <n v="19235"/>
    <n v="33.160264329599414"/>
    <n v="31.370197941592924"/>
    <n v="1.482500558779791"/>
    <n v="35.580013410714983"/>
    <n v="12986.704894910969"/>
    <n v="3198.4065999999998"/>
    <n v="5.9162646072742042"/>
    <n v="5.5200397986849792"/>
    <n v="5.2216509040616002"/>
    <n v="3075.6764999999996"/>
    <n v="5.6892441443733253"/>
    <n v="2159.4365816550844"/>
    <n v="2076.5741126962639"/>
    <x v="6"/>
    <x v="2"/>
  </r>
  <r>
    <x v="312"/>
    <m/>
    <d v="1899-12-31T00:47:00"/>
    <n v="1.0326388888934162"/>
    <d v="1901-06-24T15:29:00"/>
    <n v="541.64513888888905"/>
    <n v="503.56180555556057"/>
    <n v="481.04236111111095"/>
    <n v="193217"/>
    <n v="6"/>
    <n v="0.24209818426255664"/>
    <n v="5.8103564223013588"/>
    <n v="2120.780094139996"/>
    <n v="13458"/>
    <n v="1.035271914653018"/>
    <n v="24.846525951672429"/>
    <n v="9068.981972360436"/>
    <n v="125218"/>
    <n v="3"/>
    <n v="0.12104909213127832"/>
    <n v="2.9051782111506794"/>
    <n v="1060.390047069998"/>
    <n v="5786"/>
    <n v="0.44509461273460854"/>
    <n v="10.682270705630605"/>
    <n v="3899.0288075551712"/>
    <n v="9"/>
    <n v="0.36314727639383493"/>
    <n v="8.7155346334520392"/>
    <n v="3181.1701412099942"/>
    <n v="19244"/>
    <n v="33.110136265408997"/>
    <n v="31.321565870411632"/>
    <n v="1.4803665273876265"/>
    <n v="35.528796657303033"/>
    <n v="12968.010779915607"/>
    <n v="3199.8897999999999"/>
    <n v="5.9077236556837498"/>
    <n v="5.5116654388391035"/>
    <n v="5.2135250504907615"/>
    <n v="3077.1155999999996"/>
    <n v="5.6810545855027552"/>
    <n v="2156.3191343245685"/>
    <n v="2073.5849237085054"/>
    <x v="6"/>
    <x v="2"/>
  </r>
  <r>
    <x v="313"/>
    <m/>
    <d v="1899-12-30T23:34:00"/>
    <n v="0.98194444444379769"/>
    <d v="1901-06-25T15:03:00"/>
    <n v="542.62708333333285"/>
    <n v="504.54375000000437"/>
    <n v="482.02430555555475"/>
    <n v="193223"/>
    <n v="6"/>
    <n v="0.25459688826042226"/>
    <n v="6.1103253182501351"/>
    <n v="2230.2687411612992"/>
    <n v="13464"/>
    <n v="1.0338591958105061"/>
    <n v="24.812620699452147"/>
    <n v="9056.6065553000335"/>
    <n v="125221"/>
    <n v="3"/>
    <n v="0.12729844413021113"/>
    <n v="3.0551626591250676"/>
    <n v="1115.1343705806496"/>
    <n v="5789"/>
    <n v="0.44451952499606506"/>
    <n v="10.668468599905562"/>
    <n v="3893.9910389655302"/>
    <n v="9"/>
    <n v="0.38189533239063345"/>
    <n v="9.1654879773752018"/>
    <n v="3345.4031117419486"/>
    <n v="19253"/>
    <n v="33.063535124555315"/>
    <n v="31.276431138932363"/>
    <n v="1.4783787208065713"/>
    <n v="35.481089299357706"/>
    <n v="12950.597594265562"/>
    <n v="3201.373"/>
    <n v="5.8997663373787299"/>
    <n v="5.5038783058951299"/>
    <n v="5.2059814641666096"/>
    <n v="3078.5546999999997"/>
    <n v="5.6734261789672971"/>
    <n v="2153.4147131432364"/>
    <n v="2070.8005553230632"/>
    <x v="6"/>
    <x v="2"/>
  </r>
  <r>
    <x v="314"/>
    <m/>
    <d v="1899-12-30T23:40:00"/>
    <n v="0.98611111110949423"/>
    <d v="1901-06-26T14:43:00"/>
    <n v="543.61319444444234"/>
    <n v="505.52986111111386"/>
    <n v="483.01041666666424"/>
    <n v="193228"/>
    <n v="5"/>
    <n v="0.21126760563414923"/>
    <n v="5.0704225352195813"/>
    <n v="1850.7042253551472"/>
    <n v="13469"/>
    <n v="1.0323670195438739"/>
    <n v="24.776808469052973"/>
    <n v="9043.5350912043359"/>
    <n v="125224"/>
    <n v="3"/>
    <n v="0.12676056338048952"/>
    <n v="3.042253521131749"/>
    <n v="1110.4225352130884"/>
    <n v="5792"/>
    <n v="0.44394311212399717"/>
    <n v="10.654634690975932"/>
    <n v="3888.9416622062154"/>
    <n v="8"/>
    <n v="0.33802816901463878"/>
    <n v="8.1126760563513294"/>
    <n v="2961.1267605682351"/>
    <n v="19261"/>
    <n v="33.01486476647834"/>
    <n v="31.229140158295571"/>
    <n v="1.4763101316678711"/>
    <n v="35.431443160028905"/>
    <n v="12932.47675341055"/>
    <n v="3202.6763000000001"/>
    <n v="5.8914616729879903"/>
    <n v="5.4957202605077162"/>
    <n v="5.1980512497574072"/>
    <n v="3079.8338999999996"/>
    <n v="5.6654877612886212"/>
    <n v="2150.3835106406168"/>
    <n v="2067.903032870347"/>
    <x v="6"/>
    <x v="2"/>
  </r>
  <r>
    <x v="315"/>
    <m/>
    <d v="1899-12-30T23:24:00"/>
    <n v="0.97499999999854481"/>
    <d v="1901-06-27T14:07:00"/>
    <n v="544.58819444444089"/>
    <n v="506.5048611111124"/>
    <n v="483.98541666666279"/>
    <n v="193235"/>
    <n v="7"/>
    <n v="0.29914529914574561"/>
    <n v="7.1794871794978947"/>
    <n v="2620.5128205167316"/>
    <n v="13476"/>
    <n v="1.0310543007139763"/>
    <n v="24.745303217135433"/>
    <n v="9032.0356742544336"/>
    <n v="125228"/>
    <n v="4"/>
    <n v="0.17094017094042607"/>
    <n v="4.1025641025702253"/>
    <n v="1497.4358974381323"/>
    <n v="5796"/>
    <n v="0.44345434304973341"/>
    <n v="10.642904233193601"/>
    <n v="3884.6600451156642"/>
    <n v="11"/>
    <n v="0.47008547008617169"/>
    <n v="11.282051282068121"/>
    <n v="4117.9487179548642"/>
    <n v="19272"/>
    <n v="32.973030038375661"/>
    <n v="31.188956278813748"/>
    <n v="1.4745086437637098"/>
    <n v="35.388207450329034"/>
    <n v="12916.695719370098"/>
    <n v="3204.4740000000002"/>
    <n v="5.8842149585505235"/>
    <n v="5.4886904617291297"/>
    <n v="5.1912940214280292"/>
    <n v="3081.5927999999999"/>
    <n v="5.6585743713076129"/>
    <n v="2147.7384598709414"/>
    <n v="2065.3796455272786"/>
    <x v="6"/>
    <x v="2"/>
  </r>
  <r>
    <x v="316"/>
    <m/>
    <d v="1899-12-31T00:37:00"/>
    <n v="1.0256944444481633"/>
    <d v="1901-06-28T14:44:00"/>
    <n v="545.61388888888905"/>
    <n v="507.53055555556057"/>
    <n v="485.01111111111095"/>
    <n v="193247"/>
    <n v="12"/>
    <n v="0.48747461069559211"/>
    <n v="11.699390656694209"/>
    <n v="4270.2775896933863"/>
    <n v="13488"/>
    <n v="1.0300324303409509"/>
    <n v="24.720778328182824"/>
    <n v="9023.0840897867311"/>
    <n v="125232"/>
    <n v="4"/>
    <n v="0.16249153689853069"/>
    <n v="3.8997968855647369"/>
    <n v="1423.4258632311289"/>
    <n v="5800"/>
    <n v="0.44292616369940063"/>
    <n v="10.630227928785615"/>
    <n v="3880.0331940067495"/>
    <n v="16"/>
    <n v="0.64996614759412275"/>
    <n v="15.599187542258948"/>
    <n v="5693.7034529245157"/>
    <n v="19288"/>
    <n v="32.93791835193251"/>
    <n v="31.155987262605677"/>
    <n v="1.4729585940403516"/>
    <n v="35.351006256968439"/>
    <n v="12903.117283793481"/>
    <n v="3207.1711999999998"/>
    <n v="5.8780967004546332"/>
    <n v="5.482912446431742"/>
    <n v="5.1858766580376177"/>
    <n v="3084.1511999999998"/>
    <n v="5.6526259004892534"/>
    <n v="2145.5052956659415"/>
    <n v="2063.2084536785774"/>
    <x v="6"/>
    <x v="2"/>
  </r>
  <r>
    <x v="317"/>
    <m/>
    <d v="1899-12-30T23:50:00"/>
    <n v="0.99305555555474712"/>
    <d v="1901-06-29T14:34:00"/>
    <n v="546.6069444444438"/>
    <n v="508.52361111111531"/>
    <n v="486.0041666666657"/>
    <n v="193257"/>
    <n v="10"/>
    <n v="0.41958041958076114"/>
    <n v="10.069930069938268"/>
    <n v="3675.524475527468"/>
    <n v="13498"/>
    <n v="1.0289233833980858"/>
    <n v="24.69416120155406"/>
    <n v="9013.3688385672322"/>
    <n v="125237"/>
    <n v="5"/>
    <n v="0.20979020979038057"/>
    <n v="5.0349650349691339"/>
    <n v="1837.762237763734"/>
    <n v="5805"/>
    <n v="0.44250261080351816"/>
    <n v="10.620062659284436"/>
    <n v="3876.322870638819"/>
    <n v="15"/>
    <n v="0.62937062937114174"/>
    <n v="15.104895104907401"/>
    <n v="5513.2867132912015"/>
    <n v="19303"/>
    <n v="32.90309365073702"/>
    <n v="31.123189958933885"/>
    <n v="1.4714259942016041"/>
    <n v="35.314223860838496"/>
    <n v="12889.69170920605"/>
    <n v="3209.6432"/>
    <n v="5.8719400340992607"/>
    <n v="5.4770664314177022"/>
    <n v="5.1803666978163871"/>
    <n v="3086.5496999999996"/>
    <n v="5.6467443953480752"/>
    <n v="2143.2581124462304"/>
    <n v="2061.0617043020475"/>
    <x v="6"/>
    <x v="2"/>
  </r>
  <r>
    <x v="318"/>
    <m/>
    <d v="1899-12-31T01:05:00"/>
    <n v="1.0451388888905058"/>
    <d v="1901-06-30T15:39:00"/>
    <n v="547.6520833333343"/>
    <n v="509.56875000000582"/>
    <n v="487.0493055555562"/>
    <n v="193268"/>
    <n v="11"/>
    <n v="0.43853820597938803"/>
    <n v="10.524916943505312"/>
    <n v="3841.5946843794391"/>
    <n v="13509"/>
    <n v="1.0277966926995146"/>
    <n v="24.667120624788353"/>
    <n v="9003.4990280477487"/>
    <n v="125240"/>
    <n v="3"/>
    <n v="0.11960132890346946"/>
    <n v="2.8704318936832669"/>
    <n v="1047.7076411943924"/>
    <n v="5808"/>
    <n v="0.44188638620170118"/>
    <n v="10.605273268840829"/>
    <n v="3870.9247431269027"/>
    <n v="14"/>
    <n v="0.5581395348828575"/>
    <n v="13.395348837188578"/>
    <n v="4889.3023255738308"/>
    <n v="19317"/>
    <n v="32.863082753798793"/>
    <n v="31.085148520498254"/>
    <n v="1.4696830789012159"/>
    <n v="35.272393893629179"/>
    <n v="12874.42377117465"/>
    <n v="3212.0259000000001"/>
    <n v="5.8650847823854004"/>
    <n v="5.4705087390071867"/>
    <n v="5.1741424764490178"/>
    <n v="3088.7882999999997"/>
    <n v="5.640055783591305"/>
    <n v="2140.7559455706714"/>
    <n v="2058.6203610108264"/>
    <x v="6"/>
    <x v="2"/>
  </r>
  <r>
    <x v="319"/>
    <m/>
    <d v="1899-12-31T00:22:00"/>
    <n v="1.015277777776646"/>
    <d v="1901-07-01T16:01:00"/>
    <n v="548.66736111111095"/>
    <n v="510.58402777778247"/>
    <n v="488.06458333333285"/>
    <n v="193274"/>
    <n v="6"/>
    <n v="0.24623803009603373"/>
    <n v="5.9097127223048096"/>
    <n v="2157.0451436412554"/>
    <n v="13515"/>
    <n v="1.0263504628006499"/>
    <n v="24.632411107215596"/>
    <n v="8990.8300541336921"/>
    <n v="125244"/>
    <n v="4"/>
    <n v="0.16415868673068915"/>
    <n v="3.9398084815365397"/>
    <n v="1438.030095760837"/>
    <n v="5812"/>
    <n v="0.44137246687364978"/>
    <n v="10.592939204967594"/>
    <n v="3866.4228098131721"/>
    <n v="10"/>
    <n v="0.41039671682672291"/>
    <n v="9.8495212038413502"/>
    <n v="3595.0752394020928"/>
    <n v="19327"/>
    <n v="32.817321123277644"/>
    <n v="31.04097391482517"/>
    <n v="1.4677229296742997"/>
    <n v="35.225350312183188"/>
    <n v="12857.252863946864"/>
    <n v="3213.6437000000001"/>
    <n v="5.857180375176724"/>
    <n v="5.4627993596656923"/>
    <n v="5.1666938887015519"/>
    <n v="3090.3872999999999"/>
    <n v="5.6325335149180917"/>
    <n v="2137.8708369395044"/>
    <n v="2055.8747329451035"/>
    <x v="6"/>
    <x v="2"/>
  </r>
  <r>
    <x v="320"/>
    <m/>
    <d v="1899-12-30T22:31:00"/>
    <n v="0.93819444443943212"/>
    <d v="1901-07-02T14:32:00"/>
    <n v="549.60555555555038"/>
    <n v="511.5222222222219"/>
    <n v="489.00277777777228"/>
    <n v="193281"/>
    <n v="7"/>
    <n v="0.31088082901720493"/>
    <n v="7.4611398964129183"/>
    <n v="2723.316062190715"/>
    <n v="13522"/>
    <n v="1.025129133014596"/>
    <n v="24.6030991923503"/>
    <n v="8980.1312052078592"/>
    <n v="125247"/>
    <n v="3"/>
    <n v="0.13323464100737353"/>
    <n v="3.1976313841769648"/>
    <n v="1167.1354552245921"/>
    <n v="5815"/>
    <n v="0.44084646564708441"/>
    <n v="10.580315175530025"/>
    <n v="3861.8150390684591"/>
    <n v="10"/>
    <n v="0.44411547002457846"/>
    <n v="10.658771280589884"/>
    <n v="3890.4515174153075"/>
    <n v="19337"/>
    <n v="32.776679627256357"/>
    <n v="31.001868882817419"/>
    <n v="1.4659755986616803"/>
    <n v="35.183414367880324"/>
    <n v="12841.946244276318"/>
    <n v="3215.3068000000003"/>
    <n v="5.850207967330161"/>
    <n v="5.4560311923018485"/>
    <n v="5.1601821393880423"/>
    <n v="3091.9862999999996"/>
    <n v="5.6258279574240637"/>
    <n v="2135.3259080755083"/>
    <n v="2053.4272044597828"/>
    <x v="6"/>
    <x v="2"/>
  </r>
  <r>
    <x v="321"/>
    <m/>
    <d v="1899-12-30T23:51:00"/>
    <n v="0.99375000000145519"/>
    <d v="1901-07-03T14:23:00"/>
    <n v="550.59930555555184"/>
    <n v="512.51597222222335"/>
    <n v="489.99652777777374"/>
    <n v="193287"/>
    <n v="6"/>
    <n v="0.25157232704365678"/>
    <n v="6.0377358490477624"/>
    <n v="2203.7735849024334"/>
    <n v="13528"/>
    <n v="1.023732977828459"/>
    <n v="24.569591467883015"/>
    <n v="8967.9008857773006"/>
    <n v="125250"/>
    <n v="3"/>
    <n v="0.12578616352182839"/>
    <n v="3.0188679245238812"/>
    <n v="1101.8867924512167"/>
    <n v="5818"/>
    <n v="0.44027782857820624"/>
    <n v="10.566667885876951"/>
    <n v="3856.833778345087"/>
    <n v="9"/>
    <n v="0.37735849056548515"/>
    <n v="9.0566037735716431"/>
    <n v="3305.6603773536499"/>
    <n v="19346"/>
    <n v="32.730687255004177"/>
    <n v="30.957362226206506"/>
    <n v="1.4640108064066653"/>
    <n v="35.136259353759968"/>
    <n v="12824.734664122388"/>
    <n v="3216.79"/>
    <n v="5.8423430025111918"/>
    <n v="5.4483461030347167"/>
    <n v="5.1527438601464439"/>
    <n v="3093.4253999999996"/>
    <n v="5.6182878706662178"/>
    <n v="2132.4551959165851"/>
    <n v="2050.6750727931699"/>
    <x v="6"/>
    <x v="2"/>
  </r>
  <r>
    <x v="322"/>
    <m/>
    <d v="1899-12-31T00:06:00"/>
    <n v="1.0041666666656965"/>
    <d v="1901-07-04T14:29:00"/>
    <n v="551.60347222221753"/>
    <n v="513.52013888888905"/>
    <n v="491.00069444443943"/>
    <n v="193293"/>
    <n v="6"/>
    <n v="0.24896265560190028"/>
    <n v="5.9751037344456064"/>
    <n v="2180.9128630726464"/>
    <n v="13534"/>
    <n v="1.0223225470188642"/>
    <n v="24.535741128452738"/>
    <n v="8955.5455118852497"/>
    <n v="125253"/>
    <n v="3"/>
    <n v="0.12448132780095014"/>
    <n v="2.9875518672228032"/>
    <n v="1090.4564315363232"/>
    <n v="5821"/>
    <n v="0.43970293676642586"/>
    <n v="10.552870482394221"/>
    <n v="3851.7977260738908"/>
    <n v="9"/>
    <n v="0.3734439834028504"/>
    <n v="8.9626556016684091"/>
    <n v="3271.3692946089695"/>
    <n v="19355"/>
    <n v="32.684209885742327"/>
    <n v="30.91237990441887"/>
    <n v="1.46202548378529"/>
    <n v="35.088611610846961"/>
    <n v="12807.343237959141"/>
    <n v="3218.2731999999996"/>
    <n v="5.8343961959389086"/>
    <n v="5.4405803948508975"/>
    <n v="5.1452265314176069"/>
    <n v="3094.8644999999997"/>
    <n v="5.6106689965744279"/>
    <n v="2129.5546115177021"/>
    <n v="2047.8941837496666"/>
    <x v="6"/>
    <x v="2"/>
  </r>
  <r>
    <x v="323"/>
    <m/>
    <d v="1899-12-31T00:02:00"/>
    <n v="1.0013888888934162"/>
    <d v="1901-07-05T14:31:00"/>
    <n v="552.60486111111095"/>
    <n v="514.52152777778247"/>
    <n v="492.00208333333285"/>
    <n v="193302"/>
    <n v="9"/>
    <n v="0.3744798890413028"/>
    <n v="8.9875173369912673"/>
    <n v="3280.4438280018126"/>
    <n v="13543"/>
    <n v="1.0211485753709393"/>
    <n v="24.507565808902541"/>
    <n v="8945.2615202494271"/>
    <n v="125257"/>
    <n v="4"/>
    <n v="0.16643550624057904"/>
    <n v="3.9944521497738967"/>
    <n v="1457.9750346674723"/>
    <n v="5825"/>
    <n v="0.43920774212033675"/>
    <n v="10.540985810888083"/>
    <n v="3847.4598209741503"/>
    <n v="13"/>
    <n v="0.54091539528188182"/>
    <n v="12.981969486765164"/>
    <n v="4738.4188626692849"/>
    <n v="19368"/>
    <n v="32.645864348079293"/>
    <n v="30.875885518777476"/>
    <n v="1.4603563174912759"/>
    <n v="35.048551619790622"/>
    <n v="12792.721341223578"/>
    <n v="3220.4307000000003"/>
    <n v="5.8277277791671036"/>
    <n v="5.4341848670082689"/>
    <n v="5.1391394176007106"/>
    <n v="3096.9431999999997"/>
    <n v="5.6042634040045201"/>
    <n v="2127.1206393959928"/>
    <n v="2045.5561424616499"/>
    <x v="6"/>
    <x v="2"/>
  </r>
  <r>
    <x v="324"/>
    <m/>
    <d v="1899-12-31T00:13:00"/>
    <n v="1.0090277777781012"/>
    <d v="1901-07-06T14:44:00"/>
    <n v="553.61388888888905"/>
    <n v="515.53055555556057"/>
    <n v="493.01111111111095"/>
    <n v="193308"/>
    <n v="6"/>
    <n v="0.2477632484514003"/>
    <n v="5.9463179628336071"/>
    <n v="2170.4060564342667"/>
    <n v="13549"/>
    <n v="1.0197389877622287"/>
    <n v="24.473735706293489"/>
    <n v="8932.9135327971235"/>
    <n v="125260"/>
    <n v="3"/>
    <n v="0.12388162422570015"/>
    <n v="2.9731589814168036"/>
    <n v="1085.2030282171334"/>
    <n v="5828"/>
    <n v="0.43863302241333446"/>
    <n v="10.527192537920028"/>
    <n v="3842.4252763408103"/>
    <n v="9"/>
    <n v="0.37164487267710045"/>
    <n v="8.9194769442504107"/>
    <n v="3255.6090846513998"/>
    <n v="19377"/>
    <n v="32.599425618698866"/>
    <n v="30.830948141804342"/>
    <n v="1.4583720101755631"/>
    <n v="35.000928244213519"/>
    <n v="12775.338809137935"/>
    <n v="3221.9139"/>
    <n v="5.8197851691662343"/>
    <n v="5.426425785733092"/>
    <n v="5.131629780712629"/>
    <n v="3098.3822999999998"/>
    <n v="5.5966484262497405"/>
    <n v="2124.2215867456757"/>
    <n v="2042.7766755811556"/>
    <x v="6"/>
    <x v="2"/>
  </r>
  <r>
    <x v="325"/>
    <m/>
    <d v="1899-12-31T01:37:00"/>
    <n v="1.0673611111051287"/>
    <d v="1901-07-07T16:21:00"/>
    <n v="554.68124999999418"/>
    <n v="516.5979166666657"/>
    <n v="494.07847222221608"/>
    <n v="193314"/>
    <n v="6"/>
    <n v="0.23422251138712932"/>
    <n v="5.6213402732911035"/>
    <n v="2051.7891997512529"/>
    <n v="13555"/>
    <n v="1.0182274354265131"/>
    <n v="24.437458450236317"/>
    <n v="8919.6723343362555"/>
    <n v="125262"/>
    <n v="2"/>
    <n v="7.8074170462376441E-2"/>
    <n v="1.8737800910970346"/>
    <n v="683.9297332504176"/>
    <n v="5830"/>
    <n v="0.4379392068267482"/>
    <n v="10.510540963841956"/>
    <n v="3836.347451802314"/>
    <n v="8"/>
    <n v="0.31229668184950576"/>
    <n v="7.4951203643881383"/>
    <n v="2735.7189330016704"/>
    <n v="19385"/>
    <n v="32.547556731339313"/>
    <n v="30.78053559305873"/>
    <n v="1.4561666422532613"/>
    <n v="34.947999414078275"/>
    <n v="12756.01978613857"/>
    <n v="3223.2624999999998"/>
    <n v="5.8110175889306399"/>
    <n v="5.41782459762792"/>
    <n v="5.1232734116404206"/>
    <n v="3099.6614999999997"/>
    <n v="5.5881851063111148"/>
    <n v="2121.021419959684"/>
    <n v="2039.6875638035572"/>
    <x v="6"/>
    <x v="2"/>
  </r>
  <r>
    <x v="326"/>
    <m/>
    <d v="1899-12-31T00:27:00"/>
    <n v="1.0187500000029104"/>
    <d v="1901-07-08T16:48:00"/>
    <n v="555.69999999999709"/>
    <n v="517.61666666666861"/>
    <n v="495.09722222221899"/>
    <n v="193322"/>
    <n v="8"/>
    <n v="0.32719836400724522"/>
    <n v="7.8527607361738854"/>
    <n v="2866.257668703468"/>
    <n v="13563"/>
    <n v="1.0169605902465413"/>
    <n v="24.407054165916989"/>
    <n v="8908.5747705597005"/>
    <n v="125265"/>
    <n v="3"/>
    <n v="0.12269938650271696"/>
    <n v="2.9447852760652071"/>
    <n v="1074.8466257638006"/>
    <n v="5833"/>
    <n v="0.43736128606562524"/>
    <n v="10.496670865575005"/>
    <n v="3831.284865934877"/>
    <n v="11"/>
    <n v="0.44989775050996217"/>
    <n v="10.797546012239092"/>
    <n v="3941.1042944672686"/>
    <n v="19396"/>
    <n v="32.504749331873526"/>
    <n v="30.739417061744525"/>
    <n v="1.4543218763121664"/>
    <n v="34.903725031491994"/>
    <n v="12739.859636494579"/>
    <n v="3225.1055000000001"/>
    <n v="5.8036809429548626"/>
    <n v="5.4107220272402152"/>
    <n v="5.1164538726961935"/>
    <n v="3101.4203999999995"/>
    <n v="5.5811056325355688"/>
    <n v="2118.3435441785246"/>
    <n v="2037.1035558754829"/>
    <x v="6"/>
    <x v="2"/>
  </r>
  <r>
    <x v="327"/>
    <m/>
    <d v="1899-12-30T21:54:00"/>
    <n v="0.91249999999854481"/>
    <d v="1901-07-09T14:42:00"/>
    <n v="556.61249999999563"/>
    <n v="518.52916666666715"/>
    <n v="496.00972222221753"/>
    <n v="193329"/>
    <n v="7"/>
    <n v="0.31963470319685677"/>
    <n v="7.6712328767245621"/>
    <n v="2800.0000000044652"/>
    <n v="13570"/>
    <n v="1.0158174073824628"/>
    <n v="24.37961777717911"/>
    <n v="8898.560488670375"/>
    <n v="125267"/>
    <n v="2"/>
    <n v="9.1324200913387651E-2"/>
    <n v="2.1917808219213035"/>
    <n v="800.00000000127579"/>
    <n v="5835"/>
    <n v="0.4367939994161143"/>
    <n v="10.483055985986743"/>
    <n v="3826.3154348851613"/>
    <n v="9"/>
    <n v="0.41095890411024438"/>
    <n v="9.8630136986458652"/>
    <n v="3600.0000000057407"/>
    <n v="19405"/>
    <n v="32.464904738563376"/>
    <n v="30.701011124894237"/>
    <n v="1.4526114067985771"/>
    <n v="34.862673763165851"/>
    <n v="12724.875923555535"/>
    <n v="3226.634"/>
    <n v="5.7969125738283376"/>
    <n v="5.4041480791019421"/>
    <n v="5.1101228190532142"/>
    <n v="3102.8594999999996"/>
    <n v="5.5745415347302192"/>
    <n v="2115.8730894473429"/>
    <n v="2034.70766017653"/>
    <x v="6"/>
    <x v="2"/>
  </r>
  <r>
    <x v="328"/>
    <m/>
    <d v="1899-12-30T23:49:00"/>
    <n v="0.992361111115315"/>
    <d v="1901-07-10T14:31:00"/>
    <n v="557.60486111111095"/>
    <n v="519.52152777778247"/>
    <n v="497.00208333333285"/>
    <n v="193336"/>
    <n v="7"/>
    <n v="0.29391182645081931"/>
    <n v="7.0538838348196631"/>
    <n v="2574.667599709177"/>
    <n v="13577"/>
    <n v="1.0145326427141883"/>
    <n v="24.348783425140521"/>
    <n v="8887.3059501762909"/>
    <n v="125269"/>
    <n v="2"/>
    <n v="8.3974807557376949E-2"/>
    <n v="2.0153953813770467"/>
    <n v="735.61931420262204"/>
    <n v="5837"/>
    <n v="0.43616609232692916"/>
    <n v="10.467986215846301"/>
    <n v="3820.8149687838995"/>
    <n v="9"/>
    <n v="0.37788663400819622"/>
    <n v="9.0692792161967102"/>
    <n v="3310.2869139117993"/>
    <n v="19414"/>
    <n v="32.420215716651384"/>
    <n v="30.657819174131593"/>
    <n v="1.4506987350411176"/>
    <n v="34.81676964098682"/>
    <n v="12708.120918960189"/>
    <n v="3228.1625000000004"/>
    <n v="5.7893370828356918"/>
    <n v="5.3967675064261371"/>
    <n v="5.102994906963005"/>
    <n v="3104.2985999999996"/>
    <n v="5.5672014655937918"/>
    <n v="2113.1080352350277"/>
    <n v="2032.0285349417341"/>
    <x v="6"/>
    <x v="2"/>
  </r>
  <r>
    <x v="329"/>
    <m/>
    <d v="1899-12-31T00:54:00"/>
    <n v="1.0374999999985448"/>
    <d v="1901-07-11T15:25:00"/>
    <n v="558.64236111110949"/>
    <n v="520.55902777778101"/>
    <n v="498.03958333333139"/>
    <n v="193341"/>
    <n v="5"/>
    <n v="0.20080321285168726"/>
    <n v="4.8192771084404944"/>
    <n v="1759.0361445807805"/>
    <n v="13582"/>
    <n v="1.0130213998471025"/>
    <n v="24.312513596330458"/>
    <n v="8874.0674626606178"/>
    <n v="125271"/>
    <n v="2"/>
    <n v="8.0321285140674908E-2"/>
    <n v="1.9277108433761978"/>
    <n v="703.61445783231216"/>
    <n v="5839"/>
    <n v="0.43550522409860343"/>
    <n v="10.452125378366482"/>
    <n v="3815.0257631037657"/>
    <n v="7"/>
    <n v="0.28112449799236217"/>
    <n v="6.746987951816692"/>
    <n v="2462.6506024130927"/>
    <n v="19421"/>
    <n v="32.369047698454317"/>
    <n v="30.608008901568351"/>
    <n v="1.448526623945706"/>
    <n v="34.764638974696943"/>
    <n v="12689.093225764384"/>
    <n v="3229.3312000000001"/>
    <n v="5.7806772719079786"/>
    <n v="5.3882565671253193"/>
    <n v="5.094711113156186"/>
    <n v="3105.4178999999999"/>
    <n v="5.5588657720540411"/>
    <n v="2109.9472042464122"/>
    <n v="2028.9860067997247"/>
    <x v="6"/>
    <x v="2"/>
  </r>
  <r>
    <x v="330"/>
    <m/>
    <d v="1899-12-30T23:21:00"/>
    <n v="0.97291666666569654"/>
    <d v="1901-07-12T14:46:00"/>
    <n v="559.61527777777519"/>
    <n v="521.53194444444671"/>
    <n v="499.01249999999709"/>
    <n v="193351"/>
    <n v="10"/>
    <n v="0.42826552462569473"/>
    <n v="10.278372591016673"/>
    <n v="3751.6059957210855"/>
    <n v="13592"/>
    <n v="1.0120047751059182"/>
    <n v="24.288114602542038"/>
    <n v="8865.1618299278434"/>
    <n v="125272"/>
    <n v="1"/>
    <n v="4.2826552462569473E-2"/>
    <n v="1.0278372591016673"/>
    <n v="375.16059957210859"/>
    <n v="5840"/>
    <n v="0.43482253433038276"/>
    <n v="10.435740823929185"/>
    <n v="3809.0454007341527"/>
    <n v="11"/>
    <n v="0.47109207708826417"/>
    <n v="11.306209850118341"/>
    <n v="4126.7665952931948"/>
    <n v="19432"/>
    <n v="32.329755021930445"/>
    <n v="30.57037649357499"/>
    <n v="1.4468273094363009"/>
    <n v="34.723855426471225"/>
    <n v="12674.207230661998"/>
    <n v="3231.2647999999999"/>
    <n v="5.7740825318981805"/>
    <n v="5.3819123256005712"/>
    <n v="5.0886528894567062"/>
    <n v="3107.1767999999997"/>
    <n v="5.5523444826927477"/>
    <n v="2107.5401241428362"/>
    <n v="2026.6057361828532"/>
    <x v="6"/>
    <x v="2"/>
  </r>
  <r>
    <x v="331"/>
    <m/>
    <d v="1899-12-31T00:18:00"/>
    <n v="1.0124999999970896"/>
    <d v="1901-07-13T15:04:00"/>
    <n v="560.62777777777228"/>
    <n v="522.5444444444438"/>
    <n v="500.02499999999418"/>
    <n v="193358"/>
    <n v="7"/>
    <n v="0.2880658436222272"/>
    <n v="6.9135802469334529"/>
    <n v="2523.4567901307105"/>
    <n v="13599"/>
    <n v="1.0106973333465559"/>
    <n v="24.256736000317343"/>
    <n v="8853.7086401158303"/>
    <n v="125274"/>
    <n v="2"/>
    <n v="8.2304526749207768E-2"/>
    <n v="1.9753086419809867"/>
    <n v="720.98765432306016"/>
    <n v="5842"/>
    <n v="0.43418588288922566"/>
    <n v="10.420461189341417"/>
    <n v="3803.468334109617"/>
    <n v="9"/>
    <n v="0.370370370371435"/>
    <n v="8.8888888889144404"/>
    <n v="3244.4444444537708"/>
    <n v="19441"/>
    <n v="32.28433519743141"/>
    <n v="30.526473676316538"/>
    <n v="1.4448832162357816"/>
    <n v="34.677197189658756"/>
    <n v="12657.176974225446"/>
    <n v="3232.7933000000003"/>
    <n v="5.7663808825424452"/>
    <n v="5.374409258117339"/>
    <n v="5.0814057297135742"/>
    <n v="3108.6158999999998"/>
    <n v="5.5448838306264348"/>
    <n v="2104.7290221279923"/>
    <n v="2023.8825981786485"/>
    <x v="7"/>
    <x v="2"/>
  </r>
  <r>
    <x v="332"/>
    <m/>
    <d v="1900-01-01T01:10:00"/>
    <n v="2.0486111111167702"/>
    <d v="1901-07-15T16:14:00"/>
    <n v="562.67638888888905"/>
    <n v="524.59305555556057"/>
    <n v="502.07361111111095"/>
    <n v="193373"/>
    <n v="15"/>
    <n v="0.30508474576186911"/>
    <n v="7.3220338982848583"/>
    <n v="2672.5423728739734"/>
    <n v="13614"/>
    <n v="1.008128315318406"/>
    <n v="24.195079567641745"/>
    <n v="8831.2040421892361"/>
    <n v="125278"/>
    <n v="4"/>
    <n v="8.1355932203165088E-2"/>
    <n v="1.9525423728759623"/>
    <n v="712.67796609972629"/>
    <n v="5846"/>
    <n v="0.43290128774433684"/>
    <n v="10.389630905864085"/>
    <n v="3792.215280640391"/>
    <n v="19"/>
    <n v="0.38644067796503417"/>
    <n v="9.2745762711608197"/>
    <n v="3385.2203389736992"/>
    <n v="19460"/>
    <n v="32.194478789114008"/>
    <n v="30.439759552743769"/>
    <n v="1.441029603062743"/>
    <n v="34.584710473505829"/>
    <n v="12623.419322829628"/>
    <n v="3236.0302000000001"/>
    <n v="5.7511391341480556"/>
    <n v="5.35959172586153"/>
    <n v="5.0671191309375301"/>
    <n v="3111.6539999999995"/>
    <n v="5.5300952047135814"/>
    <n v="2099.1657839640402"/>
    <n v="2018.4847497204573"/>
    <x v="7"/>
    <x v="2"/>
  </r>
  <r>
    <x v="333"/>
    <m/>
    <d v="1899-12-30T22:25:00"/>
    <n v="0.93402777777373558"/>
    <d v="1901-07-16T14:39:00"/>
    <n v="563.61041666666279"/>
    <n v="525.5270833333343"/>
    <n v="503.00763888888469"/>
    <n v="193379"/>
    <n v="6"/>
    <n v="0.26765799256621409"/>
    <n v="6.4237918215891385"/>
    <n v="2344.6840148800356"/>
    <n v="13620"/>
    <n v="1.0069011913518937"/>
    <n v="24.165628592445451"/>
    <n v="8820.4544362425895"/>
    <n v="125280"/>
    <n v="2"/>
    <n v="8.9219330855404705E-2"/>
    <n v="2.1412639405297127"/>
    <n v="781.5613382933451"/>
    <n v="5848"/>
    <n v="0.43233173032495409"/>
    <n v="10.375961527798898"/>
    <n v="3787.2259576465976"/>
    <n v="8"/>
    <n v="0.35687732342161882"/>
    <n v="8.5650557621188508"/>
    <n v="3126.2453531733804"/>
    <n v="19468"/>
    <n v="32.152481833714504"/>
    <n v="30.399140724337609"/>
    <n v="1.4392329216768478"/>
    <n v="34.541590120244351"/>
    <n v="12607.680393889188"/>
    <n v="3237.3788000000004"/>
    <n v="5.7440010054226693"/>
    <n v="5.352632222411617"/>
    <n v="5.0603911416189993"/>
    <n v="3112.9331999999999"/>
    <n v="5.5232002602270711"/>
    <n v="2096.560366979274"/>
    <n v="2015.968094982881"/>
    <x v="7"/>
    <x v="2"/>
  </r>
  <r>
    <x v="334"/>
    <m/>
    <d v="1899-12-30T23:32:00"/>
    <n v="0.9805555555576575"/>
    <d v="1901-07-17T14:11:00"/>
    <n v="564.59097222222044"/>
    <n v="526.50763888889196"/>
    <n v="503.98819444444234"/>
    <n v="193385"/>
    <n v="6"/>
    <n v="0.25495750708160642"/>
    <n v="6.1189801699585544"/>
    <n v="2233.4277620348726"/>
    <n v="13626"/>
    <n v="1.0055952502487697"/>
    <n v="24.134286005970473"/>
    <n v="8809.0143921792223"/>
    <n v="125282"/>
    <n v="2"/>
    <n v="8.4985835693868819E-2"/>
    <n v="2.0396600566528513"/>
    <n v="744.47592067829078"/>
    <n v="5850"/>
    <n v="0.43172847599848108"/>
    <n v="10.361483423963547"/>
    <n v="3781.9414497466946"/>
    <n v="8"/>
    <n v="0.33994334277547528"/>
    <n v="8.1586402266114053"/>
    <n v="2977.9036827131631"/>
    <n v="19476"/>
    <n v="32.107796262320583"/>
    <n v="30.355869777593572"/>
    <n v="1.4373237262472509"/>
    <n v="34.495769429934022"/>
    <n v="12590.955841925917"/>
    <n v="3238.7273999999998"/>
    <n v="5.7364137213395816"/>
    <n v="5.3452250112441337"/>
    <n v="5.0532215398564162"/>
    <n v="3114.2123999999999"/>
    <n v="5.5158735318464496"/>
    <n v="2093.7910082889475"/>
    <n v="2013.2938391239541"/>
    <x v="7"/>
    <x v="2"/>
  </r>
  <r>
    <x v="335"/>
    <m/>
    <d v="1899-12-31T01:02:00"/>
    <n v="1.0430555555576575"/>
    <d v="1901-07-18T15:13:00"/>
    <n v="565.6340277777781"/>
    <n v="527.55069444444962"/>
    <n v="505.03125"/>
    <n v="193391"/>
    <n v="6"/>
    <n v="0.23968042609805229"/>
    <n v="5.752330226353255"/>
    <n v="2099.6005326189379"/>
    <n v="13632"/>
    <n v="1.0041828675539857"/>
    <n v="24.100388821295656"/>
    <n v="8796.6419197729138"/>
    <n v="125284"/>
    <n v="2"/>
    <n v="7.989347536601743E-2"/>
    <n v="1.9174434087844183"/>
    <n v="699.86684420631263"/>
    <n v="5852"/>
    <n v="0.43107967583083362"/>
    <n v="10.345912219940008"/>
    <n v="3776.2579602781029"/>
    <n v="8"/>
    <n v="0.31957390146406972"/>
    <n v="7.6697736351376733"/>
    <n v="2799.4673768252505"/>
    <n v="19484"/>
    <n v="32.05947822286663"/>
    <n v="30.309015531217128"/>
    <n v="1.4352625433848194"/>
    <n v="34.446301041235664"/>
    <n v="12572.899880051018"/>
    <n v="3240.076"/>
    <n v="5.7282197337550134"/>
    <n v="5.337212953468085"/>
    <n v="5.0454553059835403"/>
    <n v="3115.4915999999998"/>
    <n v="5.5079635364935822"/>
    <n v="2090.8002028205797"/>
    <n v="2010.4066908201576"/>
    <x v="7"/>
    <x v="2"/>
  </r>
  <r>
    <x v="336"/>
    <m/>
    <d v="1899-12-30T23:20:00"/>
    <n v="0.97222222221898846"/>
    <d v="1901-07-19T14:33:00"/>
    <n v="566.60624999999709"/>
    <n v="528.52291666666861"/>
    <n v="506.00347222221899"/>
    <n v="193400"/>
    <n v="9"/>
    <n v="0.38571428571556865"/>
    <n v="9.2571428571736476"/>
    <n v="3378.8571428683813"/>
    <n v="13641"/>
    <n v="1.0031216563530723"/>
    <n v="24.074919752473733"/>
    <n v="8787.3457096529128"/>
    <n v="125286"/>
    <n v="2"/>
    <n v="8.5714285714570806E-2"/>
    <n v="2.0571428571496995"/>
    <n v="750.85714285964036"/>
    <n v="5854"/>
    <n v="0.43048707398950847"/>
    <n v="10.331689775748202"/>
    <n v="3771.0667681480941"/>
    <n v="11"/>
    <n v="0.4714285714301395"/>
    <n v="11.314285714323347"/>
    <n v="4129.7142857280214"/>
    <n v="19495"/>
    <n v="32.021317271799042"/>
    <n v="30.272519539693736"/>
    <n v="1.4336087303425806"/>
    <n v="34.406609528221935"/>
    <n v="12558.412477801006"/>
    <n v="3241.9642999999996"/>
    <n v="5.7217235072857324"/>
    <n v="5.3309678940127752"/>
    <n v="5.0394928888553725"/>
    <n v="3117.2504999999996"/>
    <n v="5.5016168635626865"/>
    <n v="2088.4290801592924"/>
    <n v="2008.0901552003807"/>
    <x v="7"/>
    <x v="2"/>
  </r>
  <r>
    <x v="337"/>
    <m/>
    <d v="1899-12-31T00:41:00"/>
    <n v="1.0284722222204437"/>
    <d v="1901-07-20T15:14:00"/>
    <n v="567.63472222221753"/>
    <n v="529.55138888888905"/>
    <n v="507.03194444443943"/>
    <n v="193406"/>
    <n v="6"/>
    <n v="0.24307900067563981"/>
    <n v="5.8338960162153555"/>
    <n v="2129.3720459186047"/>
    <n v="13647"/>
    <n v="1.0017445687147284"/>
    <n v="24.041869649153483"/>
    <n v="8775.2824219410213"/>
    <n v="125288"/>
    <n v="2"/>
    <n v="8.1026333558546604E-2"/>
    <n v="1.9446320054051185"/>
    <n v="709.79068197286824"/>
    <n v="5856"/>
    <n v="0.4298539015456474"/>
    <n v="10.316493637095537"/>
    <n v="3765.5201775398709"/>
    <n v="8"/>
    <n v="0.32410533423418642"/>
    <n v="7.778528021620474"/>
    <n v="2839.162727891473"/>
    <n v="19503"/>
    <n v="31.974233955890327"/>
    <n v="30.226892344609311"/>
    <n v="1.4315984702603759"/>
    <n v="34.358363286249023"/>
    <n v="12540.802599480894"/>
    <n v="3243.3128999999999"/>
    <n v="5.7137323934357704"/>
    <n v="5.323160998434207"/>
    <n v="5.0319304887102172"/>
    <n v="3118.5296999999996"/>
    <n v="5.4939022894712179"/>
    <n v="2085.5123236040563"/>
    <n v="2005.2743356569947"/>
    <x v="7"/>
    <x v="2"/>
  </r>
  <r>
    <x v="338"/>
    <m/>
    <d v="1899-12-31T02:42:00"/>
    <n v="1.1125000000029104"/>
    <d v="1901-07-21T17:56:00"/>
    <n v="568.74722222222044"/>
    <n v="530.66388888889196"/>
    <n v="508.14444444444234"/>
    <n v="193414"/>
    <n v="8"/>
    <n v="0.29962546816401014"/>
    <n v="7.1910112359362444"/>
    <n v="2624.7191011167292"/>
    <n v="13655"/>
    <n v="1.0003711861840627"/>
    <n v="24.008908468417502"/>
    <n v="8763.2515909723879"/>
    <n v="125291"/>
    <n v="3"/>
    <n v="0.11235955056150382"/>
    <n v="2.6966292134760916"/>
    <n v="984.26966291877341"/>
    <n v="5859"/>
    <n v="0.42923286560618257"/>
    <n v="10.301588774548382"/>
    <n v="3760.0799027101593"/>
    <n v="11"/>
    <n v="0.41198501872551396"/>
    <n v="9.887640449412336"/>
    <n v="3608.9887640355028"/>
    <n v="19514"/>
    <n v="31.927930946037012"/>
    <n v="30.182362845210367"/>
    <n v="1.4296040517902453"/>
    <n v="34.310497242965887"/>
    <n v="12523.331493682548"/>
    <n v="3245.1559000000002"/>
    <n v="5.7057964825225209"/>
    <n v="5.3154743691078483"/>
    <n v="5.0245408129797076"/>
    <n v="3120.2885999999999"/>
    <n v="5.4862485091502444"/>
    <n v="2082.6157161207202"/>
    <n v="2002.4807058398392"/>
    <x v="7"/>
    <x v="2"/>
  </r>
  <r>
    <x v="339"/>
    <m/>
    <d v="1899-12-31T00:14:00"/>
    <n v="1.0097222222248092"/>
    <d v="1901-07-22T18:10:00"/>
    <n v="569.75694444444525"/>
    <n v="531.67361111111677"/>
    <n v="509.15416666666715"/>
    <n v="193423"/>
    <n v="9"/>
    <n v="0.37138927097566471"/>
    <n v="8.9133425034159526"/>
    <n v="3253.3700137468227"/>
    <n v="13664"/>
    <n v="0.99925650557620671"/>
    <n v="23.982156133828962"/>
    <n v="8753.4869888475714"/>
    <n v="125293"/>
    <n v="2"/>
    <n v="8.2530949105703272E-2"/>
    <n v="1.9807427785368783"/>
    <n v="722.97111416596056"/>
    <n v="5861"/>
    <n v="0.42861844109939606"/>
    <n v="10.286842586385506"/>
    <n v="3754.6975440307097"/>
    <n v="11"/>
    <n v="0.45392022008136795"/>
    <n v="10.894085281952831"/>
    <n v="3976.3411279127836"/>
    <n v="19525"/>
    <n v="31.887984744190568"/>
    <n v="30.144111557566852"/>
    <n v="1.4278749466756029"/>
    <n v="34.268998720214469"/>
    <n v="12508.184532878282"/>
    <n v="3247.0442000000003"/>
    <n v="5.6989989006033195"/>
    <n v="5.3089311581614096"/>
    <n v="5.0182851624835259"/>
    <n v="3122.0474999999997"/>
    <n v="5.4796128953622931"/>
    <n v="2080.1345987202117"/>
    <n v="2000.0587068072371"/>
    <x v="7"/>
    <x v="2"/>
  </r>
  <r>
    <x v="340"/>
    <m/>
    <d v="1899-12-30T20:23:00"/>
    <n v="0.84930555555183673"/>
    <d v="1901-07-23T14:33:00"/>
    <n v="570.60624999999709"/>
    <n v="532.52291666666861"/>
    <n v="510.00347222221899"/>
    <n v="193426"/>
    <n v="3"/>
    <n v="0.14717906786654797"/>
    <n v="3.532297628797151"/>
    <n v="1289.28863451096"/>
    <n v="13667"/>
    <n v="0.99798825080050602"/>
    <n v="23.951718019212144"/>
    <n v="8742.377077012432"/>
    <n v="125295"/>
    <n v="2"/>
    <n v="9.8119378577698646E-2"/>
    <n v="2.3548650858647675"/>
    <n v="859.5257563406401"/>
    <n v="5863"/>
    <n v="0.42812651748323455"/>
    <n v="10.27503641959763"/>
    <n v="3750.3882931531348"/>
    <n v="5"/>
    <n v="0.24529844644424662"/>
    <n v="5.887162714661919"/>
    <n v="2148.8143908516004"/>
    <n v="19530"/>
    <n v="31.846516777446865"/>
    <n v="30.103716614129997"/>
    <n v="1.4261147682837405"/>
    <n v="34.226754438809778"/>
    <n v="12492.765370165569"/>
    <n v="3247.8530999999998"/>
    <n v="5.6919339737341055"/>
    <n v="5.3019830914944777"/>
    <n v="5.0115143115856009"/>
    <n v="3122.8469999999998"/>
    <n v="5.4728580347656823"/>
    <n v="2077.5559004129482"/>
    <n v="1997.5931826894744"/>
    <x v="7"/>
    <x v="2"/>
  </r>
  <r>
    <x v="341"/>
    <m/>
    <d v="1899-12-31T00:08:00"/>
    <n v="1.0055555555591127"/>
    <d v="1901-07-24T14:41:00"/>
    <n v="571.6118055555562"/>
    <n v="533.52847222222772"/>
    <n v="511.0090277777781"/>
    <n v="193434"/>
    <n v="8"/>
    <n v="0.33149171270600969"/>
    <n v="7.9558011049442321"/>
    <n v="2903.8674033046445"/>
    <n v="13675"/>
    <n v="0.99681577799618659"/>
    <n v="23.923578671908476"/>
    <n v="8732.1062152465947"/>
    <n v="125297"/>
    <n v="2"/>
    <n v="8.2872928176502422E-2"/>
    <n v="1.988950276236058"/>
    <n v="725.96685082616114"/>
    <n v="5865"/>
    <n v="0.42751916182432426"/>
    <n v="10.260459883783781"/>
    <n v="3745.0678575810803"/>
    <n v="10"/>
    <n v="0.41436464088251207"/>
    <n v="9.944751381180291"/>
    <n v="3629.8342541308061"/>
    <n v="19540"/>
    <n v="31.805237927268472"/>
    <n v="30.064048118306218"/>
    <n v="1.4243349398205107"/>
    <n v="34.184038555692261"/>
    <n v="12477.174072827675"/>
    <n v="3249.5615000000003"/>
    <n v="5.6849097034336324"/>
    <n v="5.2951923788300874"/>
    <n v="5.004995921739801"/>
    <n v="3124.4459999999999"/>
    <n v="5.4660277650551921"/>
    <n v="2074.9920417532758"/>
    <n v="1995.100134245145"/>
    <x v="7"/>
    <x v="2"/>
  </r>
  <r>
    <x v="342"/>
    <m/>
    <d v="1899-12-30T23:48:00"/>
    <n v="0.99166666666133096"/>
    <d v="1901-07-25T14:29:00"/>
    <n v="572.60347222221753"/>
    <n v="534.52013888888905"/>
    <n v="512.00069444443943"/>
    <n v="193441"/>
    <n v="7"/>
    <n v="0.29411764706040605"/>
    <n v="7.0588235294497448"/>
    <n v="2576.4705882491567"/>
    <n v="13682"/>
    <n v="0.99559880613524088"/>
    <n v="23.89437134724578"/>
    <n v="8721.4455417447098"/>
    <n v="125301"/>
    <n v="4"/>
    <n v="0.16806722689166059"/>
    <n v="4.0336134453998547"/>
    <n v="1472.268907570947"/>
    <n v="5869"/>
    <n v="0.427069828475934"/>
    <n v="10.249675883422416"/>
    <n v="3741.131697449182"/>
    <n v="11"/>
    <n v="0.46218487395206664"/>
    <n v="11.092436974849599"/>
    <n v="4048.7394958201039"/>
    <n v="19551"/>
    <n v="31.766810573866216"/>
    <n v="30.027303022864032"/>
    <n v="1.4226686346111748"/>
    <n v="34.1440472306682"/>
    <n v="12462.577239193894"/>
    <n v="3251.3591999999999"/>
    <n v="5.6782037792781725"/>
    <n v="5.2887316947054002"/>
    <n v="4.9988131418008006"/>
    <n v="3126.2048999999997"/>
    <n v="5.4596331521838444"/>
    <n v="2072.5443794365333"/>
    <n v="1992.7661005471034"/>
    <x v="7"/>
    <x v="2"/>
  </r>
  <r>
    <x v="343"/>
    <m/>
    <d v="1899-12-31T00:51:00"/>
    <n v="1.0354166666656965"/>
    <d v="1901-07-26T15:20:00"/>
    <n v="573.63888888888323"/>
    <n v="535.55555555555475"/>
    <n v="513.03611111110513"/>
    <n v="193450"/>
    <n v="9"/>
    <n v="0.36217303822971558"/>
    <n v="8.6921529175131749"/>
    <n v="3172.6358148923086"/>
    <n v="13691"/>
    <n v="0.9944554743111812"/>
    <n v="23.866931383468348"/>
    <n v="8711.4299549659463"/>
    <n v="125303"/>
    <n v="2"/>
    <n v="8.0482897384381247E-2"/>
    <n v="1.9315895372251499"/>
    <n v="705.0301810871797"/>
    <n v="5871"/>
    <n v="0.42644423998838249"/>
    <n v="10.234661759721179"/>
    <n v="3735.6515422982307"/>
    <n v="11"/>
    <n v="0.44265593561409683"/>
    <n v="10.623742454738323"/>
    <n v="3877.6659959794879"/>
    <n v="19562"/>
    <n v="31.725933609958552"/>
    <n v="29.988142485097239"/>
    <n v="1.4208997142995636"/>
    <n v="34.101593143189525"/>
    <n v="12447.081497264177"/>
    <n v="3253.2475000000004"/>
    <n v="5.6712464287444275"/>
    <n v="5.2820325933610048"/>
    <n v="4.9924051046872968"/>
    <n v="3127.9637999999995"/>
    <n v="5.452844743596005"/>
    <n v="2070.0049464917156"/>
    <n v="1990.2883314125418"/>
    <x v="7"/>
    <x v="2"/>
  </r>
  <r>
    <x v="344"/>
    <m/>
    <d v="1899-12-30T23:18:00"/>
    <n v="0.97083333334012423"/>
    <d v="1901-07-27T14:38:00"/>
    <n v="574.60972222222335"/>
    <n v="536.52638888889487"/>
    <n v="514.00694444444525"/>
    <n v="193453"/>
    <n v="3"/>
    <n v="0.12875536480596633"/>
    <n v="3.0901287553431915"/>
    <n v="1127.8969957002648"/>
    <n v="13694"/>
    <n v="0.99299282846569581"/>
    <n v="23.8318278831767"/>
    <n v="8698.6171773594961"/>
    <n v="125305"/>
    <n v="2"/>
    <n v="8.5836909870644212E-2"/>
    <n v="2.0600858368954613"/>
    <n v="751.93133046684341"/>
    <n v="5873"/>
    <n v="0.42586876599817669"/>
    <n v="10.22085038395624"/>
    <n v="3730.6103901440274"/>
    <n v="5"/>
    <n v="0.21459227467661054"/>
    <n v="5.1502145922386529"/>
    <n v="1879.8283261671083"/>
    <n v="19567"/>
    <n v="31.677845399547664"/>
    <n v="29.941229717497286"/>
    <n v="1.4188615944638725"/>
    <n v="34.05267826713294"/>
    <n v="12429.227567503523"/>
    <n v="3254.0563999999999"/>
    <n v="5.663072297863998"/>
    <n v="5.2739825264884903"/>
    <n v="4.9845493873029092"/>
    <n v="3128.7632999999996"/>
    <n v="5.4450232549145561"/>
    <n v="2067.0213887203595"/>
    <n v="1987.4334880438132"/>
    <x v="7"/>
    <x v="2"/>
  </r>
  <r>
    <x v="345"/>
    <m/>
    <d v="1899-12-31T02:35:00"/>
    <n v="1.1076388888832298"/>
    <d v="1901-07-28T17:13:00"/>
    <n v="575.71736111110658"/>
    <n v="537.6340277777781"/>
    <n v="515.11458333332848"/>
    <n v="193462"/>
    <n v="9"/>
    <n v="0.33855799373213724"/>
    <n v="8.1253918495712938"/>
    <n v="2965.7680250935223"/>
    <n v="13703"/>
    <n v="0.99173374280638582"/>
    <n v="23.801609827353261"/>
    <n v="8687.5875869839401"/>
    <n v="125308"/>
    <n v="3"/>
    <n v="0.11285266457737909"/>
    <n v="2.7084639498570979"/>
    <n v="988.58934169784072"/>
    <n v="5876"/>
    <n v="0.42526654548130505"/>
    <n v="10.206397091551322"/>
    <n v="3725.3349384162325"/>
    <n v="12"/>
    <n v="0.45141065830951638"/>
    <n v="10.833855799428392"/>
    <n v="3954.3573667913629"/>
    <n v="19579"/>
    <n v="31.634902408055854"/>
    <n v="29.900143576469919"/>
    <n v="1.4170002882876909"/>
    <n v="34.008006918904584"/>
    <n v="12412.922525400174"/>
    <n v="3256.0792999999999"/>
    <n v="5.6556906564636593"/>
    <n v="5.266879612706389"/>
    <n v="4.9777583142909609"/>
    <n v="3130.6820999999995"/>
    <n v="5.4378803063328416"/>
    <n v="2064.3270896092358"/>
    <n v="1984.8263118114876"/>
    <x v="7"/>
    <x v="2"/>
  </r>
  <r>
    <x v="346"/>
    <m/>
    <d v="1899-12-31T00:49:00"/>
    <n v="1.0340277777795563"/>
    <d v="1901-07-29T18:02:00"/>
    <n v="576.75138888888614"/>
    <n v="538.66805555555766"/>
    <n v="516.14861111110804"/>
    <n v="193468"/>
    <n v="6"/>
    <n v="0.24177300201435917"/>
    <n v="5.8025520483446194"/>
    <n v="2117.9314976457858"/>
    <n v="13709"/>
    <n v="0.99038917692728656"/>
    <n v="23.769340246254878"/>
    <n v="8675.8091898830298"/>
    <n v="125310"/>
    <n v="2"/>
    <n v="8.0591000671453056E-2"/>
    <n v="1.9341840161148733"/>
    <n v="705.97716588192873"/>
    <n v="5878"/>
    <n v="0.42464859449840181"/>
    <n v="10.191566267961644"/>
    <n v="3719.9216878060001"/>
    <n v="8"/>
    <n v="0.32236400268581222"/>
    <n v="7.7367360644594934"/>
    <n v="2823.9086635277149"/>
    <n v="19587"/>
    <n v="31.58902746228468"/>
    <n v="29.855742451436697"/>
    <n v="1.4150377714256883"/>
    <n v="33.960906514216525"/>
    <n v="12395.730877689031"/>
    <n v="3257.4279000000001"/>
    <n v="5.64788912996889"/>
    <n v="5.2592728876008268"/>
    <n v="4.9703989214992745"/>
    <n v="3131.9612999999999"/>
    <n v="5.4303489516232215"/>
    <n v="2061.479532438645"/>
    <n v="1982.077367342476"/>
    <x v="7"/>
    <x v="2"/>
  </r>
  <r>
    <x v="347"/>
    <m/>
    <d v="1899-12-30T22:00:00"/>
    <n v="0.91666666666424135"/>
    <d v="1901-07-30T16:02:00"/>
    <n v="577.66805555555038"/>
    <n v="539.5847222222219"/>
    <n v="517.06527777777228"/>
    <n v="193476"/>
    <n v="8"/>
    <n v="0.36363636363732577"/>
    <n v="8.7272727272958175"/>
    <n v="3185.4545454629733"/>
    <n v="13717"/>
    <n v="0.98939462061305794"/>
    <n v="23.745470894713392"/>
    <n v="8667.0968765703874"/>
    <n v="125312"/>
    <n v="2"/>
    <n v="9.0909090909331441E-2"/>
    <n v="2.1818181818239544"/>
    <n v="796.36363636574333"/>
    <n v="5880"/>
    <n v="0.42411900336843195"/>
    <n v="10.178856080842367"/>
    <n v="3715.2824695074642"/>
    <n v="10"/>
    <n v="0.45454545454665718"/>
    <n v="10.909090909119772"/>
    <n v="3981.8181818287171"/>
    <n v="19597"/>
    <n v="31.553895614168322"/>
    <n v="29.822153338687944"/>
    <n v="1.4135136239814898"/>
    <n v="33.924326975555758"/>
    <n v="12382.379346077852"/>
    <n v="3259.1363000000001"/>
    <n v="5.6418842424403222"/>
    <n v="5.2535043770801142"/>
    <n v="4.9648913016033855"/>
    <n v="3133.5602999999996"/>
    <n v="5.4244998833913654"/>
    <n v="2059.2877484907171"/>
    <n v="1979.9424574378484"/>
    <x v="7"/>
    <x v="2"/>
  </r>
  <r>
    <x v="348"/>
    <m/>
    <d v="1899-12-30T23:45:00"/>
    <n v="0.98958333333575865"/>
    <d v="1901-07-31T15:47:00"/>
    <n v="578.65763888888614"/>
    <n v="540.57430555555766"/>
    <n v="518.05486111110804"/>
    <n v="193482"/>
    <n v="6"/>
    <n v="0.25263157894674926"/>
    <n v="6.0631578947219822"/>
    <n v="2213.0526315735233"/>
    <n v="13723"/>
    <n v="0.98813465551858393"/>
    <n v="23.715231732446014"/>
    <n v="8656.0595823427957"/>
    <n v="125315"/>
    <n v="3"/>
    <n v="0.12631578947337463"/>
    <n v="3.0315789473609911"/>
    <n v="1106.5263157867616"/>
    <n v="5883"/>
    <n v="0.42360971933366098"/>
    <n v="10.166633264007864"/>
    <n v="3710.8211413628701"/>
    <n v="9"/>
    <n v="0.37894736842012389"/>
    <n v="9.0947368420829733"/>
    <n v="3319.5789473602854"/>
    <n v="19606"/>
    <n v="31.512781545347096"/>
    <n v="29.782560030241505"/>
    <n v="1.4117443748522449"/>
    <n v="33.881864996453878"/>
    <n v="12366.880723705666"/>
    <n v="3260.6194999999998"/>
    <n v="5.6347990260024963"/>
    <n v="5.2466309827382451"/>
    <n v="4.9582704319979269"/>
    <n v="3134.9993999999997"/>
    <n v="5.4177102129329748"/>
    <n v="2056.7016444909113"/>
    <n v="1977.464227720536"/>
    <x v="7"/>
    <x v="2"/>
  </r>
  <r>
    <x v="349"/>
    <m/>
    <d v="1899-12-30T23:04:00"/>
    <n v="0.96111111110803904"/>
    <d v="1901-08-01T14:51:00"/>
    <n v="579.61874999999418"/>
    <n v="541.5354166666657"/>
    <n v="519.01597222221608"/>
    <n v="193490"/>
    <n v="8"/>
    <n v="0.34682080924966346"/>
    <n v="8.3236994219919236"/>
    <n v="3038.1502890270522"/>
    <n v="13731"/>
    <n v="0.9870712429506564"/>
    <n v="23.689709830815751"/>
    <n v="8646.7440882477495"/>
    <n v="125316"/>
    <n v="1"/>
    <n v="4.3352601156207933E-2"/>
    <n v="1.0404624277489904"/>
    <n v="379.76878612838152"/>
    <n v="5884"/>
    <n v="0.42297918531218864"/>
    <n v="10.151500447492527"/>
    <n v="3705.2976633347726"/>
    <n v="9"/>
    <n v="0.39017341040587139"/>
    <n v="9.3641618497409134"/>
    <n v="3417.9190751554333"/>
    <n v="19615"/>
    <n v="31.473472418316803"/>
    <n v="29.744749345382839"/>
    <n v="1.410050428262845"/>
    <n v="33.841210278308282"/>
    <n v="12352.041751582523"/>
    <n v="3262.1932999999999"/>
    <n v="5.628170758796248"/>
    <n v="5.2402255007944323"/>
    <n v="4.9521210089071381"/>
    <n v="3136.4384999999997"/>
    <n v="5.4112095235014932"/>
    <n v="2054.2823269606306"/>
    <n v="1975.0914760780452"/>
    <x v="7"/>
    <x v="2"/>
  </r>
  <r>
    <x v="350"/>
    <m/>
    <d v="1899-12-31T00:29:00"/>
    <n v="1.0201388888890506"/>
    <d v="1901-08-02T15:20:00"/>
    <n v="580.63888888888323"/>
    <n v="542.55555555555475"/>
    <n v="520.03611111110513"/>
    <n v="193496"/>
    <n v="6"/>
    <n v="0.24506466984339206"/>
    <n v="5.8815520762414097"/>
    <n v="2146.7665078281148"/>
    <n v="13737"/>
    <n v="0.9857675931684543"/>
    <n v="23.658422236042902"/>
    <n v="8635.3241161556598"/>
    <n v="125318"/>
    <n v="2"/>
    <n v="8.1688223281130692E-2"/>
    <n v="1.9605173587471365"/>
    <n v="715.5888359427048"/>
    <n v="5886"/>
    <n v="0.42237956274219424"/>
    <n v="10.137109505812662"/>
    <n v="3700.0449696216215"/>
    <n v="8"/>
    <n v="0.32675289312452277"/>
    <n v="7.842069434988546"/>
    <n v="2862.3553437708192"/>
    <n v="19623"/>
    <n v="31.429039524882292"/>
    <n v="29.701783529990248"/>
    <n v="1.4081471559106487"/>
    <n v="33.795531741855562"/>
    <n v="12335.36908577728"/>
    <n v="3263.5419000000002"/>
    <n v="5.6206050997465029"/>
    <n v="5.2328582224042677"/>
    <n v="4.9449998664623216"/>
    <n v="3137.7176999999997"/>
    <n v="5.4039055255227044"/>
    <n v="2051.5208614074736"/>
    <n v="1972.425516815787"/>
    <x v="7"/>
    <x v="2"/>
  </r>
  <r>
    <x v="351"/>
    <m/>
    <d v="1899-12-30T23:35:00"/>
    <n v="0.98263888889050577"/>
    <d v="1901-08-03T14:55:00"/>
    <n v="581.62152777777374"/>
    <n v="543.53819444444525"/>
    <n v="521.01874999999563"/>
    <n v="193504"/>
    <n v="8"/>
    <n v="0.3392226148404312"/>
    <n v="8.1413427561703493"/>
    <n v="2971.5901060021774"/>
    <n v="13745"/>
    <n v="0.98467526730226884"/>
    <n v="23.632206415254451"/>
    <n v="8625.755341567874"/>
    <n v="125320"/>
    <n v="2"/>
    <n v="8.4805653710107801E-2"/>
    <n v="2.0353356890425873"/>
    <n v="742.89752650054436"/>
    <n v="5888"/>
    <n v="0.42180923782289986"/>
    <n v="10.123421707749598"/>
    <n v="3695.0489233286035"/>
    <n v="10"/>
    <n v="0.42402826855053904"/>
    <n v="10.176678445212938"/>
    <n v="3714.4876325027221"/>
    <n v="19633"/>
    <n v="31.390618312369394"/>
    <n v="29.664959274498528"/>
    <n v="1.4064845051251686"/>
    <n v="33.755628123004051"/>
    <n v="12320.804264896478"/>
    <n v="3265.2503000000002"/>
    <n v="5.6140464959673722"/>
    <n v="5.2265410766645939"/>
    <n v="4.9389525808812476"/>
    <n v="3139.3166999999999"/>
    <n v="5.3975249368683471"/>
    <n v="2049.1269710280908"/>
    <n v="1970.0966019569466"/>
    <x v="7"/>
    <x v="2"/>
  </r>
  <r>
    <x v="352"/>
    <m/>
    <d v="1899-12-30T19:33:00"/>
    <n v="0.81458333333284827"/>
    <d v="1901-08-04T10:28:00"/>
    <n v="582.43611111110658"/>
    <n v="544.3527777777781"/>
    <n v="521.83333333332848"/>
    <n v="193512"/>
    <n v="8"/>
    <n v="0.40920716112556338"/>
    <n v="9.8209718670135207"/>
    <n v="3584.6547314599352"/>
    <n v="13753"/>
    <n v="0.98387042927932777"/>
    <n v="23.612890302703867"/>
    <n v="8618.7049604869117"/>
    <n v="125322"/>
    <n v="2"/>
    <n v="0.10230179028139084"/>
    <n v="2.4552429667533802"/>
    <n v="896.1636828649838"/>
    <n v="5890"/>
    <n v="0.42136238118630409"/>
    <n v="10.112697148471298"/>
    <n v="3691.1344591920238"/>
    <n v="10"/>
    <n v="0.51150895140695418"/>
    <n v="12.2762148337669"/>
    <n v="4480.8184143249182"/>
    <n v="19643"/>
    <n v="31.362015033143315"/>
    <n v="29.637815394442946"/>
    <n v="1.4052328104656318"/>
    <n v="33.725587451175166"/>
    <n v="12309.839419678936"/>
    <n v="3266.9587000000001"/>
    <n v="5.6091280016406628"/>
    <n v="5.2218583537024061"/>
    <n v="4.9345167039285034"/>
    <n v="3140.9156999999996"/>
    <n v="5.3927214334429081"/>
    <n v="2047.3317205988419"/>
    <n v="1968.3433232066616"/>
    <x v="7"/>
    <x v="2"/>
  </r>
  <r>
    <x v="353"/>
    <m/>
    <d v="1900-01-13T03:12:00"/>
    <n v="14.133333333338669"/>
    <d v="1901-08-18T13:40:00"/>
    <n v="596.56944444444525"/>
    <n v="558.48611111111677"/>
    <n v="535.96666666666715"/>
    <n v="193555"/>
    <n v="43"/>
    <n v="0.12676886792448044"/>
    <n v="3.0424528301875307"/>
    <n v="1110.4952830184486"/>
    <n v="13796"/>
    <n v="0.96356482667101118"/>
    <n v="23.125555840104269"/>
    <n v="8440.8278816380589"/>
    <n v="125353"/>
    <n v="31"/>
    <n v="9.1391509433927764E-2"/>
    <n v="2.1933962264142663"/>
    <n v="800.58962264120726"/>
    <n v="5921"/>
    <n v="0.41354503759923583"/>
    <n v="9.9250809023816604"/>
    <n v="3622.6545293693061"/>
    <n v="74"/>
    <n v="0.21816037735840821"/>
    <n v="5.235849056601797"/>
    <n v="1911.084905659656"/>
    <n v="19717"/>
    <n v="30.700853000422459"/>
    <n v="28.994340444057439"/>
    <n v="1.3771098642702471"/>
    <n v="33.050636742485928"/>
    <n v="12063.482411007364"/>
    <n v="3278.8670000000002"/>
    <n v="5.4962033850953294"/>
    <n v="5.1110338166172919"/>
    <n v="4.8266128490577733"/>
    <n v="3152.7482999999997"/>
    <n v="5.2847968151234994"/>
    <n v="2006.1142355597954"/>
    <n v="1928.9508375200774"/>
    <x v="11"/>
    <x v="2"/>
  </r>
  <r>
    <x v="354"/>
    <m/>
    <d v="1899-12-31T01:31:00"/>
    <n v="1.0631944444394321"/>
    <d v="1901-08-19T15:11:00"/>
    <n v="597.63263888888469"/>
    <n v="559.5493055555562"/>
    <n v="537.02986111110658"/>
    <n v="193563"/>
    <n v="8"/>
    <n v="0.31352057478919848"/>
    <n v="7.5244937949407644"/>
    <n v="2746.440235153379"/>
    <n v="13804"/>
    <n v="0.96240839144263168"/>
    <n v="23.097801394623161"/>
    <n v="8430.6975090374544"/>
    <n v="125356"/>
    <n v="3"/>
    <n v="0.11757021554594944"/>
    <n v="2.8216851731027868"/>
    <n v="1029.9150881825171"/>
    <n v="5924"/>
    <n v="0.41301849542930674"/>
    <n v="9.9124438903033614"/>
    <n v="3618.042019960727"/>
    <n v="11"/>
    <n v="0.43109079033514797"/>
    <n v="10.346178968043551"/>
    <n v="3776.3553233358962"/>
    <n v="19728"/>
    <n v="30.662177273127767"/>
    <n v="28.95742141382086"/>
    <n v="1.3754268868719384"/>
    <n v="33.010245284926519"/>
    <n v="12048.73952899818"/>
    <n v="3280.71"/>
    <n v="5.4895094185275388"/>
    <n v="5.1046161109325281"/>
    <n v="4.8204891151563203"/>
    <n v="3154.5071999999996"/>
    <n v="5.2783382210597498"/>
    <n v="2003.6709377625518"/>
    <n v="1926.5934506868089"/>
    <x v="11"/>
    <x v="2"/>
  </r>
  <r>
    <x v="355"/>
    <m/>
    <d v="1899-12-30T23:47:00"/>
    <n v="0.99097222222189885"/>
    <d v="1901-08-20T14:58:00"/>
    <n v="598.62361111110658"/>
    <n v="560.5402777777781"/>
    <n v="538.02083333332848"/>
    <n v="193572"/>
    <n v="9"/>
    <n v="0.37841625788379551"/>
    <n v="9.0819901892110924"/>
    <n v="3314.9264190620488"/>
    <n v="13813"/>
    <n v="0.96144164042978952"/>
    <n v="23.074599370314946"/>
    <n v="8422.2287701649548"/>
    <n v="125359"/>
    <n v="3"/>
    <n v="0.12613875262793184"/>
    <n v="3.0273300630703641"/>
    <n v="1104.975473020683"/>
    <n v="5927"/>
    <n v="0.41254358957701892"/>
    <n v="9.9010461498484545"/>
    <n v="3613.8818446946857"/>
    <n v="12"/>
    <n v="0.50455501051172735"/>
    <n v="12.109320252281456"/>
    <n v="4419.901892082732"/>
    <n v="19740"/>
    <n v="30.629377906731833"/>
    <n v="28.926389157793096"/>
    <n v="1.3739852300068085"/>
    <n v="32.975645520163404"/>
    <n v="12036.110614859643"/>
    <n v="3282.7329"/>
    <n v="5.4838012384892609"/>
    <n v="5.0992005629489379"/>
    <n v="4.8153702226525121"/>
    <n v="3156.4259999999999"/>
    <n v="5.2728057186741282"/>
    <n v="2001.58745204858"/>
    <n v="1924.5740873160566"/>
    <x v="11"/>
    <x v="2"/>
  </r>
  <r>
    <x v="356"/>
    <m/>
    <d v="1899-12-30T23:40:00"/>
    <n v="0.98611111111677019"/>
    <d v="1901-08-21T14:38:00"/>
    <n v="599.60972222222335"/>
    <n v="561.52638888889487"/>
    <n v="539.00694444444525"/>
    <n v="193578"/>
    <n v="6"/>
    <n v="0.25352112675910848"/>
    <n v="6.0845070422186032"/>
    <n v="2220.84507040979"/>
    <n v="13819"/>
    <n v="0.96027740266237815"/>
    <n v="23.046657663897076"/>
    <n v="8412.0300473224324"/>
    <n v="125362"/>
    <n v="3"/>
    <n v="0.12676056337955424"/>
    <n v="3.0422535211093016"/>
    <n v="1110.422535204895"/>
    <n v="5930"/>
    <n v="0.41207359416657519"/>
    <n v="9.8897662599978045"/>
    <n v="3609.7646848991985"/>
    <n v="9"/>
    <n v="0.3802816901386627"/>
    <n v="9.1267605633279043"/>
    <n v="3331.2676056146852"/>
    <n v="19749"/>
    <n v="30.591616600584885"/>
    <n v="28.890165814190148"/>
    <n v="1.3723509968289533"/>
    <n v="32.936423923894878"/>
    <n v="12021.794732221631"/>
    <n v="3284.2161000000001"/>
    <n v="5.4772562523307879"/>
    <n v="5.0928870959363692"/>
    <n v="4.8093122486053241"/>
    <n v="3157.8650999999995"/>
    <n v="5.2665341854307908"/>
    <n v="1999.1985321007378"/>
    <n v="1922.2849776822386"/>
    <x v="11"/>
    <x v="2"/>
  </r>
  <r>
    <x v="357"/>
    <m/>
    <d v="1899-12-31T00:41:00"/>
    <n v="1.0284722222204437"/>
    <d v="1901-08-22T15:19:00"/>
    <n v="600.6381944444438"/>
    <n v="562.55486111111531"/>
    <n v="540.0354166666657"/>
    <n v="193583"/>
    <n v="5"/>
    <n v="0.20256583389636651"/>
    <n v="4.8615800135127962"/>
    <n v="1774.4767049321706"/>
    <n v="13824"/>
    <n v="0.95897997384726308"/>
    <n v="23.015519372334314"/>
    <n v="8400.6645709020249"/>
    <n v="125365"/>
    <n v="3"/>
    <n v="0.12153950033781991"/>
    <n v="2.9169480081076777"/>
    <n v="1064.6860229593024"/>
    <n v="5933"/>
    <n v="0.41157611290768314"/>
    <n v="9.8778267097843955"/>
    <n v="3605.4067490713041"/>
    <n v="8"/>
    <n v="0.32410533423418642"/>
    <n v="7.778528021620474"/>
    <n v="2839.162727891473"/>
    <n v="19757"/>
    <n v="30.549909329830566"/>
    <n v="28.849959686286059"/>
    <n v="1.3705560867549462"/>
    <n v="32.893346082118711"/>
    <n v="12006.071319973329"/>
    <n v="3285.5194000000001"/>
    <n v="5.470047410219923"/>
    <n v="5.0858929462434768"/>
    <n v="4.802566498339238"/>
    <n v="3159.1442999999999"/>
    <n v="5.2596460385307813"/>
    <n v="1996.5673047302719"/>
    <n v="1919.7708040637351"/>
    <x v="11"/>
    <x v="2"/>
  </r>
  <r>
    <x v="358"/>
    <m/>
    <d v="1899-12-30T23:59:00"/>
    <n v="0.99930555555329192"/>
    <d v="1901-08-23T15:18:00"/>
    <n v="601.63749999999709"/>
    <n v="563.55416666666861"/>
    <n v="541.03472222221899"/>
    <n v="193591"/>
    <n v="8"/>
    <n v="0.33356497567830945"/>
    <n v="8.0055594162794268"/>
    <n v="2922.0291869419907"/>
    <n v="13832"/>
    <n v="0.95794117443366833"/>
    <n v="22.99058818640804"/>
    <n v="8391.564688038934"/>
    <n v="125368"/>
    <n v="3"/>
    <n v="0.12508686587936604"/>
    <n v="3.0020847811047848"/>
    <n v="1095.7609451032465"/>
    <n v="5936"/>
    <n v="0.41110026109299125"/>
    <n v="9.86640626623179"/>
    <n v="3601.2382871746036"/>
    <n v="11"/>
    <n v="0.45865184155767547"/>
    <n v="11.007644197384211"/>
    <n v="4017.790132045237"/>
    <n v="19768"/>
    <n v="30.515256593199307"/>
    <n v="28.817004453914354"/>
    <n v="1.3690414355266596"/>
    <n v="32.856994452639832"/>
    <n v="11992.802975213539"/>
    <n v="3287.3624"/>
    <n v="5.4640250981696052"/>
    <n v="5.0801448544579246"/>
    <n v="4.7971024656971881"/>
    <n v="3160.9031999999997"/>
    <n v="5.2538334129771087"/>
    <n v="1994.3691608319059"/>
    <n v="1917.6491957366447"/>
    <x v="11"/>
    <x v="2"/>
  </r>
  <r>
    <x v="359"/>
    <m/>
    <d v="1899-12-31T00:08:00"/>
    <n v="1.0055555555591127"/>
    <d v="1901-08-24T15:26:00"/>
    <n v="602.6430555555562"/>
    <n v="564.55972222222772"/>
    <n v="542.0402777777781"/>
    <n v="193597"/>
    <n v="6"/>
    <n v="0.24861878452950725"/>
    <n v="5.9668508287081741"/>
    <n v="2177.9005524784834"/>
    <n v="13838"/>
    <n v="0.95675761633360346"/>
    <n v="22.962182792006484"/>
    <n v="8381.1967190823671"/>
    <n v="125371"/>
    <n v="3"/>
    <n v="0.12430939226475363"/>
    <n v="2.983425414354087"/>
    <n v="1088.9502762392417"/>
    <n v="5939"/>
    <n v="0.41062172881957443"/>
    <n v="9.8549214916697867"/>
    <n v="3597.046344459472"/>
    <n v="9"/>
    <n v="0.37292817679426088"/>
    <n v="8.9502762430622607"/>
    <n v="3266.8508287177251"/>
    <n v="19777"/>
    <n v="30.476846510185862"/>
    <n v="28.780149076662489"/>
    <n v="1.3673793451531779"/>
    <n v="32.817104283676272"/>
    <n v="11978.243063541839"/>
    <n v="3288.8456000000001"/>
    <n v="5.4573691170607201"/>
    <n v="5.0737236243581654"/>
    <n v="4.7909395417007214"/>
    <n v="3162.3422999999998"/>
    <n v="5.2474549749598349"/>
    <n v="1991.9397277271628"/>
    <n v="1915.3210658603398"/>
    <x v="11"/>
    <x v="2"/>
  </r>
  <r>
    <x v="360"/>
    <m/>
    <d v="1899-12-30T23:38:00"/>
    <n v="0.98472222221607808"/>
    <d v="1901-08-25T15:04:00"/>
    <n v="603.62777777777228"/>
    <n v="565.5444444444438"/>
    <n v="543.02499999999418"/>
    <n v="193602"/>
    <n v="5"/>
    <n v="0.21156558533277281"/>
    <n v="5.0775740479865474"/>
    <n v="1853.3145275150898"/>
    <n v="13843"/>
    <n v="0.9555419546630185"/>
    <n v="22.933006911912443"/>
    <n v="8370.5475228480409"/>
    <n v="125374"/>
    <n v="3"/>
    <n v="0.12693935119966368"/>
    <n v="3.0465444287919285"/>
    <n v="1111.988716509054"/>
    <n v="5942"/>
    <n v="0.41015894637055955"/>
    <n v="9.8438147128934297"/>
    <n v="3592.9923702061019"/>
    <n v="8"/>
    <n v="0.33850493653243652"/>
    <n v="8.1241184767784755"/>
    <n v="2965.3032440241436"/>
    <n v="19785"/>
    <n v="30.43792608892123"/>
    <n v="28.742691404631771"/>
    <n v="1.3657009010335781"/>
    <n v="32.776821624805869"/>
    <n v="11963.539893054141"/>
    <n v="3290.1489000000001"/>
    <n v="5.4506254038085045"/>
    <n v="5.0671937955559105"/>
    <n v="4.7846517195341427"/>
    <n v="3163.6214999999997"/>
    <n v="5.2410137778064589"/>
    <n v="1989.4782723901039"/>
    <n v="1912.970028899357"/>
    <x v="11"/>
    <x v="2"/>
  </r>
  <r>
    <x v="361"/>
    <m/>
    <d v="1900-01-01T23:34:00"/>
    <n v="2.9819444444510737"/>
    <d v="1901-08-28T14:38:00"/>
    <n v="606.60972222222335"/>
    <n v="568.52638888889487"/>
    <n v="546.00694444444525"/>
    <n v="193619"/>
    <n v="17"/>
    <n v="0.23754075454069223"/>
    <n v="5.7009781089766136"/>
    <n v="2080.8570097764641"/>
    <n v="13860"/>
    <n v="0.95201243706483263"/>
    <n v="22.848298489555983"/>
    <n v="8339.6289486879341"/>
    <n v="125382"/>
    <n v="8"/>
    <n v="0.11178388448973751"/>
    <n v="2.6828132277537002"/>
    <n v="979.22682813010056"/>
    <n v="5950"/>
    <n v="0.40869220783086246"/>
    <n v="9.8086129879407"/>
    <n v="3580.1437405983556"/>
    <n v="25"/>
    <n v="0.34932463903042976"/>
    <n v="8.3837913367303134"/>
    <n v="3060.0838379065644"/>
    <n v="19810"/>
    <n v="30.322251239192624"/>
    <n v="28.631503974562754"/>
    <n v="1.360704644895695"/>
    <n v="32.656911477496685"/>
    <n v="11919.77268928629"/>
    <n v="3294.2840000000001"/>
    <n v="5.4306482064479393"/>
    <n v="5.04788951944471"/>
    <n v="4.7660943262321078"/>
    <n v="3167.6189999999997"/>
    <n v="5.2218401452517194"/>
    <n v="1982.186595353498"/>
    <n v="1905.9716530168776"/>
    <x v="11"/>
    <x v="2"/>
  </r>
  <r>
    <x v="362"/>
    <m/>
    <d v="1899-12-31T00:56:00"/>
    <n v="1.038888888884685"/>
    <d v="1901-08-29T15:34:00"/>
    <n v="607.64861111110804"/>
    <n v="569.56527777777956"/>
    <n v="547.04583333332994"/>
    <n v="193626"/>
    <n v="7"/>
    <n v="0.28074866310274033"/>
    <n v="6.7379679144657683"/>
    <n v="2459.3582887800053"/>
    <n v="13867"/>
    <n v="0.95086478616342618"/>
    <n v="22.820754867922229"/>
    <n v="8329.5755267916138"/>
    <n v="125384"/>
    <n v="2"/>
    <n v="8.0213903743640097E-2"/>
    <n v="1.9251336898473623"/>
    <n v="702.67379679428723"/>
    <n v="5952"/>
    <n v="0.40813061276734064"/>
    <n v="9.7951347064161762"/>
    <n v="3575.2241678419045"/>
    <n v="9"/>
    <n v="0.36096256684638045"/>
    <n v="8.6631016043131304"/>
    <n v="3162.0320855742925"/>
    <n v="19819"/>
    <n v="30.282744880964188"/>
    <n v="28.593582195276319"/>
    <n v="1.3589953989307668"/>
    <n v="32.615889574338404"/>
    <n v="11904.799694633517"/>
    <n v="3295.8125"/>
    <n v="5.4238789322228262"/>
    <n v="5.0413657784811354"/>
    <n v="4.7598371860980864"/>
    <n v="3169.0580999999997"/>
    <n v="5.2152807429367103"/>
    <n v="1979.7158102613316"/>
    <n v="1903.5774711718991"/>
    <x v="11"/>
    <x v="2"/>
  </r>
  <r>
    <x v="363"/>
    <m/>
    <d v="1899-12-30T23:02:00"/>
    <n v="0.95972222222189885"/>
    <d v="1901-08-30T14:36:00"/>
    <n v="608.60833333332994"/>
    <n v="570.52500000000146"/>
    <n v="548.00555555555184"/>
    <n v="193635"/>
    <n v="9"/>
    <n v="0.39073806078160778"/>
    <n v="9.3777134587585866"/>
    <n v="3422.865412446884"/>
    <n v="13876"/>
    <n v="0.94998151520546037"/>
    <n v="22.79955636493105"/>
    <n v="8321.8380731998332"/>
    <n v="125387"/>
    <n v="3"/>
    <n v="0.13024602026053592"/>
    <n v="3.1259044862528622"/>
    <n v="1140.9551374822947"/>
    <n v="5955"/>
    <n v="0.40769241301877462"/>
    <n v="9.7846179124505905"/>
    <n v="3571.3855380444656"/>
    <n v="12"/>
    <n v="0.52098408104214367"/>
    <n v="12.503617945011449"/>
    <n v="4563.8205499291789"/>
    <n v="19831"/>
    <n v="30.252837298978932"/>
    <n v="28.565403838160798"/>
    <n v="1.3576739282242349"/>
    <n v="32.584174277381642"/>
    <n v="11893.223611244299"/>
    <n v="3297.8354000000004"/>
    <n v="5.4186497610669457"/>
    <n v="5.0364310065290621"/>
    <n v="4.7551926683630867"/>
    <n v="3170.9768999999997"/>
    <n v="5.2102094669533239"/>
    <n v="1977.8071627894351"/>
    <n v="1901.7264554379633"/>
    <x v="11"/>
    <x v="2"/>
  </r>
  <r>
    <x v="364"/>
    <m/>
    <d v="1899-12-30T23:46:00"/>
    <n v="0.99027777777519077"/>
    <d v="1901-08-31T14:22:00"/>
    <n v="609.59861111110513"/>
    <n v="571.51527777777665"/>
    <n v="548.99583333332703"/>
    <n v="193641"/>
    <n v="6"/>
    <n v="0.25245441795297369"/>
    <n v="6.058906030871368"/>
    <n v="2211.5007012680494"/>
    <n v="13882"/>
    <n v="0.94884839978948832"/>
    <n v="22.772361594947718"/>
    <n v="8311.9119821559161"/>
    <n v="125390"/>
    <n v="3"/>
    <n v="0.12622720897648684"/>
    <n v="3.029453015435684"/>
    <n v="1105.7503506340247"/>
    <n v="5958"/>
    <n v="0.40723517979727497"/>
    <n v="9.7736443151345984"/>
    <n v="3567.3801750241282"/>
    <n v="9"/>
    <n v="0.3786816269294605"/>
    <n v="9.0883590463070529"/>
    <n v="3317.2510519020743"/>
    <n v="19840"/>
    <n v="30.216165116612572"/>
    <n v="28.530271176921829"/>
    <n v="1.3560835795867632"/>
    <n v="32.546005910082314"/>
    <n v="11879.292157180045"/>
    <n v="3299.3185999999996"/>
    <n v="5.4122803757482112"/>
    <n v="5.0302994719204159"/>
    <n v="4.7493169195273728"/>
    <n v="3172.4159999999997"/>
    <n v="5.2041063450221623"/>
    <n v="1975.482337148097"/>
    <n v="1899.498815933089"/>
    <x v="11"/>
    <x v="2"/>
  </r>
  <r>
    <x v="365"/>
    <m/>
    <d v="1899-12-31T00:04:00"/>
    <n v="1.0027777777795563"/>
    <d v="1901-09-01T14:26:00"/>
    <n v="610.60138888888469"/>
    <n v="572.5180555555562"/>
    <n v="549.99861111110658"/>
    <n v="193648"/>
    <n v="7"/>
    <n v="0.29085872576125699"/>
    <n v="6.9806094182701672"/>
    <n v="2547.9224376686111"/>
    <n v="13889"/>
    <n v="0.94776779723087867"/>
    <n v="22.746427133541086"/>
    <n v="8302.4459037424967"/>
    <n v="125393"/>
    <n v="3"/>
    <n v="0.12465373961196727"/>
    <n v="2.9916897506872147"/>
    <n v="1091.9667590008335"/>
    <n v="5961"/>
    <n v="0.40677110226029717"/>
    <n v="9.7625064542471325"/>
    <n v="3563.3148558002035"/>
    <n v="10"/>
    <n v="0.41551246537322423"/>
    <n v="9.9722991689573828"/>
    <n v="3639.8891966694446"/>
    <n v="19850"/>
    <n v="30.180707546826486"/>
    <n v="28.496435597059822"/>
    <n v="1.3545388994911758"/>
    <n v="32.508933587788221"/>
    <n v="11865.7607595427"/>
    <n v="3300.9817000000003"/>
    <n v="5.4061156100657062"/>
    <n v="5.0243936799664199"/>
    <n v="4.7436816153576542"/>
    <n v="3174.0149999999999"/>
    <n v="5.1981784806873366"/>
    <n v="1973.2321976739827"/>
    <n v="1897.3351454508775"/>
    <x v="11"/>
    <x v="2"/>
  </r>
  <r>
    <x v="366"/>
    <m/>
    <d v="1900-01-01T00:15:00"/>
    <n v="2.0104166666715173"/>
    <d v="1901-09-03T14:41:00"/>
    <n v="612.6118055555562"/>
    <n v="574.52847222222772"/>
    <n v="552.0090277777781"/>
    <n v="193662"/>
    <n v="14"/>
    <n v="0.2901554404138077"/>
    <n v="6.9637305699313847"/>
    <n v="2541.7616580249555"/>
    <n v="13903"/>
    <n v="0.94560970163042701"/>
    <n v="22.694632839130247"/>
    <n v="8283.54098628254"/>
    <n v="125399"/>
    <n v="6"/>
    <n v="0.12435233160591759"/>
    <n v="2.9844559585420218"/>
    <n v="1089.3264248678379"/>
    <n v="5967"/>
    <n v="0.40584428466005595"/>
    <n v="9.7402628318413438"/>
    <n v="3555.1959336220907"/>
    <n v="20"/>
    <n v="0.41450777201972527"/>
    <n v="9.948186528473407"/>
    <n v="3631.0880828927934"/>
    <n v="19870"/>
    <n v="30.109908971245456"/>
    <n v="28.428882881092157"/>
    <n v="1.3514539862904829"/>
    <n v="32.434895670971592"/>
    <n v="11838.736919904632"/>
    <n v="3304.3078999999998"/>
    <n v="5.3938038249253761"/>
    <n v="5.012601531932539"/>
    <n v="4.7324307548311504"/>
    <n v="3177.2129999999997"/>
    <n v="5.1863398177883573"/>
    <n v="1968.7383960977625"/>
    <n v="1893.0140334927505"/>
    <x v="11"/>
    <x v="2"/>
  </r>
  <r>
    <x v="367"/>
    <m/>
    <d v="1899-12-30T23:40:00"/>
    <n v="0.98611111110949423"/>
    <d v="1901-09-04T14:21:00"/>
    <n v="613.5979166666657"/>
    <n v="575.51458333333721"/>
    <n v="552.9951388888876"/>
    <n v="193668"/>
    <n v="6"/>
    <n v="0.25352112676097904"/>
    <n v="6.0845070422634979"/>
    <n v="2220.8450704261768"/>
    <n v="13909"/>
    <n v="0.94449744845124706"/>
    <n v="22.66793876282993"/>
    <n v="8273.7976484329247"/>
    <n v="125401"/>
    <n v="2"/>
    <n v="8.4507042253659695E-2"/>
    <n v="2.0281690140878323"/>
    <n v="740.28169014205878"/>
    <n v="5969"/>
    <n v="0.40532786467794191"/>
    <n v="9.7278687522706058"/>
    <n v="3550.6720945787711"/>
    <n v="8"/>
    <n v="0.33802816901463878"/>
    <n v="8.1126760563513294"/>
    <n v="2961.1267605682351"/>
    <n v="19878"/>
    <n v="30.072217978837575"/>
    <n v="28.392654647104912"/>
    <n v="1.3498253131291889"/>
    <n v="32.395807515100536"/>
    <n v="11824.469743011696"/>
    <n v="3305.6565000000001"/>
    <n v="5.3873333174887277"/>
    <n v="5.0063560219658161"/>
    <n v="4.7264305166435925"/>
    <n v="3178.4921999999997"/>
    <n v="5.1800896216645747"/>
    <n v="1966.3766608833857"/>
    <n v="1890.7327119075701"/>
    <x v="11"/>
    <x v="2"/>
  </r>
  <r>
    <x v="368"/>
    <m/>
    <d v="1899-12-31T00:06:00"/>
    <n v="1.0041666666656965"/>
    <d v="1901-09-05T14:27:00"/>
    <n v="614.60208333333139"/>
    <n v="576.51875000000291"/>
    <n v="553.99930555555329"/>
    <n v="193675"/>
    <n v="7"/>
    <n v="0.29045643153555034"/>
    <n v="6.9709543568532073"/>
    <n v="2544.3983402514204"/>
    <n v="13916"/>
    <n v="0.94342884454372877"/>
    <n v="22.642292269049491"/>
    <n v="8264.4366782030647"/>
    <n v="125405"/>
    <n v="4"/>
    <n v="0.16597510373460017"/>
    <n v="3.9834024896304046"/>
    <n v="1453.9419087150977"/>
    <n v="5973"/>
    <n v="0.40493679853835096"/>
    <n v="9.7184831649204231"/>
    <n v="3547.2463551959545"/>
    <n v="11"/>
    <n v="0.45643153527015051"/>
    <n v="10.954356846483613"/>
    <n v="3998.3402489665186"/>
    <n v="19889"/>
    <n v="30.038918942358617"/>
    <n v="28.361046381175385"/>
    <n v="1.3483656430820796"/>
    <n v="32.360775433969913"/>
    <n v="11811.683033399018"/>
    <n v="3307.4542000000001"/>
    <n v="5.3814562132002921"/>
    <n v="5.0007542686165634"/>
    <n v="4.721108445031664"/>
    <n v="3180.2511"/>
    <n v="5.1744879918917892"/>
    <n v="1964.231517818107"/>
    <n v="1888.6881170405029"/>
    <x v="11"/>
    <x v="2"/>
  </r>
  <r>
    <x v="369"/>
    <m/>
    <d v="1899-12-31T00:09:00"/>
    <n v="1.0062499999985448"/>
    <d v="1901-09-06T14:36:00"/>
    <n v="615.60833333332994"/>
    <n v="577.52500000000146"/>
    <n v="555.00555555555184"/>
    <n v="193685"/>
    <n v="10"/>
    <n v="0.41407867494883899"/>
    <n v="9.9378881987721357"/>
    <n v="3627.3291925518297"/>
    <n v="13926"/>
    <n v="0.942563588861971"/>
    <n v="22.621526132687304"/>
    <n v="8256.8570384308659"/>
    <n v="125408"/>
    <n v="3"/>
    <n v="0.1242236024846517"/>
    <n v="2.9813664596316407"/>
    <n v="1088.1987577655489"/>
    <n v="5976"/>
    <n v="0.40447795540996256"/>
    <n v="9.7074709298391024"/>
    <n v="3543.2268893912724"/>
    <n v="13"/>
    <n v="0.53830227743349068"/>
    <n v="12.919254658403776"/>
    <n v="4715.5279503173788"/>
    <n v="19902"/>
    <n v="30.009090515562022"/>
    <n v="28.33304971922222"/>
    <n v="1.3470415442719337"/>
    <n v="32.328997062526405"/>
    <n v="11800.083927822137"/>
    <n v="3309.6570000000002"/>
    <n v="5.376238138426789"/>
    <n v="4.995855417514381"/>
    <n v="4.7165178326543593"/>
    <n v="3182.3297999999995"/>
    <n v="5.1694066302979715"/>
    <n v="1962.326920525778"/>
    <n v="1886.8334200587597"/>
    <x v="11"/>
    <x v="2"/>
  </r>
  <r>
    <x v="370"/>
    <m/>
    <d v="1899-12-31T00:07:00"/>
    <n v="1.0048611111124046"/>
    <d v="1901-09-07T14:43:00"/>
    <n v="616.61319444444234"/>
    <n v="578.52986111111386"/>
    <n v="556.01041666666424"/>
    <n v="193690"/>
    <n v="5"/>
    <n v="0.20732550103636063"/>
    <n v="4.9758120248726554"/>
    <n v="1816.1713890785193"/>
    <n v="13931"/>
    <n v="0.94136541118993744"/>
    <n v="22.592769868558499"/>
    <n v="8246.3610020238521"/>
    <n v="125411"/>
    <n v="3"/>
    <n v="0.12439530062181638"/>
    <n v="2.9854872149235931"/>
    <n v="1089.7028334471115"/>
    <n v="5979"/>
    <n v="0.40402151988404539"/>
    <n v="9.6965164772170898"/>
    <n v="3539.2285141842376"/>
    <n v="8"/>
    <n v="0.33172080165817702"/>
    <n v="7.9612992397962481"/>
    <n v="2905.8742225256306"/>
    <n v="19910"/>
    <n v="29.970795226886015"/>
    <n v="28.296232459673767"/>
    <n v="1.3453869310739828"/>
    <n v="32.289286345775587"/>
    <n v="11785.589516208089"/>
    <n v="3310.9603000000002"/>
    <n v="5.3695904171870943"/>
    <n v="4.9894307866082741"/>
    <n v="4.7103378309009702"/>
    <n v="3183.6089999999999"/>
    <n v="5.1630568866895166"/>
    <n v="1959.9005022732892"/>
    <n v="1884.5157636416732"/>
    <x v="11"/>
    <x v="2"/>
  </r>
  <r>
    <x v="371"/>
    <m/>
    <d v="1899-12-30T23:39:00"/>
    <n v="0.98541666666278616"/>
    <d v="1901-09-08T14:22:00"/>
    <n v="617.59861111110513"/>
    <n v="579.51527777777665"/>
    <n v="556.99583333332703"/>
    <n v="193698"/>
    <n v="8"/>
    <n v="0.33826638477934473"/>
    <n v="8.1183932347042749"/>
    <n v="2963.2135306670602"/>
    <n v="13939"/>
    <n v="0.94040312950474403"/>
    <n v="22.569675108113859"/>
    <n v="8237.9314144615582"/>
    <n v="125414"/>
    <n v="3"/>
    <n v="0.12684989429225429"/>
    <n v="3.0443974630141026"/>
    <n v="1111.2050740001475"/>
    <n v="5982"/>
    <n v="0.40357927546433597"/>
    <n v="9.6859026111440638"/>
    <n v="3535.3544530675831"/>
    <n v="11"/>
    <n v="0.46511627907159903"/>
    <n v="11.162790697718377"/>
    <n v="4074.4186046672075"/>
    <n v="19921"/>
    <n v="29.938813807516397"/>
    <n v="28.265920600842637"/>
    <n v="1.3439824049690801"/>
    <n v="32.255577719257921"/>
    <n v="11773.285867529141"/>
    <n v="3312.8033"/>
    <n v="5.364007043409674"/>
    <n v="4.9841269259989884"/>
    <n v="4.7053132952820347"/>
    <n v="3185.3678999999997"/>
    <n v="5.1576668773093415"/>
    <n v="1957.8625708445311"/>
    <n v="1882.5484102179096"/>
    <x v="11"/>
    <x v="2"/>
  </r>
  <r>
    <x v="372"/>
    <m/>
    <d v="1900-01-01T00:20:00"/>
    <n v="2.0138888888905058"/>
    <d v="1901-09-10T14:42:00"/>
    <n v="619.61249999999563"/>
    <n v="581.52916666666715"/>
    <n v="559.00972222221753"/>
    <n v="193707"/>
    <n v="9"/>
    <n v="0.18620689655157463"/>
    <n v="4.4689655172377911"/>
    <n v="1631.1724137917938"/>
    <n v="13948"/>
    <n v="0.93795181127990601"/>
    <n v="22.510843470717745"/>
    <n v="8216.4578668119775"/>
    <n v="125419"/>
    <n v="5"/>
    <n v="0.10344827586198591"/>
    <n v="2.4827586206876617"/>
    <n v="906.20689655099659"/>
    <n v="5987"/>
    <n v="0.40260377789882401"/>
    <n v="9.6624906695717758"/>
    <n v="3526.8090943936982"/>
    <n v="14"/>
    <n v="0.28965517241356054"/>
    <n v="6.9517241379254529"/>
    <n v="2537.3793103427902"/>
    <n v="19935"/>
    <n v="29.859207405762081"/>
    <n v="28.189134058988476"/>
    <n v="1.34055558917873"/>
    <n v="32.173334140289519"/>
    <n v="11743.266961205674"/>
    <n v="3315.0953999999997"/>
    <n v="5.3502719845064828"/>
    <n v="4.970807941705413"/>
    <n v="4.6924622161709957"/>
    <n v="3187.6064999999999"/>
    <n v="5.1445161290322945"/>
    <n v="1952.8492743448664"/>
    <n v="1877.7483870967872"/>
    <x v="11"/>
    <x v="2"/>
  </r>
  <r>
    <x v="373"/>
    <m/>
    <d v="1899-12-30T23:48:00"/>
    <n v="0.99166666666860692"/>
    <d v="1901-09-11T14:30:00"/>
    <n v="620.60416666666424"/>
    <n v="582.52083333333576"/>
    <n v="560.00138888888614"/>
    <n v="193713"/>
    <n v="6"/>
    <n v="0.25210084033564123"/>
    <n v="6.0504201680553891"/>
    <n v="2208.4033613402171"/>
    <n v="13954"/>
    <n v="0.93685588640102413"/>
    <n v="22.484541273624579"/>
    <n v="8206.8575648729711"/>
    <n v="125422"/>
    <n v="3"/>
    <n v="0.12605042016782061"/>
    <n v="3.0252100840276945"/>
    <n v="1104.2016806701085"/>
    <n v="5990"/>
    <n v="0.40216187183188584"/>
    <n v="9.6518849239652607"/>
    <n v="3522.9379972473203"/>
    <n v="9"/>
    <n v="0.37815126050346182"/>
    <n v="9.0756302520830836"/>
    <n v="3312.6050420103256"/>
    <n v="19944"/>
    <n v="29.823826043417494"/>
    <n v="28.15528731327565"/>
    <n v="1.3390177582329099"/>
    <n v="32.136426197589842"/>
    <n v="11729.795562120293"/>
    <n v="3316.5785999999998"/>
    <n v="5.3441126858907859"/>
    <n v="4.96489195665389"/>
    <n v="4.6868012331318845"/>
    <n v="3189.0455999999999"/>
    <n v="5.1386145489946156"/>
    <n v="1950.6011303501368"/>
    <n v="1875.5943103830346"/>
    <x v="11"/>
    <x v="2"/>
  </r>
  <r>
    <x v="374"/>
    <m/>
    <d v="1899-12-31T01:08:00"/>
    <n v="1.047222222223354"/>
    <d v="1901-09-12T15:38:00"/>
    <n v="621.6513888888876"/>
    <n v="583.56805555555911"/>
    <n v="561.04861111110949"/>
    <n v="193719"/>
    <n v="6"/>
    <n v="0.23872679045067038"/>
    <n v="5.7294429708160886"/>
    <n v="2091.2466843478724"/>
    <n v="13960"/>
    <n v="0.93567983127378218"/>
    <n v="22.456315950570772"/>
    <n v="8196.5553219583326"/>
    <n v="125425"/>
    <n v="3"/>
    <n v="0.11936339522533519"/>
    <n v="2.8647214854080443"/>
    <n v="1045.6233421739362"/>
    <n v="5993"/>
    <n v="0.40168547484411005"/>
    <n v="9.6404513962586407"/>
    <n v="3518.7647596344041"/>
    <n v="9"/>
    <n v="0.35809018567600553"/>
    <n v="8.5941644562241333"/>
    <n v="3136.8700265218085"/>
    <n v="19953"/>
    <n v="29.785729075681271"/>
    <n v="28.118775606193839"/>
    <n v="1.3373653061178923"/>
    <n v="32.096767346829409"/>
    <n v="11715.320081592734"/>
    <n v="3318.0617999999999"/>
    <n v="5.337495997444095"/>
    <n v="4.9585239843967246"/>
    <n v="4.680696731071543"/>
    <n v="3190.4846999999995"/>
    <n v="5.1322730987580218"/>
    <n v="1948.1860390670947"/>
    <n v="1873.279681046678"/>
    <x v="11"/>
    <x v="2"/>
  </r>
  <r>
    <x v="375"/>
    <m/>
    <d v="1899-12-31T00:14:00"/>
    <n v="1.0097222222175333"/>
    <d v="1901-09-13T15:52:00"/>
    <n v="622.66111111110513"/>
    <n v="584.57777777777665"/>
    <n v="562.05833333332703"/>
    <n v="193726"/>
    <n v="7"/>
    <n v="0.28885832187204291"/>
    <n v="6.9325997249290303"/>
    <n v="2530.3988995990962"/>
    <n v="13967"/>
    <n v="0.93463092996904873"/>
    <n v="22.43114231925717"/>
    <n v="8187.3669465288667"/>
    <n v="125428"/>
    <n v="3"/>
    <n v="0.12379642365944696"/>
    <n v="2.9711141678267272"/>
    <n v="1084.4566712567555"/>
    <n v="5996"/>
    <n v="0.40123484328019016"/>
    <n v="9.6296362387245633"/>
    <n v="3514.8172271344656"/>
    <n v="10"/>
    <n v="0.4126547455314899"/>
    <n v="9.9037138927557571"/>
    <n v="3614.8555708558515"/>
    <n v="19963"/>
    <n v="29.751387516156068"/>
    <n v="28.086052752531934"/>
    <n v="1.3358657732492387"/>
    <n v="32.060778557981735"/>
    <n v="11702.184173663332"/>
    <n v="3319.7249000000002"/>
    <n v="5.3315115409666909"/>
    <n v="4.9528042461795883"/>
    <n v="4.6752469346302066"/>
    <n v="3192.0836999999997"/>
    <n v="5.1265184914212787"/>
    <n v="1946.0017124528422"/>
    <n v="1871.1792493687667"/>
    <x v="8"/>
    <x v="2"/>
  </r>
  <r>
    <x v="376"/>
    <m/>
    <d v="1899-12-30T22:34:00"/>
    <n v="0.94027777777955635"/>
    <d v="1901-09-14T14:26:00"/>
    <n v="623.60138888888469"/>
    <n v="585.5180555555562"/>
    <n v="562.99861111110658"/>
    <n v="193734"/>
    <n v="8"/>
    <n v="0.35450516986639002"/>
    <n v="8.5081240767933597"/>
    <n v="3105.4652880295762"/>
    <n v="13975"/>
    <n v="0.93375620555332228"/>
    <n v="22.410148933279736"/>
    <n v="8179.7043606471034"/>
    <n v="125432"/>
    <n v="4"/>
    <n v="0.17725258493319501"/>
    <n v="4.2540620383966798"/>
    <n v="1552.7326440147881"/>
    <n v="6000"/>
    <n v="0.40089711866332262"/>
    <n v="9.6215308479197432"/>
    <n v="3511.8587594907062"/>
    <n v="12"/>
    <n v="0.53175775479958498"/>
    <n v="12.76218611519004"/>
    <n v="4658.1979320443652"/>
    <n v="19975"/>
    <n v="29.724104722076572"/>
    <n v="28.060459987320108"/>
    <n v="1.334653324216645"/>
    <n v="32.031679781199479"/>
    <n v="11691.563120137809"/>
    <n v="3321.7024999999999"/>
    <n v="5.3266438452270215"/>
    <n v="4.9482281075875294"/>
    <n v="4.6709513098266351"/>
    <n v="3194.0024999999996"/>
    <n v="5.1218655970137954"/>
    <n v="1944.225003507863"/>
    <n v="1869.4809429100355"/>
    <x v="8"/>
    <x v="2"/>
  </r>
  <r>
    <x v="377"/>
    <m/>
    <d v="1899-12-31T00:37:00"/>
    <n v="1.0256944444481633"/>
    <d v="1901-09-15T15:03:00"/>
    <n v="624.62708333333285"/>
    <n v="586.54375000000437"/>
    <n v="564.02430555555475"/>
    <n v="193741"/>
    <n v="7"/>
    <n v="0.2843601895724287"/>
    <n v="6.8246445497382897"/>
    <n v="2490.9952606544757"/>
    <n v="13982"/>
    <n v="0.9326898382701686"/>
    <n v="22.384556118484046"/>
    <n v="8170.3629832466768"/>
    <n v="125435"/>
    <n v="3"/>
    <n v="0.12186865267389803"/>
    <n v="2.9248476641735524"/>
    <n v="1067.5693974233466"/>
    <n v="6003"/>
    <n v="0.40043892856070817"/>
    <n v="9.6105342854569962"/>
    <n v="3507.8450141918038"/>
    <n v="10"/>
    <n v="0.40622884224632677"/>
    <n v="9.7494922139118412"/>
    <n v="3558.5646580778221"/>
    <n v="19985"/>
    <n v="29.689174933668411"/>
    <n v="28.027160965039226"/>
    <n v="1.3331287668308769"/>
    <n v="31.995090403941042"/>
    <n v="11678.20799743848"/>
    <n v="3323.3656000000001"/>
    <n v="5.3205595605377916"/>
    <n v="4.9424105192493801"/>
    <n v="4.6654056821329917"/>
    <n v="3195.6014999999998"/>
    <n v="5.1160149555901722"/>
    <n v="1942.0042395962939"/>
    <n v="1867.3454587904127"/>
    <x v="8"/>
    <x v="2"/>
  </r>
  <r>
    <x v="378"/>
    <m/>
    <d v="1899-12-31T02:50:00"/>
    <n v="1.1180555555547471"/>
    <d v="1901-09-16T17:53:00"/>
    <n v="625.7451388888876"/>
    <n v="587.66180555555911"/>
    <n v="565.14236111110949"/>
    <n v="193749"/>
    <n v="8"/>
    <n v="0.29813664596294848"/>
    <n v="7.1552795031107639"/>
    <n v="2611.6770186354288"/>
    <n v="13990"/>
    <n v="0.93155604484875443"/>
    <n v="22.357345076370109"/>
    <n v="8160.43095287509"/>
    <n v="125438"/>
    <n v="3"/>
    <n v="0.11180124223610569"/>
    <n v="2.6832298136665362"/>
    <n v="979.37888198828568"/>
    <n v="6006"/>
    <n v="0.39992320267059467"/>
    <n v="9.5981568640942712"/>
    <n v="3503.3272553944089"/>
    <n v="11"/>
    <n v="0.40993788819905419"/>
    <n v="9.8385093167772997"/>
    <n v="3591.0559006237145"/>
    <n v="19996"/>
    <n v="29.651408063736405"/>
    <n v="27.991177247620826"/>
    <n v="1.3314792475193491"/>
    <n v="31.95550194046438"/>
    <n v="11663.758208269499"/>
    <n v="3325.2085999999999"/>
    <n v="5.3139982931460708"/>
    <n v="4.9361434971219209"/>
    <n v="4.6594369511123803"/>
    <n v="3197.3603999999996"/>
    <n v="5.1096847602802535"/>
    <n v="1939.6093769983163"/>
    <n v="1865.0349375022927"/>
    <x v="8"/>
    <x v="2"/>
  </r>
  <r>
    <x v="379"/>
    <m/>
    <d v="1899-12-30T20:48:00"/>
    <n v="0.86666666666860692"/>
    <d v="1901-09-17T14:41:00"/>
    <n v="626.6118055555562"/>
    <n v="588.52847222222772"/>
    <n v="566.0090277777781"/>
    <n v="193755"/>
    <n v="6"/>
    <n v="0.28846153846089267"/>
    <n v="6.9230769230614237"/>
    <n v="2526.9230769174196"/>
    <n v="13996"/>
    <n v="0.93066658096176325"/>
    <n v="22.335997943082315"/>
    <n v="8152.6392492250452"/>
    <n v="125440"/>
    <n v="2"/>
    <n v="9.6153846153630887E-2"/>
    <n v="2.3076923076871414"/>
    <n v="842.30769230580665"/>
    <n v="6008"/>
    <n v="0.3995030593325431"/>
    <n v="9.5880734239810348"/>
    <n v="3499.6467997530776"/>
    <n v="8"/>
    <n v="0.38461538461452355"/>
    <n v="9.2307692307485656"/>
    <n v="3369.2307692232266"/>
    <n v="20004"/>
    <n v="29.621336643535095"/>
    <n v="27.96245152155748"/>
    <n v="1.3301696402943064"/>
    <n v="31.924071367063352"/>
    <n v="11652.286048978123"/>
    <n v="3326.5572000000002"/>
    <n v="5.3088007128283561"/>
    <n v="4.9311660131613113"/>
    <n v="4.6546851210902824"/>
    <n v="3198.6395999999995"/>
    <n v="5.1046590115934292"/>
    <n v="1937.7122601823498"/>
    <n v="1863.2005392316019"/>
    <x v="8"/>
    <x v="2"/>
  </r>
  <r>
    <x v="380"/>
    <m/>
    <d v="1899-12-30T23:50:00"/>
    <n v="0.99305555555474712"/>
    <d v="1901-09-18T14:31:00"/>
    <n v="627.60486111111095"/>
    <n v="589.52152777778247"/>
    <n v="567.00208333333285"/>
    <n v="193761"/>
    <n v="6"/>
    <n v="0.25174825174845672"/>
    <n v="6.0419580419629604"/>
    <n v="2205.3146853164803"/>
    <n v="14002"/>
    <n v="0.92959233240129224"/>
    <n v="22.310215977631014"/>
    <n v="8143.2288318353203"/>
    <n v="125443"/>
    <n v="3"/>
    <n v="0.12587412587422836"/>
    <n v="3.0209790209814802"/>
    <n v="1102.6573426582402"/>
    <n v="6011"/>
    <n v="0.399070097847748"/>
    <n v="9.5776823483459523"/>
    <n v="3495.8540571462727"/>
    <n v="9"/>
    <n v="0.37762237762268502"/>
    <n v="9.0629370629444406"/>
    <n v="3307.9720279747207"/>
    <n v="20013"/>
    <n v="29.586705791301796"/>
    <n v="27.929350641715772"/>
    <n v="1.3286624302490402"/>
    <n v="31.887898325976963"/>
    <n v="11639.082888981591"/>
    <n v="3328.0403999999999"/>
    <n v="5.3027638984631844"/>
    <n v="4.9253753479457405"/>
    <n v="4.6491487024224671"/>
    <n v="3200.0786999999996"/>
    <n v="5.0988749423237163"/>
    <n v="1935.5088229390624"/>
    <n v="1861.0893539481563"/>
    <x v="8"/>
    <x v="2"/>
  </r>
  <r>
    <x v="381"/>
    <m/>
    <d v="1899-12-31T01:11:00"/>
    <n v="1.0493055555562023"/>
    <d v="1901-09-19T15:42:00"/>
    <n v="628.65416666666715"/>
    <n v="590.57083333333867"/>
    <n v="568.05138888888905"/>
    <n v="193766"/>
    <n v="5"/>
    <n v="0.19854401058889151"/>
    <n v="4.7650562541333965"/>
    <n v="1739.2455327586897"/>
    <n v="14007"/>
    <n v="0.92837211768526606"/>
    <n v="22.280930824446386"/>
    <n v="8132.5397509229315"/>
    <n v="125446"/>
    <n v="3"/>
    <n v="0.11912640635333491"/>
    <n v="2.859033752480038"/>
    <n v="1043.5473196552139"/>
    <n v="6014"/>
    <n v="0.39860283542223107"/>
    <n v="9.5664680501335457"/>
    <n v="3491.7608382987441"/>
    <n v="8"/>
    <n v="0.31767041694222642"/>
    <n v="7.6240900066134341"/>
    <n v="2782.7928524139033"/>
    <n v="20021"/>
    <n v="29.54768338542485"/>
    <n v="27.891842727452762"/>
    <n v="1.3269749531074972"/>
    <n v="31.84739887457993"/>
    <n v="11624.300589221675"/>
    <n v="3329.3436999999999"/>
    <n v="5.2959860548658799"/>
    <n v="4.9188309615696229"/>
    <n v="4.642855121186706"/>
    <n v="3201.3578999999995"/>
    <n v="5.0923990800453298"/>
    <n v="1933.0349100260464"/>
    <n v="1858.7256642165457"/>
    <x v="8"/>
    <x v="2"/>
  </r>
  <r>
    <x v="382"/>
    <m/>
    <d v="1899-12-30T23:24:00"/>
    <n v="0.97499999999854481"/>
    <d v="1901-09-20T15:06:00"/>
    <n v="629.6291666666657"/>
    <n v="591.54583333333721"/>
    <n v="569.0263888888876"/>
    <n v="193773"/>
    <n v="7"/>
    <n v="0.29914529914574561"/>
    <n v="7.1794871794978947"/>
    <n v="2620.5128205167316"/>
    <n v="14014"/>
    <n v="0.92739774073363435"/>
    <n v="22.257545777607223"/>
    <n v="8124.0042088266364"/>
    <n v="125449"/>
    <n v="3"/>
    <n v="0.12820512820531954"/>
    <n v="3.0769230769276694"/>
    <n v="1123.0769230785993"/>
    <n v="6017"/>
    <n v="0.39818411631185086"/>
    <n v="9.5564187914844201"/>
    <n v="3488.0928588918132"/>
    <n v="10"/>
    <n v="0.42735042735106515"/>
    <n v="10.256410256425564"/>
    <n v="3743.5897435953311"/>
    <n v="20031"/>
    <n v="29.515887047354546"/>
    <n v="27.86162524194598"/>
    <n v="1.3255818570454851"/>
    <n v="31.813964569091645"/>
    <n v="11612.09706771845"/>
    <n v="3331.0068000000001"/>
    <n v="5.2904264547253428"/>
    <n v="4.9135350740643897"/>
    <n v="4.6378225184830919"/>
    <n v="3202.9568999999997"/>
    <n v="5.0870529345977538"/>
    <n v="1931.00565597475"/>
    <n v="1856.7743211281802"/>
    <x v="8"/>
    <x v="2"/>
  </r>
  <r>
    <x v="383"/>
    <m/>
    <d v="1899-12-31T00:09:00"/>
    <n v="1.0062499999985448"/>
    <d v="1901-09-21T15:15:00"/>
    <n v="630.63541666666424"/>
    <n v="592.55208333333576"/>
    <n v="570.03263888888614"/>
    <n v="193779"/>
    <n v="6"/>
    <n v="0.24844720496930339"/>
    <n v="5.9627329192632814"/>
    <n v="2176.3975155310977"/>
    <n v="14020"/>
    <n v="0.92631439850680064"/>
    <n v="22.231545564163216"/>
    <n v="8114.5141309195742"/>
    <n v="125452"/>
    <n v="3"/>
    <n v="0.1242236024846517"/>
    <n v="2.9813664596316407"/>
    <n v="1088.1987577655489"/>
    <n v="6020"/>
    <n v="0.39774698138451781"/>
    <n v="9.5459275532284273"/>
    <n v="3484.2635569283761"/>
    <n v="9"/>
    <n v="0.37267080745395509"/>
    <n v="8.9440993788949221"/>
    <n v="3264.5962732966464"/>
    <n v="20040"/>
    <n v="29.480952799507659"/>
    <n v="27.828231083259254"/>
    <n v="1.3240613798913183"/>
    <n v="31.777473117391644"/>
    <n v="11598.777687847951"/>
    <n v="3332.49"/>
    <n v="5.2843368956575079"/>
    <n v="4.9076941619055789"/>
    <n v="4.6322375594964935"/>
    <n v="3204.3959999999997"/>
    <n v="5.081217951470923"/>
    <n v="1928.782966914991"/>
    <n v="1854.6445522868871"/>
    <x v="8"/>
    <x v="2"/>
  </r>
  <r>
    <x v="384"/>
    <m/>
    <d v="1899-12-31T00:03:00"/>
    <n v="1.0020833333328483"/>
    <d v="1901-09-22T15:18:00"/>
    <n v="631.63749999999709"/>
    <n v="593.55416666666861"/>
    <n v="571.03472222221899"/>
    <n v="193786"/>
    <n v="7"/>
    <n v="0.29106029106043196"/>
    <n v="6.9854469854503671"/>
    <n v="2549.6881496893839"/>
    <n v="14027"/>
    <n v="0.92530657748049483"/>
    <n v="22.207357859531875"/>
    <n v="8105.6856187291341"/>
    <n v="125455"/>
    <n v="3"/>
    <n v="0.12474012474018512"/>
    <n v="2.993762993764443"/>
    <n v="1092.7234927240218"/>
    <n v="6023"/>
    <n v="0.3973138601386626"/>
    <n v="9.5355326433279028"/>
    <n v="3480.4694148146846"/>
    <n v="10"/>
    <n v="0.41580041580061705"/>
    <n v="9.9792099792148097"/>
    <n v="3642.4116424134054"/>
    <n v="20050"/>
    <n v="29.448028472548746"/>
    <n v="27.796908633207419"/>
    <n v="1.3226204376191575"/>
    <n v="31.742890502859776"/>
    <n v="11586.155033543819"/>
    <n v="3334.1531"/>
    <n v="5.2785863727217199"/>
    <n v="4.9022105536562774"/>
    <n v="4.6270210850186935"/>
    <n v="3205.9949999999999"/>
    <n v="5.075688191407278"/>
    <n v="1926.6840260434278"/>
    <n v="1852.6261898636565"/>
    <x v="8"/>
    <x v="2"/>
  </r>
  <r>
    <x v="385"/>
    <m/>
    <d v="1899-12-31T01:29:00"/>
    <n v="1.0618055555532919"/>
    <d v="1901-09-23T16:47:00"/>
    <n v="632.69930555555038"/>
    <n v="594.6159722222219"/>
    <n v="572.09652777777228"/>
    <n v="193792"/>
    <n v="6"/>
    <n v="0.23544800523267984"/>
    <n v="5.6507521255843161"/>
    <n v="2062.5245258382752"/>
    <n v="14033"/>
    <n v="0.92414884637801542"/>
    <n v="22.17957231307237"/>
    <n v="8095.5438942714154"/>
    <n v="125458"/>
    <n v="3"/>
    <n v="0.11772400261633992"/>
    <n v="2.825376062792158"/>
    <n v="1031.2622629191376"/>
    <n v="6026"/>
    <n v="0.39684464820593746"/>
    <n v="9.5242715569424998"/>
    <n v="3476.3591182840123"/>
    <n v="9"/>
    <n v="0.35317200784901975"/>
    <n v="8.4761281883764745"/>
    <n v="3093.786788757413"/>
    <n v="20059"/>
    <n v="29.410578956773005"/>
    <n v="27.761049453824469"/>
    <n v="1.3209934945839528"/>
    <n v="31.703843870014868"/>
    <n v="11571.903012555427"/>
    <n v="3335.6363000000001"/>
    <n v="5.2720720106861796"/>
    <n v="4.8959510608504351"/>
    <n v="4.6210259486610976"/>
    <n v="3207.4340999999999"/>
    <n v="5.069444634815377"/>
    <n v="1924.3062839004556"/>
    <n v="1850.3472917076126"/>
    <x v="8"/>
    <x v="2"/>
  </r>
  <r>
    <x v="386"/>
    <m/>
    <d v="1899-12-30T21:45:00"/>
    <n v="0.90625"/>
    <d v="1901-09-24T14:32:00"/>
    <n v="633.60555555555038"/>
    <n v="595.5222222222219"/>
    <n v="573.00277777777228"/>
    <n v="193799"/>
    <n v="7"/>
    <n v="0.32183908045977011"/>
    <n v="7.7241379310344831"/>
    <n v="2819.3103448275865"/>
    <n v="14040"/>
    <n v="0.92328735894221658"/>
    <n v="22.158896614613198"/>
    <n v="8087.9972643338169"/>
    <n v="125460"/>
    <n v="2"/>
    <n v="9.1954022988505746E-2"/>
    <n v="2.2068965517241379"/>
    <n v="805.51724137931035"/>
    <n v="6028"/>
    <n v="0.39640856123245594"/>
    <n v="9.5138054695789425"/>
    <n v="3472.5389963963139"/>
    <n v="9"/>
    <n v="0.41379310344827586"/>
    <n v="9.931034482758621"/>
    <n v="3624.8275862068967"/>
    <n v="20068"/>
    <n v="29.380935500121293"/>
    <n v="27.732849850446986"/>
    <n v="1.3196959201746725"/>
    <n v="31.672702084192142"/>
    <n v="11560.536260730132"/>
    <n v="3337.1648000000005"/>
    <n v="5.2669437171742404"/>
    <n v="4.8910671865962678"/>
    <n v="4.6163849506256476"/>
    <n v="3208.8731999999995"/>
    <n v="5.0644650632623227"/>
    <n v="1922.4344567685976"/>
    <n v="1848.5297480907479"/>
    <x v="8"/>
    <x v="2"/>
  </r>
  <r>
    <x v="387"/>
    <m/>
    <d v="1899-12-31T00:08:00"/>
    <n v="1.0055555555591127"/>
    <d v="1901-09-25T14:40:00"/>
    <n v="634.61111111110949"/>
    <n v="596.52777777778101"/>
    <n v="574.00833333333139"/>
    <n v="193805"/>
    <n v="6"/>
    <n v="0.24861878452950725"/>
    <n v="5.9668508287081741"/>
    <n v="2177.9005524784834"/>
    <n v="14046"/>
    <n v="0.92221833143657772"/>
    <n v="22.133239954477865"/>
    <n v="8078.6325833844212"/>
    <n v="125462"/>
    <n v="2"/>
    <n v="8.2872928176502422E-2"/>
    <n v="1.988950276236058"/>
    <n v="725.96685082616114"/>
    <n v="6030"/>
    <n v="0.39591175698152953"/>
    <n v="9.5018821675567082"/>
    <n v="3468.1869911581985"/>
    <n v="8"/>
    <n v="0.33149171270600969"/>
    <n v="7.9558011049442321"/>
    <n v="2903.8674033046445"/>
    <n v="20076"/>
    <n v="29.344819557624987"/>
    <n v="27.698204149184921"/>
    <n v="1.3181300884181071"/>
    <n v="31.635122122034574"/>
    <n v="11546.81957454262"/>
    <n v="3338.5133999999998"/>
    <n v="5.2607232075637"/>
    <n v="4.8850831571594613"/>
    <n v="4.6106473483253883"/>
    <n v="3210.1523999999999"/>
    <n v="5.0584560273133281"/>
    <n v="1920.1639707607508"/>
    <n v="1846.3364499693648"/>
    <x v="8"/>
    <x v="2"/>
  </r>
  <r>
    <x v="388"/>
    <m/>
    <d v="1900-01-01T00:53:00"/>
    <n v="2.0368055555518367"/>
    <d v="1901-09-27T15:33:00"/>
    <n v="636.64791666666133"/>
    <n v="598.56458333333285"/>
    <n v="576.04513888888323"/>
    <n v="193816"/>
    <n v="11"/>
    <n v="0.22502557108803445"/>
    <n v="5.4006137061128268"/>
    <n v="1971.2240027311818"/>
    <n v="14057"/>
    <n v="0.9199878268666366"/>
    <n v="22.07970784479928"/>
    <n v="8059.093363351737"/>
    <n v="125466"/>
    <n v="4"/>
    <n v="8.1827480395648897E-2"/>
    <n v="1.9638595294955734"/>
    <n v="716.80872826588427"/>
    <n v="6034"/>
    <n v="0.39490691807023443"/>
    <n v="9.4777660336856258"/>
    <n v="3459.3846022952534"/>
    <n v="15"/>
    <n v="0.30685305148368336"/>
    <n v="7.3644732356083997"/>
    <n v="2688.0327309970658"/>
    <n v="20091"/>
    <n v="29.270024468259159"/>
    <n v="27.626307255532186"/>
    <n v="1.3148947449368711"/>
    <n v="31.557473878484906"/>
    <n v="11518.477965646991"/>
    <n v="3341.0306999999998"/>
    <n v="5.2478467494134753"/>
    <n v="4.8726656758704019"/>
    <n v="4.5987147901459755"/>
    <n v="3212.5508999999997"/>
    <n v="5.0460400731697357"/>
    <n v="1915.4640635359187"/>
    <n v="1841.8046267069537"/>
    <x v="8"/>
    <x v="2"/>
  </r>
  <r>
    <x v="389"/>
    <m/>
    <d v="1899-12-30T23:03:00"/>
    <n v="0.96041666666860692"/>
    <d v="1901-09-28T14:36:00"/>
    <n v="637.60833333332994"/>
    <n v="599.52500000000146"/>
    <n v="577.00555555555184"/>
    <n v="193821"/>
    <n v="5"/>
    <n v="0.21691973969587414"/>
    <n v="5.2060737527009797"/>
    <n v="1900.2169197358576"/>
    <n v="14062"/>
    <n v="0.91892880948336064"/>
    <n v="22.054291427600656"/>
    <n v="8049.8163710742392"/>
    <n v="125468"/>
    <n v="2"/>
    <n v="8.6767895878349655E-2"/>
    <n v="2.0824295010803917"/>
    <n v="760.08676789434298"/>
    <n v="6036"/>
    <n v="0.39444277443049103"/>
    <n v="9.4666265863317847"/>
    <n v="3455.3187040111015"/>
    <n v="7"/>
    <n v="0.30368763557422379"/>
    <n v="7.2885032537813714"/>
    <n v="2660.3036876302008"/>
    <n v="20098"/>
    <n v="29.234810891956062"/>
    <n v="27.592455300834949"/>
    <n v="1.3133715839138518"/>
    <n v="31.520918013932441"/>
    <n v="11505.135075085342"/>
    <n v="3342.1994"/>
    <n v="5.2417749663456163"/>
    <n v="4.8668092239689633"/>
    <n v="4.5930857588508012"/>
    <n v="3213.6701999999996"/>
    <n v="5.0401947904277966"/>
    <n v="1913.2478627161499"/>
    <n v="1839.6710985061459"/>
    <x v="8"/>
    <x v="2"/>
  </r>
  <r>
    <x v="390"/>
    <m/>
    <d v="1899-12-31T01:30:00"/>
    <n v="1.0625"/>
    <d v="1901-09-29T16:06:00"/>
    <n v="638.67083333332994"/>
    <n v="600.58750000000146"/>
    <n v="578.06805555555184"/>
    <n v="193827"/>
    <n v="6"/>
    <n v="0.23529411764705882"/>
    <n v="5.6470588235294121"/>
    <n v="2061.1764705882356"/>
    <n v="14068"/>
    <n v="0.91779150710134161"/>
    <n v="22.026996170432199"/>
    <n v="8039.8536022077524"/>
    <n v="125470"/>
    <n v="2"/>
    <n v="7.8431372549019607E-2"/>
    <n v="1.8823529411764706"/>
    <n v="687.05882352941171"/>
    <n v="6038"/>
    <n v="0.39391705429896934"/>
    <n v="9.4540093031752637"/>
    <n v="3450.7133956589714"/>
    <n v="8"/>
    <n v="0.31372549019607843"/>
    <n v="7.5294117647058822"/>
    <n v="2748.2352941176468"/>
    <n v="20106"/>
    <n v="29.196411846733337"/>
    <n v="27.55557904802653"/>
    <n v="1.311708561400311"/>
    <n v="31.481005473607464"/>
    <n v="11490.566997866725"/>
    <n v="3343.5479999999998"/>
    <n v="5.2351662632681428"/>
    <n v="4.860444814452503"/>
    <n v="4.5869765238137861"/>
    <n v="3214.9493999999995"/>
    <n v="5.0338127752298325"/>
    <n v="1910.835686092872"/>
    <n v="1837.3416629588892"/>
    <x v="8"/>
    <x v="2"/>
  </r>
  <r>
    <x v="391"/>
    <m/>
    <d v="1899-12-30T23:32:00"/>
    <n v="0.9805555555576575"/>
    <d v="1901-09-30T15:38:00"/>
    <n v="639.6513888888876"/>
    <n v="601.56805555555911"/>
    <n v="579.04861111110949"/>
    <n v="193834"/>
    <n v="7"/>
    <n v="0.29745042492854085"/>
    <n v="7.1388101982849808"/>
    <n v="2605.6657223740181"/>
    <n v="14075"/>
    <n v="0.91684055333960301"/>
    <n v="22.004173280150475"/>
    <n v="8031.5232472549233"/>
    <n v="125473"/>
    <n v="3"/>
    <n v="0.12747875354080321"/>
    <n v="3.0594900849792772"/>
    <n v="1116.7138810174363"/>
    <n v="6041"/>
    <n v="0.39350861688984312"/>
    <n v="9.4442068053562345"/>
    <n v="3447.1354839550254"/>
    <n v="10"/>
    <n v="0.42492917846934408"/>
    <n v="10.198300283264258"/>
    <n v="3722.3796033914541"/>
    <n v="20116"/>
    <n v="29.165444936727685"/>
    <n v="27.526186392909903"/>
    <n v="1.3103491702294463"/>
    <n v="31.448380085506709"/>
    <n v="11478.658731209949"/>
    <n v="3345.2111000000004"/>
    <n v="5.22974100910002"/>
    <n v="4.8552869006692871"/>
    <n v="4.5820811052612775"/>
    <n v="3216.5483999999997"/>
    <n v="5.0285959756725225"/>
    <n v="1908.855468321507"/>
    <n v="1835.4375311204708"/>
    <x v="8"/>
    <x v="2"/>
  </r>
  <r>
    <x v="392"/>
    <m/>
    <d v="1899-12-30T23:04:00"/>
    <n v="0.96111111110803904"/>
    <d v="1901-10-01T14:42:00"/>
    <n v="640.61249999999563"/>
    <n v="602.52916666666715"/>
    <n v="580.00972222221753"/>
    <n v="193841"/>
    <n v="7"/>
    <n v="0.30346820809345554"/>
    <n v="7.2832369942429329"/>
    <n v="2658.3815028986705"/>
    <n v="14082"/>
    <n v="0.91592031064021384"/>
    <n v="21.982087455365132"/>
    <n v="8023.4619212082735"/>
    <n v="125475"/>
    <n v="2"/>
    <n v="8.6705202312415866E-2"/>
    <n v="2.0809248554979809"/>
    <n v="759.53757225676304"/>
    <n v="6043"/>
    <n v="0.39304831964201198"/>
    <n v="9.433159671408287"/>
    <n v="3443.1032800640246"/>
    <n v="9"/>
    <n v="0.39017341040587139"/>
    <n v="9.3641618497409134"/>
    <n v="3417.9190751554333"/>
    <n v="20125"/>
    <n v="29.133859356739276"/>
    <n v="27.49609082223261"/>
    <n v="1.3089686302822259"/>
    <n v="31.415247126773419"/>
    <n v="11466.565201272299"/>
    <n v="3346.7395999999999"/>
    <n v="5.2242808249917427"/>
    <n v="4.8500789035108909"/>
    <n v="4.5771236210121362"/>
    <n v="3217.9874999999997"/>
    <n v="5.0232980155710694"/>
    <n v="1906.862501121986"/>
    <n v="1833.5037756834404"/>
    <x v="8"/>
    <x v="2"/>
  </r>
  <r>
    <x v="393"/>
    <m/>
    <d v="1899-12-30T23:40:00"/>
    <n v="0.98611111110949423"/>
    <d v="1901-10-02T14:22:00"/>
    <n v="641.59861111110513"/>
    <n v="603.51527777777665"/>
    <n v="580.99583333332703"/>
    <n v="193845"/>
    <n v="4"/>
    <n v="0.16901408450731939"/>
    <n v="4.0563380281756647"/>
    <n v="1480.5633802841176"/>
    <n v="14086"/>
    <n v="0.91477234598475587"/>
    <n v="21.954536303634139"/>
    <n v="8013.4057508264605"/>
    <n v="125478"/>
    <n v="3"/>
    <n v="0.12676056338048952"/>
    <n v="3.042253521131749"/>
    <n v="1110.4225352130884"/>
    <n v="6046"/>
    <n v="0.39263904613260214"/>
    <n v="9.4233371071824514"/>
    <n v="3439.5180441215948"/>
    <n v="7"/>
    <n v="0.29577464788780888"/>
    <n v="7.0985915493074137"/>
    <n v="2590.985915497206"/>
    <n v="20132"/>
    <n v="29.097854928647262"/>
    <n v="27.461470607219226"/>
    <n v="1.307411392117358"/>
    <n v="31.377873410816591"/>
    <n v="11452.923794948056"/>
    <n v="3347.8630000000003"/>
    <n v="5.2180022556505401"/>
    <n v="4.8440155662081743"/>
    <n v="4.5712885491147164"/>
    <n v="3219.1067999999996"/>
    <n v="5.0173219583895721"/>
    <n v="1904.5708233124469"/>
    <n v="1831.322514812194"/>
    <x v="8"/>
    <x v="2"/>
  </r>
  <r>
    <x v="394"/>
    <m/>
    <d v="1899-12-31T00:07:00"/>
    <n v="1.0048611111124046"/>
    <d v="1901-10-03T14:29:00"/>
    <n v="642.60347222221753"/>
    <n v="604.52013888888905"/>
    <n v="582.00069444443943"/>
    <n v="193850"/>
    <n v="5"/>
    <n v="0.20732550103636063"/>
    <n v="4.9758120248726554"/>
    <n v="1816.1713890785193"/>
    <n v="14091"/>
    <n v="0.91366608706553543"/>
    <n v="21.927986089572851"/>
    <n v="8003.714922694091"/>
    <n v="125480"/>
    <n v="2"/>
    <n v="8.2930200414544256E-2"/>
    <n v="1.990324809949062"/>
    <n v="726.46855563140764"/>
    <n v="6048"/>
    <n v="0.39215474377775589"/>
    <n v="9.4117138506661409"/>
    <n v="3435.2755554931414"/>
    <n v="7"/>
    <n v="0.2902557014509049"/>
    <n v="6.9661368348217172"/>
    <n v="2542.6399447099266"/>
    <n v="20139"/>
    <n v="29.061066571396726"/>
    <n v="27.426084113588303"/>
    <n v="1.3058208308432913"/>
    <n v="31.339699940238994"/>
    <n v="11438.990478187232"/>
    <n v="3349.0317000000005"/>
    <n v="5.2116613818138191"/>
    <n v="4.8378968902102102"/>
    <n v="4.5654040027157681"/>
    <n v="3220.2260999999999"/>
    <n v="5.0112180204442147"/>
    <n v="1902.2564043620439"/>
    <n v="1829.0945774621382"/>
    <x v="8"/>
    <x v="2"/>
  </r>
  <r>
    <x v="395"/>
    <m/>
    <d v="1899-12-31T00:08:00"/>
    <n v="1.0055555555591127"/>
    <d v="1901-10-04T14:37:00"/>
    <n v="643.60902777777665"/>
    <n v="605.52569444444816"/>
    <n v="583.00624999999854"/>
    <n v="193858"/>
    <n v="8"/>
    <n v="0.33149171270600969"/>
    <n v="7.9558011049442321"/>
    <n v="2903.8674033046445"/>
    <n v="14099"/>
    <n v="0.91275651518078016"/>
    <n v="21.906156364338724"/>
    <n v="7995.7470729836341"/>
    <n v="125482"/>
    <n v="2"/>
    <n v="8.2872928176502422E-2"/>
    <n v="1.988950276236058"/>
    <n v="725.96685082616114"/>
    <n v="6050"/>
    <n v="0.39167153109041208"/>
    <n v="9.4001167461698891"/>
    <n v="3431.0426123520097"/>
    <n v="10"/>
    <n v="0.41436464088251207"/>
    <n v="9.944751381180291"/>
    <n v="3629.8342541308061"/>
    <n v="20149"/>
    <n v="29.029321400022987"/>
    <n v="27.395932719417743"/>
    <n v="1.3044280462711921"/>
    <n v="31.306273110508613"/>
    <n v="11426.789685335643"/>
    <n v="3350.7401"/>
    <n v="5.2061732439790038"/>
    <n v="4.8326842722748644"/>
    <n v="4.5604600293736244"/>
    <n v="3221.8250999999996"/>
    <n v="5.0058730703703267"/>
    <n v="1900.2532340523362"/>
    <n v="1827.1436706851691"/>
    <x v="8"/>
    <x v="2"/>
  </r>
  <r>
    <x v="396"/>
    <m/>
    <d v="1899-12-31T00:34:00"/>
    <n v="1.023611111108039"/>
    <d v="1901-10-05T15:11:00"/>
    <n v="644.63263888888469"/>
    <n v="606.5493055555562"/>
    <n v="584.02986111110658"/>
    <n v="193863"/>
    <n v="5"/>
    <n v="0.20352781546872481"/>
    <n v="4.8846675712493957"/>
    <n v="1782.9036635060295"/>
    <n v="14104"/>
    <n v="0.91163033209052691"/>
    <n v="21.879127970172647"/>
    <n v="7985.8817091130159"/>
    <n v="125484"/>
    <n v="2"/>
    <n v="8.1411126187489927E-2"/>
    <n v="1.9538670284997581"/>
    <n v="713.16146540241175"/>
    <n v="6052"/>
    <n v="0.39117886910180577"/>
    <n v="9.3882928584433394"/>
    <n v="3426.7268933318187"/>
    <n v="7"/>
    <n v="0.28493894165621475"/>
    <n v="6.8385345997491536"/>
    <n v="2496.0651289084412"/>
    <n v="20156"/>
    <n v="28.991872282985117"/>
    <n v="27.359902402250857"/>
    <n v="1.3028092011923327"/>
    <n v="31.267420828615986"/>
    <n v="11412.608602444834"/>
    <n v="3351.9088000000002"/>
    <n v="5.1997193405805326"/>
    <n v="4.8264554475396402"/>
    <n v="4.5544681481517069"/>
    <n v="3222.9443999999999"/>
    <n v="4.9996605904956954"/>
    <n v="1897.8975593118944"/>
    <n v="1824.8761155309289"/>
    <x v="8"/>
    <x v="2"/>
  </r>
  <r>
    <x v="397"/>
    <m/>
    <d v="1899-12-31T00:03:00"/>
    <n v="1.0020833333328483"/>
    <d v="1901-10-06T15:14:00"/>
    <n v="645.63472222221753"/>
    <n v="607.55138888888905"/>
    <n v="585.03194444443943"/>
    <n v="193870"/>
    <n v="7"/>
    <n v="0.29106029106043196"/>
    <n v="6.9854469854503671"/>
    <n v="2549.6881496893839"/>
    <n v="14111"/>
    <n v="0.91066715140355647"/>
    <n v="21.856011633685355"/>
    <n v="7977.4442462951547"/>
    <n v="125486"/>
    <n v="2"/>
    <n v="8.316008316012341E-2"/>
    <n v="1.9958419958429618"/>
    <n v="728.48232848268105"/>
    <n v="6054"/>
    <n v="0.39070079615882158"/>
    <n v="9.376819107811718"/>
    <n v="3422.5389743512769"/>
    <n v="9"/>
    <n v="0.37422037422055537"/>
    <n v="8.9812889812933285"/>
    <n v="3278.170478172065"/>
    <n v="20165"/>
    <n v="28.958867219736778"/>
    <n v="27.328422237152527"/>
    <n v="1.3013679475623781"/>
    <n v="31.232830741497075"/>
    <n v="11399.983220646433"/>
    <n v="3353.4373000000001"/>
    <n v="5.1940163448114527"/>
    <n v="4.8210106232440317"/>
    <n v="4.5492796167351175"/>
    <n v="3224.3834999999999"/>
    <n v="4.9941296355653817"/>
    <n v="1895.8159658561804"/>
    <n v="1822.8573169813644"/>
    <x v="8"/>
    <x v="2"/>
  </r>
  <r>
    <x v="398"/>
    <m/>
    <d v="1899-12-31T23:26:00"/>
    <n v="1.976388888891961"/>
    <d v="1901-10-08T14:40:00"/>
    <n v="647.61111111110949"/>
    <n v="609.52777777778101"/>
    <n v="587.00833333333139"/>
    <n v="193883"/>
    <n v="13"/>
    <n v="0.2740688685870652"/>
    <n v="6.5776528460895651"/>
    <n v="2400.8432888226912"/>
    <n v="14124"/>
    <n v="0.90872437162220354"/>
    <n v="21.809384918932885"/>
    <n v="7960.4254954105027"/>
    <n v="125492"/>
    <n v="6"/>
    <n v="0.12649332396326088"/>
    <n v="3.0358397751182609"/>
    <n v="1108.0815179181652"/>
    <n v="6060"/>
    <n v="0.38989448400103038"/>
    <n v="9.3574676160247297"/>
    <n v="3415.4756798490262"/>
    <n v="19"/>
    <n v="0.40056219255032605"/>
    <n v="9.6134926212078256"/>
    <n v="3508.9248067408562"/>
    <n v="20184"/>
    <n v="28.896139999088394"/>
    <n v="27.268778126375356"/>
    <n v="1.2986188556232339"/>
    <n v="31.166852534957613"/>
    <n v="11375.901175259529"/>
    <n v="3356.5835999999999"/>
    <n v="5.183023488032954"/>
    <n v="4.8105404001275778"/>
    <n v="4.5393226104115652"/>
    <n v="3227.4215999999997"/>
    <n v="4.9835797203397219"/>
    <n v="1891.8035731320283"/>
    <n v="1819.0065979239985"/>
    <x v="8"/>
    <x v="2"/>
  </r>
  <r>
    <x v="399"/>
    <m/>
    <d v="1899-12-31T00:06:00"/>
    <n v="1.0041666666656965"/>
    <d v="1901-10-09T14:46:00"/>
    <n v="648.61527777777519"/>
    <n v="610.53194444444671"/>
    <n v="588.01249999999709"/>
    <n v="193890"/>
    <n v="7"/>
    <n v="0.29045643153555034"/>
    <n v="6.9709543568532073"/>
    <n v="2544.3983402514204"/>
    <n v="14131"/>
    <n v="0.90776718779108845"/>
    <n v="21.786412506986125"/>
    <n v="7952.0405650499351"/>
    <n v="125494"/>
    <n v="2"/>
    <n v="8.2987551867300086E-2"/>
    <n v="1.9917012448152023"/>
    <n v="726.97095435754886"/>
    <n v="6062"/>
    <n v="0.38941933991858879"/>
    <n v="9.346064158046131"/>
    <n v="3411.313417686838"/>
    <n v="9"/>
    <n v="0.3734439834028504"/>
    <n v="8.9626556016684091"/>
    <n v="3271.3692946089695"/>
    <n v="20193"/>
    <n v="28.863354588325649"/>
    <n v="27.237516209264392"/>
    <n v="1.2971865277096772"/>
    <n v="31.132476665032254"/>
    <n v="11363.353982736773"/>
    <n v="3358.1121000000003"/>
    <n v="5.1773558456798137"/>
    <n v="4.805131863607083"/>
    <n v="4.5341701069280216"/>
    <n v="3228.8606999999997"/>
    <n v="4.9780830187386567"/>
    <n v="1889.7348836731317"/>
    <n v="1817.0003018396098"/>
    <x v="8"/>
    <x v="2"/>
  </r>
  <r>
    <x v="400"/>
    <m/>
    <d v="1899-12-31T01:26:00"/>
    <n v="1.0597222222204437"/>
    <d v="1901-10-10T16:12:00"/>
    <n v="649.67499999999563"/>
    <n v="611.59166666666715"/>
    <n v="589.07222222221753"/>
    <n v="193894"/>
    <n v="4"/>
    <n v="0.15727391874207261"/>
    <n v="3.7745740498097424"/>
    <n v="1377.7195281805559"/>
    <n v="14135"/>
    <n v="0.90654301509729829"/>
    <n v="21.75703236233516"/>
    <n v="7941.316812252333"/>
    <n v="125497"/>
    <n v="3"/>
    <n v="0.11795543905655445"/>
    <n v="2.830930537357307"/>
    <n v="1033.2896461354171"/>
    <n v="6065"/>
    <n v="0.38897653955182981"/>
    <n v="9.3354369492439151"/>
    <n v="3407.4344864740292"/>
    <n v="7"/>
    <n v="0.27522935779862706"/>
    <n v="6.6055045871670499"/>
    <n v="2411.0091743159733"/>
    <n v="20200"/>
    <n v="28.824787780518026"/>
    <n v="27.200399875510669"/>
    <n v="1.295519554649128"/>
    <n v="31.092469311579077"/>
    <n v="11348.751298726364"/>
    <n v="3359.2354999999998"/>
    <n v="5.1706399353523258"/>
    <n v="4.7986427218596246"/>
    <n v="4.5279203455528352"/>
    <n v="3229.9799999999996"/>
    <n v="4.9716858429214934"/>
    <n v="1887.2835764035992"/>
    <n v="1814.6653326663454"/>
    <x v="8"/>
    <x v="2"/>
  </r>
  <r>
    <x v="401"/>
    <m/>
    <d v="1899-12-30T22:58:00"/>
    <n v="0.95694444444961846"/>
    <d v="1901-10-11T15:10:00"/>
    <n v="650.63194444444525"/>
    <n v="612.54861111111677"/>
    <n v="590.02916666666715"/>
    <n v="193901"/>
    <n v="7"/>
    <n v="0.30478955007092101"/>
    <n v="7.3149492017021043"/>
    <n v="2669.9564586212682"/>
    <n v="14142"/>
    <n v="0.9056579607432933"/>
    <n v="21.735791057839041"/>
    <n v="7933.5637361112504"/>
    <n v="125499"/>
    <n v="2"/>
    <n v="8.7082728591691722E-2"/>
    <n v="2.0899854862006011"/>
    <n v="762.84470246321939"/>
    <n v="6067"/>
    <n v="0.38853251646369402"/>
    <n v="9.3247803951286556"/>
    <n v="3403.5448442219595"/>
    <n v="9"/>
    <n v="0.39187227866261271"/>
    <n v="9.4049346879027045"/>
    <n v="3432.8011610844869"/>
    <n v="20209"/>
    <n v="28.794449420113782"/>
    <n v="27.171538130177158"/>
    <n v="1.2941904772069874"/>
    <n v="31.060571452967697"/>
    <n v="11337.10858033321"/>
    <n v="3360.7640000000001"/>
    <n v="5.1653842524895603"/>
    <n v="4.7936414298184511"/>
    <n v="4.5231672445571158"/>
    <n v="3231.4190999999996"/>
    <n v="4.9665853753295339"/>
    <n v="1885.3652521586898"/>
    <n v="1812.8036619952802"/>
    <x v="8"/>
    <x v="2"/>
  </r>
  <r>
    <x v="402"/>
    <m/>
    <d v="1899-12-31T00:10:00"/>
    <n v="1.0069444444379769"/>
    <d v="1901-10-12T15:20:00"/>
    <n v="651.63888888888323"/>
    <n v="613.55555555555475"/>
    <n v="591.03611111110513"/>
    <n v="193917"/>
    <n v="16"/>
    <n v="0.66206896552149375"/>
    <n v="15.889655172515852"/>
    <n v="5799.7241379682855"/>
    <n v="14158"/>
    <n v="0.90528155505350549"/>
    <n v="21.726757321284129"/>
    <n v="7930.2664222687072"/>
    <n v="125505"/>
    <n v="6"/>
    <n v="0.24827586207056018"/>
    <n v="5.9586206896934444"/>
    <n v="2174.8965517381071"/>
    <n v="6073"/>
    <n v="0.38831578498657571"/>
    <n v="9.319578839677817"/>
    <n v="3401.6462764824032"/>
    <n v="22"/>
    <n v="0.91034482759205393"/>
    <n v="21.848275862209295"/>
    <n v="7974.620689706393"/>
    <n v="20231"/>
    <n v="28.783049619703043"/>
    <n v="27.162468922278947"/>
    <n v="1.2935973400400811"/>
    <n v="31.046336160961946"/>
    <n v="11331.91269875111"/>
    <n v="3364.45"/>
    <n v="5.1630589539196494"/>
    <n v="4.7917818906193466"/>
    <n v="4.5216976590075317"/>
    <n v="3234.9368999999997"/>
    <n v="4.9643091521378153"/>
    <n v="1884.5165181806719"/>
    <n v="1811.9728405303024"/>
    <x v="8"/>
    <x v="2"/>
  </r>
  <r>
    <x v="403"/>
    <m/>
    <d v="1899-12-31T01:52:00"/>
    <n v="1.0777777777839219"/>
    <d v="1901-10-13T17:12:00"/>
    <n v="652.71666666666715"/>
    <n v="614.63333333333867"/>
    <n v="592.11388888888905"/>
    <n v="193932"/>
    <n v="15"/>
    <n v="0.57989690721318898"/>
    <n v="13.917525773116536"/>
    <n v="5079.8969071875354"/>
    <n v="14173"/>
    <n v="0.90474427393202705"/>
    <n v="21.713862574368648"/>
    <n v="7925.5598396445566"/>
    <n v="125507"/>
    <n v="2"/>
    <n v="7.7319587628425196E-2"/>
    <n v="1.8556701030822047"/>
    <n v="677.31958762500471"/>
    <n v="6075"/>
    <n v="0.38780226233945275"/>
    <n v="9.3072542961468656"/>
    <n v="3397.147818093606"/>
    <n v="17"/>
    <n v="0.65721649484161415"/>
    <n v="15.773195876198741"/>
    <n v="5757.216494812541"/>
    <n v="20248"/>
    <n v="28.760236455338976"/>
    <n v="27.141737935175751"/>
    <n v="1.2925465362714799"/>
    <n v="31.021116870515513"/>
    <n v="11322.707657738163"/>
    <n v="3367.4177"/>
    <n v="5.1590803053902876"/>
    <n v="4.7882077661477975"/>
    <n v="4.5184792152410607"/>
    <n v="3237.6551999999997"/>
    <n v="4.9602765875954304"/>
    <n v="1883.0643114674551"/>
    <n v="1810.5009544723321"/>
    <x v="9"/>
    <x v="2"/>
  </r>
  <r>
    <x v="404"/>
    <m/>
    <d v="1899-12-31T21:32:00"/>
    <n v="1.8972222222218988"/>
    <d v="1901-10-15T14:44:00"/>
    <n v="654.61388888888905"/>
    <n v="616.53055555556057"/>
    <n v="594.01111111111095"/>
    <n v="193945"/>
    <n v="13"/>
    <n v="0.28550512445100035"/>
    <n v="6.8521229868240088"/>
    <n v="2501.024890190763"/>
    <n v="14186"/>
    <n v="0.90294957587381852"/>
    <n v="21.670789820971645"/>
    <n v="7909.8382846546501"/>
    <n v="125513"/>
    <n v="6"/>
    <n v="0.1317715959004617"/>
    <n v="3.1625183016110809"/>
    <n v="1154.3191800880445"/>
    <n v="6081"/>
    <n v="0.38706022634207604"/>
    <n v="9.2894454322098241"/>
    <n v="3390.647582756586"/>
    <n v="19"/>
    <n v="0.41727672035146207"/>
    <n v="10.014641288435088"/>
    <n v="3655.3440702788071"/>
    <n v="20267"/>
    <n v="28.702551464061653"/>
    <n v="27.087035408989738"/>
    <n v="1.2900098022158946"/>
    <n v="30.96023525318147"/>
    <n v="11300.485867411237"/>
    <n v="3370.5640000000003"/>
    <n v="5.1489344439682414"/>
    <n v="4.7785764605700871"/>
    <n v="4.5093442696545161"/>
    <n v="3240.6932999999999"/>
    <n v="4.9505416169837169"/>
    <n v="1879.361072048408"/>
    <n v="1806.9476901990565"/>
    <x v="9"/>
    <x v="2"/>
  </r>
  <r>
    <x v="405"/>
    <m/>
    <d v="1899-12-30T23:49:00"/>
    <n v="0.99236111110803904"/>
    <d v="1901-10-16T14:33:00"/>
    <n v="655.60624999999709"/>
    <n v="617.52291666666861"/>
    <n v="595.00347222221899"/>
    <n v="193952"/>
    <n v="7"/>
    <n v="0.29391182645297426"/>
    <n v="7.0538838348713817"/>
    <n v="2574.6675997280545"/>
    <n v="14193"/>
    <n v="0.90202770336616322"/>
    <n v="21.648664880787916"/>
    <n v="7901.7626814875894"/>
    <n v="125516"/>
    <n v="3"/>
    <n v="0.12596221133698896"/>
    <n v="3.0230930720877351"/>
    <n v="1103.4289713120234"/>
    <n v="6084"/>
    <n v="0.38666501425207755"/>
    <n v="9.2799603420498613"/>
    <n v="3387.1855248481993"/>
    <n v="10"/>
    <n v="0.41987403778996324"/>
    <n v="10.076976906959118"/>
    <n v="3678.0965710400778"/>
    <n v="20277"/>
    <n v="28.672620111939075"/>
    <n v="27.058665624033619"/>
    <n v="1.2886927176182408"/>
    <n v="30.928625222837777"/>
    <n v="11288.948206335788"/>
    <n v="3372.2271000000001"/>
    <n v="5.1436774740936579"/>
    <n v="4.7735904537955598"/>
    <n v="4.5046185864928674"/>
    <n v="3242.2922999999996"/>
    <n v="4.9454871731317604"/>
    <n v="1877.4422780441851"/>
    <n v="1805.1028181930924"/>
    <x v="9"/>
    <x v="2"/>
  </r>
  <r>
    <x v="406"/>
    <m/>
    <d v="1899-12-31T00:47:00"/>
    <n v="1.0326388888861402"/>
    <d v="1901-10-17T15:20:00"/>
    <n v="656.63888888888323"/>
    <n v="618.55555555555475"/>
    <n v="596.03611111110513"/>
    <n v="193958"/>
    <n v="6"/>
    <n v="0.24209818426426244"/>
    <n v="5.8103564223422985"/>
    <n v="2120.780094154939"/>
    <n v="14199"/>
    <n v="0.90098988958924586"/>
    <n v="21.623757350141901"/>
    <n v="7892.6714328017933"/>
    <n v="125519"/>
    <n v="3"/>
    <n v="0.12104909213213122"/>
    <n v="2.9051782111711493"/>
    <n v="1060.3900470774695"/>
    <n v="6087"/>
    <n v="0.38624730318541728"/>
    <n v="9.2699352764500151"/>
    <n v="3383.5263759042555"/>
    <n v="9"/>
    <n v="0.36314727639639366"/>
    <n v="8.7155346335134478"/>
    <n v="3181.1701412324082"/>
    <n v="20286"/>
    <n v="28.639303035746401"/>
    <n v="27.026885954896741"/>
    <n v="1.2872371927746631"/>
    <n v="30.893692626591914"/>
    <n v="11276.197808706049"/>
    <n v="3373.7102999999997"/>
    <n v="5.1378472355006997"/>
    <n v="4.7680190946649956"/>
    <n v="4.4993027268109671"/>
    <n v="3243.7313999999997"/>
    <n v="4.9399014509920471"/>
    <n v="1875.3142409577554"/>
    <n v="1803.0640296120971"/>
    <x v="9"/>
    <x v="2"/>
  </r>
  <r>
    <x v="407"/>
    <m/>
    <d v="1899-12-30T23:13:00"/>
    <n v="0.96736111111385981"/>
    <d v="1901-10-18T14:33:00"/>
    <n v="657.60624999999709"/>
    <n v="619.52291666666861"/>
    <n v="597.00347222221899"/>
    <n v="193965"/>
    <n v="7"/>
    <n v="0.30150753768758548"/>
    <n v="7.236180904502052"/>
    <n v="2641.2060301432489"/>
    <n v="14206"/>
    <n v="0.90010803070480139"/>
    <n v="21.602592736915234"/>
    <n v="7884.9463489740601"/>
    <n v="125521"/>
    <n v="2"/>
    <n v="8.6145010767881572E-2"/>
    <n v="2.0674802584291578"/>
    <n v="754.63029432664257"/>
    <n v="6089"/>
    <n v="0.38580584252861716"/>
    <n v="9.2593402206868127"/>
    <n v="3379.6591805506869"/>
    <n v="9"/>
    <n v="0.38765254845546709"/>
    <n v="9.3036611629312098"/>
    <n v="3395.8363244698917"/>
    <n v="20295"/>
    <n v="28.609111177619784"/>
    <n v="26.998167933603735"/>
    <n v="1.2859138732334185"/>
    <n v="30.861932957602043"/>
    <n v="11264.605529524746"/>
    <n v="3375.2388000000001"/>
    <n v="5.1326136270754956"/>
    <n v="4.7630412380494249"/>
    <n v="4.4945725190040777"/>
    <n v="3245.1704999999997"/>
    <n v="4.9348230799205668"/>
    <n v="1873.4039738825559"/>
    <n v="1801.2104241710067"/>
    <x v="9"/>
    <x v="2"/>
  </r>
  <r>
    <x v="408"/>
    <m/>
    <d v="1899-12-31T00:49:00"/>
    <n v="1.0340277777795563"/>
    <d v="1901-10-19T15:22:00"/>
    <n v="658.64027777777665"/>
    <n v="620.55694444444816"/>
    <n v="598.03749999999854"/>
    <n v="193976"/>
    <n v="11"/>
    <n v="0.44325050369299179"/>
    <n v="10.638012088631802"/>
    <n v="3882.8744123506076"/>
    <n v="14217"/>
    <n v="0.89939079036989233"/>
    <n v="21.585378968877418"/>
    <n v="7878.6633236402577"/>
    <n v="125525"/>
    <n v="4"/>
    <n v="0.16118200134290611"/>
    <n v="3.8683680322297467"/>
    <n v="1411.9543317638575"/>
    <n v="6093"/>
    <n v="0.38545319587281102"/>
    <n v="9.2508767009474653"/>
    <n v="3376.5699958458249"/>
    <n v="15"/>
    <n v="0.60443250503589785"/>
    <n v="14.50638012086155"/>
    <n v="5294.8287441144657"/>
    <n v="20310"/>
    <n v="28.585611939095756"/>
    <n v="26.976569195075626"/>
    <n v="1.2848439862427035"/>
    <n v="30.836255669824883"/>
    <n v="11255.233319486082"/>
    <n v="3377.7561000000001"/>
    <n v="5.1283776804485761"/>
    <n v="4.7591611478040274"/>
    <n v="4.4910105135547624"/>
    <n v="3247.5689999999995"/>
    <n v="4.9307172816049976"/>
    <n v="1871.8578533637306"/>
    <n v="1799.7118077858245"/>
    <x v="9"/>
    <x v="2"/>
  </r>
  <r>
    <x v="409"/>
    <m/>
    <d v="1899-12-31T00:36:00"/>
    <n v="1.0250000000014552"/>
    <d v="1901-10-20T15:58:00"/>
    <n v="659.6652777777781"/>
    <n v="621.58194444444962"/>
    <n v="599.0625"/>
    <n v="193993"/>
    <n v="17"/>
    <n v="0.69105691056812457"/>
    <n v="16.58536585363499"/>
    <n v="6053.6585365767714"/>
    <n v="14234"/>
    <n v="0.899067077368783"/>
    <n v="21.577609856850792"/>
    <n v="7875.8275977505391"/>
    <n v="125531"/>
    <n v="6"/>
    <n v="0.24390243902404399"/>
    <n v="5.853658536577055"/>
    <n v="2136.5853658506253"/>
    <n v="6099"/>
    <n v="0.38523325171225287"/>
    <n v="9.2455980410940697"/>
    <n v="3374.6432849993353"/>
    <n v="23"/>
    <n v="0.93495934959216853"/>
    <n v="22.439024390212047"/>
    <n v="8190.2439024273972"/>
    <n v="20333"/>
    <n v="28.575476103758316"/>
    <n v="26.968805425143454"/>
    <n v="1.2843003290810358"/>
    <n v="30.823207897944862"/>
    <n v="11250.470882749874"/>
    <n v="3381.6220000000003"/>
    <n v="5.1262695095787194"/>
    <n v="4.7575326574890289"/>
    <n v="4.4897796139801773"/>
    <n v="3251.2466999999997"/>
    <n v="4.9286309428813828"/>
    <n v="1871.0883709962327"/>
    <n v="1798.9502941517048"/>
    <x v="9"/>
    <x v="2"/>
  </r>
  <r>
    <x v="410"/>
    <m/>
    <d v="1899-12-31T02:08:00"/>
    <n v="1.0888888888875954"/>
    <d v="1901-10-21T18:06:00"/>
    <n v="660.7541666666657"/>
    <n v="622.67083333333721"/>
    <n v="600.1513888888876"/>
    <n v="194012"/>
    <n v="19"/>
    <n v="0.72704081632739426"/>
    <n v="17.448979591857462"/>
    <n v="6368.8775510279738"/>
    <n v="14253"/>
    <n v="0.89878358693664573"/>
    <n v="21.570806086479497"/>
    <n v="7873.3442215650166"/>
    <n v="125533"/>
    <n v="2"/>
    <n v="7.6530612244988874E-2"/>
    <n v="1.8367346938797329"/>
    <n v="670.40816326610252"/>
    <n v="6101"/>
    <n v="0.38472452563674142"/>
    <n v="9.2333886152817932"/>
    <n v="3370.1868445778546"/>
    <n v="21"/>
    <n v="0.80357142857238317"/>
    <n v="19.285714285737196"/>
    <n v="7039.2857142940766"/>
    <n v="20354"/>
    <n v="28.559230733198877"/>
    <n v="26.954865554755919"/>
    <n v="1.2835081125733871"/>
    <n v="30.80419470176129"/>
    <n v="11243.53106614287"/>
    <n v="3385.3092999999999"/>
    <n v="5.1234021225745909"/>
    <n v="4.755134722064196"/>
    <n v="4.487777500584353"/>
    <n v="3254.6045999999997"/>
    <n v="4.9255907328116297"/>
    <n v="1870.0417747397255"/>
    <n v="1797.8406174762449"/>
    <x v="9"/>
    <x v="2"/>
  </r>
  <r>
    <x v="411"/>
    <m/>
    <d v="1899-12-30T20:31:00"/>
    <n v="0.85486111111094942"/>
    <d v="1901-10-22T14:37:00"/>
    <n v="661.60902777777665"/>
    <n v="623.52569444444816"/>
    <n v="601.00624999999854"/>
    <n v="194018"/>
    <n v="6"/>
    <n v="0.29244516653133068"/>
    <n v="7.0186839967519363"/>
    <n v="2561.8196588144569"/>
    <n v="14259"/>
    <n v="0.89800014065037304"/>
    <n v="21.552003375608955"/>
    <n v="7866.4812320972687"/>
    <n v="125536"/>
    <n v="3"/>
    <n v="0.14622258326566534"/>
    <n v="3.5093419983759682"/>
    <n v="1280.9098294072285"/>
    <n v="6104"/>
    <n v="0.38441635868783763"/>
    <n v="9.2259926085081041"/>
    <n v="3367.4873021054582"/>
    <n v="9"/>
    <n v="0.43866774979699602"/>
    <n v="10.528025995127905"/>
    <n v="3842.7294882216852"/>
    <n v="20363"/>
    <n v="28.53450973797062"/>
    <n v="26.931500296378015"/>
    <n v="1.2824164993382108"/>
    <n v="30.777995984117059"/>
    <n v="11233.968534202726"/>
    <n v="3386.7925"/>
    <n v="5.1190240123772419"/>
    <n v="4.7509941072106479"/>
    <n v="4.4838620230654946"/>
    <n v="3256.0436999999997"/>
    <n v="4.9214015578603174"/>
    <n v="1868.4437645176934"/>
    <n v="1796.3115686190158"/>
    <x v="9"/>
    <x v="2"/>
  </r>
  <r>
    <x v="412"/>
    <m/>
    <d v="1899-12-30T23:51:00"/>
    <n v="0.99375000000145519"/>
    <d v="1901-10-23T14:28:00"/>
    <n v="662.6027777777781"/>
    <n v="624.51944444444962"/>
    <n v="602"/>
    <n v="194025"/>
    <n v="7"/>
    <n v="0.29350104821759954"/>
    <n v="7.0440251572223893"/>
    <n v="2571.0691823861721"/>
    <n v="14266"/>
    <n v="0.89709353265950309"/>
    <n v="21.530244783828074"/>
    <n v="7858.5393460972473"/>
    <n v="125539"/>
    <n v="3"/>
    <n v="0.12578616352182839"/>
    <n v="3.0188679245238812"/>
    <n v="1101.8867924512167"/>
    <n v="6107"/>
    <n v="0.38402847357013775"/>
    <n v="9.2166833656833074"/>
    <n v="3364.0894284744072"/>
    <n v="10"/>
    <n v="0.41928721173942796"/>
    <n v="10.062893081746271"/>
    <n v="3672.955974837389"/>
    <n v="20373"/>
    <n v="28.505117267943561"/>
    <n v="26.903654485049834"/>
    <n v="1.2811220062296409"/>
    <n v="30.746928149511383"/>
    <n v="11222.628774571655"/>
    <n v="3388.4555999999998"/>
    <n v="5.1138566176316438"/>
    <n v="4.7460972214190962"/>
    <n v="4.479222923588039"/>
    <n v="3257.6426999999999"/>
    <n v="4.9164338111068702"/>
    <n v="1866.55766543555"/>
    <n v="1794.4983410540074"/>
    <x v="9"/>
    <x v="2"/>
  </r>
  <r>
    <x v="413"/>
    <m/>
    <d v="1899-12-31T01:17:00"/>
    <n v="1.0534722222218988"/>
    <d v="1901-10-24T15:45:00"/>
    <n v="663.65625"/>
    <n v="625.57291666667152"/>
    <n v="603.0534722222219"/>
    <n v="194036"/>
    <n v="11"/>
    <n v="0.435069215557154"/>
    <n v="10.441661173371696"/>
    <n v="3811.2063282806689"/>
    <n v="14277"/>
    <n v="0.89636012619484862"/>
    <n v="21.512643028676365"/>
    <n v="7852.1147054668736"/>
    <n v="125543"/>
    <n v="4"/>
    <n v="0.15820698747532871"/>
    <n v="3.7969676994078894"/>
    <n v="1385.8932102838796"/>
    <n v="6111"/>
    <n v="0.38367000988840233"/>
    <n v="9.2080802373216564"/>
    <n v="3360.9492866224045"/>
    <n v="15"/>
    <n v="0.59327620303248274"/>
    <n v="14.238628872779586"/>
    <n v="5197.0995385645492"/>
    <n v="20388"/>
    <n v="28.481092332028751"/>
    <n v="26.881529991467051"/>
    <n v="1.2800301360832509"/>
    <n v="30.720723265998021"/>
    <n v="11213.063992089277"/>
    <n v="3390.9728999999998"/>
    <n v="5.1095320808023725"/>
    <n v="4.7421287286653531"/>
    <n v="4.4755724397942434"/>
    <n v="3260.0411999999997"/>
    <n v="4.9122436502330835"/>
    <n v="1864.9792094928662"/>
    <n v="1792.9689323350754"/>
    <x v="9"/>
    <x v="2"/>
  </r>
  <r>
    <x v="414"/>
    <m/>
    <d v="1899-12-30T22:27:00"/>
    <n v="0.93541666666715173"/>
    <d v="1901-10-25T14:12:00"/>
    <n v="664.59166666666715"/>
    <n v="626.50833333333867"/>
    <n v="603.98888888888905"/>
    <n v="194045"/>
    <n v="9"/>
    <n v="0.40089086859667405"/>
    <n v="9.6213808463201786"/>
    <n v="3511.8040089068654"/>
    <n v="14286"/>
    <n v="0.89566275031034026"/>
    <n v="21.495906007448166"/>
    <n v="7846.0056927185806"/>
    <n v="125545"/>
    <n v="2"/>
    <n v="8.9086859688149792E-2"/>
    <n v="2.1380846325155951"/>
    <n v="780.40089086819216"/>
    <n v="6113"/>
    <n v="0.38325538237765017"/>
    <n v="9.1981291770636044"/>
    <n v="3357.3171496282157"/>
    <n v="11"/>
    <n v="0.48997772828482389"/>
    <n v="11.759465478835773"/>
    <n v="4292.2048997750571"/>
    <n v="20399"/>
    <n v="28.456125882869099"/>
    <n v="26.858109972589627"/>
    <n v="1.2789181326879904"/>
    <n v="30.694035184511769"/>
    <n v="11203.322842346795"/>
    <n v="3392.8612000000003"/>
    <n v="5.1051816779726868"/>
    <n v="4.7380624359877759"/>
    <n v="4.4717673614304889"/>
    <n v="3261.8000999999999"/>
    <n v="4.9079762260034316"/>
    <n v="1863.3913124600306"/>
    <n v="1791.4113224912523"/>
    <x v="9"/>
    <x v="2"/>
  </r>
  <r>
    <x v="415"/>
    <m/>
    <d v="1899-12-31T00:14:00"/>
    <n v="1.0097222222175333"/>
    <d v="1901-10-26T14:26:00"/>
    <n v="665.60138888888469"/>
    <n v="627.5180555555562"/>
    <n v="604.99861111110658"/>
    <n v="194051"/>
    <n v="6"/>
    <n v="0.24759284731889392"/>
    <n v="5.9422283356534544"/>
    <n v="2168.913342513511"/>
    <n v="14292"/>
    <n v="0.89467962348169405"/>
    <n v="21.472310963560659"/>
    <n v="7837.3935016996402"/>
    <n v="125549"/>
    <n v="4"/>
    <n v="0.16506189821259595"/>
    <n v="3.9614855571023027"/>
    <n v="1445.9422283423405"/>
    <n v="6117"/>
    <n v="0.38292438125087619"/>
    <n v="9.1901851500210299"/>
    <n v="3354.4175797576759"/>
    <n v="10"/>
    <n v="0.4126547455314899"/>
    <n v="9.9037138927557571"/>
    <n v="3614.8555708558515"/>
    <n v="20409"/>
    <n v="28.426273701730555"/>
    <n v="26.829813658892899"/>
    <n v="1.2776040047325703"/>
    <n v="30.662496113581689"/>
    <n v="11191.811081457316"/>
    <n v="3394.4789999999998"/>
    <n v="5.0998676635373927"/>
    <n v="4.7330166418407567"/>
    <n v="4.4669781886551956"/>
    <n v="3263.3990999999996"/>
    <n v="4.9029331285617115"/>
    <n v="1861.4516971911485"/>
    <n v="1789.5705919250247"/>
    <x v="9"/>
    <x v="2"/>
  </r>
  <r>
    <x v="416"/>
    <m/>
    <d v="1899-12-31T05:44:00"/>
    <n v="1.2388888888890506"/>
    <d v="1901-10-27T20:10:00"/>
    <n v="666.84027777777374"/>
    <n v="628.75694444444525"/>
    <n v="606.23749999999563"/>
    <n v="194060"/>
    <n v="9"/>
    <n v="0.30269058295960177"/>
    <n v="7.2645739910304421"/>
    <n v="2651.5695067261113"/>
    <n v="14301"/>
    <n v="0.8935797969278888"/>
    <n v="21.44591512626933"/>
    <n v="7827.7590210883054"/>
    <n v="125552"/>
    <n v="3"/>
    <n v="0.10089686098653391"/>
    <n v="2.4215246636768142"/>
    <n v="883.85650224203721"/>
    <n v="6120"/>
    <n v="0.38240041655819029"/>
    <n v="9.1776099973965675"/>
    <n v="3349.8276490497469"/>
    <n v="12"/>
    <n v="0.40358744394613566"/>
    <n v="9.6860986547072567"/>
    <n v="3535.4260089681488"/>
    <n v="20421"/>
    <n v="28.38934847196294"/>
    <n v="26.794779273799652"/>
    <n v="1.2759802134860792"/>
    <n v="30.623525123665896"/>
    <n v="11177.586670138053"/>
    <n v="3396.5019000000002"/>
    <n v="5.093426436865431"/>
    <n v="4.7269081101379431"/>
    <n v="4.4611864162148001"/>
    <n v="3265.3178999999996"/>
    <n v="4.8967016672741766"/>
    <n v="1859.1006494558819"/>
    <n v="1787.2961085550744"/>
    <x v="9"/>
    <x v="2"/>
  </r>
  <r>
    <x v="417"/>
    <m/>
    <d v="1899-12-30T20:18:00"/>
    <n v="0.84583333333284827"/>
    <d v="1901-10-28T16:28:00"/>
    <n v="667.68611111110658"/>
    <n v="629.6027777777781"/>
    <n v="607.08333333332848"/>
    <n v="194066"/>
    <n v="6"/>
    <n v="0.29556650246322369"/>
    <n v="7.0935960591173686"/>
    <n v="2589.1625615778394"/>
    <n v="14307"/>
    <n v="0.89282222601272831"/>
    <n v="21.42773342430548"/>
    <n v="7821.1226998715001"/>
    <n v="125554"/>
    <n v="2"/>
    <n v="9.852216748774123E-2"/>
    <n v="2.3645320197057895"/>
    <n v="863.0541871926132"/>
    <n v="6122"/>
    <n v="0.38204079594952978"/>
    <n v="9.1689791027887146"/>
    <n v="3346.6773725178809"/>
    <n v="8"/>
    <n v="0.39408866995096492"/>
    <n v="9.4581280788231581"/>
    <n v="3452.2167487704528"/>
    <n v="20429"/>
    <n v="28.363915519926572"/>
    <n v="26.770624571036588"/>
    <n v="1.2748630219622581"/>
    <n v="30.596712527094194"/>
    <n v="11167.80007238938"/>
    <n v="3397.8505"/>
    <n v="5.088993830267917"/>
    <n v="4.7226997798435493"/>
    <n v="4.4571922031572075"/>
    <n v="3266.5970999999995"/>
    <n v="4.8924143330823604"/>
    <n v="1857.4827480477898"/>
    <n v="1785.7312315750617"/>
    <x v="9"/>
    <x v="2"/>
  </r>
  <r>
    <x v="418"/>
    <m/>
    <d v="1899-12-30T21:55:00"/>
    <n v="0.91319444444525288"/>
    <d v="1901-10-29T14:23:00"/>
    <n v="668.59930555555184"/>
    <n v="630.51597222222335"/>
    <n v="607.99652777777374"/>
    <n v="194074"/>
    <n v="8"/>
    <n v="0.36501901140652093"/>
    <n v="8.7604562737565033"/>
    <n v="3197.5665399211239"/>
    <n v="14315"/>
    <n v="0.89210133539957059"/>
    <n v="21.410432049589694"/>
    <n v="7814.8076981002387"/>
    <n v="125558"/>
    <n v="4"/>
    <n v="0.18250950570326047"/>
    <n v="4.3802281368782516"/>
    <n v="1598.7832699605619"/>
    <n v="6126"/>
    <n v="0.38176826969317285"/>
    <n v="9.1624384726361487"/>
    <n v="3344.2900425121943"/>
    <n v="12"/>
    <n v="0.54752851710978145"/>
    <n v="13.140684410634755"/>
    <n v="4796.3498098816854"/>
    <n v="20441"/>
    <n v="28.341867275809115"/>
    <n v="26.750152767228609"/>
    <n v="1.2738696050927434"/>
    <n v="30.572870522225841"/>
    <n v="11159.097740612431"/>
    <n v="3399.8281000000002"/>
    <n v="5.0850009441380122"/>
    <n v="4.7189962365478806"/>
    <n v="4.4537502704123018"/>
    <n v="3268.5158999999999"/>
    <n v="4.8886019965039118"/>
    <n v="1856.0253446103743"/>
    <n v="1784.3397287239277"/>
    <x v="9"/>
    <x v="2"/>
  </r>
  <r>
    <x v="419"/>
    <m/>
    <d v="1899-12-31T00:11:00"/>
    <n v="1.007638888891961"/>
    <d v="1901-10-30T14:34:00"/>
    <n v="669.6069444444438"/>
    <n v="631.52361111111531"/>
    <n v="609.0041666666657"/>
    <n v="194079"/>
    <n v="5"/>
    <n v="0.20675396278365635"/>
    <n v="4.9620951068077526"/>
    <n v="1811.1647139848296"/>
    <n v="14320"/>
    <n v="0.89107000997683217"/>
    <n v="21.385680239443975"/>
    <n v="7805.7732873970508"/>
    <n v="125561"/>
    <n v="3"/>
    <n v="0.12405237767019381"/>
    <n v="2.9772570640846516"/>
    <n v="1086.6988283908979"/>
    <n v="6129"/>
    <n v="0.3813804532924584"/>
    <n v="9.1531308790190025"/>
    <n v="3340.892770841936"/>
    <n v="8"/>
    <n v="0.33080634045385016"/>
    <n v="7.9393521708924037"/>
    <n v="2897.8635423757273"/>
    <n v="20449"/>
    <n v="28.309313674820626"/>
    <n v="26.719029015948209"/>
    <n v="1.2724504632692906"/>
    <n v="30.538811118462974"/>
    <n v="11146.666058238985"/>
    <n v="3401.1314000000002"/>
    <n v="5.0792952913919285"/>
    <n v="4.7135304961325586"/>
    <n v="4.4485212881685339"/>
    <n v="3269.7950999999998"/>
    <n v="4.8831558978422294"/>
    <n v="1853.9427813580542"/>
    <n v="1782.3519027124134"/>
    <x v="9"/>
    <x v="2"/>
  </r>
  <r>
    <x v="420"/>
    <m/>
    <d v="1899-12-31T01:50:00"/>
    <n v="1.0763888888905058"/>
    <d v="1901-10-31T16:24:00"/>
    <n v="670.6833333333343"/>
    <n v="632.60000000000582"/>
    <n v="610.0805555555562"/>
    <n v="194087"/>
    <n v="8"/>
    <n v="0.30967741935437354"/>
    <n v="7.432258064504965"/>
    <n v="2712.7741935443123"/>
    <n v="14328"/>
    <n v="0.89013692502671271"/>
    <n v="21.363286200641106"/>
    <n v="7797.5994632340035"/>
    <n v="125563"/>
    <n v="2"/>
    <n v="7.7419354838593385E-2"/>
    <n v="1.8580645161262412"/>
    <n v="678.19354838607808"/>
    <n v="6131"/>
    <n v="0.38089262195273421"/>
    <n v="9.1414229268656211"/>
    <n v="3336.6193683059519"/>
    <n v="10"/>
    <n v="0.3870967741929669"/>
    <n v="9.2903225806312069"/>
    <n v="3390.9677419303907"/>
    <n v="20459"/>
    <n v="28.276952260511912"/>
    <n v="26.688278870276665"/>
    <n v="1.271029546979447"/>
    <n v="30.504709127506729"/>
    <n v="11134.218831539956"/>
    <n v="3402.8397999999997"/>
    <n v="5.0736907134514473"/>
    <n v="4.7082108757508259"/>
    <n v="4.44347287471144"/>
    <n v="3271.3940999999995"/>
    <n v="4.8777029894883253"/>
    <n v="1851.8971104097784"/>
    <n v="1780.3615911632389"/>
    <x v="9"/>
    <x v="2"/>
  </r>
  <r>
    <x v="421"/>
    <m/>
    <d v="1899-12-30T21:59:00"/>
    <n v="0.91597222221753327"/>
    <d v="1901-11-01T14:23:00"/>
    <n v="671.59930555555184"/>
    <n v="633.51597222222335"/>
    <n v="610.99652777777374"/>
    <n v="194096"/>
    <n v="9"/>
    <n v="0.40940106141225496"/>
    <n v="9.8256254738941191"/>
    <n v="3586.3532979713536"/>
    <n v="14337"/>
    <n v="0.88948126518065274"/>
    <n v="21.347550364335664"/>
    <n v="7791.855882982517"/>
    <n v="125566"/>
    <n v="3"/>
    <n v="0.13646702047075165"/>
    <n v="3.2752084912980397"/>
    <n v="1195.4510993237845"/>
    <n v="6134"/>
    <n v="0.38055925790738115"/>
    <n v="9.1334221897771481"/>
    <n v="3333.6990992686592"/>
    <n v="12"/>
    <n v="0.54586808188300662"/>
    <n v="13.100833965192159"/>
    <n v="4781.8043972951382"/>
    <n v="20471"/>
    <n v="28.255009794324611"/>
    <n v="26.667909323907502"/>
    <n v="1.2700405230880338"/>
    <n v="30.480972554112814"/>
    <n v="11125.554982251177"/>
    <n v="3404.8627000000001"/>
    <n v="5.0697829372879903"/>
    <n v="4.7045966174228182"/>
    <n v="4.4401222865651242"/>
    <n v="3273.3128999999999"/>
    <n v="4.8739075114026384"/>
    <n v="1850.4707721101163"/>
    <n v="1778.9762416619631"/>
    <x v="9"/>
    <x v="2"/>
  </r>
  <r>
    <x v="422"/>
    <m/>
    <d v="1899-12-31T00:45:00"/>
    <n v="1.03125"/>
    <d v="1901-11-02T15:08:00"/>
    <n v="672.63055555555184"/>
    <n v="634.54722222222335"/>
    <n v="612.02777777777374"/>
    <n v="194102"/>
    <n v="6"/>
    <n v="0.24242424242424243"/>
    <n v="5.8181818181818183"/>
    <n v="2123.6363636363635"/>
    <n v="14343"/>
    <n v="0.88848922348821657"/>
    <n v="21.3237413637172"/>
    <n v="7783.165597756778"/>
    <n v="125568"/>
    <n v="2"/>
    <n v="8.0808080808080815E-2"/>
    <n v="1.9393939393939394"/>
    <n v="707.87878787878788"/>
    <n v="6136"/>
    <n v="0.38009969150970491"/>
    <n v="9.1223925962329169"/>
    <n v="3329.6732976250146"/>
    <n v="8"/>
    <n v="0.32323232323232326"/>
    <n v="7.7575757575757578"/>
    <n v="2831.5151515151515"/>
    <n v="20479"/>
    <n v="28.221697886069194"/>
    <n v="26.636045931103521"/>
    <n v="1.2685889149979215"/>
    <n v="30.446133959950117"/>
    <n v="11112.838895381792"/>
    <n v="3406.2112999999999"/>
    <n v="5.0640151147856747"/>
    <n v="4.6990761216440333"/>
    <n v="4.4348442971906072"/>
    <n v="3274.5920999999998"/>
    <n v="4.8683368201960233"/>
    <n v="1848.3655168967714"/>
    <n v="1776.9429393715484"/>
    <x v="9"/>
    <x v="2"/>
  </r>
  <r>
    <x v="423"/>
    <m/>
    <d v="1899-12-30T23:59:00"/>
    <n v="0.99930555555329192"/>
    <d v="1901-11-03T15:07:00"/>
    <n v="673.62986111110513"/>
    <n v="635.54652777777665"/>
    <n v="613.02708333332703"/>
    <n v="194109"/>
    <n v="7"/>
    <n v="0.29186935371852074"/>
    <n v="7.0048644892444987"/>
    <n v="2556.7755385742421"/>
    <n v="14350"/>
    <n v="0.88760415947185767"/>
    <n v="21.302499827324585"/>
    <n v="7775.4124369734736"/>
    <n v="125571"/>
    <n v="3"/>
    <n v="0.12508686587936604"/>
    <n v="3.0020847811047848"/>
    <n v="1095.7609451032465"/>
    <n v="6139"/>
    <n v="0.37972138919844839"/>
    <n v="9.11331334076276"/>
    <n v="3326.3593693784073"/>
    <n v="10"/>
    <n v="0.41695621959788681"/>
    <n v="10.006949270349283"/>
    <n v="3652.5364836774884"/>
    <n v="20489"/>
    <n v="28.193057812228588"/>
    <n v="26.608938566471984"/>
    <n v="1.2673255486703059"/>
    <n v="30.415813168087343"/>
    <n v="11101.771806351881"/>
    <n v="3407.8744000000002"/>
    <n v="5.0589716946023602"/>
    <n v="4.6943043028364784"/>
    <n v="4.4303279150935193"/>
    <n v="3276.1910999999996"/>
    <n v="4.863488525577166"/>
    <n v="1846.5246685298616"/>
    <n v="1775.1733118356656"/>
    <x v="9"/>
    <x v="2"/>
  </r>
  <r>
    <x v="424"/>
    <m/>
    <d v="1899-12-31T02:41:00"/>
    <n v="1.1118055555562023"/>
    <d v="1901-11-04T17:48:00"/>
    <n v="674.74166666666133"/>
    <n v="636.65833333333285"/>
    <n v="614.13888888888323"/>
    <n v="194118"/>
    <n v="9"/>
    <n v="0.33728919425339532"/>
    <n v="8.0949406620814877"/>
    <n v="2954.6533416597431"/>
    <n v="14359"/>
    <n v="0.8866973780088746"/>
    <n v="21.28073707221299"/>
    <n v="7767.4690313577412"/>
    <n v="125574"/>
    <n v="3"/>
    <n v="0.11242973141779844"/>
    <n v="2.6983135540271626"/>
    <n v="984.88444721991436"/>
    <n v="6142"/>
    <n v="0.37928095937951861"/>
    <n v="9.1027430251084471"/>
    <n v="3322.5012041645832"/>
    <n v="12"/>
    <n v="0.44971892567119376"/>
    <n v="10.79325421610865"/>
    <n v="3939.5377888796575"/>
    <n v="20501"/>
    <n v="28.16267228628649"/>
    <n v="26.580306662445402"/>
    <n v="1.2659783373883933"/>
    <n v="30.383480097321439"/>
    <n v="11089.970235522325"/>
    <n v="3409.8973000000001"/>
    <n v="5.0536338104707141"/>
    <n v="4.6892839435071174"/>
    <n v="4.4256013569135151"/>
    <n v="3278.1098999999999"/>
    <n v="4.8583184675616975"/>
    <n v="1844.5763408218104"/>
    <n v="1773.2862406600198"/>
    <x v="9"/>
    <x v="2"/>
  </r>
  <r>
    <x v="425"/>
    <m/>
    <d v="1899-12-30T20:46:00"/>
    <n v="0.86527777778246673"/>
    <d v="1901-11-05T14:34:00"/>
    <n v="675.6069444444438"/>
    <n v="637.52361111111531"/>
    <n v="615.0041666666657"/>
    <n v="194123"/>
    <n v="5"/>
    <n v="0.24077046548826186"/>
    <n v="5.7784911717182847"/>
    <n v="2109.1492776771738"/>
    <n v="14364"/>
    <n v="0.88587011267646254"/>
    <n v="21.260882704235101"/>
    <n v="7760.2221870458116"/>
    <n v="125577"/>
    <n v="3"/>
    <n v="0.14446227929295713"/>
    <n v="3.4670947030309711"/>
    <n v="1265.4895666063044"/>
    <n v="6145"/>
    <n v="0.37898021737655685"/>
    <n v="9.0955252170373644"/>
    <n v="3319.866704218638"/>
    <n v="8"/>
    <n v="0.38523274478121899"/>
    <n v="9.2455858747492563"/>
    <n v="3374.6388442834786"/>
    <n v="20509"/>
    <n v="28.136997104682212"/>
    <n v="26.555917642834441"/>
    <n v="1.2648503300530194"/>
    <n v="30.356407921272464"/>
    <n v="11080.08889126445"/>
    <n v="3411.2006000000001"/>
    <n v="5.0490904927051243"/>
    <n v="4.6849637377264584"/>
    <n v="4.4214939465179848"/>
    <n v="3279.3890999999999"/>
    <n v="4.853989626611467"/>
    <n v="1842.9180298373701"/>
    <n v="1771.7062137131854"/>
    <x v="9"/>
    <x v="2"/>
  </r>
  <r>
    <x v="426"/>
    <m/>
    <d v="1899-12-31T00:01:00"/>
    <n v="1.0006944444394321"/>
    <d v="1901-11-06T14:35:00"/>
    <n v="676.60763888888323"/>
    <n v="638.52430555555475"/>
    <n v="616.00486111110513"/>
    <n v="194130"/>
    <n v="7"/>
    <n v="0.29146426093136968"/>
    <n v="6.9951422623528723"/>
    <n v="2553.2269257587982"/>
    <n v="14371"/>
    <n v="0.88499099367248502"/>
    <n v="21.239783848139641"/>
    <n v="7752.5211045709693"/>
    <n v="125579"/>
    <n v="2"/>
    <n v="8.3275503123248482E-2"/>
    <n v="1.9986120749579634"/>
    <n v="729.49340735965666"/>
    <n v="6147"/>
    <n v="0.37854287371127726"/>
    <n v="9.0850289690706543"/>
    <n v="3316.0355737107889"/>
    <n v="9"/>
    <n v="0.37473976405461817"/>
    <n v="8.9937543373108362"/>
    <n v="3282.7203331184551"/>
    <n v="20518"/>
    <n v="28.106995840017436"/>
    <n v="26.527388063992358"/>
    <n v="1.2635338673837622"/>
    <n v="30.324812817210294"/>
    <n v="11068.556678281757"/>
    <n v="3412.7291"/>
    <n v="5.0438820135172309"/>
    <n v="4.6800152695831923"/>
    <n v="4.4167925803255494"/>
    <n v="3280.8281999999999"/>
    <n v="4.8489375694719259"/>
    <n v="1841.0169349337898"/>
    <n v="1769.8622128572529"/>
    <x v="9"/>
    <x v="2"/>
  </r>
  <r>
    <x v="427"/>
    <m/>
    <d v="1899-12-31T01:08:00"/>
    <n v="1.047222222223354"/>
    <d v="1901-11-07T15:43:00"/>
    <n v="677.65486111110658"/>
    <n v="639.5715277777781"/>
    <n v="617.05208333332848"/>
    <n v="194139"/>
    <n v="9"/>
    <n v="0.35809018567600553"/>
    <n v="8.5941644562241333"/>
    <n v="3136.8700265218085"/>
    <n v="14380"/>
    <n v="0.88417674106882682"/>
    <n v="21.220241785651844"/>
    <n v="7745.3882517629227"/>
    <n v="125582"/>
    <n v="3"/>
    <n v="0.11936339522533519"/>
    <n v="2.8647214854080443"/>
    <n v="1045.6233421739362"/>
    <n v="6150"/>
    <n v="0.37814234753638976"/>
    <n v="9.075416340873355"/>
    <n v="3312.5269644187747"/>
    <n v="12"/>
    <n v="0.47745358090134077"/>
    <n v="11.458885941632177"/>
    <n v="4182.4933686957447"/>
    <n v="20530"/>
    <n v="28.079736542368302"/>
    <n v="26.501814744163486"/>
    <n v="1.2623190886052165"/>
    <n v="30.295658126525197"/>
    <n v="11057.915216181696"/>
    <n v="3414.752"/>
    <n v="5.0390725367203197"/>
    <n v="4.6755152006063065"/>
    <n v="4.4125750054864703"/>
    <n v="3282.7469999999998"/>
    <n v="4.8442757344313785"/>
    <n v="1839.261475902917"/>
    <n v="1768.1606430674531"/>
    <x v="9"/>
    <x v="2"/>
  </r>
  <r>
    <x v="428"/>
    <m/>
    <d v="1899-12-30T22:53:00"/>
    <n v="0.95347222222335404"/>
    <d v="1901-11-08T14:36:00"/>
    <n v="678.60833333332994"/>
    <n v="640.52500000000146"/>
    <n v="618.00555555555184"/>
    <n v="194148"/>
    <n v="9"/>
    <n v="0.39329934450062565"/>
    <n v="9.4391842680150155"/>
    <n v="3445.3022578254809"/>
    <n v="14389"/>
    <n v="0.88348703842423049"/>
    <n v="21.203688922181531"/>
    <n v="7739.3464565962586"/>
    <n v="125585"/>
    <n v="3"/>
    <n v="0.13109978150020854"/>
    <n v="3.1463947560050052"/>
    <n v="1148.4340859418269"/>
    <n v="6153"/>
    <n v="0.3777952427148718"/>
    <n v="9.0670858251569229"/>
    <n v="3309.486326182277"/>
    <n v="12"/>
    <n v="0.52439912600083416"/>
    <n v="12.585579024020021"/>
    <n v="4593.7363437673075"/>
    <n v="20542"/>
    <n v="28.056672261035807"/>
    <n v="26.48034447730619"/>
    <n v="1.2612822811391022"/>
    <n v="30.270774747338454"/>
    <n v="11048.832782778536"/>
    <n v="3416.7748999999999"/>
    <n v="5.0349733891665789"/>
    <n v="4.6717135162561849"/>
    <n v="4.4090404617002985"/>
    <n v="3284.6657999999998"/>
    <n v="4.8402968820994188"/>
    <n v="1837.7652870458014"/>
    <n v="1766.7083619662878"/>
    <x v="9"/>
    <x v="2"/>
  </r>
  <r>
    <x v="429"/>
    <m/>
    <d v="1899-12-31T00:46:00"/>
    <n v="1.0319444444467081"/>
    <d v="1901-11-09T15:22:00"/>
    <n v="679.64027777777665"/>
    <n v="641.55694444444816"/>
    <n v="619.03749999999854"/>
    <n v="194156"/>
    <n v="8"/>
    <n v="0.3230148048445135"/>
    <n v="7.7523553162683241"/>
    <n v="2829.6096904379383"/>
    <n v="14397"/>
    <n v="0.88263603499400356"/>
    <n v="21.183264839856086"/>
    <n v="7731.8916665474717"/>
    <n v="125588"/>
    <n v="3"/>
    <n v="0.12113055181669256"/>
    <n v="2.9071332436006219"/>
    <n v="1061.103633914227"/>
    <n v="6156"/>
    <n v="0.37740553111225161"/>
    <n v="9.0577327466940378"/>
    <n v="3306.0724525433238"/>
    <n v="11"/>
    <n v="0.44414535666120608"/>
    <n v="10.659488559868946"/>
    <n v="3890.7133243521653"/>
    <n v="20553"/>
    <n v="28.028688888359536"/>
    <n v="26.453970882216407"/>
    <n v="1.2600415661062552"/>
    <n v="30.240997586550126"/>
    <n v="11037.964119090795"/>
    <n v="3418.6179000000002"/>
    <n v="5.030040172395128"/>
    <n v="4.6670717633534471"/>
    <n v="4.4046677301455999"/>
    <n v="3286.4246999999996"/>
    <n v="4.8355355140893641"/>
    <n v="1835.9646629242216"/>
    <n v="1764.970462642618"/>
    <x v="9"/>
    <x v="2"/>
  </r>
  <r>
    <x v="430"/>
    <m/>
    <d v="1899-12-30T23:43:00"/>
    <n v="0.9881944444423425"/>
    <d v="1901-11-10T15:05:00"/>
    <n v="680.62847222221899"/>
    <n v="642.54513888889051"/>
    <n v="620.02569444444089"/>
    <n v="194163"/>
    <n v="7"/>
    <n v="0.29515108924869526"/>
    <n v="7.0836261419686863"/>
    <n v="2585.5235418185707"/>
    <n v="14404"/>
    <n v="0.88178307426245561"/>
    <n v="21.162793782298937"/>
    <n v="7724.4197305391117"/>
    <n v="125591"/>
    <n v="3"/>
    <n v="0.12649332396372653"/>
    <n v="3.0358397751294368"/>
    <n v="1108.0815179222445"/>
    <n v="6159"/>
    <n v="0.37704123537784395"/>
    <n v="9.0489896490682558"/>
    <n v="3302.8812219099132"/>
    <n v="10"/>
    <n v="0.4216444132124218"/>
    <n v="10.119465917098124"/>
    <n v="3693.6050597408152"/>
    <n v="20563"/>
    <n v="28.001145617741873"/>
    <n v="26.427937014259193"/>
    <n v="1.2588243096402996"/>
    <n v="30.211783431367191"/>
    <n v="11027.300952449024"/>
    <n v="3420.2809999999999"/>
    <n v="5.0251806082001655"/>
    <n v="4.6624823980156913"/>
    <n v="4.4003298967224946"/>
    <n v="3288.0236999999997"/>
    <n v="4.8308641706756132"/>
    <n v="1834.1909219930603"/>
    <n v="1763.2654222965989"/>
    <x v="9"/>
    <x v="2"/>
  </r>
  <r>
    <x v="431"/>
    <m/>
    <d v="1900-01-02T00:09:00"/>
    <n v="3.0062499999985448"/>
    <d v="1901-11-13T15:14:00"/>
    <n v="683.63472222221753"/>
    <n v="645.55138888888905"/>
    <n v="623.03194444443943"/>
    <n v="194180"/>
    <n v="17"/>
    <n v="0.23562023562034967"/>
    <n v="5.6548856548883926"/>
    <n v="2064.0332640342631"/>
    <n v="14421"/>
    <n v="0.87894160502380647"/>
    <n v="21.094598520571356"/>
    <n v="7699.5284600085452"/>
    <n v="125600"/>
    <n v="9"/>
    <n v="0.12474012474018512"/>
    <n v="2.993762993764443"/>
    <n v="1092.7234927240218"/>
    <n v="6168"/>
    <n v="0.37593175367775039"/>
    <n v="9.0223620882660089"/>
    <n v="3293.1621622170933"/>
    <n v="26"/>
    <n v="0.36036036036053481"/>
    <n v="8.6486486486528342"/>
    <n v="3156.7567567582846"/>
    <n v="20589"/>
    <n v="27.911023522096738"/>
    <n v="26.342148498717282"/>
    <n v="1.2548733587015568"/>
    <n v="30.116960608837367"/>
    <n v="10992.690622225638"/>
    <n v="3424.5506999999998"/>
    <n v="5.0093282109313915"/>
    <n v="4.6473838514448227"/>
    <n v="4.3859505509571601"/>
    <n v="3292.1810999999998"/>
    <n v="4.8157020013530945"/>
    <n v="1828.404796989958"/>
    <n v="1757.7312304938794"/>
    <x v="10"/>
    <x v="2"/>
  </r>
  <r>
    <x v="432"/>
    <m/>
    <d v="1899-12-31T00:04:00"/>
    <n v="1.0027777777795563"/>
    <d v="1901-11-14T15:18:00"/>
    <n v="684.63749999999709"/>
    <n v="646.55416666666861"/>
    <n v="624.03472222221899"/>
    <n v="194190"/>
    <n v="10"/>
    <n v="0.41551246537322423"/>
    <n v="9.9722991689573828"/>
    <n v="3639.8891966694446"/>
    <n v="14431"/>
    <n v="0.87826282765210673"/>
    <n v="21.078307863650561"/>
    <n v="7693.5823702324551"/>
    <n v="125603"/>
    <n v="3"/>
    <n v="0.12465373961196727"/>
    <n v="2.9916897506872147"/>
    <n v="1091.9667590008335"/>
    <n v="6171"/>
    <n v="0.37556371072282935"/>
    <n v="9.0135290573479043"/>
    <n v="3289.9381059319849"/>
    <n v="13"/>
    <n v="0.54016620498519152"/>
    <n v="12.963988919644597"/>
    <n v="4731.8559556702785"/>
    <n v="20602"/>
    <n v="27.887841312599402"/>
    <n v="26.320650782875912"/>
    <n v="1.2538265383749361"/>
    <n v="30.091836920998468"/>
    <n v="10983.52047616444"/>
    <n v="3426.7534999999998"/>
    <n v="5.0052085957897638"/>
    <n v="4.6435829429088678"/>
    <n v="4.3824325836570033"/>
    <n v="3294.2597999999998"/>
    <n v="4.8116847236676543"/>
    <n v="1826.9011374632637"/>
    <n v="1756.2649241386939"/>
    <x v="10"/>
    <x v="2"/>
  </r>
  <r>
    <x v="433"/>
    <m/>
    <d v="1899-12-31T01:00:00"/>
    <n v="1.0416666666642413"/>
    <d v="1901-11-15T16:18:00"/>
    <n v="685.67916666666133"/>
    <n v="647.59583333333285"/>
    <n v="625.07638888888323"/>
    <n v="194202"/>
    <n v="12"/>
    <n v="0.48000000000111759"/>
    <n v="11.520000000026823"/>
    <n v="4204.80000000979"/>
    <n v="14443"/>
    <n v="0.87765779671008137"/>
    <n v="21.063787121041955"/>
    <n v="7688.2822991803132"/>
    <n v="125607"/>
    <n v="4"/>
    <n v="0.16000000000037254"/>
    <n v="3.8400000000089407"/>
    <n v="1401.6000000032634"/>
    <n v="6175"/>
    <n v="0.37523623171673148"/>
    <n v="9.0056695612015556"/>
    <n v="3287.069389838568"/>
    <n v="16"/>
    <n v="0.64000000000149015"/>
    <n v="15.360000000035763"/>
    <n v="5606.4000000130536"/>
    <n v="20618"/>
    <n v="27.867690110215367"/>
    <n v="26.302385264023524"/>
    <n v="1.2528940284268129"/>
    <n v="30.069456682243509"/>
    <n v="10975.35168901888"/>
    <n v="3429.4507000000003"/>
    <n v="5.0015384260131777"/>
    <n v="4.6402786202814292"/>
    <n v="4.3794444145715925"/>
    <n v="3296.8181999999997"/>
    <n v="4.8081061234907363"/>
    <n v="1825.5615254948098"/>
    <n v="1754.9587350741187"/>
    <x v="10"/>
    <x v="2"/>
  </r>
  <r>
    <x v="434"/>
    <m/>
    <d v="1899-12-30T23:36:00"/>
    <n v="0.98333333333721384"/>
    <d v="1901-11-16T15:54:00"/>
    <n v="686.66249999999854"/>
    <n v="648.57916666667006"/>
    <n v="626.05972222222044"/>
    <n v="194230"/>
    <n v="28"/>
    <n v="1.1864406779614196"/>
    <n v="28.474576271074071"/>
    <n v="10393.220338942036"/>
    <n v="14471"/>
    <n v="0.87809998847080573"/>
    <n v="21.074399723299337"/>
    <n v="7692.1558990042577"/>
    <n v="125619"/>
    <n v="12"/>
    <n v="0.50847457626917991"/>
    <n v="12.203389830460317"/>
    <n v="4454.2372881180154"/>
    <n v="6187"/>
    <n v="0.37542703535822508"/>
    <n v="9.0102488485974011"/>
    <n v="3288.7408297380512"/>
    <n v="40"/>
    <n v="1.6949152542305996"/>
    <n v="40.677966101534388"/>
    <n v="14847.457627060052"/>
    <n v="20658"/>
    <n v="27.887112213235195"/>
    <n v="26.324964560090411"/>
    <n v="1.2535270238290308"/>
    <n v="30.084648571896739"/>
    <n v="10980.896728742309"/>
    <n v="3436.1030999999998"/>
    <n v="5.0040640052427605"/>
    <n v="4.6435002152140008"/>
    <n v="4.3831915751736616"/>
    <n v="3303.2141999999999"/>
    <n v="4.8105353066462886"/>
    <n v="1826.4833619136077"/>
    <n v="1755.8453869258951"/>
    <x v="10"/>
    <x v="2"/>
  </r>
  <r>
    <x v="435"/>
    <m/>
    <d v="1899-12-30T22:35:00"/>
    <n v="0.94097222221898846"/>
    <d v="1901-11-17T14:29:00"/>
    <n v="687.60347222221753"/>
    <n v="649.52013888888905"/>
    <n v="627.00069444443943"/>
    <n v="194257"/>
    <n v="27"/>
    <n v="1.1955719557236659"/>
    <n v="28.69372693736798"/>
    <n v="10473.210332139313"/>
    <n v="14498"/>
    <n v="0.87853444279598925"/>
    <n v="21.084826627103741"/>
    <n v="7695.9617188928651"/>
    <n v="125625"/>
    <n v="6"/>
    <n v="0.26568265682748132"/>
    <n v="6.3763837638595513"/>
    <n v="2327.3800738087361"/>
    <n v="6193"/>
    <n v="0.37527685227173135"/>
    <n v="9.0066444545215525"/>
    <n v="3287.4252259003665"/>
    <n v="33"/>
    <n v="1.4612546125511472"/>
    <n v="35.070110701227534"/>
    <n v="12800.590405948051"/>
    <n v="20691"/>
    <n v="27.897518360242437"/>
    <n v="26.338088851133417"/>
    <n v="1.2538112950677205"/>
    <n v="30.091471081625293"/>
    <n v="10983.386944793232"/>
    <n v="3441.768"/>
    <n v="5.0054546537945637"/>
    <n v="4.6454947573475707"/>
    <n v="4.3856484121385115"/>
    <n v="3308.4908999999998"/>
    <n v="4.8116262259518843"/>
    <n v="1826.9909486350157"/>
    <n v="1756.2435724724376"/>
    <x v="10"/>
    <x v="2"/>
  </r>
  <r>
    <x v="436"/>
    <m/>
    <d v="1899-12-31T03:05:00"/>
    <n v="1.1284722222262644"/>
    <d v="1901-11-18T17:34:00"/>
    <n v="688.7319444444438"/>
    <n v="650.64861111111531"/>
    <n v="628.1291666666657"/>
    <n v="194289"/>
    <n v="32"/>
    <n v="1.1815384615342293"/>
    <n v="28.356923076821502"/>
    <n v="10350.276923039848"/>
    <n v="14530"/>
    <n v="0.87903090825127583"/>
    <n v="21.096741798030621"/>
    <n v="7700.3107562811765"/>
    <n v="125628"/>
    <n v="3"/>
    <n v="0.11076923076883399"/>
    <n v="2.6584615384520158"/>
    <n v="970.33846153498575"/>
    <n v="6196"/>
    <n v="0.37484346232105331"/>
    <n v="8.9962430957052799"/>
    <n v="3283.6287299324272"/>
    <n v="35"/>
    <n v="1.2923076923030632"/>
    <n v="31.015384615273518"/>
    <n v="11320.615384574834"/>
    <n v="20726"/>
    <n v="27.902925926479167"/>
    <n v="26.346491897234554"/>
    <n v="1.2538743705723292"/>
    <n v="30.092984893735899"/>
    <n v="10983.939486213603"/>
    <n v="3447.9286000000002"/>
    <n v="5.0061981701476395"/>
    <n v="4.6469061001094767"/>
    <n v="4.3875771835676121"/>
    <n v="3314.0873999999999"/>
    <n v="4.8118682845083702"/>
    <n v="1827.2623321038884"/>
    <n v="1756.3319238455549"/>
    <x v="10"/>
    <x v="2"/>
  </r>
  <r>
    <x v="437"/>
    <m/>
    <d v="1899-12-30T21:09:00"/>
    <n v="0.88124999999854481"/>
    <d v="1901-11-19T14:43:00"/>
    <n v="689.61319444444234"/>
    <n v="651.52986111111386"/>
    <n v="629.01041666666424"/>
    <n v="194308"/>
    <n v="19"/>
    <n v="0.89834515366578604"/>
    <n v="21.560283687978863"/>
    <n v="7869.5035461122852"/>
    <n v="14549"/>
    <n v="0.87905558973780862"/>
    <n v="21.097334153707408"/>
    <n v="7700.5269661032034"/>
    <n v="125632"/>
    <n v="4"/>
    <n v="0.18912529550858653"/>
    <n v="4.5390070922060763"/>
    <n v="1656.7375886552179"/>
    <n v="6200"/>
    <n v="0.37460613488036382"/>
    <n v="8.990547237128732"/>
    <n v="3281.5497415519872"/>
    <n v="23"/>
    <n v="1.0874704491743725"/>
    <n v="26.099290780184941"/>
    <n v="9526.2411347675024"/>
    <n v="20749"/>
    <n v="27.900486355298256"/>
    <n v="26.346145565951911"/>
    <n v="1.2536617246181725"/>
    <n v="30.087881390836138"/>
    <n v="10982.076707655191"/>
    <n v="3451.8851"/>
    <n v="5.0055380723694896"/>
    <n v="4.6466933915154627"/>
    <n v="4.3877201821644611"/>
    <n v="3317.7650999999996"/>
    <n v="4.8110522343946975"/>
    <n v="1827.0213964148638"/>
    <n v="1756.0340655540649"/>
    <x v="10"/>
    <x v="2"/>
  </r>
  <r>
    <x v="438"/>
    <m/>
    <d v="1899-12-30T23:58:00"/>
    <n v="0.99861111111385981"/>
    <d v="1901-11-20T14:41:00"/>
    <n v="690.6118055555562"/>
    <n v="652.52847222222772"/>
    <n v="630.0090277777781"/>
    <n v="194326"/>
    <n v="18"/>
    <n v="0.75104311543604119"/>
    <n v="18.025034770464991"/>
    <n v="6579.137691219722"/>
    <n v="14567"/>
    <n v="0.87887048621341102"/>
    <n v="21.092891669121865"/>
    <n v="7698.9054592294806"/>
    <n v="125636"/>
    <n v="4"/>
    <n v="0.16689847009689804"/>
    <n v="4.0055632823255536"/>
    <n v="1462.030598048827"/>
    <n v="6204"/>
    <n v="0.3743057936752936"/>
    <n v="8.9833390482070463"/>
    <n v="3278.9187525955717"/>
    <n v="22"/>
    <n v="0.91794158553293925"/>
    <n v="22.030598052790541"/>
    <n v="8041.1682892685476"/>
    <n v="20771"/>
    <n v="27.891503244323928"/>
    <n v="26.339305102550323"/>
    <n v="1.2531762798887045"/>
    <n v="30.076230717328912"/>
    <n v="10977.824211825053"/>
    <n v="3455.6617000000001"/>
    <n v="5.0037686471636915"/>
    <n v="4.6453698635968026"/>
    <n v="4.3867598369952789"/>
    <n v="3321.2828999999997"/>
    <n v="4.8091892917008927"/>
    <n v="1826.3755562147476"/>
    <n v="1755.3540914708258"/>
    <x v="10"/>
    <x v="2"/>
  </r>
  <r>
    <x v="439"/>
    <m/>
    <d v="1899-12-31T01:39:00"/>
    <n v="1.0687499999985448"/>
    <d v="1901-11-21T16:20:00"/>
    <n v="691.68055555555475"/>
    <n v="653.59722222222626"/>
    <n v="631.07777777777665"/>
    <n v="194343"/>
    <n v="17"/>
    <n v="0.66276803118998628"/>
    <n v="15.90643274855967"/>
    <n v="5805.8479532242791"/>
    <n v="14584"/>
    <n v="0.87853657557077269"/>
    <n v="21.084877813698544"/>
    <n v="7695.9804019999683"/>
    <n v="125639"/>
    <n v="3"/>
    <n v="0.11695906432764464"/>
    <n v="2.8070175438634712"/>
    <n v="1024.5614035101671"/>
    <n v="6207"/>
    <n v="0.37390815445473025"/>
    <n v="8.9737957069135259"/>
    <n v="3275.4354330234369"/>
    <n v="20"/>
    <n v="0.77972709551763086"/>
    <n v="18.71345029242314"/>
    <n v="6830.4093567344462"/>
    <n v="20791"/>
    <n v="27.87649546314184"/>
    <n v="26.326390478370385"/>
    <n v="1.2524447300255031"/>
    <n v="30.058673520612071"/>
    <n v="10971.415835023407"/>
    <n v="3459.1237999999998"/>
    <n v="5.0010424208349287"/>
    <n v="4.6430708344843419"/>
    <n v="4.384816733278174"/>
    <n v="3324.4808999999996"/>
    <n v="4.8063818959458695"/>
    <n v="1825.3804836047489"/>
    <n v="1754.3293920202425"/>
    <x v="10"/>
    <x v="2"/>
  </r>
  <r>
    <x v="440"/>
    <m/>
    <d v="1899-12-30T22:04:00"/>
    <n v="0.91944444444379769"/>
    <d v="1901-11-22T14:24:00"/>
    <n v="692.59999999999854"/>
    <n v="654.51666666667006"/>
    <n v="631.99722222222044"/>
    <n v="194361"/>
    <n v="18"/>
    <n v="0.81570996978909338"/>
    <n v="19.577039274938244"/>
    <n v="7145.6193353524586"/>
    <n v="14602"/>
    <n v="0.87845317162383474"/>
    <n v="21.082876118972035"/>
    <n v="7695.2497834247924"/>
    <n v="125644"/>
    <n v="5"/>
    <n v="0.22658610271919261"/>
    <n v="5.438066465260623"/>
    <n v="1984.8942598201274"/>
    <n v="6212"/>
    <n v="0.37371258061411189"/>
    <n v="8.9691019347386849"/>
    <n v="3273.7222061796201"/>
    <n v="23"/>
    <n v="1.0422960725082859"/>
    <n v="25.015105740198866"/>
    <n v="9130.5135951725861"/>
    <n v="20814"/>
    <n v="27.872475872781298"/>
    <n v="26.324482790448343"/>
    <n v="1.2521657522379466"/>
    <n v="30.05197805371072"/>
    <n v="10968.971989604413"/>
    <n v="3463.0349999999999"/>
    <n v="5.0000505342188957"/>
    <n v="4.642524101754451"/>
    <n v="4.3846262334134849"/>
    <n v="3328.1585999999998"/>
    <n v="4.8053112907883433"/>
    <n v="1825.018444989897"/>
    <n v="1753.9386211377455"/>
    <x v="10"/>
    <x v="2"/>
  </r>
  <r>
    <x v="441"/>
    <m/>
    <d v="1899-12-31T01:18:00"/>
    <n v="1.0541666666686069"/>
    <d v="1901-11-23T15:42:00"/>
    <n v="693.65416666666715"/>
    <n v="655.57083333333867"/>
    <n v="633.05138888888905"/>
    <n v="194388"/>
    <n v="27"/>
    <n v="1.0671936758873639"/>
    <n v="25.61264822129673"/>
    <n v="9348.6166007733063"/>
    <n v="14629"/>
    <n v="0.8787400061269719"/>
    <n v="21.089760147047325"/>
    <n v="7697.7624536722742"/>
    <n v="125657"/>
    <n v="13"/>
    <n v="0.51383399209391589"/>
    <n v="12.332015810253981"/>
    <n v="4501.1857707427034"/>
    <n v="6225"/>
    <n v="0.37392552725001027"/>
    <n v="8.9742126540002456"/>
    <n v="3275.5876187100898"/>
    <n v="40"/>
    <n v="1.5810276679812798"/>
    <n v="37.944664031550715"/>
    <n v="13849.802371516011"/>
    <n v="20854"/>
    <n v="27.888672086031665"/>
    <n v="26.343832890519238"/>
    <n v="1.2526655333769821"/>
    <n v="30.063972801047573"/>
    <n v="10973.350072382364"/>
    <n v="3469.6421"/>
    <n v="5.0019768736822465"/>
    <n v="4.6451372531571975"/>
    <n v="4.3877617974668537"/>
    <n v="3334.5545999999999"/>
    <n v="4.8072292508875067"/>
    <n v="1825.7215588940203"/>
    <n v="1754.6386765739398"/>
    <x v="10"/>
    <x v="2"/>
  </r>
  <r>
    <x v="442"/>
    <m/>
    <d v="1899-12-30T23:56:00"/>
    <n v="0.99722222222044365"/>
    <d v="1901-11-24T15:38:00"/>
    <n v="694.6513888888876"/>
    <n v="656.56805555555911"/>
    <n v="634.04861111110949"/>
    <n v="194410"/>
    <n v="22"/>
    <n v="0.91922005571194587"/>
    <n v="22.061281337086701"/>
    <n v="8052.3676880366456"/>
    <n v="14651"/>
    <n v="0.87879811816078968"/>
    <n v="21.091154835858955"/>
    <n v="7698.2715150885188"/>
    <n v="125662"/>
    <n v="5"/>
    <n v="0.20891364902544224"/>
    <n v="5.0139275766106142"/>
    <n v="1830.0835654628743"/>
    <n v="6230"/>
    <n v="0.37368864078504677"/>
    <n v="8.9685273788411219"/>
    <n v="3273.5124932770095"/>
    <n v="27"/>
    <n v="1.1281337047373881"/>
    <n v="27.075208913697313"/>
    <n v="9882.4512534995192"/>
    <n v="20881"/>
    <n v="27.887436565135477"/>
    <n v="26.344983187847127"/>
    <n v="1.2524867589458364"/>
    <n v="30.059682214700075"/>
    <n v="10971.784008365528"/>
    <n v="3474.2728999999999"/>
    <n v="5.0014625401630406"/>
    <n v="4.6451350689295303"/>
    <n v="4.3881643319496728"/>
    <n v="3338.8718999999996"/>
    <n v="4.8065431861305417"/>
    <n v="1825.5338271595101"/>
    <n v="1754.3882629376478"/>
    <x v="10"/>
    <x v="2"/>
  </r>
  <r>
    <x v="443"/>
    <m/>
    <d v="1899-12-31T00:28:00"/>
    <n v="1.0194444444423425"/>
    <d v="1901-11-25T16:06:00"/>
    <n v="695.67083333332994"/>
    <n v="657.58750000000146"/>
    <n v="635.06805555555184"/>
    <n v="194427"/>
    <n v="17"/>
    <n v="0.69482288828481131"/>
    <n v="16.675749318835472"/>
    <n v="6086.648501374947"/>
    <n v="14668"/>
    <n v="0.87852851863609294"/>
    <n v="21.08468444726623"/>
    <n v="7695.9098232521737"/>
    <n v="125665"/>
    <n v="3"/>
    <n v="0.12261580381496671"/>
    <n v="2.942779291559201"/>
    <n v="1074.1144414191083"/>
    <n v="6233"/>
    <n v="0.3733207156162236"/>
    <n v="8.9596971747893654"/>
    <n v="3270.2894687981184"/>
    <n v="20"/>
    <n v="0.81743869209977804"/>
    <n v="19.618528610394673"/>
    <n v="7160.7629427940556"/>
    <n v="20901"/>
    <n v="27.874617446347383"/>
    <n v="26.334185531297106"/>
    <n v="1.2518492342523164"/>
    <n v="30.044381622055596"/>
    <n v="10966.199292050293"/>
    <n v="3477.7350000000001"/>
    <n v="4.999109971789844"/>
    <n v="4.6431986617750391"/>
    <n v="4.3865717628688348"/>
    <n v="3342.0698999999995"/>
    <n v="4.8040966213666891"/>
    <n v="1824.6751397032929"/>
    <n v="1753.4952667988416"/>
    <x v="10"/>
    <x v="2"/>
  </r>
  <r>
    <x v="444"/>
    <m/>
    <d v="1899-12-30T22:34:00"/>
    <n v="0.94027777777955635"/>
    <d v="1901-11-26T14:40:00"/>
    <n v="696.61111111110949"/>
    <n v="658.52777777778101"/>
    <n v="636.00833333333139"/>
    <n v="194440"/>
    <n v="13"/>
    <n v="0.57607090103288372"/>
    <n v="13.825701624789209"/>
    <n v="5046.3810930480613"/>
    <n v="14681"/>
    <n v="0.87812026477390748"/>
    <n v="21.074886354573778"/>
    <n v="7692.3335194194287"/>
    <n v="125668"/>
    <n v="3"/>
    <n v="0.13293943869989625"/>
    <n v="3.1905465287975101"/>
    <n v="1164.5494830110913"/>
    <n v="6236"/>
    <n v="0.37299625169471334"/>
    <n v="8.9519100406731216"/>
    <n v="3267.4471648456893"/>
    <n v="16"/>
    <n v="0.70901033973278005"/>
    <n v="17.016248153586719"/>
    <n v="6210.9305760591524"/>
    <n v="20917"/>
    <n v="27.859113342050733"/>
    <n v="26.320409847879432"/>
    <n v="1.2511165164686209"/>
    <n v="30.026796395246901"/>
    <n v="10959.780684265119"/>
    <n v="3480.4775"/>
    <n v="4.9962991466624249"/>
    <n v="4.6407334711266488"/>
    <n v="4.3843986845036227"/>
    <n v="3344.6282999999999"/>
    <n v="4.8012847435999788"/>
    <n v="1823.6491885317851"/>
    <n v="1752.4689314139923"/>
    <x v="10"/>
    <x v="2"/>
  </r>
  <r>
    <x v="445"/>
    <m/>
    <d v="1900-01-01T00:01:00"/>
    <n v="2.0006944444467081"/>
    <d v="1901-11-28T14:41:00"/>
    <n v="698.6118055555562"/>
    <n v="660.52847222222772"/>
    <n v="638.0090277777781"/>
    <n v="194483"/>
    <n v="43"/>
    <n v="0.89552238805868822"/>
    <n v="21.492537313408519"/>
    <n v="7844.7761193941096"/>
    <n v="14724"/>
    <n v="0.87817010122256256"/>
    <n v="21.076082429341501"/>
    <n v="7692.7700867096473"/>
    <n v="125678"/>
    <n v="10"/>
    <n v="0.20826102047876471"/>
    <n v="4.9982644914903531"/>
    <n v="1824.3665393939789"/>
    <n v="6246"/>
    <n v="0.37252448059196724"/>
    <n v="8.9405875342072143"/>
    <n v="3263.314449985633"/>
    <n v="53"/>
    <n v="1.1037834085374529"/>
    <n v="26.490801804898872"/>
    <n v="9669.1426587880887"/>
    <n v="20970"/>
    <n v="27.85496882231271"/>
    <n v="26.320944169851291"/>
    <n v="1.2506945818145299"/>
    <n v="30.016669963548715"/>
    <n v="10956.084536695282"/>
    <n v="3489.5592000000001"/>
    <n v="4.9949903111428275"/>
    <n v="4.6404261570858809"/>
    <n v="4.3848843483362394"/>
    <n v="3353.1029999999996"/>
    <n v="4.799665527171439"/>
    <n v="1823.1714635671319"/>
    <n v="1751.8779174175754"/>
    <x v="10"/>
    <x v="2"/>
  </r>
  <r>
    <x v="446"/>
    <m/>
    <d v="1899-12-30T23:30:00"/>
    <n v="0.97916666666424135"/>
    <d v="1901-11-29T14:11:00"/>
    <n v="699.59097222222044"/>
    <n v="661.50763888889196"/>
    <n v="638.98819444444234"/>
    <n v="194509"/>
    <n v="26"/>
    <n v="1.1063829787261448"/>
    <n v="26.553191489427473"/>
    <n v="9691.9148936410274"/>
    <n v="14750"/>
    <n v="0.8784895142101905"/>
    <n v="21.083748341044572"/>
    <n v="7695.568144481269"/>
    <n v="125682"/>
    <n v="4"/>
    <n v="0.17021276595786841"/>
    <n v="4.0851063829888421"/>
    <n v="1491.0638297909275"/>
    <n v="6250"/>
    <n v="0.3722413195805892"/>
    <n v="8.9337916699341413"/>
    <n v="3260.8339595259617"/>
    <n v="30"/>
    <n v="1.276595744684013"/>
    <n v="30.638297872416313"/>
    <n v="11182.978723431954"/>
    <n v="21000"/>
    <n v="27.859088718846024"/>
    <n v="26.327559955354854"/>
    <n v="1.2507308337907797"/>
    <n v="30.017540010978713"/>
    <n v="10956.402104007231"/>
    <n v="3494.7750000000001"/>
    <n v="4.9954546853270543"/>
    <n v="4.6414420930303146"/>
    <n v="4.3863276729812792"/>
    <n v="3357.8999999999996"/>
    <n v="4.7998046477554954"/>
    <n v="1823.3409601443748"/>
    <n v="1751.9286964307562"/>
    <x v="10"/>
    <x v="2"/>
  </r>
  <r>
    <x v="447"/>
    <m/>
    <d v="1899-12-31T00:41:00"/>
    <n v="1.0284722222204437"/>
    <d v="1901-11-30T14:52:00"/>
    <n v="700.61944444444089"/>
    <n v="662.5361111111124"/>
    <n v="640.01666666666279"/>
    <n v="194533"/>
    <n v="24"/>
    <n v="0.97231600270255925"/>
    <n v="23.335584064861422"/>
    <n v="8517.4881836744189"/>
    <n v="14774"/>
    <n v="0.87862724652391389"/>
    <n v="21.087053916573932"/>
    <n v="7696.774679549485"/>
    <n v="125687"/>
    <n v="5"/>
    <n v="0.20256583389636651"/>
    <n v="4.8615800135127962"/>
    <n v="1774.4767049321706"/>
    <n v="6255"/>
    <n v="0.37199224495783684"/>
    <n v="8.9278138789880845"/>
    <n v="3258.6520658306508"/>
    <n v="29"/>
    <n v="1.1748818365989258"/>
    <n v="28.197164078374218"/>
    <n v="10291.96488860659"/>
    <n v="21029"/>
    <n v="27.859613522114046"/>
    <n v="26.330564308221298"/>
    <n v="1.2506194914817508"/>
    <n v="30.014867795562015"/>
    <n v="10955.426745380135"/>
    <n v="3499.7655999999997"/>
    <n v="4.9952447477034463"/>
    <n v="4.6417696310054284"/>
    <n v="4.3870766907112051"/>
    <n v="3362.5370999999996"/>
    <n v="4.7993773605103653"/>
    <n v="1823.2643329117579"/>
    <n v="1751.7727365862834"/>
    <x v="10"/>
    <x v="2"/>
  </r>
  <r>
    <x v="448"/>
    <m/>
    <d v="1899-12-31T01:45:00"/>
    <n v="1.0729166666642413"/>
    <d v="1901-12-01T16:37:00"/>
    <n v="701.69236111110513"/>
    <n v="663.60902777777665"/>
    <n v="641.08958333332703"/>
    <n v="194565"/>
    <n v="32"/>
    <n v="1.2427184466047509"/>
    <n v="29.825242718514023"/>
    <n v="10886.213592257618"/>
    <n v="14806"/>
    <n v="0.87918395704037711"/>
    <n v="21.100414968969051"/>
    <n v="7701.6514636737038"/>
    <n v="125700"/>
    <n v="13"/>
    <n v="0.50485436893318003"/>
    <n v="12.116504854396322"/>
    <n v="4422.5242718546569"/>
    <n v="6268"/>
    <n v="0.37219539664521706"/>
    <n v="8.9326895194852103"/>
    <n v="3260.4316746121017"/>
    <n v="45"/>
    <n v="1.7475728155379309"/>
    <n v="41.941747572910344"/>
    <n v="15308.737864112276"/>
    <n v="21074"/>
    <n v="27.882381380435525"/>
    <n v="26.356690920080982"/>
    <n v="1.2513793536855942"/>
    <n v="30.03310448845426"/>
    <n v="10962.083138285805"/>
    <n v="3507.2721999999999"/>
    <n v="4.9983046622402414"/>
    <n v="4.6455766437106929"/>
    <n v="4.3914436814928139"/>
    <n v="3369.7325999999998"/>
    <n v="4.8022934077038366"/>
    <n v="1824.3812017176883"/>
    <n v="1752.8370938119001"/>
    <x v="10"/>
    <x v="2"/>
  </r>
  <r>
    <x v="449"/>
    <m/>
    <d v="1899-12-31T00:02:00"/>
    <n v="1.0013888888934162"/>
    <d v="1901-12-02T16:39:00"/>
    <n v="702.69374999999854"/>
    <n v="664.61041666667006"/>
    <n v="642.09097222222044"/>
    <n v="194594"/>
    <n v="29"/>
    <n v="1.206657420244198"/>
    <n v="28.959778085860751"/>
    <n v="10570.319001339174"/>
    <n v="14835"/>
    <n v="0.87965063016428036"/>
    <n v="21.11161512394273"/>
    <n v="7705.7395202390962"/>
    <n v="125716"/>
    <n v="16"/>
    <n v="0.66574202496231616"/>
    <n v="15.977808599095587"/>
    <n v="5831.9001386698892"/>
    <n v="6284"/>
    <n v="0.37261372160110129"/>
    <n v="8.9427293184264318"/>
    <n v="3264.0962012256477"/>
    <n v="45"/>
    <n v="1.872399445206514"/>
    <n v="44.937586684956337"/>
    <n v="16402.219140009063"/>
    <n v="21119"/>
    <n v="27.908078981107209"/>
    <n v="26.385669216567905"/>
    <n v="1.2522643517653818"/>
    <n v="30.05434444236916"/>
    <n v="10969.835721464744"/>
    <n v="3514.6428999999998"/>
    <n v="5.0016709270574946"/>
    <n v="4.6496672674781037"/>
    <n v="4.3960741111667616"/>
    <n v="3376.9280999999996"/>
    <n v="4.8056896763348282"/>
    <n v="1825.6098883759855"/>
    <n v="1754.0767318622125"/>
    <x v="10"/>
    <x v="2"/>
  </r>
  <r>
    <x v="450"/>
    <m/>
    <d v="1899-12-30T21:42:00"/>
    <n v="0.90416666666715173"/>
    <d v="1901-12-03T14:21:00"/>
    <n v="703.5979166666657"/>
    <n v="665.51458333333721"/>
    <n v="642.9951388888876"/>
    <n v="194624"/>
    <n v="30"/>
    <n v="1.3824884792619312"/>
    <n v="33.17972350228635"/>
    <n v="12110.599078334519"/>
    <n v="14865"/>
    <n v="0.88029680777669661"/>
    <n v="21.127123386640719"/>
    <n v="7711.4000361238623"/>
    <n v="125720"/>
    <n v="4"/>
    <n v="0.18433179723492416"/>
    <n v="4.4239631336381793"/>
    <n v="1614.7465437779354"/>
    <n v="6288"/>
    <n v="0.37237176772955721"/>
    <n v="8.9369224255093727"/>
    <n v="3261.9766853109209"/>
    <n v="34"/>
    <n v="1.5668202764968553"/>
    <n v="37.603686635924525"/>
    <n v="13725.345622112452"/>
    <n v="21153"/>
    <n v="27.921251412597233"/>
    <n v="26.401443764155001"/>
    <n v="1.2526685755062539"/>
    <n v="30.064045812150091"/>
    <n v="10973.376721434783"/>
    <n v="3520.5782999999997"/>
    <n v="5.0036792557302263"/>
    <n v="4.652268751936913"/>
    <n v="4.3991233042413356"/>
    <n v="3382.3646999999996"/>
    <n v="4.807240925362799"/>
    <n v="1826.3429283415328"/>
    <n v="1754.6429377574216"/>
    <x v="10"/>
    <x v="2"/>
  </r>
  <r>
    <x v="451"/>
    <m/>
    <d v="1899-12-31T00:22:00"/>
    <n v="1.015277777776646"/>
    <d v="1901-12-04T14:43:00"/>
    <n v="704.61319444444234"/>
    <n v="666.52986111111386"/>
    <n v="644.01041666666424"/>
    <n v="194661"/>
    <n v="37"/>
    <n v="1.5184678522588748"/>
    <n v="36.443228454212992"/>
    <n v="13301.778385787742"/>
    <n v="14902"/>
    <n v="0.88121634900157264"/>
    <n v="21.149192376037742"/>
    <n v="7719.455217253776"/>
    <n v="125725"/>
    <n v="5"/>
    <n v="0.20519835841336145"/>
    <n v="4.9247606019206751"/>
    <n v="1797.5376197010464"/>
    <n v="6293"/>
    <n v="0.37213088741557487"/>
    <n v="8.931141297973797"/>
    <n v="3259.866573760436"/>
    <n v="42"/>
    <n v="1.7236662106722362"/>
    <n v="41.367989056133666"/>
    <n v="15099.316005488789"/>
    <n v="21195"/>
    <n v="27.941733876639155"/>
    <n v="26.42503841488081"/>
    <n v="1.2533472364171474"/>
    <n v="30.080333674011541"/>
    <n v="10979.321791014212"/>
    <n v="3527.9076"/>
    <n v="5.0068713271564631"/>
    <n v="4.6561784866269242"/>
    <n v="4.4035688346138455"/>
    <n v="3389.0804999999996"/>
    <n v="4.8098453544744446"/>
    <n v="1827.5080344121091"/>
    <n v="1755.5935543831724"/>
    <x v="10"/>
    <x v="2"/>
  </r>
  <r>
    <x v="452"/>
    <m/>
    <d v="1899-12-30T23:59:00"/>
    <n v="0.99930555555329192"/>
    <d v="1901-12-05T14:42:00"/>
    <n v="705.61249999999563"/>
    <n v="667.52916666666715"/>
    <n v="645.00972222221753"/>
    <n v="194680"/>
    <n v="19"/>
    <n v="0.79221681723598492"/>
    <n v="19.013203613663638"/>
    <n v="6939.8193189872281"/>
    <n v="14921"/>
    <n v="0.88109030570367897"/>
    <n v="21.146167336888297"/>
    <n v="7718.3510779642284"/>
    <n v="125739"/>
    <n v="14"/>
    <n v="0.58373870743704148"/>
    <n v="14.009728978488997"/>
    <n v="5113.5510771484842"/>
    <n v="6307"/>
    <n v="0.37243057154836157"/>
    <n v="8.9383337171606776"/>
    <n v="3262.4918067636472"/>
    <n v="33"/>
    <n v="1.3759555246730264"/>
    <n v="33.022932592152635"/>
    <n v="12053.370396135711"/>
    <n v="21228"/>
    <n v="27.949340540675482"/>
    <n v="26.435260450424067"/>
    <n v="1.2535208772520405"/>
    <n v="30.084501054048975"/>
    <n v="10980.842884727876"/>
    <n v="3533.2101000000002"/>
    <n v="5.0072952222360323"/>
    <n v="4.6571515601690283"/>
    <n v="4.4049672464024336"/>
    <n v="3394.3571999999999"/>
    <n v="4.8105117185424309"/>
    <n v="1827.6627561161515"/>
    <n v="1755.8367772679871"/>
    <x v="10"/>
    <x v="2"/>
  </r>
  <r>
    <x v="453"/>
    <m/>
    <d v="1899-12-31T00:57:00"/>
    <n v="1.039583333338669"/>
    <d v="1901-12-06T15:39:00"/>
    <n v="706.6520833333343"/>
    <n v="668.56875000000582"/>
    <n v="646.0493055555562"/>
    <n v="194708"/>
    <n v="28"/>
    <n v="1.1222444889721959"/>
    <n v="26.933867735332704"/>
    <n v="9830.8617233964378"/>
    <n v="14949"/>
    <n v="0.88144507699156405"/>
    <n v="21.154681847797537"/>
    <n v="7721.4588744461007"/>
    <n v="125753"/>
    <n v="14"/>
    <n v="0.56112224448609793"/>
    <n v="13.466933867666352"/>
    <n v="4915.4308616982189"/>
    <n v="6321"/>
    <n v="0.37270816319912209"/>
    <n v="8.9449959167789306"/>
    <n v="3264.9235096243096"/>
    <n v="42"/>
    <n v="1.683366733458294"/>
    <n v="40.400801602999053"/>
    <n v="14746.292585094654"/>
    <n v="21270"/>
    <n v="27.968701797683241"/>
    <n v="26.457732951668824"/>
    <n v="1.2541532401906861"/>
    <n v="30.099677764576469"/>
    <n v="10986.382384070412"/>
    <n v="3540.1316999999999"/>
    <n v="5.0097237148172207"/>
    <n v="4.6602628375914561"/>
    <n v="4.4085927738143438"/>
    <n v="3401.0729999999999"/>
    <n v="4.8129384745557768"/>
    <n v="1828.5491559082857"/>
    <n v="1756.7225432128587"/>
    <x v="10"/>
    <x v="2"/>
  </r>
  <r>
    <x v="454"/>
    <m/>
    <d v="1899-12-30T23:40:00"/>
    <n v="0.98611111110949423"/>
    <d v="1901-12-07T15:19:00"/>
    <n v="707.6381944444438"/>
    <n v="669.55486111111531"/>
    <n v="647.0354166666657"/>
    <n v="194736"/>
    <n v="28"/>
    <n v="1.1830985915512355"/>
    <n v="28.394366197229655"/>
    <n v="10363.943661988824"/>
    <n v="14977"/>
    <n v="0.88186543853330657"/>
    <n v="21.164770524799358"/>
    <n v="7725.1412415517661"/>
    <n v="125757"/>
    <n v="4"/>
    <n v="0.16901408450731939"/>
    <n v="4.0563380281756647"/>
    <n v="1480.5633802841176"/>
    <n v="6325"/>
    <n v="0.37242431052434827"/>
    <n v="8.938183452584358"/>
    <n v="3262.4369601932908"/>
    <n v="32"/>
    <n v="1.3521126760585551"/>
    <n v="32.450704225405318"/>
    <n v="11844.50704227294"/>
    <n v="21302"/>
    <n v="27.975302828682647"/>
    <n v="26.466866509754464"/>
    <n v="1.2542897490576548"/>
    <n v="30.102953977383716"/>
    <n v="10987.578201745057"/>
    <n v="3545.7073"/>
    <n v="5.0106217101292589"/>
    <n v="4.6617265907386356"/>
    <n v="4.4104910279898446"/>
    <n v="3406.1897999999997"/>
    <n v="4.8134623409836559"/>
    <n v="1828.8769241971797"/>
    <n v="1756.9137544590344"/>
    <x v="10"/>
    <x v="2"/>
  </r>
  <r>
    <x v="455"/>
    <m/>
    <d v="1899-12-31T00:10:00"/>
    <n v="1.0069444444452529"/>
    <d v="1901-12-08T15:29:00"/>
    <n v="708.64513888888905"/>
    <n v="670.56180555556057"/>
    <n v="648.04236111111095"/>
    <n v="194763"/>
    <n v="27"/>
    <n v="1.1172413793094478"/>
    <n v="26.813793103426747"/>
    <n v="9787.0344827507633"/>
    <n v="15004"/>
    <n v="0.8821998943602275"/>
    <n v="21.172797464645459"/>
    <n v="7728.071074595593"/>
    <n v="125762"/>
    <n v="5"/>
    <n v="0.20689655172397181"/>
    <n v="4.9655172413753235"/>
    <n v="1812.4137931019932"/>
    <n v="6330"/>
    <n v="0.37218910499201813"/>
    <n v="8.9325385198084355"/>
    <n v="3260.376559730079"/>
    <n v="32"/>
    <n v="1.3241379310334196"/>
    <n v="31.77931034480207"/>
    <n v="11599.448275852756"/>
    <n v="21334"/>
    <n v="27.981015089958564"/>
    <n v="26.475121117982479"/>
    <n v="1.2543889993522457"/>
    <n v="30.105335984453895"/>
    <n v="10988.447634325672"/>
    <n v="3551.2375999999999"/>
    <n v="5.0113059486559335"/>
    <n v="4.6629736052584079"/>
    <n v="4.4121717523181472"/>
    <n v="3411.3065999999999"/>
    <n v="4.8138432239141773"/>
    <n v="1829.1266712594158"/>
    <n v="1757.0527767286749"/>
    <x v="10"/>
    <x v="2"/>
  </r>
  <r>
    <x v="456"/>
    <m/>
    <d v="1899-12-31T00:47:00"/>
    <n v="1.0326388888861402"/>
    <d v="1901-12-09T16:16:00"/>
    <n v="709.67777777777519"/>
    <n v="671.59444444444671"/>
    <n v="649.07499999999709"/>
    <n v="194797"/>
    <n v="34"/>
    <n v="1.3718897108308206"/>
    <n v="32.925353059939695"/>
    <n v="12017.753866877989"/>
    <n v="15038"/>
    <n v="0.88291243287251187"/>
    <n v="21.189898388940286"/>
    <n v="7734.312911963204"/>
    <n v="125766"/>
    <n v="4"/>
    <n v="0.16139878950950828"/>
    <n v="3.873570948228199"/>
    <n v="1413.8533961032927"/>
    <n v="6334"/>
    <n v="0.37188238793818928"/>
    <n v="8.925177310516542"/>
    <n v="3257.6897183385377"/>
    <n v="38"/>
    <n v="1.5332885003403287"/>
    <n v="36.798924008167894"/>
    <n v="13431.607262981281"/>
    <n v="21372"/>
    <n v="27.994573444621743"/>
    <n v="26.491545661133269"/>
    <n v="1.2547948208107012"/>
    <n v="30.115075699456828"/>
    <n v="10992.002630301742"/>
    <n v="3557.8926000000001"/>
    <n v="5.0133915861658842"/>
    <n v="4.6657131039731166"/>
    <n v="4.4154053075530761"/>
    <n v="3417.3827999999999"/>
    <n v="4.8154006043431465"/>
    <n v="1829.8879289505476"/>
    <n v="1757.6212205852485"/>
    <x v="10"/>
    <x v="2"/>
  </r>
  <r>
    <x v="457"/>
    <m/>
    <d v="1899-12-30T22:34:00"/>
    <n v="0.94027777777955635"/>
    <d v="1901-12-10T14:50:00"/>
    <n v="710.61805555555475"/>
    <n v="672.53472222222626"/>
    <n v="650.01527777777665"/>
    <n v="194826"/>
    <n v="29"/>
    <n v="1.2850812407656638"/>
    <n v="30.84194977837593"/>
    <n v="11257.311669107215"/>
    <n v="15067"/>
    <n v="0.88344457582894487"/>
    <n v="21.202669819894677"/>
    <n v="7738.9744842615573"/>
    <n v="125778"/>
    <n v="12"/>
    <n v="0.53175775479958498"/>
    <n v="12.76218611519004"/>
    <n v="4658.1979320443652"/>
    <n v="6346"/>
    <n v="0.37209393231635257"/>
    <n v="8.9302543755924617"/>
    <n v="3259.5428470912484"/>
    <n v="41"/>
    <n v="1.8168389955652489"/>
    <n v="43.604135893565967"/>
    <n v="15915.509601151578"/>
    <n v="21413"/>
    <n v="28.01639733594903"/>
    <n v="26.516299830559586"/>
    <n v="1.2555385081452974"/>
    <n v="30.132924195487139"/>
    <n v="10998.517331352805"/>
    <n v="3564.7249000000002"/>
    <n v="5.0163725395537977"/>
    <n v="4.6693489514171853"/>
    <n v="4.4195291991000287"/>
    <n v="3423.9386999999997"/>
    <n v="4.8182545788583928"/>
    <n v="1830.9759769371362"/>
    <n v="1758.6629212833134"/>
    <x v="10"/>
    <x v="2"/>
  </r>
  <r>
    <x v="458"/>
    <m/>
    <d v="1899-12-30T23:44:00"/>
    <n v="0.98888888888905058"/>
    <d v="1901-12-11T14:34:00"/>
    <n v="711.6069444444438"/>
    <n v="673.52361111111531"/>
    <n v="651.0041666666657"/>
    <n v="194853"/>
    <n v="27"/>
    <n v="1.1376404494380163"/>
    <n v="27.303370786512389"/>
    <n v="9965.7303370770223"/>
    <n v="15094"/>
    <n v="0.88379782066020451"/>
    <n v="21.211147695844907"/>
    <n v="7742.0689089833913"/>
    <n v="125795"/>
    <n v="17"/>
    <n v="0.71629213483134357"/>
    <n v="17.191011235952246"/>
    <n v="6274.7191011225696"/>
    <n v="6363"/>
    <n v="0.3725722494276455"/>
    <n v="8.9417339862634933"/>
    <n v="3263.7329049861751"/>
    <n v="44"/>
    <n v="1.8539325842693597"/>
    <n v="44.494382022464634"/>
    <n v="16240.449438199592"/>
    <n v="21457"/>
    <n v="28.040590839634664"/>
    <n v="26.543608911873363"/>
    <n v="1.25637007008785"/>
    <n v="30.152881682108401"/>
    <n v="11005.801813969567"/>
    <n v="3571.8704000000002"/>
    <n v="5.0194428650335654"/>
    <n v="4.6731023947440304"/>
    <n v="4.4237919624170416"/>
    <n v="3430.9742999999999"/>
    <n v="4.8214457809691336"/>
    <n v="1832.0966457372513"/>
    <n v="1759.8277100537337"/>
    <x v="10"/>
    <x v="2"/>
  </r>
  <r>
    <x v="459"/>
    <m/>
    <d v="1899-12-31T00:00:00"/>
    <n v="1"/>
    <d v="1901-12-12T14:34:00"/>
    <n v="712.6069444444438"/>
    <n v="674.52361111111531"/>
    <n v="652.0041666666657"/>
    <n v="194904"/>
    <n v="51"/>
    <n v="2.125"/>
    <n v="51"/>
    <n v="18615"/>
    <n v="15145"/>
    <n v="0.88553959737037602"/>
    <n v="21.252950336889025"/>
    <n v="7757.3268729644942"/>
    <n v="125795"/>
    <n v="0"/>
    <n v="0"/>
    <n v="0"/>
    <n v="0"/>
    <n v="6363"/>
    <n v="0.37204941948284598"/>
    <n v="8.9291860675883044"/>
    <n v="3259.1529146697312"/>
    <n v="51"/>
    <n v="2.125"/>
    <n v="51"/>
    <n v="18615"/>
    <n v="21508"/>
    <n v="28.074628801808508"/>
    <n v="26.581118474447418"/>
    <n v="1.257589016853222"/>
    <n v="30.18213640447733"/>
    <n v="11016.479787634225"/>
    <n v="3581.0453000000002"/>
    <n v="5.0252742103037216"/>
    <n v="4.6797764348089004"/>
    <n v="4.4310788913670098"/>
    <n v="3439.1291999999999"/>
    <n v="4.8261236110759249"/>
    <n v="1834.2250867608584"/>
    <n v="1761.5351180427126"/>
    <x v="10"/>
    <x v="2"/>
  </r>
  <r>
    <x v="460"/>
    <m/>
    <d v="1899-12-31T00:06:00"/>
    <n v="1.0041666666656965"/>
    <d v="1901-12-13T14:40:00"/>
    <n v="713.61111111110949"/>
    <n v="675.52777777778101"/>
    <n v="653.00833333333139"/>
    <n v="194961"/>
    <n v="57"/>
    <n v="2.3651452282180525"/>
    <n v="56.76348547723326"/>
    <n v="20718.67219919014"/>
    <n v="15202"/>
    <n v="0.88762164266251664"/>
    <n v="21.302919423900398"/>
    <n v="7775.5655897236456"/>
    <n v="125795"/>
    <n v="0"/>
    <n v="0"/>
    <n v="0"/>
    <n v="0"/>
    <n v="6363"/>
    <n v="0.37152588555858396"/>
    <n v="8.9166212534060154"/>
    <n v="3254.5667574931958"/>
    <n v="57"/>
    <n v="2.3651452282180525"/>
    <n v="56.76348547723326"/>
    <n v="20718.67219919014"/>
    <n v="21565"/>
    <n v="28.117274558986665"/>
    <n v="26.627531552685728"/>
    <n v="1.2591475282211007"/>
    <n v="30.219540677306412"/>
    <n v="11030.132347216841"/>
    <n v="3591.2996000000003"/>
    <n v="5.0325724250681318"/>
    <n v="4.6879996710390834"/>
    <n v="4.4399681474202861"/>
    <n v="3448.2434999999996"/>
    <n v="4.8321045543012948"/>
    <n v="1836.8889351498681"/>
    <n v="1763.7181623199726"/>
    <x v="0"/>
    <x v="2"/>
  </r>
  <r>
    <x v="461"/>
    <m/>
    <d v="1899-12-31T00:01:00"/>
    <n v="1.0006944444467081"/>
    <d v="1901-12-14T14:41:00"/>
    <n v="714.6118055555562"/>
    <n v="676.52847222222772"/>
    <n v="654.0090277777781"/>
    <n v="194984"/>
    <n v="23"/>
    <n v="0.95766828591039443"/>
    <n v="22.984038861849466"/>
    <n v="8389.1741845750548"/>
    <n v="15225"/>
    <n v="0.88771973128378667"/>
    <n v="21.305273550810881"/>
    <n v="7776.4248460459712"/>
    <n v="125816"/>
    <n v="21"/>
    <n v="0.87439278278775145"/>
    <n v="20.985426786906036"/>
    <n v="7659.680777220703"/>
    <n v="6384"/>
    <n v="0.3722300666348568"/>
    <n v="8.9335215992365633"/>
    <n v="3260.7353837213454"/>
    <n v="44"/>
    <n v="1.8320610686981458"/>
    <n v="43.969465648755502"/>
    <n v="16048.854961795758"/>
    <n v="21609"/>
    <n v="28.140722499771378"/>
    <n v="26.6540663195908"/>
    <n v="1.2599497979186436"/>
    <n v="30.238795150047444"/>
    <n v="11037.160229767318"/>
    <n v="3598.2638999999999"/>
    <n v="5.0352707190481185"/>
    <n v="4.6913595366869494"/>
    <n v="4.4438232142989849"/>
    <n v="3455.2790999999997"/>
    <n v="4.8351833444925862"/>
    <n v="1837.8738124525635"/>
    <n v="1764.841920739794"/>
    <x v="0"/>
    <x v="2"/>
  </r>
  <r>
    <x v="462"/>
    <m/>
    <d v="1899-12-31T01:45:00"/>
    <n v="1.0729166666642413"/>
    <d v="1901-12-15T16:26:00"/>
    <n v="715.68472222222044"/>
    <n v="677.60138888889196"/>
    <n v="655.08194444444234"/>
    <n v="195032"/>
    <n v="48"/>
    <n v="1.8640776699071264"/>
    <n v="44.737864077771036"/>
    <n v="16329.320388386428"/>
    <n v="15273"/>
    <n v="0.88918343544352663"/>
    <n v="21.340402450644639"/>
    <n v="7789.2468944852935"/>
    <n v="125838"/>
    <n v="22"/>
    <n v="0.85436893204076625"/>
    <n v="20.504854368978389"/>
    <n v="7484.2718446771123"/>
    <n v="6406"/>
    <n v="0.37295286371055009"/>
    <n v="8.9508687290532016"/>
    <n v="3267.0670861044186"/>
    <n v="70"/>
    <n v="2.7184466019478926"/>
    <n v="65.242718446749421"/>
    <n v="23813.59223306354"/>
    <n v="21679"/>
    <n v="28.199469944022191"/>
    <n v="26.717268195878887"/>
    <n v="1.2621362991540765"/>
    <n v="30.291271179697841"/>
    <n v="11056.313980589712"/>
    <n v="3609.8603000000003"/>
    <n v="5.0439253318015318"/>
    <n v="4.7010451162494951"/>
    <n v="4.4542471743357108"/>
    <n v="3466.4720999999995"/>
    <n v="4.8435742616336839"/>
    <n v="1841.032746107559"/>
    <n v="1767.9046054962948"/>
    <x v="0"/>
    <x v="2"/>
  </r>
  <r>
    <x v="463"/>
    <m/>
    <d v="1899-12-31T22:16:00"/>
    <n v="1.9277777777751908"/>
    <d v="1901-12-17T14:42:00"/>
    <n v="717.61249999999563"/>
    <n v="679.52916666666715"/>
    <n v="657.00972222221753"/>
    <n v="195116"/>
    <n v="84"/>
    <n v="1.815561959656615"/>
    <n v="43.573487031758759"/>
    <n v="15904.322766591948"/>
    <n v="15357"/>
    <n v="0.89167203748541712"/>
    <n v="21.40012889965001"/>
    <n v="7811.0470483722538"/>
    <n v="125870"/>
    <n v="32"/>
    <n v="0.69164265129775815"/>
    <n v="16.599423631146195"/>
    <n v="6058.7896253683612"/>
    <n v="6438"/>
    <n v="0.37380898465397638"/>
    <n v="8.9714156316954341"/>
    <n v="3274.5667055688336"/>
    <n v="116"/>
    <n v="2.5072046109543731"/>
    <n v="60.172910662904954"/>
    <n v="21963.112391960309"/>
    <n v="21795"/>
    <n v="28.290176408910561"/>
    <n v="26.815432715988244"/>
    <n v="1.2654810221393935"/>
    <n v="30.371544531345446"/>
    <n v="11085.613753941088"/>
    <n v="3629.2790999999997"/>
    <n v="5.057435733073242"/>
    <n v="4.7162854182123617"/>
    <n v="4.4707339947193718"/>
    <n v="3485.0204999999996"/>
    <n v="4.8564099705621357"/>
    <n v="1845.9640425717334"/>
    <n v="1772.5896392551799"/>
    <x v="0"/>
    <x v="2"/>
  </r>
  <r>
    <x v="464"/>
    <m/>
    <d v="1899-12-31T00:47:00"/>
    <n v="1.0326388888934162"/>
    <d v="1901-12-18T15:29:00"/>
    <n v="718.64513888888905"/>
    <n v="680.56180555556057"/>
    <n v="658.04236111111095"/>
    <n v="195163"/>
    <n v="47"/>
    <n v="1.8964357767233602"/>
    <n v="45.514458641360648"/>
    <n v="16612.777404096636"/>
    <n v="15404"/>
    <n v="0.8931158072337122"/>
    <n v="21.434779373609093"/>
    <n v="7823.6944713673192"/>
    <n v="125895"/>
    <n v="25"/>
    <n v="1.0087424344273193"/>
    <n v="24.209818426255662"/>
    <n v="8836.5837255833176"/>
    <n v="6463"/>
    <n v="0.37472133615628939"/>
    <n v="8.9933120677509457"/>
    <n v="3282.558904729095"/>
    <n v="72"/>
    <n v="2.9051782111506794"/>
    <n v="69.724277067616313"/>
    <n v="25449.361129679954"/>
    <n v="21867"/>
    <n v="28.353045737334856"/>
    <n v="26.882767805601851"/>
    <n v="1.2678371433900015"/>
    <n v="30.428091441360039"/>
    <n v="11106.253376096414"/>
    <n v="3641.0994000000001"/>
    <n v="5.0666166136315534"/>
    <n v="4.7264976872661029"/>
    <n v="4.4816810805619793"/>
    <n v="3496.5332999999996"/>
    <n v="4.865451821473469"/>
    <n v="1849.315063975517"/>
    <n v="1775.8899148378166"/>
    <x v="0"/>
    <x v="2"/>
  </r>
  <r>
    <x v="465"/>
    <m/>
    <d v="1899-12-30T22:28:00"/>
    <n v="0.93611111110658385"/>
    <d v="1901-12-19T13:57:00"/>
    <n v="719.58124999999563"/>
    <n v="681.49791666666715"/>
    <n v="658.97847222221753"/>
    <n v="195205"/>
    <n v="42"/>
    <n v="1.8694362017894566"/>
    <n v="44.866468842946958"/>
    <n v="16376.26112767564"/>
    <n v="15446"/>
    <n v="0.89438591310340176"/>
    <n v="21.465261914481644"/>
    <n v="7834.8205987858"/>
    <n v="125917"/>
    <n v="22"/>
    <n v="0.9792284866516201"/>
    <n v="23.501483679638881"/>
    <n v="8578.0415430681915"/>
    <n v="6485"/>
    <n v="0.37550774611391691"/>
    <n v="9.0121859067340058"/>
    <n v="3289.447855957912"/>
    <n v="64"/>
    <n v="2.8486646884410765"/>
    <n v="68.367952522585838"/>
    <n v="24954.302670743829"/>
    <n v="21931"/>
    <n v="28.408010540506645"/>
    <n v="26.941699537057232"/>
    <n v="1.2698936592173187"/>
    <n v="30.477447821215648"/>
    <n v="11124.268454743711"/>
    <n v="3651.6163999999999"/>
    <n v="5.0746408414616448"/>
    <n v="4.7354375135653966"/>
    <n v="4.4912741838430801"/>
    <n v="3506.7668999999996"/>
    <n v="4.8733439066123818"/>
    <n v="1852.2439071335004"/>
    <n v="1778.7705259135194"/>
    <x v="0"/>
    <x v="2"/>
  </r>
  <r>
    <x v="466"/>
    <m/>
    <d v="1899-12-31T00:26:00"/>
    <n v="1.0180555555562023"/>
    <d v="1901-12-20T14:23:00"/>
    <n v="720.59930555555184"/>
    <n v="682.51597222222335"/>
    <n v="659.99652777777374"/>
    <n v="195252"/>
    <n v="47"/>
    <n v="1.9236016371065543"/>
    <n v="46.1664392905573"/>
    <n v="16850.750341053415"/>
    <n v="15493"/>
    <n v="0.89583997887561262"/>
    <n v="21.500159493014703"/>
    <n v="7847.5582149503662"/>
    <n v="125944"/>
    <n v="27"/>
    <n v="1.1050477489761057"/>
    <n v="26.521145975426535"/>
    <n v="9680.2182810306858"/>
    <n v="6512"/>
    <n v="0.37653843299799838"/>
    <n v="9.0369223919519612"/>
    <n v="3298.476673062466"/>
    <n v="74"/>
    <n v="3.0286493860826598"/>
    <n v="72.687585265983842"/>
    <n v="26530.968622084103"/>
    <n v="22005"/>
    <n v="28.474058909895223"/>
    <n v="27.012263322092558"/>
    <n v="1.272378411873611"/>
    <n v="30.537081884966664"/>
    <n v="11146.034888012833"/>
    <n v="3663.7058999999999"/>
    <n v="5.0842484467500793"/>
    <n v="4.7460871713421362"/>
    <n v="4.5026638397719116"/>
    <n v="3518.5994999999998"/>
    <n v="4.8828793934061689"/>
    <n v="1855.750683063779"/>
    <n v="1782.2509785932518"/>
    <x v="0"/>
    <x v="2"/>
  </r>
  <r>
    <x v="467"/>
    <m/>
    <d v="1900-01-01T01:22:00"/>
    <n v="2.0569444444481633"/>
    <d v="1901-12-22T15:45:00"/>
    <n v="722.65625"/>
    <n v="684.57291666667152"/>
    <n v="662.0534722222219"/>
    <n v="195368"/>
    <n v="116"/>
    <n v="2.3497636731895399"/>
    <n v="56.394328156548951"/>
    <n v="20583.929777140369"/>
    <n v="15609"/>
    <n v="0.89997837837837835"/>
    <n v="21.59948108108108"/>
    <n v="7883.8105945945945"/>
    <n v="126001"/>
    <n v="57"/>
    <n v="1.1546252532052048"/>
    <n v="27.711006076924917"/>
    <n v="10114.517218077595"/>
    <n v="6569"/>
    <n v="0.37875315315315317"/>
    <n v="9.090075675675676"/>
    <n v="3317.8776216216215"/>
    <n v="173"/>
    <n v="3.5043889263947445"/>
    <n v="84.105334233473869"/>
    <n v="30698.446995217961"/>
    <n v="22178"/>
    <n v="28.641214869367865"/>
    <n v="27.189646690589164"/>
    <n v="1.2787315315315315"/>
    <n v="30.689556756756758"/>
    <n v="11201.688216216216"/>
    <n v="3692.2465000000002"/>
    <n v="5.1092708324324327"/>
    <n v="4.7735176493859885"/>
    <n v="4.531783648727604"/>
    <n v="3546.2621999999997"/>
    <n v="4.9072601254054051"/>
    <n v="1864.8838538378377"/>
    <n v="1791.1499457729728"/>
    <x v="0"/>
    <x v="2"/>
  </r>
  <r>
    <x v="468"/>
    <m/>
    <d v="1899-12-31T02:31:00"/>
    <n v="1.1048611111109494"/>
    <d v="1901-12-23T18:16:00"/>
    <n v="723.76111111111095"/>
    <n v="685.67777777778247"/>
    <n v="663.15833333333285"/>
    <n v="195425"/>
    <n v="57"/>
    <n v="2.149591451917348"/>
    <n v="51.590194846016352"/>
    <n v="18830.42111879597"/>
    <n v="15666"/>
    <n v="0.90188598140884446"/>
    <n v="21.645263553812267"/>
    <n v="7900.5211971414774"/>
    <n v="126028"/>
    <n v="27"/>
    <n v="1.0182275298555858"/>
    <n v="24.437460716534058"/>
    <n v="8919.6731615349308"/>
    <n v="6596"/>
    <n v="0.37972934593212931"/>
    <n v="9.1135043023711031"/>
    <n v="3326.4290703654528"/>
    <n v="84"/>
    <n v="3.1678189817729336"/>
    <n v="76.027655562550407"/>
    <n v="27750.094280330897"/>
    <n v="22262"/>
    <n v="28.717570611398095"/>
    <n v="27.271013709647036"/>
    <n v="1.2816153273409738"/>
    <n v="30.758767856183368"/>
    <n v="11226.950267506929"/>
    <n v="3706.1350000000002"/>
    <n v="5.120660592429978"/>
    <n v="4.7860810228322013"/>
    <n v="4.5451763907563585"/>
    <n v="3559.6937999999996"/>
    <n v="4.9183269802037204"/>
    <n v="1869.0411162369419"/>
    <n v="1795.1893477743579"/>
    <x v="0"/>
    <x v="2"/>
  </r>
  <r>
    <x v="469"/>
    <m/>
    <d v="1899-12-30T20:18:00"/>
    <n v="0.84583333333284827"/>
    <d v="1901-12-24T14:34:00"/>
    <n v="724.6069444444438"/>
    <n v="686.52361111111531"/>
    <n v="664.0041666666657"/>
    <n v="195466"/>
    <n v="41"/>
    <n v="2.0197044334986951"/>
    <n v="48.472906403968686"/>
    <n v="17692.61083744857"/>
    <n v="15707"/>
    <n v="0.90319081034353954"/>
    <n v="21.676579448244951"/>
    <n v="7911.9514986094073"/>
    <n v="126054"/>
    <n v="26"/>
    <n v="1.280788177340636"/>
    <n v="30.738916256175262"/>
    <n v="11219.70443350397"/>
    <n v="6622"/>
    <n v="0.38078115146717506"/>
    <n v="9.1387476352122015"/>
    <n v="3335.6428868524536"/>
    <n v="67"/>
    <n v="3.3004926108393313"/>
    <n v="79.211822660143952"/>
    <n v="28912.315270952542"/>
    <n v="22329"/>
    <n v="28.779782195724255"/>
    <n v="27.337177854054669"/>
    <n v="1.2839719618107146"/>
    <n v="30.815327083457152"/>
    <n v="11247.59438546186"/>
    <n v="3717.0104999999999"/>
    <n v="5.1296920744388288"/>
    <n v="4.7960257254241583"/>
    <n v="4.5557652374169404"/>
    <n v="3570.4070999999999"/>
    <n v="4.9273708006447983"/>
    <n v="1872.3376071701728"/>
    <n v="1798.4903422353514"/>
    <x v="0"/>
    <x v="2"/>
  </r>
  <r>
    <x v="470"/>
    <m/>
    <d v="1899-12-30T23:56:00"/>
    <n v="0.99722222222044365"/>
    <d v="1901-12-25T14:30:00"/>
    <n v="725.60416666666424"/>
    <n v="687.52083333333576"/>
    <n v="665.00138888888614"/>
    <n v="195519"/>
    <n v="53"/>
    <n v="2.2144846796696878"/>
    <n v="53.147632312072503"/>
    <n v="19398.885793906462"/>
    <n v="15760"/>
    <n v="0.9049929656320912"/>
    <n v="21.719831175170189"/>
    <n v="7927.7383789371188"/>
    <n v="126083"/>
    <n v="29"/>
    <n v="1.211699164347565"/>
    <n v="29.080779944341561"/>
    <n v="10614.48467968467"/>
    <n v="6651"/>
    <n v="0.38192311005196944"/>
    <n v="9.1661546412472674"/>
    <n v="3345.6464440552527"/>
    <n v="82"/>
    <n v="3.426183844017253"/>
    <n v="82.22841225641406"/>
    <n v="30013.370473591131"/>
    <n v="22411"/>
    <n v="28.857307354322494"/>
    <n v="27.419491605071951"/>
    <n v="1.2869160756840607"/>
    <n v="30.885985816417456"/>
    <n v="11273.384822992371"/>
    <n v="3730.4486000000002"/>
    <n v="5.1411620431249991"/>
    <n v="4.808615011666296"/>
    <n v="4.5691411337904668"/>
    <n v="3583.5188999999996"/>
    <n v="4.9386691320451508"/>
    <n v="1876.5241457406248"/>
    <n v="1802.61423319648"/>
    <x v="0"/>
    <x v="2"/>
  </r>
  <r>
    <x v="471"/>
    <m/>
    <d v="1899-12-31T00:13:00"/>
    <n v="1.0090277777781012"/>
    <d v="1901-12-26T14:43:00"/>
    <n v="726.61319444444234"/>
    <n v="688.52986111111386"/>
    <n v="666.01041666666424"/>
    <n v="195571"/>
    <n v="52"/>
    <n v="2.1472814865788026"/>
    <n v="51.534755677891262"/>
    <n v="18810.185822430311"/>
    <n v="15812"/>
    <n v="0.90671809756643285"/>
    <n v="21.761234341594388"/>
    <n v="7942.850534681952"/>
    <n v="126103"/>
    <n v="20"/>
    <n v="0.82587749483800099"/>
    <n v="19.821059876112024"/>
    <n v="7234.686854780889"/>
    <n v="6671"/>
    <n v="0.38253961730746733"/>
    <n v="9.1809508153792159"/>
    <n v="3351.0470476134137"/>
    <n v="72"/>
    <n v="2.9731589814168036"/>
    <n v="71.355815554003286"/>
    <n v="26044.872677211199"/>
    <n v="22483"/>
    <n v="28.919588132121163"/>
    <n v="27.486056586952881"/>
    <n v="1.2892577148739002"/>
    <n v="30.942185156973604"/>
    <n v="11293.897582295365"/>
    <n v="3742.4954000000002"/>
    <n v="5.1506020378028738"/>
    <n v="4.8190644842120154"/>
    <n v="4.5803067394466597"/>
    <n v="3595.0316999999995"/>
    <n v="4.9476554066000791"/>
    <n v="1879.9697437980485"/>
    <n v="1805.8942234090287"/>
    <x v="0"/>
    <x v="2"/>
  </r>
  <r>
    <x v="472"/>
    <m/>
    <d v="1899-12-31T00:28:00"/>
    <n v="1.0194444444423425"/>
    <d v="1901-12-27T15:11:00"/>
    <n v="727.63263888888469"/>
    <n v="689.5493055555562"/>
    <n v="667.02986111110658"/>
    <n v="195613"/>
    <n v="42"/>
    <n v="1.716621253409534"/>
    <n v="41.198910081828814"/>
    <n v="15037.602179867517"/>
    <n v="15854"/>
    <n v="0.90785280652344358"/>
    <n v="21.788467356562645"/>
    <n v="7952.7905851453652"/>
    <n v="126128"/>
    <n v="25"/>
    <n v="1.0217983651247227"/>
    <n v="24.523160762993342"/>
    <n v="8950.9536784925695"/>
    <n v="6696"/>
    <n v="0.38343524615119079"/>
    <n v="9.2024459076285776"/>
    <n v="3358.892756284431"/>
    <n v="67"/>
    <n v="2.7384196185342566"/>
    <n v="65.722070844822156"/>
    <n v="23988.555858360087"/>
    <n v="22550"/>
    <n v="28.973997709856754"/>
    <n v="27.544493989212313"/>
    <n v="1.2912880526746344"/>
    <n v="30.990913264191224"/>
    <n v="11311.683341429796"/>
    <n v="3753.4161999999997"/>
    <n v="5.1583944966124262"/>
    <n v="4.8277774673674685"/>
    <n v="4.5896787812473301"/>
    <n v="3605.7449999999999"/>
    <n v="4.9554470309441765"/>
    <n v="1882.8139912635356"/>
    <n v="1808.7381662946243"/>
    <x v="0"/>
    <x v="2"/>
  </r>
  <r>
    <x v="472"/>
    <m/>
    <d v="1899-12-30T00:00:00"/>
    <n v="0"/>
    <d v="1901-12-27T15:11:00"/>
    <n v="727.63263888888469"/>
    <n v="689.5493055555562"/>
    <n v="667.02986111110658"/>
    <n v="0"/>
    <n v="-195613"/>
    <s v=""/>
    <e v="#DIV/0!"/>
    <e v="#DIV/0!"/>
    <n v="-179759"/>
    <n v="-10.293598627970715"/>
    <n v="-247.04636707129714"/>
    <n v="-90171.923981023458"/>
    <n v="0"/>
    <n v="-126128"/>
    <e v="#DIV/0!"/>
    <e v="#DIV/0!"/>
    <e v="#DIV/0!"/>
    <n v="-119432"/>
    <n v="-6.8390738229284667"/>
    <n v="-164.13777175028321"/>
    <n v="-59910.286688853368"/>
    <n v="-321741"/>
    <e v="#DIV/0!"/>
    <e v="#DIV/0!"/>
    <e v="#DIV/0!"/>
    <n v="-299191"/>
    <n v="-437.62207802801908"/>
    <n v="-454.80422644746972"/>
    <n v="-17.132672450899182"/>
    <n v="-411.18413882158035"/>
    <n v="-150082.21066987683"/>
    <n v="-48414.191299999999"/>
    <n v="-66.536585513714471"/>
    <n v="-70.826866920925539"/>
    <n v="-73.619124964212702"/>
    <n v="-47840.640899999999"/>
    <n v="-65.748343797570698"/>
    <n v="-24285.853712505785"/>
    <n v="-23998.145486113302"/>
    <x v="0"/>
    <x v="2"/>
  </r>
  <r>
    <x v="473"/>
    <m/>
    <d v="1899-12-30T23:55:00"/>
    <n v="0.99652777778101154"/>
    <d v="1901-12-28T15:06:00"/>
    <n v="728.6291666666657"/>
    <n v="690.54583333333721"/>
    <n v="668.0263888888876"/>
    <n v="49"/>
    <n v="49"/>
    <n v="2.0487804877982296"/>
    <n v="49.170731707157515"/>
    <n v="17947.317073112492"/>
    <n v="-179710"/>
    <n v="-10.27671826660797"/>
    <n v="-246.6412383985913"/>
    <n v="-90024.052015485824"/>
    <n v="24"/>
    <n v="24"/>
    <n v="1.003484320554235"/>
    <n v="24.083623693301639"/>
    <n v="8790.5226480550991"/>
    <n v="-119408"/>
    <n v="-6.8283477534868648"/>
    <n v="-163.88034608368477"/>
    <n v="-59816.32632054494"/>
    <n v="73"/>
    <n v="3.0522648083524646"/>
    <n v="73.254355400459147"/>
    <n v="26737.839721167587"/>
    <n v="-299118"/>
    <n v="-436.88483144372259"/>
    <n v="-454.0164955226744"/>
    <n v="-17.105066020094835"/>
    <n v="-410.52158448227607"/>
    <n v="-149840.37833603076"/>
    <n v="-48402.145799999998"/>
    <n v="-66.429053370770546"/>
    <n v="-70.707213110401398"/>
    <n v="-73.491272226022488"/>
    <n v="-47828.968199999996"/>
    <n v="-65.642401358715929"/>
    <n v="-24246.604480331247"/>
    <n v="-23959.476495931314"/>
    <x v="0"/>
    <x v="2"/>
  </r>
  <r>
    <x v="474"/>
    <m/>
    <d v="1899-12-31T02:33:00"/>
    <n v="1.1062499999970896"/>
    <d v="1901-12-29T17:39:00"/>
    <n v="729.73541666666279"/>
    <n v="691.6520833333343"/>
    <n v="669.13263888888469"/>
    <n v="114"/>
    <n v="65"/>
    <n v="2.4482109227936348"/>
    <n v="58.757062147047236"/>
    <n v="21446.32768367224"/>
    <n v="-179645"/>
    <n v="-10.257427777761972"/>
    <n v="-246.17826666628733"/>
    <n v="-89855.067333194878"/>
    <n v="53"/>
    <n v="29"/>
    <n v="1.092278719400237"/>
    <n v="26.214689265605688"/>
    <n v="9568.3615819460756"/>
    <n v="-119379"/>
    <n v="-6.8163403973472478"/>
    <n v="-163.59216953633396"/>
    <n v="-59711.14188076189"/>
    <n v="94"/>
    <n v="3.5404896421938719"/>
    <n v="84.971751412652921"/>
    <n v="31014.689265618315"/>
    <n v="-299024"/>
    <n v="-436.05015768404695"/>
    <n v="-453.1254079960508"/>
    <n v="-17.073768175109219"/>
    <n v="-409.77043620262128"/>
    <n v="-149566.20921395675"/>
    <n v="-48386.548900000002"/>
    <n v="-66.306976192855643"/>
    <n v="-70.571571569279982"/>
    <n v="-73.346462939689175"/>
    <n v="-47813.937599999997"/>
    <n v="-65.522292748799146"/>
    <n v="-24202.04631039231"/>
    <n v="-23915.636853311684"/>
    <x v="0"/>
    <x v="2"/>
  </r>
  <r>
    <x v="475"/>
    <m/>
    <d v="1899-12-30T23:43:00"/>
    <n v="0.9881944444423425"/>
    <d v="1901-12-30T17:22:00"/>
    <n v="730.72361111110513"/>
    <n v="692.64027777777665"/>
    <n v="670.12083333332703"/>
    <n v="169"/>
    <n v="55"/>
    <n v="2.3190442726683198"/>
    <n v="55.657062544039675"/>
    <n v="20314.827828574482"/>
    <n v="-179590"/>
    <n v="-10.240419979434472"/>
    <n v="-245.77007950642735"/>
    <n v="-89706.079019845987"/>
    <n v="84"/>
    <n v="31"/>
    <n v="1.3070976809585075"/>
    <n v="31.370344343004181"/>
    <n v="11450.175685196526"/>
    <n v="-119348"/>
    <n v="-6.8053546617603731"/>
    <n v="-163.32851188224896"/>
    <n v="-59614.90683702087"/>
    <n v="86"/>
    <n v="3.6261419536268273"/>
    <n v="87.027406887043867"/>
    <n v="31765.003513771011"/>
    <n v="-298938"/>
    <n v="-435.30387947888687"/>
    <n v="-452.32887103694412"/>
    <n v="-17.045774641194846"/>
    <n v="-409.09859138867631"/>
    <n v="-149320.98585686684"/>
    <n v="-48372.481800000001"/>
    <n v="-66.198055002556984"/>
    <n v="-70.450577255710456"/>
    <n v="-73.217310609405715"/>
    <n v="-47800.186199999996"/>
    <n v="-65.414864763049337"/>
    <n v="-24162.290075933302"/>
    <n v="-23876.425638513007"/>
    <x v="0"/>
    <x v="2"/>
  </r>
  <r>
    <x v="476"/>
    <m/>
    <d v="1899-12-30T23:35:00"/>
    <n v="0.98263888889050577"/>
    <d v="1901-12-31T16:57:00"/>
    <n v="731.70624999999563"/>
    <n v="693.62291666666715"/>
    <n v="671.10347222221753"/>
    <n v="210"/>
    <n v="41"/>
    <n v="1.73851590105721"/>
    <n v="41.724381625373042"/>
    <n v="15229.39929326116"/>
    <n v="-179549"/>
    <n v="-10.224332966041192"/>
    <n v="-245.38399118498862"/>
    <n v="-89565.156782520848"/>
    <n v="99"/>
    <n v="15"/>
    <n v="0.63604240282580859"/>
    <n v="15.265017667819405"/>
    <n v="5571.7314487540825"/>
    <n v="-119333"/>
    <n v="-6.7953612987908238"/>
    <n v="-163.08867117097975"/>
    <n v="-59527.364977407611"/>
    <n v="56"/>
    <n v="2.3745583038830187"/>
    <n v="56.989399293192449"/>
    <n v="20801.130742015244"/>
    <n v="-298882"/>
    <n v="-434.60645944151901"/>
    <n v="-451.58312025489016"/>
    <n v="-17.019694264832015"/>
    <n v="-408.4726623559684"/>
    <n v="-149092.52175992847"/>
    <n v="-48363.086899999995"/>
    <n v="-66.096315153793313"/>
    <n v="-70.337226939469332"/>
    <n v="-73.096105638620145"/>
    <n v="-47791.231799999994"/>
    <n v="-65.314778710719338"/>
    <n v="-24125.155031134564"/>
    <n v="-23839.894229412559"/>
    <x v="0"/>
    <x v="2"/>
  </r>
  <r>
    <x v="477"/>
    <m/>
    <d v="1900-01-01T23:42:00"/>
    <n v="2.9875000000029104"/>
    <d v="1902-01-03T16:39:00"/>
    <n v="734.69374999999854"/>
    <n v="696.61041666667006"/>
    <n v="674.09097222222044"/>
    <n v="291"/>
    <n v="81"/>
    <n v="1.1297071129696108"/>
    <n v="27.112970711270659"/>
    <n v="9896.2343096137902"/>
    <n v="-179468"/>
    <n v="-10.178163804079384"/>
    <n v="-244.27593129790523"/>
    <n v="-89160.714923735402"/>
    <n v="127"/>
    <n v="28"/>
    <n v="0.39051603905122345"/>
    <n v="9.3723849372293628"/>
    <n v="3420.9205020887175"/>
    <n v="-119305"/>
    <n v="-6.7661412209736049"/>
    <n v="-162.38738930336652"/>
    <n v="-59271.397095728782"/>
    <n v="109"/>
    <n v="1.5202231520208342"/>
    <n v="36.485355648500018"/>
    <n v="13317.154811702507"/>
    <n v="-298773"/>
    <n v="-432.58612387961733"/>
    <n v="-449.42005231325021"/>
    <n v="-16.944305025052991"/>
    <n v="-406.66332060127172"/>
    <n v="-148432.11201946417"/>
    <n v="-48344.746200000001"/>
    <n v="-65.802582640726285"/>
    <n v="-70.009248545785354"/>
    <n v="-72.744943369208315"/>
    <n v="-47773.802699999993"/>
    <n v="-65.025464964143339"/>
    <n v="-24017.942663865095"/>
    <n v="-23734.29471191232"/>
    <x v="0"/>
    <x v="2"/>
  </r>
  <r>
    <x v="478"/>
    <m/>
    <d v="1899-12-30T21:38:00"/>
    <n v="0.90138888888759539"/>
    <d v="1902-01-04T14:17:00"/>
    <n v="735.59513888888614"/>
    <n v="697.51180555555766"/>
    <n v="674.99236111110804"/>
    <n v="313"/>
    <n v="22"/>
    <n v="1.0169491525438321"/>
    <n v="24.406779661051974"/>
    <n v="8908.4745762839702"/>
    <n v="-179446"/>
    <n v="-10.16444545563545"/>
    <n v="-243.94669093525081"/>
    <n v="-89040.542191366549"/>
    <n v="130"/>
    <n v="3"/>
    <n v="0.1386748844377953"/>
    <n v="3.3281972265070872"/>
    <n v="1214.7919876750868"/>
    <n v="-119302"/>
    <n v="-6.7576801474996406"/>
    <n v="-162.18432353999137"/>
    <n v="-59197.278092096851"/>
    <n v="25"/>
    <n v="1.1556240369816275"/>
    <n v="27.734976887559061"/>
    <n v="10123.266563959058"/>
    <n v="-298748"/>
    <n v="-431.99125462830546"/>
    <n v="-448.78285659611578"/>
    <n v="-16.92212560313509"/>
    <n v="-406.13101447524218"/>
    <n v="-148237.8202834634"/>
    <n v="-48340.384599999998"/>
    <n v="-65.716019647734456"/>
    <n v="-69.91252307358377"/>
    <n v="-72.641337628306815"/>
    <n v="-47769.805199999995"/>
    <n v="-64.940349214591222"/>
    <n v="-23986.347171423076"/>
    <n v="-23703.227463325795"/>
    <x v="0"/>
    <x v="2"/>
  </r>
  <r>
    <x v="479"/>
    <m/>
    <d v="1899-12-31T02:07:00"/>
    <n v="1.0881944444481633"/>
    <d v="1902-01-05T16:24:00"/>
    <n v="736.6833333333343"/>
    <n v="698.60000000000582"/>
    <n v="676.0805555555562"/>
    <n v="330"/>
    <n v="17"/>
    <n v="0.65092533503287442"/>
    <n v="15.622208040788987"/>
    <n v="5702.1059348879799"/>
    <n v="-179429"/>
    <n v="-10.148469491640448"/>
    <n v="-243.56326779937072"/>
    <n v="-88900.592746770315"/>
    <n v="132"/>
    <n v="2"/>
    <n v="7.6579451180338168E-2"/>
    <n v="1.8379068283281161"/>
    <n v="670.83599233976236"/>
    <n v="-119300"/>
    <n v="-6.7475848962693066"/>
    <n v="-161.94203751046336"/>
    <n v="-59108.843691319125"/>
    <n v="19"/>
    <n v="0.72750478621321257"/>
    <n v="17.460114869117103"/>
    <n v="6372.9419272277428"/>
    <n v="-298729"/>
    <n v="-431.29115373603992"/>
    <n v="-448.03240902423647"/>
    <n v="-16.896054387909754"/>
    <n v="-405.50530530983406"/>
    <n v="-148009.43643808944"/>
    <n v="-48337.057099999998"/>
    <n v="-65.614430126015165"/>
    <n v="-69.798858717434285"/>
    <n v="-72.519495047023412"/>
    <n v="-47766.767099999997"/>
    <n v="-64.840298319042461"/>
    <n v="-23949.266995995531"/>
    <n v="-23666.708886450499"/>
    <x v="0"/>
    <x v="2"/>
  </r>
  <r>
    <x v="480"/>
    <m/>
    <d v="1899-12-31T22:19:00"/>
    <n v="1.929861111108039"/>
    <d v="1902-01-07T14:43:00"/>
    <n v="738.61319444444234"/>
    <n v="700.52986111111386"/>
    <n v="678.01041666666424"/>
    <n v="364"/>
    <n v="34"/>
    <n v="0.73407700611847693"/>
    <n v="17.617848146843446"/>
    <n v="6430.5145735978576"/>
    <n v="-179395"/>
    <n v="-10.120035389144286"/>
    <n v="-242.88084933946288"/>
    <n v="-88651.510008903948"/>
    <n v="137"/>
    <n v="5"/>
    <n v="0.10795250089977602"/>
    <n v="2.5908600215946245"/>
    <n v="945.66390788203796"/>
    <n v="-119295"/>
    <n v="-6.729672631611626"/>
    <n v="-161.51214315867904"/>
    <n v="-58951.932252917846"/>
    <n v="39"/>
    <n v="0.84202950701825297"/>
    <n v="20.208708168438072"/>
    <n v="7376.1784814798966"/>
    <n v="-298690"/>
    <n v="-430.04733520162642"/>
    <n v="-446.69962666502948"/>
    <n v="-16.849708020755912"/>
    <n v="-404.39299249814189"/>
    <n v="-147603.44226182179"/>
    <n v="-48330.267500000002"/>
    <n v="-65.433799265327565"/>
    <n v="-69.596880599307994"/>
    <n v="-72.303064517814335"/>
    <n v="-47760.530999999995"/>
    <n v="-64.662439500452891"/>
    <n v="-23883.336731844563"/>
    <n v="-23601.790417665303"/>
    <x v="0"/>
    <x v="2"/>
  </r>
  <r>
    <x v="481"/>
    <m/>
    <d v="1899-12-30T23:59:00"/>
    <n v="0.99930555555329192"/>
    <d v="1902-01-08T14:42:00"/>
    <n v="739.61249999999563"/>
    <n v="701.52916666666715"/>
    <n v="679.00972222221753"/>
    <n v="396"/>
    <n v="32"/>
    <n v="1.3342599027132378"/>
    <n v="32.022237665117707"/>
    <n v="11688.116747767963"/>
    <n v="-179363"/>
    <n v="-10.104559256818101"/>
    <n v="-242.50942216363441"/>
    <n v="-88515.939089726555"/>
    <n v="157"/>
    <n v="20"/>
    <n v="0.83391243919577362"/>
    <n v="20.013898540698566"/>
    <n v="7305.0729673549768"/>
    <n v="-119275"/>
    <n v="-6.7194533173340041"/>
    <n v="-161.2668796160161"/>
    <n v="-58862.411059845879"/>
    <n v="52"/>
    <n v="2.1681723419090115"/>
    <n v="52.036136205816277"/>
    <n v="18993.189715122942"/>
    <n v="-298638"/>
    <n v="-429.36062292491965"/>
    <n v="-445.96563213994546"/>
    <n v="-16.824012574152103"/>
    <n v="-403.77630177965051"/>
    <n v="-147378.35014957245"/>
    <n v="-48321.818700000003"/>
    <n v="-65.333967043553599"/>
    <n v="-69.485698693924547"/>
    <n v="-72.184212531730736"/>
    <n v="-47752.216199999995"/>
    <n v="-64.563830654566104"/>
    <n v="-23846.897970897062"/>
    <n v="-23565.798188916633"/>
    <x v="0"/>
    <x v="2"/>
  </r>
  <r>
    <x v="482"/>
    <m/>
    <d v="1899-12-31T00:13:00"/>
    <n v="1.0090277777781012"/>
    <d v="1902-01-09T14:55:00"/>
    <n v="740.62152777777374"/>
    <n v="702.53819444444525"/>
    <n v="680.01874999999563"/>
    <n v="430"/>
    <n v="34"/>
    <n v="1.4039917412246017"/>
    <n v="33.695801789390437"/>
    <n v="12298.967653127509"/>
    <n v="-179329"/>
    <n v="-10.088879929113647"/>
    <n v="-242.13311829872751"/>
    <n v="-88378.588179035534"/>
    <n v="161"/>
    <n v="4"/>
    <n v="0.1651754989676002"/>
    <n v="3.9642119752224048"/>
    <n v="1446.9373709561778"/>
    <n v="-119271"/>
    <n v="-6.7100736524784823"/>
    <n v="-161.04176765948358"/>
    <n v="-58780.245195711504"/>
    <n v="38"/>
    <n v="1.5691672401922019"/>
    <n v="37.660013764612842"/>
    <n v="13745.905024083688"/>
    <n v="-298600"/>
    <n v="-428.68985968536657"/>
    <n v="-445.24801705835603"/>
    <n v="-16.79895358159213"/>
    <n v="-403.17488595821112"/>
    <n v="-147158.83337474705"/>
    <n v="-48315.163700000005"/>
    <n v="-65.235969908907578"/>
    <n v="-69.376426342972579"/>
    <n v="-72.067317408527813"/>
    <n v="-47746.14"/>
    <n v="-64.467664264717953"/>
    <n v="-23811.12901675126"/>
    <n v="-23530.697456622052"/>
    <x v="0"/>
    <x v="2"/>
  </r>
  <r>
    <x v="483"/>
    <m/>
    <d v="1899-12-31T00:01:00"/>
    <n v="1.0006944444467081"/>
    <d v="1902-01-10T14:56:00"/>
    <n v="741.62222222222044"/>
    <n v="703.53888888889196"/>
    <n v="681.01944444444234"/>
    <n v="462"/>
    <n v="32"/>
    <n v="1.3324080499622879"/>
    <n v="31.977793199094908"/>
    <n v="11671.894517669642"/>
    <n v="-179297"/>
    <n v="-10.073468822101724"/>
    <n v="-241.76325173044137"/>
    <n v="-88243.586881611103"/>
    <n v="163"/>
    <n v="2"/>
    <n v="8.3275503122642994E-2"/>
    <n v="1.9986120749434317"/>
    <n v="729.4934073543526"/>
    <n v="-119269"/>
    <n v="-6.7009071704671603"/>
    <n v="-160.82177209121184"/>
    <n v="-58699.946813292321"/>
    <n v="34"/>
    <n v="1.4156835530849308"/>
    <n v="33.976405274038342"/>
    <n v="12401.387925023995"/>
    <n v="-298566"/>
    <n v="-428.03177586329241"/>
    <n v="-444.54384154474434"/>
    <n v="-16.774375992568885"/>
    <n v="-402.58502382165318"/>
    <n v="-146943.53369490342"/>
    <n v="-48309.137699999999"/>
    <n v="-65.139819509783507"/>
    <n v="-69.269181945244767"/>
    <n v="-71.95257271981977"/>
    <n v="-47740.703399999999"/>
    <n v="-64.373345309082339"/>
    <n v="-23776.034121070985"/>
    <n v="-23496.271037815055"/>
    <x v="0"/>
    <x v="2"/>
  </r>
  <r>
    <x v="484"/>
    <m/>
    <d v="1899-12-30T23:47:00"/>
    <n v="0.99097222222189885"/>
    <d v="1902-01-11T14:43:00"/>
    <n v="742.61319444444234"/>
    <n v="704.52986111111386"/>
    <n v="682.01041666666424"/>
    <n v="490"/>
    <n v="28"/>
    <n v="1.1772950245273639"/>
    <n v="28.255080588656732"/>
    <n v="10313.104414859707"/>
    <n v="-179269"/>
    <n v="-10.058455360808285"/>
    <n v="-241.40292865939884"/>
    <n v="-88112.068960680583"/>
    <n v="167"/>
    <n v="4"/>
    <n v="0.16818500350390911"/>
    <n v="4.0364400840938188"/>
    <n v="1473.3006306942439"/>
    <n v="-119265"/>
    <n v="-6.6917407839994656"/>
    <n v="-160.60177881598716"/>
    <n v="-58619.649267835317"/>
    <n v="32"/>
    <n v="1.3454800280312729"/>
    <n v="32.291520672750551"/>
    <n v="11786.405045553951"/>
    <n v="-298534"/>
    <n v="-427.38429784243266"/>
    <n v="-443.85099201197596"/>
    <n v="-16.750196144807752"/>
    <n v="-402.004707475386"/>
    <n v="-146731.71822851588"/>
    <n v="-48303.562099999996"/>
    <n v="-65.045386294457714"/>
    <n v="-69.163835899235124"/>
    <n v="-71.839849220289523"/>
    <n v="-47735.586599999995"/>
    <n v="-64.280552725314223"/>
    <n v="-23741.565997477072"/>
    <n v="-23462.401744739687"/>
    <x v="0"/>
    <x v="2"/>
  </r>
  <r>
    <x v="485"/>
    <m/>
    <d v="1899-12-31T01:22:00"/>
    <n v="1.0569444444408873"/>
    <d v="1902-01-12T16:05:00"/>
    <n v="743.67013888888323"/>
    <n v="705.58680555555475"/>
    <n v="683.06736111110513"/>
    <n v="511"/>
    <n v="21"/>
    <n v="0.82785808147453388"/>
    <n v="19.868593955388814"/>
    <n v="7252.0367937169167"/>
    <n v="-179248"/>
    <n v="-10.04298314011316"/>
    <n v="-241.03159536271585"/>
    <n v="-87976.532307391288"/>
    <n v="169"/>
    <n v="2"/>
    <n v="7.8843626807098457E-2"/>
    <n v="1.8922470433703631"/>
    <n v="690.67017083018254"/>
    <n v="-119263"/>
    <n v="-6.6821180612297812"/>
    <n v="-160.37083346951476"/>
    <n v="-58535.354216372885"/>
    <n v="23"/>
    <n v="0.90670170828163232"/>
    <n v="21.760840998759175"/>
    <n v="7942.7069645470992"/>
    <n v="-298511"/>
    <n v="-426.71149407752659"/>
    <n v="-443.13052743090435"/>
    <n v="-16.725101201342941"/>
    <n v="-401.40242883223061"/>
    <n v="-146511.88652376417"/>
    <n v="-48299.514999999999"/>
    <n v="-64.947498190749272"/>
    <n v="-69.054495090276589"/>
    <n v="-71.722762920934287"/>
    <n v="-47731.908899999995"/>
    <n v="-64.184248370273664"/>
    <n v="-23705.836839623484"/>
    <n v="-23427.250655149888"/>
    <x v="0"/>
    <x v="2"/>
  </r>
  <r>
    <x v="486"/>
    <m/>
    <d v="1899-12-31T05:29:00"/>
    <n v="1.2284722222248092"/>
    <d v="1902-01-13T21:34:00"/>
    <n v="744.89861111110804"/>
    <n v="706.81527777777956"/>
    <n v="684.29583333332994"/>
    <n v="523"/>
    <n v="12"/>
    <n v="0.40700960994826668"/>
    <n v="9.7682306387583999"/>
    <n v="3565.4041831468162"/>
    <n v="-179236"/>
    <n v="-10.025749216429571"/>
    <n v="-240.61798119430969"/>
    <n v="-87825.563135923032"/>
    <n v="171"/>
    <n v="2"/>
    <n v="6.7834934991377785E-2"/>
    <n v="1.6280384397930667"/>
    <n v="594.2340305244694"/>
    <n v="-119261"/>
    <n v="-6.6709861707503348"/>
    <n v="-160.10366809800803"/>
    <n v="-58437.838855772934"/>
    <n v="14"/>
    <n v="0.47484454493964445"/>
    <n v="11.396269078551468"/>
    <n v="4159.6382136712855"/>
    <n v="-298497"/>
    <n v="-425.95004588264544"/>
    <n v="-442.31454475708216"/>
    <n v="-16.696735387179906"/>
    <n v="-400.72164929231769"/>
    <n v="-146263.40199169595"/>
    <n v="-48297.087"/>
    <n v="-64.837128542848191"/>
    <n v="-68.9310405869833"/>
    <n v="-71.590455492568751"/>
    <n v="-47729.670299999998"/>
    <n v="-64.075391721841598"/>
    <n v="-23665.55191813959"/>
    <n v="-23387.51797847218"/>
    <x v="1"/>
    <x v="3"/>
  </r>
  <r>
    <x v="487"/>
    <m/>
    <d v="1899-12-30T17:15:00"/>
    <n v="0.71875"/>
    <d v="1902-01-14T14:49:00"/>
    <n v="745.61736111110804"/>
    <n v="707.53402777777956"/>
    <n v="685.01458333332994"/>
    <n v="543"/>
    <n v="20"/>
    <n v="1.1594202898550725"/>
    <n v="27.826086956521738"/>
    <n v="10156.521739130434"/>
    <n v="-179216"/>
    <n v="-10.014967090097826"/>
    <n v="-240.35921016234781"/>
    <n v="-87731.111709256948"/>
    <n v="174"/>
    <n v="3"/>
    <n v="0.17391304347826086"/>
    <n v="4.1739130434782608"/>
    <n v="1523.4782608695652"/>
    <n v="-119258"/>
    <n v="-6.6643879186617632"/>
    <n v="-159.94531004788232"/>
    <n v="-58380.038167477047"/>
    <n v="23"/>
    <n v="1.3333333333333333"/>
    <n v="32"/>
    <n v="11680"/>
    <n v="-298474"/>
    <n v="-425.48483632019946"/>
    <n v="-441.81687129532133"/>
    <n v="-16.67935500875959"/>
    <n v="-400.30452021023012"/>
    <n v="-146111.14987673401"/>
    <n v="-48293.085200000001"/>
    <n v="-64.769260640651339"/>
    <n v="-68.855360855239425"/>
    <n v="-71.509497449872171"/>
    <n v="-47725.992599999998"/>
    <n v="-64.008692781615792"/>
    <n v="-23640.780133837736"/>
    <n v="-23363.172865289765"/>
    <x v="1"/>
    <x v="3"/>
  </r>
  <r>
    <x v="488"/>
    <m/>
    <d v="1899-12-30T23:49:00"/>
    <n v="0.992361111115315"/>
    <d v="1902-01-15T14:38:00"/>
    <n v="746.60972222222335"/>
    <n v="708.52638888889487"/>
    <n v="686.00694444444525"/>
    <n v="574"/>
    <n v="31"/>
    <n v="1.3016095171393427"/>
    <n v="31.238628411344223"/>
    <n v="11402.099370140641"/>
    <n v="-179185"/>
    <n v="-9.9999255895631762"/>
    <n v="-239.99821414951626"/>
    <n v="-87599.348164573428"/>
    <n v="188"/>
    <n v="14"/>
    <n v="0.58782365290163863"/>
    <n v="14.107767669639326"/>
    <n v="5149.335199418354"/>
    <n v="-119244"/>
    <n v="-6.6547485950379297"/>
    <n v="-159.71396628091031"/>
    <n v="-58295.597692532261"/>
    <n v="45"/>
    <n v="1.8894331700409812"/>
    <n v="45.346396080983546"/>
    <n v="16551.434569558995"/>
    <n v="-298429"/>
    <n v="-424.82539072683755"/>
    <n v="-441.11215265475477"/>
    <n v="-16.654674184601106"/>
    <n v="-399.71218043042654"/>
    <n v="-145894.94585710569"/>
    <n v="-48285.623899999999"/>
    <n v="-64.673178586908506"/>
    <n v="-68.748391399206298"/>
    <n v="-71.39517711393421"/>
    <n v="-47718.797099999996"/>
    <n v="-63.913977650825203"/>
    <n v="-23605.710184221603"/>
    <n v="-23328.601842551197"/>
    <x v="1"/>
    <x v="3"/>
  </r>
  <r>
    <x v="489"/>
    <m/>
    <d v="1899-12-31T00:01:00"/>
    <n v="1.0006944444394321"/>
    <d v="1902-01-16T14:39:00"/>
    <n v="747.61041666666279"/>
    <n v="709.5270833333343"/>
    <n v="687.00763888888469"/>
    <n v="593"/>
    <n v="19"/>
    <n v="0.79111727967086054"/>
    <n v="18.986814712100653"/>
    <n v="6930.1873699167381"/>
    <n v="-179166"/>
    <n v="-9.9854815202883032"/>
    <n v="-239.65155648691928"/>
    <n v="-87472.818117725532"/>
    <n v="206"/>
    <n v="18"/>
    <n v="0.74947952810923635"/>
    <n v="17.987508674621672"/>
    <n v="6565.4406662369101"/>
    <n v="-119226"/>
    <n v="-6.6448378583988772"/>
    <n v="-159.47610860157306"/>
    <n v="-58208.779639574168"/>
    <n v="37"/>
    <n v="1.5405968077800969"/>
    <n v="36.974323386722325"/>
    <n v="13495.628036153648"/>
    <n v="-298392"/>
    <n v="-424.17408308938116"/>
    <n v="-440.41577250778857"/>
    <n v="-16.630319378687179"/>
    <n v="-399.12766508849234"/>
    <n v="-145681.59775729969"/>
    <n v="-48279.782999999996"/>
    <n v="-64.578799229768507"/>
    <n v="-68.643198750341242"/>
    <n v="-71.282681047336354"/>
    <n v="-47712.880799999999"/>
    <n v="-63.820513647649925"/>
    <n v="-23571.261718865506"/>
    <n v="-23294.487481392218"/>
    <x v="1"/>
    <x v="3"/>
  </r>
  <r>
    <x v="490"/>
    <m/>
    <d v="1899-12-31T00:33:00"/>
    <n v="1.0229166666686069"/>
    <d v="1902-01-17T15:12:00"/>
    <n v="748.63333333333139"/>
    <n v="710.55000000000291"/>
    <n v="688.03055555555329"/>
    <n v="623"/>
    <n v="30"/>
    <n v="1.2219959266779266"/>
    <n v="29.327902240270237"/>
    <n v="10704.684317698637"/>
    <n v="-179136"/>
    <n v="-9.9701678614364209"/>
    <n v="-239.28402867447411"/>
    <n v="-87338.670466183059"/>
    <n v="216"/>
    <n v="10"/>
    <n v="0.40733197555930883"/>
    <n v="9.7759674134234125"/>
    <n v="3568.2281058995454"/>
    <n v="-119216"/>
    <n v="-6.635201923505071"/>
    <n v="-159.2448461641217"/>
    <n v="-58124.368849904422"/>
    <n v="40"/>
    <n v="1.6293279022372353"/>
    <n v="39.10386965369365"/>
    <n v="14272.912423598182"/>
    <n v="-298352"/>
    <n v="-423.50714235451238"/>
    <n v="-439.70285557408369"/>
    <n v="-16.605369784941491"/>
    <n v="-398.52887483859581"/>
    <n v="-145463.03931608747"/>
    <n v="-48273.04"/>
    <n v="-64.481553052228676"/>
    <n v="-68.534889311096762"/>
    <n v="-71.166902406627855"/>
    <n v="-47706.484799999998"/>
    <n v="-63.724767086691465"/>
    <n v="-23535.766864063466"/>
    <n v="-23259.539986642383"/>
    <x v="1"/>
    <x v="3"/>
  </r>
  <r>
    <x v="491"/>
    <m/>
    <d v="1899-12-30T23:46:00"/>
    <n v="0.99027777777519077"/>
    <d v="1902-01-18T14:58:00"/>
    <n v="749.62361111110658"/>
    <n v="711.5402777777781"/>
    <n v="689.02083333332848"/>
    <n v="641"/>
    <n v="18"/>
    <n v="0.757363253858921"/>
    <n v="18.176718092614106"/>
    <n v="6634.5021038041486"/>
    <n v="-179118"/>
    <n v="-9.9559964352481192"/>
    <n v="-238.94391444595487"/>
    <n v="-87214.528772773527"/>
    <n v="228"/>
    <n v="12"/>
    <n v="0.50490883590594737"/>
    <n v="12.117812061742736"/>
    <n v="4423.0014025360988"/>
    <n v="-119204"/>
    <n v="-6.6257695991877803"/>
    <n v="-159.01847038050673"/>
    <n v="-58041.741688884955"/>
    <n v="30"/>
    <n v="1.2622720897648685"/>
    <n v="30.294530154356842"/>
    <n v="11057.503506340247"/>
    <n v="-298322"/>
    <n v="-422.87556923653477"/>
    <n v="-439.02736371058273"/>
    <n v="-16.581766034435901"/>
    <n v="-397.96238482646163"/>
    <n v="-145256.27046165848"/>
    <n v="-48268.186600000001"/>
    <n v="-64.389896322043484"/>
    <n v="-68.432685711162577"/>
    <n v="-71.057575665951575"/>
    <n v="-47701.687799999992"/>
    <n v="-63.634185333751198"/>
    <n v="-23502.312157545872"/>
    <n v="-23226.477646819189"/>
    <x v="1"/>
    <x v="3"/>
  </r>
  <r>
    <x v="492"/>
    <m/>
    <d v="1899-12-31T00:48:00"/>
    <n v="1.0333333333328483"/>
    <d v="1902-01-19T15:46:00"/>
    <n v="750.65694444443943"/>
    <n v="712.57361111111095"/>
    <n v="690.05416666666133"/>
    <n v="671"/>
    <n v="30"/>
    <n v="1.2096774193554065"/>
    <n v="29.032258064529756"/>
    <n v="10596.774193553361"/>
    <n v="-179088"/>
    <n v="-9.9406260812289151"/>
    <n v="-238.57502594949398"/>
    <n v="-87079.884471565296"/>
    <n v="232"/>
    <n v="4"/>
    <n v="0.16129032258072087"/>
    <n v="3.8709677419373008"/>
    <n v="1412.9032258071147"/>
    <n v="-119200"/>
    <n v="-6.616426722519023"/>
    <n v="-158.79424134045655"/>
    <n v="-57959.898089266644"/>
    <n v="34"/>
    <n v="1.3709677419361275"/>
    <n v="32.903225806467056"/>
    <n v="12009.677419360476"/>
    <n v="-298288"/>
    <n v="-422.21462499975644"/>
    <n v="-438.32066323296215"/>
    <n v="-16.55705280374794"/>
    <n v="-397.36926728995053"/>
    <n v="-145039.78256083195"/>
    <n v="-48262.251199999999"/>
    <n v="-64.293352052739422"/>
    <n v="-68.325119034485738"/>
    <n v="-70.942567938507793"/>
    <n v="-47696.251199999999"/>
    <n v="-63.539345839663092"/>
    <n v="-23467.073499249887"/>
    <n v="-23191.861231477029"/>
    <x v="1"/>
    <x v="3"/>
  </r>
  <r>
    <x v="493"/>
    <m/>
    <d v="1899-12-31T00:38:00"/>
    <n v="1.0263888888948713"/>
    <d v="1902-01-20T16:24:00"/>
    <n v="751.6833333333343"/>
    <n v="713.60000000000582"/>
    <n v="691.0805555555562"/>
    <n v="707"/>
    <n v="36"/>
    <n v="1.4614343707627944"/>
    <n v="35.074424898307065"/>
    <n v="12802.165087882078"/>
    <n v="-179052"/>
    <n v="-9.9250570940777241"/>
    <n v="-238.20137025786536"/>
    <n v="-86943.500144120859"/>
    <n v="246"/>
    <n v="14"/>
    <n v="0.56833558862997557"/>
    <n v="13.640054127119415"/>
    <n v="4978.6197563985861"/>
    <n v="-119186"/>
    <n v="-6.6066162612802293"/>
    <n v="-158.5587902707255"/>
    <n v="-57873.958448814803"/>
    <n v="50"/>
    <n v="2.0297699593927701"/>
    <n v="48.714479025426478"/>
    <n v="17780.784844280664"/>
    <n v="-298238"/>
    <n v="-421.53727578474991"/>
    <n v="-437.59732142498223"/>
    <n v="-16.531673355357952"/>
    <n v="-396.76016052859086"/>
    <n v="-144817.45859293567"/>
    <n v="-48253.890399999997"/>
    <n v="-64.194439679829628"/>
    <n v="-68.215128923766258"/>
    <n v="-70.825106286853455"/>
    <n v="-47688.256199999996"/>
    <n v="-63.441949668521673"/>
    <n v="-23430.970483137815"/>
    <n v="-23156.311629010412"/>
    <x v="1"/>
    <x v="3"/>
  </r>
  <r>
    <x v="494"/>
    <m/>
    <d v="1899-12-30T22:38:00"/>
    <n v="0.94305555555183673"/>
    <d v="1902-01-21T15:02:00"/>
    <n v="752.62638888888614"/>
    <n v="714.54305555555766"/>
    <n v="692.02361111110804"/>
    <n v="739"/>
    <n v="32"/>
    <n v="1.4138438880762676"/>
    <n v="33.932253313830422"/>
    <n v="12385.272459548105"/>
    <n v="-179020"/>
    <n v="-9.9108492298266988"/>
    <n v="-237.86038151584077"/>
    <n v="-86819.039253281881"/>
    <n v="264"/>
    <n v="18"/>
    <n v="0.79528718704290047"/>
    <n v="19.086892489029612"/>
    <n v="6966.7157584958086"/>
    <n v="-119168"/>
    <n v="-6.5973415317840916"/>
    <n v="-158.33619676281819"/>
    <n v="-57792.711818428637"/>
    <n v="50"/>
    <n v="2.209131075119168"/>
    <n v="53.019145802860031"/>
    <n v="19351.988218043913"/>
    <n v="-298188"/>
    <n v="-420.9109551364399"/>
    <n v="-436.92873356521028"/>
    <n v="-16.508190761610791"/>
    <n v="-396.19657827865899"/>
    <n v="-144611.75107171052"/>
    <n v="-48245.710800000001"/>
    <n v="-64.103134718975085"/>
    <n v="-68.113651125136116"/>
    <n v="-70.716769506499972"/>
    <n v="-47680.261199999994"/>
    <n v="-63.351832866757562"/>
    <n v="-23397.644172425906"/>
    <n v="-23123.418996366509"/>
    <x v="1"/>
    <x v="3"/>
  </r>
  <r>
    <x v="495"/>
    <m/>
    <d v="1899-12-30T23:20:00"/>
    <n v="0.97222222221898846"/>
    <d v="1902-01-22T14:22:00"/>
    <n v="753.59861111110513"/>
    <n v="715.51527777777665"/>
    <n v="692.99583333332703"/>
    <n v="773"/>
    <n v="34"/>
    <n v="1.4571428571477039"/>
    <n v="34.971428571544891"/>
    <n v="12764.571428613885"/>
    <n v="-178986"/>
    <n v="-9.8961833130295975"/>
    <n v="-237.50839951271035"/>
    <n v="-86690.56582213928"/>
    <n v="284"/>
    <n v="20"/>
    <n v="0.85714285714570815"/>
    <n v="20.571428571496995"/>
    <n v="7508.5714285964032"/>
    <n v="-119148"/>
    <n v="-6.5877244554370202"/>
    <n v="-158.10538693048849"/>
    <n v="-57708.466229628299"/>
    <n v="54"/>
    <n v="2.3142857142934119"/>
    <n v="55.542857143041886"/>
    <n v="20273.142857210289"/>
    <n v="-298134"/>
    <n v="-420.26356297229529"/>
    <n v="-436.2378321178017"/>
    <n v="-16.483907768466619"/>
    <n v="-395.61378644319882"/>
    <n v="-144399.03205176757"/>
    <n v="-48236.902199999997"/>
    <n v="-64.00874615318034"/>
    <n v="-68.008789345673677"/>
    <n v="-70.604848177298479"/>
    <n v="-47671.626599999996"/>
    <n v="-63.25864445226749"/>
    <n v="-23363.192345910826"/>
    <n v="-23089.405225077633"/>
    <x v="1"/>
    <x v="3"/>
  </r>
  <r>
    <x v="496"/>
    <m/>
    <d v="1899-12-31T01:41:00"/>
    <n v="1.070138888891961"/>
    <d v="1902-01-23T16:03:00"/>
    <n v="754.66874999999709"/>
    <n v="716.58541666666861"/>
    <n v="694.06597222221899"/>
    <n v="805"/>
    <n v="32"/>
    <n v="1.2459441920794863"/>
    <n v="29.90266060990767"/>
    <n v="10914.4711226163"/>
    <n v="-178954"/>
    <n v="-9.8803835015915205"/>
    <n v="-237.12920403819649"/>
    <n v="-86552.15947394172"/>
    <n v="297"/>
    <n v="13"/>
    <n v="0.50616482803229124"/>
    <n v="12.14795587277499"/>
    <n v="4434.0038935628709"/>
    <n v="-119135"/>
    <n v="-6.5776651455799016"/>
    <n v="-157.86396349391765"/>
    <n v="-57620.346675279943"/>
    <n v="45"/>
    <n v="1.7521090201117775"/>
    <n v="42.050616482682656"/>
    <n v="15348.475016179169"/>
    <n v="-298089"/>
    <n v="-419.57314928145809"/>
    <n v="-435.50038771130471"/>
    <n v="-16.45804864717142"/>
    <n v="-394.99316753211411"/>
    <n v="-144172.50614922165"/>
    <n v="-48229.395600000003"/>
    <n v="-63.908033292752869"/>
    <n v="-67.896750433915301"/>
    <n v="-70.48517137840156"/>
    <n v="-47664.431099999994"/>
    <n v="-63.159407488385042"/>
    <n v="-23326.432151854795"/>
    <n v="-23053.183733260539"/>
    <x v="1"/>
    <x v="3"/>
  </r>
  <r>
    <x v="497"/>
    <m/>
    <d v="1899-12-31T00:29:00"/>
    <n v="1.0201388888890506"/>
    <d v="1902-01-24T16:32:00"/>
    <n v="755.68888888888614"/>
    <n v="717.60555555555766"/>
    <n v="695.08611111110804"/>
    <n v="835"/>
    <n v="30"/>
    <n v="1.2253233492169604"/>
    <n v="29.407760381207048"/>
    <n v="10733.832539140572"/>
    <n v="-178924"/>
    <n v="-9.8653914015174156"/>
    <n v="-236.76939363641796"/>
    <n v="-86420.828677292549"/>
    <n v="312"/>
    <n v="15"/>
    <n v="0.6126616746084802"/>
    <n v="14.703880190603524"/>
    <n v="5366.9162695702862"/>
    <n v="-119120"/>
    <n v="-6.5679585955419872"/>
    <n v="-157.63100629300769"/>
    <n v="-57535.317296947804"/>
    <n v="45"/>
    <n v="1.8379850238254405"/>
    <n v="44.111640571810568"/>
    <n v="16100.748808710858"/>
    <n v="-298044"/>
    <n v="-418.91398090873076"/>
    <n v="-434.79648804504831"/>
    <n v="-16.433349997059402"/>
    <n v="-394.40039992942565"/>
    <n v="-143956.14597424035"/>
    <n v="-48221.979599999999"/>
    <n v="-63.811947362230427"/>
    <n v="-67.78989491286589"/>
    <n v="-70.371055065120146"/>
    <n v="-47657.235599999993"/>
    <n v="-63.064623948715152"/>
    <n v="-23291.360787214104"/>
    <n v="-23018.58774128103"/>
    <x v="1"/>
    <x v="3"/>
  </r>
  <r>
    <x v="498"/>
    <m/>
    <d v="1899-12-30T22:56:00"/>
    <n v="0.95555555555620231"/>
    <d v="1902-01-25T15:28:00"/>
    <n v="756.64444444444234"/>
    <n v="718.56111111111386"/>
    <n v="696.04166666666424"/>
    <n v="863"/>
    <n v="28"/>
    <n v="1.2209302325573133"/>
    <n v="29.302325581375516"/>
    <n v="10695.348837202064"/>
    <n v="-178896"/>
    <n v="-9.8513906428970284"/>
    <n v="-236.4333754295287"/>
    <n v="-86298.182031777978"/>
    <n v="326"/>
    <n v="14"/>
    <n v="0.61046511627865663"/>
    <n v="14.651162790687758"/>
    <n v="5347.6744186010319"/>
    <n v="-119106"/>
    <n v="-6.5588930658756679"/>
    <n v="-157.41343358101602"/>
    <n v="-57455.903257070851"/>
    <n v="42"/>
    <n v="1.8313953488359698"/>
    <n v="43.953488372063276"/>
    <n v="16043.023255803097"/>
    <n v="-298002"/>
    <n v="-418.29845138045778"/>
    <n v="-434.13923974857977"/>
    <n v="-16.410283708772695"/>
    <n v="-393.84680901054475"/>
    <n v="-143754.08528884884"/>
    <n v="-48215.057999999997"/>
    <n v="-63.722212399776964"/>
    <n v="-67.690114101483417"/>
    <n v="-70.264502460341461"/>
    <n v="-47650.519799999995"/>
    <n v="-62.976104760786093"/>
    <n v="-23258.607525918596"/>
    <n v="-22986.278237686929"/>
    <x v="1"/>
    <x v="3"/>
  </r>
  <r>
    <x v="499"/>
    <m/>
    <d v="1899-12-31T00:21:00"/>
    <n v="1.0145833333299379"/>
    <d v="1902-01-26T15:49:00"/>
    <n v="757.65902777777228"/>
    <n v="719.5756944444438"/>
    <n v="697.05624999999418"/>
    <n v="890"/>
    <n v="27"/>
    <n v="1.1088295687922118"/>
    <n v="26.611909651013086"/>
    <n v="9713.3470226197769"/>
    <n v="-178869"/>
    <n v="-9.8367137812102872"/>
    <n v="-236.08113074904688"/>
    <n v="-86169.612723402111"/>
    <n v="341"/>
    <n v="15"/>
    <n v="0.61601642710678439"/>
    <n v="14.784394250562825"/>
    <n v="5396.3039014554306"/>
    <n v="-119091"/>
    <n v="-6.5492851244101224"/>
    <n v="-157.18284298584294"/>
    <n v="-57371.737689832669"/>
    <n v="42"/>
    <n v="1.7248459958989963"/>
    <n v="41.396303901575912"/>
    <n v="15109.650924075208"/>
    <n v="-297960"/>
    <n v="-417.65029352753254"/>
    <n v="-433.4470855113953"/>
    <n v="-16.385998905620408"/>
    <n v="-393.26397373488982"/>
    <n v="-143541.35041323479"/>
    <n v="-48208.181700000001"/>
    <n v="-63.627806087647997"/>
    <n v="-67.58511672291452"/>
    <n v="-70.152365895866239"/>
    <n v="-47643.803999999996"/>
    <n v="-62.882909400208881"/>
    <n v="-23224.149221991516"/>
    <n v="-22952.261931076242"/>
    <x v="1"/>
    <x v="3"/>
  </r>
  <r>
    <x v="500"/>
    <m/>
    <d v="1899-12-31T09:39:00"/>
    <n v="1.4020833333343035"/>
    <d v="1902-01-28T01:28:00"/>
    <n v="759.06111111110658"/>
    <n v="720.9777777777781"/>
    <n v="698.45833333332848"/>
    <n v="942"/>
    <n v="52"/>
    <n v="1.5453194650806543"/>
    <n v="37.087667161935705"/>
    <n v="13536.998514106532"/>
    <n v="-178817"/>
    <n v="-9.815689704386326"/>
    <n v="-235.5765529052718"/>
    <n v="-85985.441810424207"/>
    <n v="355"/>
    <n v="14"/>
    <n v="0.41604754829094542"/>
    <n v="9.9851411589826906"/>
    <n v="3644.576523028682"/>
    <n v="-119077"/>
    <n v="-6.5364192606363511"/>
    <n v="-156.87406225527243"/>
    <n v="-57259.032723174438"/>
    <n v="66"/>
    <n v="1.9613670133715999"/>
    <n v="47.072808320918398"/>
    <n v="17181.575037135215"/>
    <n v="-297894"/>
    <n v="-416.74654789791623"/>
    <n v="-432.48249120086206"/>
    <n v="-16.352108965022676"/>
    <n v="-392.45061516054426"/>
    <n v="-143244.47453359867"/>
    <n v="-48196.942499999997"/>
    <n v="-63.495470647218063"/>
    <n v="-67.438095318086525"/>
    <n v="-69.995450790431789"/>
    <n v="-47633.250599999999"/>
    <n v="-62.752853364171024"/>
    <n v="-23175.846786234593"/>
    <n v="-22904.791477922427"/>
    <x v="1"/>
    <x v="3"/>
  </r>
  <r>
    <x v="501"/>
    <m/>
    <d v="1899-12-30T13:31:00"/>
    <n v="0.56319444444670808"/>
    <d v="1902-01-28T14:59:00"/>
    <n v="759.62430555555329"/>
    <n v="721.54097222222481"/>
    <n v="699.02152777777519"/>
    <n v="956"/>
    <n v="14"/>
    <n v="1.0357583230537901"/>
    <n v="24.858199753290965"/>
    <n v="9073.2429099512028"/>
    <n v="-178803"/>
    <n v="-9.8076443124754036"/>
    <n v="-235.38346349940969"/>
    <n v="-85914.964177284535"/>
    <n v="373"/>
    <n v="18"/>
    <n v="1.3316892724977303"/>
    <n v="31.960542539945525"/>
    <n v="11665.598027080117"/>
    <n v="-119059"/>
    <n v="-6.5305857519113717"/>
    <n v="-156.73405804587293"/>
    <n v="-57207.931186743619"/>
    <n v="32"/>
    <n v="2.3674475955515204"/>
    <n v="56.81874229323649"/>
    <n v="20738.84093703132"/>
    <n v="-297862"/>
    <n v="-416.37690937316682"/>
    <n v="-432.08826623723201"/>
    <n v="-16.338230064386774"/>
    <n v="-392.11752154528261"/>
    <n v="-143122.89536402814"/>
    <n v="-48192.001100000001"/>
    <n v="-63.441889296518298"/>
    <n v="-67.378608522076831"/>
    <n v="-69.931987152676967"/>
    <n v="-47628.133799999996"/>
    <n v="-62.699591695090682"/>
    <n v="-23156.289593229179"/>
    <n v="-22885.350968708099"/>
    <x v="1"/>
    <x v="3"/>
  </r>
  <r>
    <x v="502"/>
    <m/>
    <d v="1899-12-30T23:41:00"/>
    <n v="0.98680555555620231"/>
    <d v="1902-01-29T14:40:00"/>
    <n v="760.61111111110949"/>
    <n v="722.52777777778101"/>
    <n v="700.00833333333139"/>
    <n v="996"/>
    <n v="40"/>
    <n v="1.688951442644917"/>
    <n v="40.534834623478005"/>
    <n v="14795.214637569472"/>
    <n v="-178763"/>
    <n v="-9.7927287999415888"/>
    <n v="-235.02549119859813"/>
    <n v="-85784.304287488325"/>
    <n v="393"/>
    <n v="20"/>
    <n v="0.84447572132245852"/>
    <n v="20.267417311739003"/>
    <n v="7397.607318784736"/>
    <n v="-119039"/>
    <n v="-6.5210174567234089"/>
    <n v="-156.50441896136181"/>
    <n v="-57124.11292089706"/>
    <n v="60"/>
    <n v="2.5334271639673753"/>
    <n v="60.802251935217015"/>
    <n v="22192.821956354212"/>
    <n v="-297802"/>
    <n v="-415.72519318749573"/>
    <n v="-431.39343579243223"/>
    <n v="-16.313746256664999"/>
    <n v="-391.52991015995991"/>
    <n v="-142908.41720838536"/>
    <n v="-48182.113100000002"/>
    <n v="-63.346580658827101"/>
    <n v="-67.272899665525827"/>
    <n v="-69.819278103832289"/>
    <n v="-47618.539799999999"/>
    <n v="-62.605632634577589"/>
    <n v="-23121.501940471891"/>
    <n v="-22851.055911620817"/>
    <x v="1"/>
    <x v="3"/>
  </r>
  <r>
    <x v="503"/>
    <m/>
    <d v="1899-12-31T00:00:00"/>
    <n v="1"/>
    <d v="1902-01-30T14:40:00"/>
    <n v="761.61111111110949"/>
    <n v="723.52777777778101"/>
    <n v="701.00833333333139"/>
    <n v="1039"/>
    <n v="43"/>
    <n v="1.7916666666666667"/>
    <n v="43"/>
    <n v="15695"/>
    <n v="-178720"/>
    <n v="-9.7775184185571735"/>
    <n v="-234.66044204537215"/>
    <n v="-85651.061346560833"/>
    <n v="418"/>
    <n v="25"/>
    <n v="1.0416666666666667"/>
    <n v="25"/>
    <n v="9125"/>
    <n v="-119014"/>
    <n v="-6.5110876066817553"/>
    <n v="-156.26610256036213"/>
    <n v="-57037.12743453218"/>
    <n v="68"/>
    <n v="2.8333333333333335"/>
    <n v="68"/>
    <n v="24820"/>
    <n v="-297734"/>
    <n v="-415.0566284025013"/>
    <n v="-430.68104278361051"/>
    <n v="-16.288606025238927"/>
    <n v="-390.92654460573431"/>
    <n v="-142688.18878109302"/>
    <n v="-48171.0124"/>
    <n v="-63.248830928587196"/>
    <n v="-67.164578185587288"/>
    <n v="-69.703844414593462"/>
    <n v="-47607.666599999997"/>
    <n v="-62.509154482456907"/>
    <n v="-23085.823288934324"/>
    <n v="-22815.84138609677"/>
    <x v="1"/>
    <x v="3"/>
  </r>
  <r>
    <x v="504"/>
    <m/>
    <d v="1899-12-31T03:13:00"/>
    <n v="1.1340277777781012"/>
    <d v="1902-01-31T17:53:00"/>
    <n v="762.7451388888876"/>
    <n v="724.66180555555911"/>
    <n v="702.14236111110949"/>
    <n v="1101"/>
    <n v="62"/>
    <n v="2.278015921616007"/>
    <n v="54.672382118784164"/>
    <n v="19955.419473356218"/>
    <n v="-178658"/>
    <n v="-9.759594592995164"/>
    <n v="-234.23027023188396"/>
    <n v="-85494.048634637642"/>
    <n v="444"/>
    <n v="26"/>
    <n v="0.95529699938735768"/>
    <n v="22.927127985296586"/>
    <n v="8368.4017146332535"/>
    <n v="-118988"/>
    <n v="-6.4999867984154571"/>
    <n v="-155.99968316197095"/>
    <n v="-56939.8843541194"/>
    <n v="88"/>
    <n v="3.2333129210033644"/>
    <n v="77.59951010408075"/>
    <n v="28323.821187989473"/>
    <n v="-297646"/>
    <n v="-414.2856677396428"/>
    <n v="-429.86012056355401"/>
    <n v="-16.25958139141062"/>
    <n v="-390.22995339385494"/>
    <n v="-142433.93298875706"/>
    <n v="-48156.358999999997"/>
    <n v="-63.135582968317209"/>
    <n v="-67.039250899605136"/>
    <n v="-69.570396411775619"/>
    <n v="-47593.595399999998"/>
    <n v="-62.397769547677399"/>
    <n v="-23044.487783435783"/>
    <n v="-22775.185884902254"/>
    <x v="1"/>
    <x v="3"/>
  </r>
  <r>
    <x v="505"/>
    <m/>
    <d v="1899-12-30T22:17:00"/>
    <n v="0.92847222222189885"/>
    <d v="1902-02-01T16:10:00"/>
    <n v="763.67361111110949"/>
    <n v="725.59027777778101"/>
    <n v="703.07083333333139"/>
    <n v="1147"/>
    <n v="46"/>
    <n v="2.0643231114442493"/>
    <n v="49.543754674661983"/>
    <n v="18083.470456251624"/>
    <n v="-178612"/>
    <n v="-9.7452191072029599"/>
    <n v="-233.88525857287104"/>
    <n v="-85368.119379097931"/>
    <n v="469"/>
    <n v="25"/>
    <n v="1.1219147344805702"/>
    <n v="26.925953627533687"/>
    <n v="9827.9730740497962"/>
    <n v="-118963"/>
    <n v="-6.4907201120315863"/>
    <n v="-155.77728268875808"/>
    <n v="-56858.708181396702"/>
    <n v="71"/>
    <n v="3.1862378459248197"/>
    <n v="76.46970830219567"/>
    <n v="27911.443530301418"/>
    <n v="-297575"/>
    <n v="-413.65769249174338"/>
    <n v="-429.19146363868151"/>
    <n v="-16.235939219234545"/>
    <n v="-389.66254126162909"/>
    <n v="-142226.82756049462"/>
    <n v="-48144.7186"/>
    <n v="-63.043580267166334"/>
    <n v="-66.937424173804558"/>
    <n v="-69.461965544012472"/>
    <n v="-47582.242499999993"/>
    <n v="-62.307040347734485"/>
    <n v="-23010.906797515716"/>
    <n v="-22742.069726923088"/>
    <x v="1"/>
    <x v="3"/>
  </r>
  <r>
    <x v="506"/>
    <m/>
    <d v="1899-12-31T00:24:00"/>
    <n v="1.0166666666627862"/>
    <d v="1902-02-02T16:34:00"/>
    <n v="764.69027777777228"/>
    <n v="726.6069444444438"/>
    <n v="704.08749999999418"/>
    <n v="1198"/>
    <n v="51"/>
    <n v="2.0901639344342073"/>
    <n v="50.16393442642098"/>
    <n v="18309.836065643656"/>
    <n v="-178561"/>
    <n v="-9.7294837960903529"/>
    <n v="-233.50761110616847"/>
    <n v="-85230.278053751492"/>
    <n v="494"/>
    <n v="25"/>
    <n v="1.024590163938337"/>
    <n v="24.590163934520088"/>
    <n v="8975.4098360998323"/>
    <n v="-118938"/>
    <n v="-6.4807283994791387"/>
    <n v="-155.53748158749931"/>
    <n v="-56771.180779437251"/>
    <n v="76"/>
    <n v="3.1147540983725444"/>
    <n v="74.754098360941072"/>
    <n v="27285.245901743492"/>
    <n v="-297499"/>
    <n v="-412.97430790374631"/>
    <n v="-428.4637917872459"/>
    <n v="-16.210212195569493"/>
    <n v="-389.04509269366781"/>
    <n v="-142001.45883318875"/>
    <n v="-48132.178700000004"/>
    <n v="-62.943364259677125"/>
    <n v="-66.826507331451239"/>
    <n v="-69.343855841781604"/>
    <n v="-47570.090099999994"/>
    <n v="-62.208310321717477"/>
    <n v="-22974.327954782148"/>
    <n v="-22706.033267426879"/>
    <x v="1"/>
    <x v="3"/>
  </r>
  <r>
    <x v="507"/>
    <m/>
    <d v="1899-12-31T22:02:00"/>
    <n v="1.9180555555576575"/>
    <d v="1902-02-04T14:36:00"/>
    <n v="766.60833333332994"/>
    <n v="728.52500000000146"/>
    <n v="706.00555555555184"/>
    <n v="1302"/>
    <n v="104"/>
    <n v="2.2592324402582049"/>
    <n v="54.221578566196918"/>
    <n v="19790.876176661874"/>
    <n v="-178457"/>
    <n v="-9.6994880045221255"/>
    <n v="-232.78771210853103"/>
    <n v="-84967.514919613823"/>
    <n v="551"/>
    <n v="57"/>
    <n v="1.2382331643722853"/>
    <n v="29.71759594493485"/>
    <n v="10846.92251990122"/>
    <n v="-118881"/>
    <n v="-6.4614155424869573"/>
    <n v="-155.07397301968697"/>
    <n v="-56602.000152185748"/>
    <n v="161"/>
    <n v="3.4974656046304902"/>
    <n v="83.939174511131768"/>
    <n v="30637.798696563095"/>
    <n v="-297338"/>
    <n v="-411.66603754160724"/>
    <n v="-427.07171016910701"/>
    <n v="-16.160903547009084"/>
    <n v="-387.86168512821797"/>
    <n v="-141569.51507179957"/>
    <n v="-48105.796900000001"/>
    <n v="-62.751466176774599"/>
    <n v="-66.614354346110161"/>
    <n v="-69.118096757186734"/>
    <n v="-47544.346199999993"/>
    <n v="-62.01908345200205"/>
    <n v="-22904.285154522728"/>
    <n v="-22636.965459980751"/>
    <x v="1"/>
    <x v="3"/>
  </r>
  <r>
    <x v="508"/>
    <m/>
    <d v="1899-12-31T00:19:00"/>
    <n v="1.0131944444437977"/>
    <d v="1902-02-05T14:55:00"/>
    <n v="767.62152777777374"/>
    <n v="729.53819444444525"/>
    <n v="707.01874999999563"/>
    <n v="1358"/>
    <n v="56"/>
    <n v="2.3029472241275837"/>
    <n v="55.270733379062008"/>
    <n v="20173.817683357633"/>
    <n v="-178401"/>
    <n v="-9.6836458215538226"/>
    <n v="-232.40749971729173"/>
    <n v="-84828.737396811484"/>
    <n v="575"/>
    <n v="24"/>
    <n v="0.98697738176896455"/>
    <n v="23.687457162455146"/>
    <n v="8645.9218642961278"/>
    <n v="-118857"/>
    <n v="-6.4515843039692751"/>
    <n v="-154.83802329526262"/>
    <n v="-56515.878502770858"/>
    <n v="80"/>
    <n v="3.2899246058965481"/>
    <n v="78.958190541517155"/>
    <n v="28819.73954765376"/>
    <n v="-297258"/>
    <n v="-410.98465067798742"/>
    <n v="-426.3465431433068"/>
    <n v="-16.135230125523098"/>
    <n v="-387.24552301255432"/>
    <n v="-141344.61589958234"/>
    <n v="-48092.492100000003"/>
    <n v="-62.651307134683137"/>
    <n v="-66.503601962809356"/>
    <n v="-69.000228777525777"/>
    <n v="-47531.554199999999"/>
    <n v="-61.920559129707435"/>
    <n v="-22867.727104159341"/>
    <n v="-22601.004082343214"/>
    <x v="1"/>
    <x v="3"/>
  </r>
  <r>
    <x v="509"/>
    <m/>
    <d v="1899-12-31T00:27:00"/>
    <n v="1.0187500000029104"/>
    <d v="1902-02-06T15:22:00"/>
    <n v="768.64027777777665"/>
    <n v="730.55694444444816"/>
    <n v="708.03749999999854"/>
    <n v="1407"/>
    <n v="49"/>
    <n v="2.0040899795443767"/>
    <n v="48.098159509065049"/>
    <n v="17555.828220808744"/>
    <n v="-178352"/>
    <n v="-9.668154985083703"/>
    <n v="-232.03571964200887"/>
    <n v="-84693.037669333236"/>
    <n v="599"/>
    <n v="24"/>
    <n v="0.98159509202173567"/>
    <n v="23.558282208521657"/>
    <n v="8598.7730061104048"/>
    <n v="-118833"/>
    <n v="-6.441732424320735"/>
    <n v="-154.60157818369763"/>
    <n v="-56429.576037049635"/>
    <n v="73"/>
    <n v="2.9856850715661127"/>
    <n v="71.656441717586702"/>
    <n v="26154.601226919145"/>
    <n v="-297185"/>
    <n v="-410.31161537715496"/>
    <n v="-425.62999841110201"/>
    <n v="-16.109887409404436"/>
    <n v="-386.63729782570647"/>
    <n v="-141122.61370638286"/>
    <n v="-48080.446599999996"/>
    <n v="-62.552598387123091"/>
    <n v="-66.394375645673335"/>
    <n v="-68.883936232191232"/>
    <n v="-47519.881499999996"/>
    <n v="-61.82330392233046"/>
    <n v="-22831.698411299931"/>
    <n v="-22565.505931650619"/>
    <x v="1"/>
    <x v="3"/>
  </r>
  <r>
    <x v="510"/>
    <m/>
    <d v="1899-12-30T23:31:00"/>
    <n v="0.97986111111094942"/>
    <d v="1902-02-07T14:53:00"/>
    <n v="769.6201388888876"/>
    <n v="731.53680555555911"/>
    <n v="709.01736111110949"/>
    <n v="1459"/>
    <n v="52"/>
    <n v="2.2111977321052549"/>
    <n v="53.068745570526119"/>
    <n v="19370.092133242033"/>
    <n v="-178300"/>
    <n v="-9.653030490330293"/>
    <n v="-231.67273176792702"/>
    <n v="-84560.547095293368"/>
    <n v="625"/>
    <n v="26"/>
    <n v="1.1055988660526275"/>
    <n v="26.534372785263059"/>
    <n v="9685.0460666210165"/>
    <n v="-118807"/>
    <n v="-6.4321233508955196"/>
    <n v="-154.37096042149247"/>
    <n v="-56345.400553844753"/>
    <n v="78"/>
    <n v="3.3167965981578824"/>
    <n v="79.603118355789178"/>
    <n v="29055.13819986305"/>
    <n v="-297107"/>
    <n v="-409.65539631654241"/>
    <n v="-424.93176687218812"/>
    <n v="-16.085153841225811"/>
    <n v="-386.04369218941952"/>
    <n v="-140905.94764913814"/>
    <n v="-48067.592199999999"/>
    <n v="-62.456255717782959"/>
    <n v="-66.287871548955309"/>
    <n v="-68.770608837544287"/>
    <n v="-47507.409299999999"/>
    <n v="-61.728386381088178"/>
    <n v="-22796.533336990782"/>
    <n v="-22530.861029097185"/>
    <x v="1"/>
    <x v="3"/>
  </r>
  <r>
    <x v="511"/>
    <m/>
    <d v="1899-12-30T23:36:00"/>
    <n v="0.98333333332993789"/>
    <d v="1902-02-08T14:29:00"/>
    <n v="770.60347222221753"/>
    <n v="732.52013888888905"/>
    <n v="710.00069444443943"/>
    <n v="1503"/>
    <n v="44"/>
    <n v="1.8644067796674548"/>
    <n v="44.745762712018916"/>
    <n v="16332.203389886905"/>
    <n v="-178256"/>
    <n v="-9.6383335931706355"/>
    <n v="-231.32000623609522"/>
    <n v="-84431.802276174756"/>
    <n v="648"/>
    <n v="23"/>
    <n v="0.97457627118980583"/>
    <n v="23.389830508555342"/>
    <n v="8537.288135622699"/>
    <n v="-118784"/>
    <n v="-6.4226719859706307"/>
    <n v="-154.14412766329514"/>
    <n v="-56262.606597102727"/>
    <n v="67"/>
    <n v="2.8389830508572604"/>
    <n v="68.13559322057425"/>
    <n v="24869.491525509602"/>
    <n v="-297040"/>
    <n v="-409.01401080175071"/>
    <n v="-424.24888082073772"/>
    <n v="-16.061005579141266"/>
    <n v="-385.46413389939033"/>
    <n v="-140694.40887327748"/>
    <n v="-48056.580800000003"/>
    <n v="-62.36226870535306"/>
    <n v="-66.183854649426578"/>
    <n v="-68.659854252881701"/>
    <n v="-47496.695999999996"/>
    <n v="-61.635715010512513"/>
    <n v="-22762.228077453867"/>
    <n v="-22497.035978837066"/>
    <x v="1"/>
    <x v="3"/>
  </r>
  <r>
    <x v="512"/>
    <m/>
    <d v="1899-12-31T00:35:00"/>
    <n v="1.0243055555547471"/>
    <d v="1902-02-09T15:04:00"/>
    <n v="771.62777777777228"/>
    <n v="733.5444444444438"/>
    <n v="711.02499999999418"/>
    <n v="1548"/>
    <n v="45"/>
    <n v="1.8305084745777158"/>
    <n v="43.93220338986518"/>
    <n v="16035.254237300791"/>
    <n v="-178211"/>
    <n v="-9.6231091559690523"/>
    <n v="-230.95461974325724"/>
    <n v="-84298.436206288898"/>
    <n v="668"/>
    <n v="20"/>
    <n v="0.8135593220345404"/>
    <n v="19.525423728828969"/>
    <n v="7126.7796610225732"/>
    <n v="-118764"/>
    <n v="-6.4130661732413179"/>
    <n v="-153.91358815779162"/>
    <n v="-56178.459677593943"/>
    <n v="65"/>
    <n v="2.6440677966122563"/>
    <n v="63.457627118694155"/>
    <n v="23162.033898323367"/>
    <n v="-296975"/>
    <n v="-408.35426165194906"/>
    <n v="-423.54628880841386"/>
    <n v="-16.036175329210369"/>
    <n v="-384.86820790104889"/>
    <n v="-140476.89588388285"/>
    <n v="-48045.793300000005"/>
    <n v="-62.265505057850739"/>
    <n v="-66.076730956239942"/>
    <n v="-68.545770823811267"/>
    <n v="-47486.302499999998"/>
    <n v="-61.540426443377712"/>
    <n v="-22726.909346115517"/>
    <n v="-22462.255651832867"/>
    <x v="1"/>
    <x v="3"/>
  </r>
  <r>
    <x v="513"/>
    <m/>
    <d v="1899-12-31T02:59:00"/>
    <n v="1.1243055555605679"/>
    <d v="1902-02-10T18:03:00"/>
    <n v="772.75208333333285"/>
    <n v="734.66875000000437"/>
    <n v="712.14930555555475"/>
    <n v="1601"/>
    <n v="53"/>
    <n v="1.9641754169152705"/>
    <n v="47.140210005966495"/>
    <n v="17206.176652177772"/>
    <n v="-178158"/>
    <n v="-9.6062503875488368"/>
    <n v="-230.55000930117208"/>
    <n v="-84150.753394927815"/>
    <n v="693"/>
    <n v="25"/>
    <n v="0.92649783816758047"/>
    <n v="22.23594811602193"/>
    <n v="8116.1210623480047"/>
    <n v="-118739"/>
    <n v="-6.4023875703990916"/>
    <n v="-153.65730168957819"/>
    <n v="-56084.915116696036"/>
    <n v="78"/>
    <n v="2.8906732550828509"/>
    <n v="69.376158121988425"/>
    <n v="25322.297714525776"/>
    <n v="-296897"/>
    <n v="-407.62316350055482"/>
    <n v="-422.76808760647344"/>
    <n v="-16.008637957947929"/>
    <n v="-384.20731099075027"/>
    <n v="-140235.66851162384"/>
    <n v="-48032.893600000003"/>
    <n v="-62.158219480698087"/>
    <n v="-65.95805143474486"/>
    <n v="-68.419440445833558"/>
    <n v="-47473.830299999994"/>
    <n v="-61.434749027420963"/>
    <n v="-22687.750110454799"/>
    <n v="-22423.683395008651"/>
    <x v="1"/>
    <x v="3"/>
  </r>
  <r>
    <x v="514"/>
    <m/>
    <d v="1899-12-30T20:33:00"/>
    <n v="0.85624999999708962"/>
    <d v="1902-02-11T14:36:00"/>
    <n v="773.60833333332994"/>
    <n v="735.52500000000146"/>
    <n v="713.00555555555184"/>
    <n v="1636"/>
    <n v="35"/>
    <n v="1.7031630170374192"/>
    <n v="40.87591240889806"/>
    <n v="14919.708029247791"/>
    <n v="-178123"/>
    <n v="-9.5937328320748438"/>
    <n v="-230.24958796979624"/>
    <n v="-84041.099608975623"/>
    <n v="714"/>
    <n v="21"/>
    <n v="1.0218978102224516"/>
    <n v="24.525547445338837"/>
    <n v="8951.8248175486751"/>
    <n v="-118718"/>
    <n v="-6.3941701765536241"/>
    <n v="-153.46008423728699"/>
    <n v="-56012.930746609753"/>
    <n v="56"/>
    <n v="2.7250608272598709"/>
    <n v="65.401459854236904"/>
    <n v="23871.532846796472"/>
    <n v="-296841"/>
    <n v="-407.07249923523932"/>
    <n v="-422.18184368206795"/>
    <n v="-15.987903008628468"/>
    <n v="-383.7096722070832"/>
    <n v="-140054.03035558536"/>
    <n v="-48023.770499999999"/>
    <n v="-62.077628214105168"/>
    <n v="-65.86886387274383"/>
    <n v="-68.324480111578112"/>
    <n v="-47464.875899999999"/>
    <n v="-61.355176585912602"/>
    <n v="-22658.334298148387"/>
    <n v="-22394.639453858097"/>
    <x v="1"/>
    <x v="3"/>
  </r>
  <r>
    <x v="515"/>
    <m/>
    <d v="1899-12-31T00:12:00"/>
    <n v="1.0083333333313931"/>
    <d v="1902-02-12T14:48:00"/>
    <n v="774.61666666666133"/>
    <n v="736.53333333333285"/>
    <n v="714.01388888888323"/>
    <n v="1682"/>
    <n v="46"/>
    <n v="1.9008264462846494"/>
    <n v="45.619834710831583"/>
    <n v="16651.239669453527"/>
    <n v="-178077"/>
    <n v="-9.5787701443725517"/>
    <n v="-229.89048346494124"/>
    <n v="-83910.026464703551"/>
    <n v="734"/>
    <n v="20"/>
    <n v="0.82644628099332584"/>
    <n v="19.834710743839818"/>
    <n v="7239.6694215015332"/>
    <n v="-118698"/>
    <n v="-6.3847709619812392"/>
    <n v="-153.23450308754974"/>
    <n v="-55930.593626955655"/>
    <n v="66"/>
    <n v="2.7272727272779753"/>
    <n v="65.454545454671404"/>
    <n v="23890.909090955061"/>
    <n v="-296775"/>
    <n v="-406.42559739319358"/>
    <n v="-421.4932015794933"/>
    <n v="-15.963541106353791"/>
    <n v="-383.12498655249095"/>
    <n v="-139840.62009165919"/>
    <n v="-48012.803099999997"/>
    <n v="-61.982662090927121"/>
    <n v="-65.763797112599605"/>
    <n v="-68.212631795989566"/>
    <n v="-47454.322499999995"/>
    <n v="-61.261685349743296"/>
    <n v="-22623.671663188401"/>
    <n v="-22360.515152656302"/>
    <x v="1"/>
    <x v="3"/>
  </r>
  <r>
    <x v="516"/>
    <m/>
    <d v="1899-12-31T03:35:00"/>
    <n v="1.1493055555620231"/>
    <d v="1902-02-13T18:23:00"/>
    <n v="775.76597222222335"/>
    <n v="737.68263888889487"/>
    <n v="715.16319444444525"/>
    <n v="1727"/>
    <n v="45"/>
    <n v="1.6314199395678588"/>
    <n v="39.154078549628608"/>
    <n v="14291.238670614443"/>
    <n v="-178032"/>
    <n v="-9.562162128290753"/>
    <n v="-229.49189107897806"/>
    <n v="-83764.540243826996"/>
    <n v="753"/>
    <n v="19"/>
    <n v="0.68882175226198483"/>
    <n v="16.531722054287634"/>
    <n v="6034.0785498149862"/>
    <n v="-118679"/>
    <n v="-6.3742913589883736"/>
    <n v="-152.98299261572097"/>
    <n v="-55838.792304738156"/>
    <n v="64"/>
    <n v="2.3202416918298434"/>
    <n v="55.685800603916242"/>
    <n v="20325.317220429428"/>
    <n v="-296711"/>
    <n v="-405.70563033824629"/>
    <n v="-420.72634936664565"/>
    <n v="-15.936453487279126"/>
    <n v="-382.47488369469903"/>
    <n v="-139603.33254856514"/>
    <n v="-48002.150200000004"/>
    <n v="-61.877102011184199"/>
    <n v="-65.646896439016928"/>
    <n v="-68.08811468244906"/>
    <n v="-47444.088899999995"/>
    <n v="-61.157733902782368"/>
    <n v="-22585.142234082232"/>
    <n v="-22322.572874515565"/>
    <x v="2"/>
    <x v="3"/>
  </r>
  <r>
    <x v="517"/>
    <m/>
    <d v="1899-12-30T20:38:00"/>
    <n v="0.85972222221607808"/>
    <d v="1902-02-14T15:01:00"/>
    <n v="776.62569444443943"/>
    <n v="738.54236111111095"/>
    <n v="716.02291666666133"/>
    <n v="1755"/>
    <n v="28"/>
    <n v="1.3570274636607482"/>
    <n v="32.568659127857956"/>
    <n v="11887.560581668155"/>
    <n v="-178004"/>
    <n v="-9.5500746194587069"/>
    <n v="-229.20179086700895"/>
    <n v="-83658.653666458267"/>
    <n v="769"/>
    <n v="16"/>
    <n v="0.77544426494899898"/>
    <n v="18.610662358775976"/>
    <n v="6792.8917609532309"/>
    <n v="-118663"/>
    <n v="-6.3663766239456896"/>
    <n v="-152.79303897469654"/>
    <n v="-55769.459225764236"/>
    <n v="44"/>
    <n v="2.1324717286097474"/>
    <n v="51.179321486633938"/>
    <n v="18680.452342621389"/>
    <n v="-296667"/>
    <n v="-405.17377980838768"/>
    <n v="-420.1597365075055"/>
    <n v="-15.916451243404396"/>
    <n v="-381.9948298417055"/>
    <n v="-139428.1128922225"/>
    <n v="-47994.9594"/>
    <n v="-61.799345222969066"/>
    <n v="-65.560741738841827"/>
    <n v="-67.996319205333208"/>
    <n v="-47437.0533"/>
    <n v="-61.080973291688707"/>
    <n v="-22556.761006383709"/>
    <n v="-22294.555251466376"/>
    <x v="2"/>
    <x v="3"/>
  </r>
  <r>
    <x v="518"/>
    <m/>
    <d v="1899-12-31T00:14:00"/>
    <n v="1.0097222222248092"/>
    <d v="1902-02-15T15:15:00"/>
    <n v="777.63541666666424"/>
    <n v="739.55208333333576"/>
    <n v="717.03263888888614"/>
    <n v="1788"/>
    <n v="33"/>
    <n v="1.3617606602441039"/>
    <n v="32.682255845858492"/>
    <n v="11929.023383738349"/>
    <n v="-177971"/>
    <n v="-9.5359061256748188"/>
    <n v="-228.86174701619564"/>
    <n v="-83534.537660911403"/>
    <n v="786"/>
    <n v="17"/>
    <n v="0.70151306739847774"/>
    <n v="16.836313617563466"/>
    <n v="6145.2544704106649"/>
    <n v="-118646"/>
    <n v="-6.3571993088020777"/>
    <n v="-152.57278341124984"/>
    <n v="-55689.065945106195"/>
    <n v="50"/>
    <n v="2.0632737276425814"/>
    <n v="49.518569463421962"/>
    <n v="18074.277854149015"/>
    <n v="-296617"/>
    <n v="-404.55298111187665"/>
    <n v="-419.49833757374063"/>
    <n v="-15.893105434476896"/>
    <n v="-381.43453042744551"/>
    <n v="-139223.6036060176"/>
    <n v="-47986.734499999999"/>
    <n v="-61.708524935367826"/>
    <n v="-65.460109153907695"/>
    <n v="-67.889096339369587"/>
    <n v="-47429.058299999997"/>
    <n v="-60.991381415348535"/>
    <n v="-22523.611601409255"/>
    <n v="-22261.854216602213"/>
    <x v="2"/>
    <x v="3"/>
  </r>
  <r>
    <x v="519"/>
    <m/>
    <d v="1899-12-31T00:32:00"/>
    <n v="1.0222222222218988"/>
    <d v="1902-02-16T15:47:00"/>
    <n v="778.65763888888614"/>
    <n v="740.57430555555766"/>
    <n v="718.05486111110804"/>
    <n v="1820"/>
    <n v="32"/>
    <n v="1.3043478260873691"/>
    <n v="31.304347826096858"/>
    <n v="11426.086956525352"/>
    <n v="-177939"/>
    <n v="-9.5216750336896006"/>
    <n v="-228.52020080855041"/>
    <n v="-83409.873295120895"/>
    <n v="802"/>
    <n v="16"/>
    <n v="0.65217391304368455"/>
    <n v="15.652173913048429"/>
    <n v="5713.0434782626762"/>
    <n v="-118630"/>
    <n v="-6.3479973993705556"/>
    <n v="-152.35193758489334"/>
    <n v="-55608.457218486066"/>
    <n v="48"/>
    <n v="1.9565217391310536"/>
    <n v="46.956521739145288"/>
    <n v="17139.130434788029"/>
    <n v="-296569"/>
    <n v="-403.92975796749215"/>
    <n v="-418.83429287649392"/>
    <n v="-15.869672433060156"/>
    <n v="-380.87213839344378"/>
    <n v="-139018.33051360698"/>
    <n v="-47978.824099999998"/>
    <n v="-61.617354924384863"/>
    <n v="-65.359072461593527"/>
    <n v="-67.781433057479063"/>
    <n v="-47421.383099999999"/>
    <n v="-60.901454929111658"/>
    <n v="-22490.334547400475"/>
    <n v="-22229.031049125755"/>
    <x v="2"/>
    <x v="3"/>
  </r>
  <r>
    <x v="520"/>
    <m/>
    <d v="1899-12-31T01:40:00"/>
    <n v="1.0694444444452529"/>
    <d v="1902-02-17T17:27:00"/>
    <n v="779.72708333333139"/>
    <n v="741.64375000000291"/>
    <n v="719.12430555555329"/>
    <n v="1853"/>
    <n v="33"/>
    <n v="1.2857142857133137"/>
    <n v="30.857142857119531"/>
    <n v="11262.857142848628"/>
    <n v="-177906"/>
    <n v="-9.506852023544587"/>
    <n v="-228.16444856507007"/>
    <n v="-83280.023726250583"/>
    <n v="817"/>
    <n v="15"/>
    <n v="0.58441558441514263"/>
    <n v="14.025974025963423"/>
    <n v="5119.4805194766495"/>
    <n v="-118615"/>
    <n v="-6.3384891615389085"/>
    <n v="-152.12373987693383"/>
    <n v="-55525.165055080848"/>
    <n v="48"/>
    <n v="1.8701298701284563"/>
    <n v="44.883116883082955"/>
    <n v="16382.337662325279"/>
    <n v="-296521"/>
    <n v="-403.28257333793863"/>
    <n v="-418.14467634729488"/>
    <n v="-15.845341185083495"/>
    <n v="-380.2881884420039"/>
    <n v="-138805.18878133141"/>
    <n v="-47970.868399999999"/>
    <n v="-61.522639684291399"/>
    <n v="-65.254098076063897"/>
    <n v="-67.669568980019321"/>
    <n v="-47413.707899999994"/>
    <n v="-60.808081331876416"/>
    <n v="-22455.763484766365"/>
    <n v="-22194.949686134889"/>
    <x v="2"/>
    <x v="3"/>
  </r>
  <r>
    <x v="521"/>
    <m/>
    <d v="1899-12-30T21:14:00"/>
    <n v="0.88472222222480923"/>
    <d v="1902-02-18T14:41:00"/>
    <n v="780.6118055555562"/>
    <n v="742.52847222222772"/>
    <n v="720.0090277777781"/>
    <n v="1879"/>
    <n v="26"/>
    <n v="1.2244897959147869"/>
    <n v="29.387755101954884"/>
    <n v="10726.530612213533"/>
    <n v="-177880"/>
    <n v="-9.4946894396400179"/>
    <n v="-227.87254655136044"/>
    <n v="-83173.479491246559"/>
    <n v="839"/>
    <n v="22"/>
    <n v="1.036106750389435"/>
    <n v="24.866562009346442"/>
    <n v="9076.2951334114514"/>
    <n v="-118593"/>
    <n v="-6.3301310136902895"/>
    <n v="-151.92314432856693"/>
    <n v="-55451.947679926932"/>
    <n v="48"/>
    <n v="2.2605965463042219"/>
    <n v="54.254317111301326"/>
    <n v="19802.825745624985"/>
    <n v="-296473"/>
    <n v="-402.73741841174893"/>
    <n v="-417.56420878210423"/>
    <n v="-15.824820453330307"/>
    <n v="-379.79569087992735"/>
    <n v="-138625.42717117348"/>
    <n v="-47963.229800000001"/>
    <n v="-61.44312635121485"/>
    <n v="-65.166060575678912"/>
    <n v="-67.575809917506788"/>
    <n v="-47406.032699999996"/>
    <n v="-60.729330971700385"/>
    <n v="-22426.741118193422"/>
    <n v="-22166.205804670637"/>
    <x v="2"/>
    <x v="3"/>
  </r>
  <r>
    <x v="522"/>
    <m/>
    <d v="1899-12-30T23:51:00"/>
    <n v="0.99374999999417923"/>
    <d v="1902-02-19T14:32:00"/>
    <n v="781.60555555555038"/>
    <n v="743.5222222222219"/>
    <n v="721.00277777777228"/>
    <n v="1921"/>
    <n v="42"/>
    <n v="1.761006289318491"/>
    <n v="42.264150943643784"/>
    <n v="15426.415094429982"/>
    <n v="-177838"/>
    <n v="-9.4803787076460058"/>
    <n v="-227.52908898350412"/>
    <n v="-83048.117478979009"/>
    <n v="861"/>
    <n v="22"/>
    <n v="0.92243186583349523"/>
    <n v="22.138364780003887"/>
    <n v="8080.5031447014189"/>
    <n v="-118571"/>
    <n v="-6.3209099503159871"/>
    <n v="-151.7018388075837"/>
    <n v="-55371.171164768049"/>
    <n v="64"/>
    <n v="2.6834381551519861"/>
    <n v="64.402515723647667"/>
    <n v="23506.918239131399"/>
    <n v="-296409"/>
    <n v="-402.11306543927572"/>
    <n v="-416.8999194794319"/>
    <n v="-15.801288657961992"/>
    <n v="-379.23092779108782"/>
    <n v="-138419.28864374704"/>
    <n v="-47952.712800000001"/>
    <n v="-61.351550611633158"/>
    <n v="-65.064818446732559"/>
    <n v="-67.468084311588157"/>
    <n v="-47395.799099999997"/>
    <n v="-60.639025353794935"/>
    <n v="-22393.315973246103"/>
    <n v="-22133.244254135152"/>
    <x v="2"/>
    <x v="3"/>
  </r>
  <r>
    <x v="523"/>
    <m/>
    <d v="1899-12-31T01:26:00"/>
    <n v="1.0597222222277196"/>
    <d v="1902-02-20T15:58:00"/>
    <n v="782.6652777777781"/>
    <n v="744.58194444444962"/>
    <n v="722.0625"/>
    <n v="1972"/>
    <n v="51"/>
    <n v="2.005242463947658"/>
    <n v="48.125819134743793"/>
    <n v="17565.923984181485"/>
    <n v="-177787"/>
    <n v="-9.4648272729047243"/>
    <n v="-227.15585454971341"/>
    <n v="-82911.886910645393"/>
    <n v="884"/>
    <n v="23"/>
    <n v="0.90432503276070852"/>
    <n v="21.703800786257002"/>
    <n v="7921.887286983806"/>
    <n v="-118548"/>
    <n v="-6.3111270427438981"/>
    <n v="-151.46704902585356"/>
    <n v="-55285.472894436549"/>
    <n v="74"/>
    <n v="2.9095674967083665"/>
    <n v="69.829619921000798"/>
    <n v="25487.81127116529"/>
    <n v="-296335"/>
    <n v="-401.44137556682347"/>
    <n v="-416.18557950315937"/>
    <n v="-15.775954315648622"/>
    <n v="-378.62290357556697"/>
    <n v="-138197.35980508194"/>
    <n v="-47940.4421"/>
    <n v="-61.252803032373329"/>
    <n v="-64.955735310082204"/>
    <n v="-67.352072015926595"/>
    <n v="-47383.966499999995"/>
    <n v="-60.541802281733148"/>
    <n v="-22357.273106816265"/>
    <n v="-22097.757832832602"/>
    <x v="2"/>
    <x v="3"/>
  </r>
  <r>
    <x v="524"/>
    <m/>
    <d v="1899-12-30T23:56:00"/>
    <n v="0.99722222222044365"/>
    <d v="1902-02-21T15:54:00"/>
    <n v="783.66249999999854"/>
    <n v="745.57916666667006"/>
    <n v="723.05972222222044"/>
    <n v="2019"/>
    <n v="47"/>
    <n v="1.963788300839157"/>
    <n v="47.130919220139766"/>
    <n v="17202.785515351014"/>
    <n v="-177740"/>
    <n v="-9.4502841890907714"/>
    <n v="-226.80682053817853"/>
    <n v="-82784.48949643517"/>
    <n v="914"/>
    <n v="30"/>
    <n v="1.2534818941526535"/>
    <n v="30.083565459663681"/>
    <n v="10980.501392777243"/>
    <n v="-118518"/>
    <n v="-6.30150096502003"/>
    <n v="-151.23602316048073"/>
    <n v="-55201.148453575464"/>
    <n v="77"/>
    <n v="3.2172701949918103"/>
    <n v="77.214484679803448"/>
    <n v="28183.286908128259"/>
    <n v="-296258"/>
    <n v="-400.8011668780963"/>
    <n v="-415.50509697408683"/>
    <n v="-15.751785154110802"/>
    <n v="-378.04284369865923"/>
    <n v="-137985.63795001063"/>
    <n v="-47927.948799999998"/>
    <n v="-61.158915732219022"/>
    <n v="-64.852099631717778"/>
    <n v="-67.241903684765717"/>
    <n v="-47371.654199999997"/>
    <n v="-60.449050707415608"/>
    <n v="-22323.004242259944"/>
    <n v="-22063.903508206698"/>
    <x v="2"/>
    <x v="3"/>
  </r>
  <r>
    <x v="525"/>
    <m/>
    <d v="1899-12-30T23:51:00"/>
    <n v="0.99375000000145519"/>
    <d v="1902-02-22T15:45:00"/>
    <n v="784.65625"/>
    <n v="746.57291666667152"/>
    <n v="724.0534722222219"/>
    <n v="2059"/>
    <n v="40"/>
    <n v="1.6771488469577118"/>
    <n v="40.251572326985084"/>
    <n v="14691.823899349556"/>
    <n v="-177700"/>
    <n v="-9.4361915382266659"/>
    <n v="-226.46859691743995"/>
    <n v="-82661.037874865578"/>
    <n v="937"/>
    <n v="23"/>
    <n v="0.96436058700068428"/>
    <n v="23.144654088016424"/>
    <n v="8447.798742125995"/>
    <n v="-118495"/>
    <n v="-6.2922989100853615"/>
    <n v="-151.01517384204865"/>
    <n v="-55120.538452347755"/>
    <n v="63"/>
    <n v="2.641509433958396"/>
    <n v="63.396226415001507"/>
    <n v="23139.622641475551"/>
    <n v="-296195"/>
    <n v="-400.18328194108932"/>
    <n v="-414.84781376452224"/>
    <n v="-15.728490448312026"/>
    <n v="-377.48377075948861"/>
    <n v="-137781.57632721335"/>
    <n v="-47917.656999999999"/>
    <n v="-61.068342984587197"/>
    <n v="-64.751990757767715"/>
    <n v="-67.135401271967169"/>
    <n v="-47361.580499999996"/>
    <n v="-60.359654944442227"/>
    <n v="-22289.945189374324"/>
    <n v="-22031.274054721413"/>
    <x v="2"/>
    <x v="3"/>
  </r>
  <r>
    <x v="526"/>
    <m/>
    <d v="1899-12-30T23:55:00"/>
    <n v="0.99652777777373558"/>
    <d v="1902-02-23T15:40:00"/>
    <n v="785.65277777777374"/>
    <n v="747.56944444444525"/>
    <n v="725.04999999999563"/>
    <n v="2092"/>
    <n v="33"/>
    <n v="1.3797909407721474"/>
    <n v="33.114982578531539"/>
    <n v="12086.968641164012"/>
    <n v="-177667"/>
    <n v="-9.4224724662789736"/>
    <n v="-226.13933919069538"/>
    <n v="-82540.85880460382"/>
    <n v="960"/>
    <n v="23"/>
    <n v="0.96167247387149668"/>
    <n v="23.080139372915919"/>
    <n v="8424.2508711143109"/>
    <n v="-118472"/>
    <n v="-6.2830979192815919"/>
    <n v="-150.79435006275821"/>
    <n v="-55039.937772906749"/>
    <n v="56"/>
    <n v="2.3414634146436439"/>
    <n v="56.195121951447454"/>
    <n v="20511.21951227832"/>
    <n v="-296139"/>
    <n v="-399.57491871806741"/>
    <n v="-414.20039997241821"/>
    <n v="-15.705570385560566"/>
    <n v="-376.93368925345362"/>
    <n v="-137580.79657751057"/>
    <n v="-47908.624500000005"/>
    <n v="-60.979386638853363"/>
    <n v="-64.653592330701287"/>
    <n v="-67.030670850286597"/>
    <n v="-47352.626099999994"/>
    <n v="-60.271696911627224"/>
    <n v="-22257.476123181477"/>
    <n v="-21999.169372743938"/>
    <x v="2"/>
    <x v="3"/>
  </r>
  <r>
    <x v="527"/>
    <m/>
    <d v="1899-12-31T01:03:00"/>
    <n v="1.0437500000043656"/>
    <d v="1902-02-24T16:43:00"/>
    <n v="786.6965277777781"/>
    <n v="748.61319444444962"/>
    <n v="726.09375"/>
    <n v="2135"/>
    <n v="43"/>
    <n v="1.7165668662602853"/>
    <n v="41.197604790246849"/>
    <n v="15037.125748440099"/>
    <n v="-177624"/>
    <n v="-9.4076937404388747"/>
    <n v="-225.78464977053298"/>
    <n v="-82411.39716624454"/>
    <n v="984"/>
    <n v="24"/>
    <n v="0.9580838323313221"/>
    <n v="22.994011975951729"/>
    <n v="8392.8143712223809"/>
    <n v="-118448"/>
    <n v="-6.2734906778785735"/>
    <n v="-150.56377626908576"/>
    <n v="-54955.778338216303"/>
    <n v="67"/>
    <n v="2.6746506985916074"/>
    <n v="64.191616766198578"/>
    <n v="23429.940119662482"/>
    <n v="-296072"/>
    <n v="-398.92831467073563"/>
    <n v="-413.51271788250483"/>
    <n v="-15.681184418317448"/>
    <n v="-376.34842603961874"/>
    <n v="-137367.17550446084"/>
    <n v="-47897.6584"/>
    <n v="-60.884542779537831"/>
    <n v="-64.548800847492558"/>
    <n v="-66.919212291801159"/>
    <n v="-47341.912799999998"/>
    <n v="-60.178113323735033"/>
    <n v="-22222.858114531307"/>
    <n v="-21965.011363163288"/>
    <x v="2"/>
    <x v="3"/>
  </r>
  <r>
    <x v="528"/>
    <m/>
    <d v="1899-12-30T21:52:00"/>
    <n v="0.91111111110512866"/>
    <d v="1902-02-25T14:35:00"/>
    <n v="787.60763888888323"/>
    <n v="749.52430555555475"/>
    <n v="727.00486111110513"/>
    <n v="2161"/>
    <n v="26"/>
    <n v="1.1890243902517097"/>
    <n v="28.536585366041034"/>
    <n v="10415.853658604978"/>
    <n v="-177598"/>
    <n v="-9.3954353681816656"/>
    <n v="-225.49044883635997"/>
    <n v="-82304.013825271395"/>
    <n v="1008"/>
    <n v="24"/>
    <n v="1.0975609756169629"/>
    <n v="26.341463414807109"/>
    <n v="9614.6341464045945"/>
    <n v="-118424"/>
    <n v="-6.2649637836098693"/>
    <n v="-150.35913080663687"/>
    <n v="-54881.082744422456"/>
    <n v="50"/>
    <n v="2.2865853658686723"/>
    <n v="54.87804878084814"/>
    <n v="20030.487805009572"/>
    <n v="-296022"/>
    <n v="-398.37667409421761"/>
    <n v="-412.925712135124"/>
    <n v="-15.660399151791534"/>
    <n v="-375.84957964299684"/>
    <n v="-137185.09656969385"/>
    <n v="-47889.750599999999"/>
    <n v="-60.80407075223448"/>
    <n v="-64.459785816003745"/>
    <n v="-66.824469269367725"/>
    <n v="-47333.917799999996"/>
    <n v="-60.098347784915184"/>
    <n v="-22193.485824565585"/>
    <n v="-21935.896941494044"/>
    <x v="2"/>
    <x v="3"/>
  </r>
  <r>
    <x v="529"/>
    <m/>
    <d v="1899-12-31T00:08:00"/>
    <n v="1.0055555555591127"/>
    <d v="1902-02-26T14:43:00"/>
    <n v="788.61319444444234"/>
    <n v="750.52986111111386"/>
    <n v="728.01041666666424"/>
    <n v="2190"/>
    <n v="29"/>
    <n v="1.201657458559285"/>
    <n v="28.839779005422841"/>
    <n v="10526.519336979338"/>
    <n v="-177569"/>
    <n v="-9.3819230840355559"/>
    <n v="-225.16615401685331"/>
    <n v="-82185.646216151465"/>
    <n v="1029"/>
    <n v="21"/>
    <n v="0.87016574585327544"/>
    <n v="20.883977900478609"/>
    <n v="7622.6519336746924"/>
    <n v="-118403"/>
    <n v="-6.2558658263495417"/>
    <n v="-150.140779832389"/>
    <n v="-54801.384638821983"/>
    <n v="50"/>
    <n v="2.0718232044125604"/>
    <n v="49.723756905901453"/>
    <n v="18149.171270654031"/>
    <n v="-295972"/>
    <n v="-397.77631173531887"/>
    <n v="-412.28668316902656"/>
    <n v="-15.637788910385098"/>
    <n v="-375.30693384924234"/>
    <n v="-136987.03085497345"/>
    <n v="-47881.706900000005"/>
    <n v="-60.716340073071478"/>
    <n v="-64.362705607057009"/>
    <n v="-66.72111990155841"/>
    <n v="-47325.922799999993"/>
    <n v="-60.011578722493837"/>
    <n v="-22161.46412667109"/>
    <n v="-21904.226233710251"/>
    <x v="2"/>
    <x v="3"/>
  </r>
  <r>
    <x v="530"/>
    <m/>
    <d v="1899-12-30T23:41:00"/>
    <n v="0.98680555555620231"/>
    <d v="1902-02-27T14:24:00"/>
    <n v="789.59999999999854"/>
    <n v="751.51666666667006"/>
    <n v="728.99722222222044"/>
    <n v="2216"/>
    <n v="26"/>
    <n v="1.097818437719196"/>
    <n v="26.347642505260705"/>
    <n v="9616.8895144201579"/>
    <n v="-177543"/>
    <n v="-9.3688259878419622"/>
    <n v="-224.85182370820709"/>
    <n v="-82070.915653495584"/>
    <n v="1048"/>
    <n v="19"/>
    <n v="0.80225193525633554"/>
    <n v="19.254046446152053"/>
    <n v="7027.726952845499"/>
    <n v="-118384"/>
    <n v="-6.2470449172576945"/>
    <n v="-149.92907801418468"/>
    <n v="-54724.113475177408"/>
    <n v="45"/>
    <n v="1.9000703729755317"/>
    <n v="45.601688951412761"/>
    <n v="16644.61646726566"/>
    <n v="-295927"/>
    <n v="-397.19411856024306"/>
    <n v="-411.66686353781358"/>
    <n v="-15.615870905099657"/>
    <n v="-374.78090172239177"/>
    <n v="-136795.02912867299"/>
    <n v="-47874.472099999999"/>
    <n v="-60.631296985815716"/>
    <n v="-64.268564946441359"/>
    <n v="-66.620878680379221"/>
    <n v="-47318.727299999999"/>
    <n v="-59.927466185410445"/>
    <n v="-22130.423399822736"/>
    <n v="-21873.525157674809"/>
    <x v="2"/>
    <x v="3"/>
  </r>
  <r>
    <x v="531"/>
    <m/>
    <d v="1899-12-31T02:42:00"/>
    <n v="1.1124999999956344"/>
    <d v="1902-02-28T17:06:00"/>
    <n v="790.71249999999418"/>
    <n v="752.6291666666657"/>
    <n v="730.10972222221608"/>
    <n v="2246"/>
    <n v="30"/>
    <n v="1.1235955056223867"/>
    <n v="26.96629213493728"/>
    <n v="9842.6966292521065"/>
    <n v="-177513"/>
    <n v="-9.3540635818961437"/>
    <n v="-224.49752596550744"/>
    <n v="-81941.596977410212"/>
    <n v="1062"/>
    <n v="14"/>
    <n v="0.52434456929044715"/>
    <n v="12.58426966297073"/>
    <n v="4593.2584269843164"/>
    <n v="-118370"/>
    <n v="-6.2375178504619182"/>
    <n v="-149.70042841108605"/>
    <n v="-54640.65637004641"/>
    <n v="44"/>
    <n v="1.6479400749128337"/>
    <n v="39.55056179790801"/>
    <n v="14435.955056236424"/>
    <n v="-295883"/>
    <n v="-396.54854371619541"/>
    <n v="-410.97932388397066"/>
    <n v="-15.591581432358062"/>
    <n v="-374.19795437659349"/>
    <n v="-136582.25334745663"/>
    <n v="-47867.190699999999"/>
    <n v="-60.536782585326968"/>
    <n v="-64.163891646505945"/>
    <n v="-66.509392522813911"/>
    <n v="-47311.691699999996"/>
    <n v="-59.834252904817291"/>
    <n v="-22095.925643644343"/>
    <n v="-21839.502310258315"/>
    <x v="2"/>
    <x v="3"/>
  </r>
  <r>
    <x v="532"/>
    <m/>
    <d v="1899-12-30T22:56:00"/>
    <n v="0.95555555555620231"/>
    <d v="1902-03-01T16:02:00"/>
    <n v="791.66805555555038"/>
    <n v="753.5847222222219"/>
    <n v="731.06527777777228"/>
    <n v="2271"/>
    <n v="25"/>
    <n v="1.0901162790690295"/>
    <n v="26.16279069765671"/>
    <n v="9549.4186046446994"/>
    <n v="-177488"/>
    <n v="-9.3414572956890165"/>
    <n v="-224.19497509653638"/>
    <n v="-81831.165910235781"/>
    <n v="1074"/>
    <n v="12"/>
    <n v="0.52325581395313425"/>
    <n v="12.55813953487522"/>
    <n v="4583.720930229455"/>
    <n v="-118358"/>
    <n v="-6.2293574923553177"/>
    <n v="-149.50457981652761"/>
    <n v="-54569.17163303258"/>
    <n v="37"/>
    <n v="1.6133720930221638"/>
    <n v="38.720930232531934"/>
    <n v="14133.139534874155"/>
    <n v="-295846"/>
    <n v="-395.99661617343787"/>
    <n v="-410.39153290385156"/>
    <n v="-15.570814788044332"/>
    <n v="-373.69955491306399"/>
    <n v="-136400.33754326837"/>
    <n v="-47861.078000000001"/>
    <n v="-60.455992463171512"/>
    <n v="-64.074419472852938"/>
    <n v="-66.414098543412223"/>
    <n v="-47305.775399999999"/>
    <n v="-59.754558830598931"/>
    <n v="-22066.437249057602"/>
    <n v="-21810.413973168612"/>
    <x v="2"/>
    <x v="3"/>
  </r>
  <r>
    <x v="533"/>
    <m/>
    <d v="1899-12-30T23:11:00"/>
    <n v="0.96597222222771961"/>
    <d v="1902-03-02T15:13:00"/>
    <n v="792.6340277777781"/>
    <n v="754.55069444444962"/>
    <n v="732.03125"/>
    <n v="2292"/>
    <n v="21"/>
    <n v="0.90582314880864789"/>
    <n v="21.739755571407549"/>
    <n v="7935.0107835637555"/>
    <n v="-177467"/>
    <n v="-9.3289690755068548"/>
    <n v="-223.89525781216452"/>
    <n v="-81721.769101440048"/>
    <n v="1085"/>
    <n v="11"/>
    <n v="0.4744787922331013"/>
    <n v="11.387491013594431"/>
    <n v="4156.4342199619678"/>
    <n v="-118347"/>
    <n v="-6.2211876189883739"/>
    <n v="-149.30850285572097"/>
    <n v="-54497.603542338155"/>
    <n v="32"/>
    <n v="1.3803019410417492"/>
    <n v="33.127246585001984"/>
    <n v="12091.445003525725"/>
    <n v="-295814"/>
    <n v="-395.44725383851232"/>
    <n v="-409.80627534685163"/>
    <n v="-15.550156694495229"/>
    <n v="-373.20376066788549"/>
    <n v="-136219.37264377822"/>
    <n v="-47855.819499999998"/>
    <n v="-60.375681364788434"/>
    <n v="-63.985422656786668"/>
    <n v="-66.319276533617924"/>
    <n v="-47300.658599999995"/>
    <n v="-59.675281330794881"/>
    <n v="-22037.123698147778"/>
    <n v="-21781.477685740134"/>
    <x v="2"/>
    <x v="3"/>
  </r>
  <r>
    <x v="534"/>
    <m/>
    <d v="1899-12-31T00:48:00"/>
    <n v="1.0333333333328483"/>
    <d v="1902-03-03T16:01:00"/>
    <n v="793.66736111111095"/>
    <n v="755.58402777778247"/>
    <n v="733.06458333333285"/>
    <n v="2317"/>
    <n v="25"/>
    <n v="1.0080645161295054"/>
    <n v="24.19354838710813"/>
    <n v="8830.6451612944675"/>
    <n v="-177442"/>
    <n v="-9.3155105387175059"/>
    <n v="-223.57225292922016"/>
    <n v="-81603.872319165355"/>
    <n v="1099"/>
    <n v="14"/>
    <n v="0.56451612903252302"/>
    <n v="13.548387096780553"/>
    <n v="4945.1612903249015"/>
    <n v="-118333"/>
    <n v="-6.2123528171349438"/>
    <n v="-149.09646761123864"/>
    <n v="-54420.210678102099"/>
    <n v="39"/>
    <n v="1.5725806451620286"/>
    <n v="37.741935483888682"/>
    <n v="13775.806451619368"/>
    <n v="-295775"/>
    <n v="-394.85482624275863"/>
    <n v="-409.17540803305786"/>
    <n v="-15.52786335585245"/>
    <n v="-372.66872054045882"/>
    <n v="-136024.08299726748"/>
    <n v="-47849.437599999997"/>
    <n v="-60.289032842439426"/>
    <n v="-63.889470165186395"/>
    <n v="-66.217086602760716"/>
    <n v="-47294.422499999993"/>
    <n v="-59.589728414419355"/>
    <n v="-22005.496987490391"/>
    <n v="-21750.25087126307"/>
    <x v="2"/>
    <x v="3"/>
  </r>
  <r>
    <x v="535"/>
    <m/>
    <d v="1899-12-30T23:10:00"/>
    <n v="0.96527777777373558"/>
    <d v="1902-03-04T15:11:00"/>
    <n v="794.63263888888469"/>
    <n v="756.5493055555562"/>
    <n v="734.02986111110658"/>
    <n v="2344"/>
    <n v="27"/>
    <n v="1.1654676259041612"/>
    <n v="27.971223021699867"/>
    <n v="10209.496402920451"/>
    <n v="-177415"/>
    <n v="-9.302778799777375"/>
    <n v="-223.266691194657"/>
    <n v="-81492.34228604981"/>
    <n v="1118"/>
    <n v="19"/>
    <n v="0.82014388489552081"/>
    <n v="19.683453237492497"/>
    <n v="7184.4604316847617"/>
    <n v="-118314"/>
    <n v="-6.2038101114159474"/>
    <n v="-148.89144267398274"/>
    <n v="-54345.376576003699"/>
    <n v="46"/>
    <n v="1.9856115107996819"/>
    <n v="47.654676259192364"/>
    <n v="17393.956834605211"/>
    <n v="-295729"/>
    <n v="-394.29023040467882"/>
    <n v="-408.57465872850184"/>
    <n v="-15.506588911193322"/>
    <n v="-372.15813386863971"/>
    <n v="-135837.7188620535"/>
    <n v="-47842.022899999996"/>
    <n v="-60.206465929836867"/>
    <n v="-63.798153201074634"/>
    <n v="-66.119907201777508"/>
    <n v="-47287.067099999993"/>
    <n v="-59.508085605595483"/>
    <n v="-21975.360064390457"/>
    <n v="-21720.451246042354"/>
    <x v="2"/>
    <x v="3"/>
  </r>
  <r>
    <x v="536"/>
    <m/>
    <d v="1899-12-30T23:58:00"/>
    <n v="0.99861111111385981"/>
    <d v="1902-03-05T15:09:00"/>
    <n v="795.63124999999854"/>
    <n v="757.54791666667006"/>
    <n v="735.02847222222044"/>
    <n v="2368"/>
    <n v="24"/>
    <n v="1.0013908205813884"/>
    <n v="24.033379693953318"/>
    <n v="8772.1835882929608"/>
    <n v="-177391"/>
    <n v="-9.2898458509098027"/>
    <n v="-222.95630042183527"/>
    <n v="-81379.049653969865"/>
    <n v="1136"/>
    <n v="18"/>
    <n v="0.75104311543604119"/>
    <n v="18.025034770464991"/>
    <n v="6579.137691219722"/>
    <n v="-118296"/>
    <n v="-6.1950809498747175"/>
    <n v="-148.68194279699321"/>
    <n v="-54268.909120902521"/>
    <n v="42"/>
    <n v="1.7524339360174295"/>
    <n v="42.058414464418306"/>
    <n v="15351.321279512682"/>
    <n v="-295687"/>
    <n v="-393.71502902731498"/>
    <n v="-407.9624277593187"/>
    <n v="-15.484926800784521"/>
    <n v="-371.63824321882851"/>
    <n v="-135647.95877487242"/>
    <n v="-47835.282500000001"/>
    <n v="-60.122427946363452"/>
    <n v="-63.705155856477447"/>
    <n v="-66.020906310318836"/>
    <n v="-47280.351299999995"/>
    <n v="-59.424955090690673"/>
    <n v="-21944.686200422657"/>
    <n v="-21690.108608102099"/>
    <x v="2"/>
    <x v="3"/>
  </r>
  <r>
    <x v="537"/>
    <m/>
    <d v="1899-12-30T23:53:00"/>
    <n v="0.99513888888759539"/>
    <d v="1902-03-06T15:02:00"/>
    <n v="796.62638888888614"/>
    <n v="758.54305555555766"/>
    <n v="736.02361111110804"/>
    <n v="2388"/>
    <n v="20"/>
    <n v="0.83740404745398445"/>
    <n v="20.097697138895629"/>
    <n v="7335.6594556969048"/>
    <n v="-177371"/>
    <n v="-9.2771949767335133"/>
    <n v="-222.65267944160433"/>
    <n v="-81268.227996185582"/>
    <n v="1148"/>
    <n v="12"/>
    <n v="0.50244242847239073"/>
    <n v="12.058618283337378"/>
    <n v="4401.3956734181429"/>
    <n v="-118284"/>
    <n v="-6.1867144608078375"/>
    <n v="-148.48114705938809"/>
    <n v="-54195.618676676655"/>
    <n v="32"/>
    <n v="1.3398464759263753"/>
    <n v="32.156315422233007"/>
    <n v="11737.055129115048"/>
    <n v="-295655"/>
    <n v="-393.15632489915686"/>
    <n v="-407.36736630958188"/>
    <n v="-15.463909437541352"/>
    <n v="-371.13382650099243"/>
    <n v="-135463.84667286224"/>
    <n v="-47830.069300000003"/>
    <n v="-60.040779425738265"/>
    <n v="-63.614707888477561"/>
    <n v="-65.924559983545493"/>
    <n v="-47275.234499999999"/>
    <n v="-59.34429885750869"/>
    <n v="-21914.884490394463"/>
    <n v="-21660.669082990669"/>
    <x v="2"/>
    <x v="3"/>
  </r>
  <r>
    <x v="538"/>
    <m/>
    <d v="1899-12-30T23:43:00"/>
    <n v="0.9881944444423425"/>
    <d v="1902-03-07T14:45:00"/>
    <n v="797.61458333332848"/>
    <n v="759.53125"/>
    <n v="737.01180555555038"/>
    <n v="2417"/>
    <n v="29"/>
    <n v="1.2227687983160231"/>
    <n v="29.346451159584557"/>
    <n v="10711.454673248363"/>
    <n v="-177342"/>
    <n v="-9.2641861801465861"/>
    <n v="-222.34046832351808"/>
    <n v="-81154.270938084097"/>
    <n v="1165"/>
    <n v="17"/>
    <n v="0.71679550246111712"/>
    <n v="17.203092059066808"/>
    <n v="6279.1286015593851"/>
    <n v="-118267"/>
    <n v="-6.1781614449334983"/>
    <n v="-148.27587467840397"/>
    <n v="-54120.694257617448"/>
    <n v="46"/>
    <n v="1.9395643007771404"/>
    <n v="46.549543218651365"/>
    <n v="16990.583274807748"/>
    <n v="-295609"/>
    <n v="-392.58424192552974"/>
    <n v="-406.75874896471299"/>
    <n v="-15.442347625080085"/>
    <n v="-370.61634300192202"/>
    <n v="-135274.96519570154"/>
    <n v="-47822.563999999998"/>
    <n v="-59.956982983114074"/>
    <n v="-63.52205995474182"/>
    <n v="-65.825984108124771"/>
    <n v="-47267.879099999998"/>
    <n v="-59.261553246007331"/>
    <n v="-21884.298788836641"/>
    <n v="-21630.466934792676"/>
    <x v="2"/>
    <x v="3"/>
  </r>
  <r>
    <x v="539"/>
    <m/>
    <d v="1899-12-31T00:03:00"/>
    <n v="1.0020833333328483"/>
    <d v="1902-03-08T14:48:00"/>
    <n v="798.61666666666133"/>
    <n v="760.53333333333285"/>
    <n v="738.01388888888323"/>
    <n v="2455"/>
    <n v="38"/>
    <n v="1.5800415800423449"/>
    <n v="37.92099792101628"/>
    <n v="13841.164241170942"/>
    <n v="-177304"/>
    <n v="-9.250579126406139"/>
    <n v="-222.01389903374732"/>
    <n v="-81035.073147317773"/>
    <n v="1180"/>
    <n v="15"/>
    <n v="0.6237006237009256"/>
    <n v="14.968814968822215"/>
    <n v="5463.6174636201085"/>
    <n v="-118252"/>
    <n v="-6.1696266460755469"/>
    <n v="-148.07103950581313"/>
    <n v="-54045.929419621796"/>
    <n v="53"/>
    <n v="2.2037422037432703"/>
    <n v="52.889812889838488"/>
    <n v="19304.781704791047"/>
    <n v="-295556"/>
    <n v="-391.99728260869591"/>
    <n v="-406.13463311816935"/>
    <n v="-15.420205772481685"/>
    <n v="-370.08493853956048"/>
    <n v="-135081.00256693957"/>
    <n v="-47813.7088"/>
    <n v="-59.870662353653593"/>
    <n v="-63.426719495091206"/>
    <n v="-65.724606176487697"/>
    <n v="-47259.404399999999"/>
    <n v="-59.17658167247572"/>
    <n v="-21852.79175908356"/>
    <n v="-21599.452310453635"/>
    <x v="2"/>
    <x v="3"/>
  </r>
  <r>
    <x v="540"/>
    <m/>
    <d v="1899-12-30T23:25:00"/>
    <n v="0.97569444444525288"/>
    <d v="1902-03-09T14:13:00"/>
    <n v="799.59236111110658"/>
    <n v="761.5090277777781"/>
    <n v="738.98958333332848"/>
    <n v="2489"/>
    <n v="34"/>
    <n v="1.4519572953724624"/>
    <n v="34.846975088939097"/>
    <n v="12719.145907462771"/>
    <n v="-177270"/>
    <n v="-9.2375194652136638"/>
    <n v="-221.70046716512792"/>
    <n v="-80920.67051527169"/>
    <n v="1198"/>
    <n v="18"/>
    <n v="0.76868327402071535"/>
    <n v="18.448398576497169"/>
    <n v="6733.6654804214668"/>
    <n v="-118234"/>
    <n v="-6.1611602439785207"/>
    <n v="-147.86784585548449"/>
    <n v="-53971.763737251837"/>
    <n v="52"/>
    <n v="2.2206405693931779"/>
    <n v="53.295373665436266"/>
    <n v="19452.811387884238"/>
    <n v="-295504"/>
    <n v="-391.42674495906778"/>
    <n v="-405.52804364067191"/>
    <n v="-15.398679709192184"/>
    <n v="-369.56831302061244"/>
    <n v="-134892.43425252353"/>
    <n v="-47805.169399999999"/>
    <n v="-59.786926095154726"/>
    <n v="-63.334239307369387"/>
    <n v="-65.626273893125898"/>
    <n v="-47251.089599999999"/>
    <n v="-59.093973251995926"/>
    <n v="-21822.228024731474"/>
    <n v="-21569.30023697851"/>
    <x v="2"/>
    <x v="3"/>
  </r>
  <r>
    <x v="541"/>
    <m/>
    <d v="1899-12-31T02:25:00"/>
    <n v="1.1006944444452529"/>
    <d v="1902-03-10T16:38:00"/>
    <n v="800.69305555555184"/>
    <n v="762.60972222222335"/>
    <n v="740.09027777777374"/>
    <n v="2536"/>
    <n v="47"/>
    <n v="1.7791798107242454"/>
    <n v="42.700315457381883"/>
    <n v="15585.615141944387"/>
    <n v="-177223"/>
    <n v="-9.2223750604945103"/>
    <n v="-221.33700145186825"/>
    <n v="-80788.005529931906"/>
    <n v="1219"/>
    <n v="21"/>
    <n v="0.79495268138742869"/>
    <n v="19.07886435329829"/>
    <n v="6963.7854889538758"/>
    <n v="-118213"/>
    <n v="-6.1515978345149191"/>
    <n v="-147.63834802835805"/>
    <n v="-53887.997030350693"/>
    <n v="68"/>
    <n v="2.5741324921116742"/>
    <n v="61.779179810680176"/>
    <n v="22549.400630898264"/>
    <n v="-295436"/>
    <n v="-390.77262106181382"/>
    <n v="-404.83304401677947"/>
    <n v="-15.37397289500943"/>
    <n v="-368.97534948022633"/>
    <n v="-134676.00256028262"/>
    <n v="-47793.887499999997"/>
    <n v="-59.690648205808088"/>
    <n v="-63.228033547085118"/>
    <n v="-65.513427693693885"/>
    <n v="-47240.216399999998"/>
    <n v="-58.999158381888186"/>
    <n v="-21787.086595119952"/>
    <n v="-21534.692809389187"/>
    <x v="2"/>
    <x v="3"/>
  </r>
  <r>
    <x v="542"/>
    <m/>
    <d v="1899-12-30T22:24:00"/>
    <n v="0.93333333333430346"/>
    <d v="1902-03-11T15:02:00"/>
    <n v="801.62638888888614"/>
    <n v="763.54305555555766"/>
    <n v="741.02361111110804"/>
    <n v="2577"/>
    <n v="41"/>
    <n v="1.8303571428552403"/>
    <n v="43.928571428525771"/>
    <n v="16033.928571411907"/>
    <n v="-177182"/>
    <n v="-9.2095063681300999"/>
    <n v="-221.0281528351224"/>
    <n v="-80675.275784819678"/>
    <n v="1244"/>
    <n v="25"/>
    <n v="1.1160714285702684"/>
    <n v="26.785714285686446"/>
    <n v="9776.7857142755529"/>
    <n v="-118188"/>
    <n v="-6.1431360896510947"/>
    <n v="-147.43526615162628"/>
    <n v="-53813.872145343594"/>
    <n v="66"/>
    <n v="2.9464285714255087"/>
    <n v="70.71428571421221"/>
    <n v="25810.714285687456"/>
    <n v="-295370"/>
    <n v="-390.20851258114931"/>
    <n v="-404.23408310951424"/>
    <n v="-15.352642457781196"/>
    <n v="-368.46341898674871"/>
    <n v="-134489.14793016328"/>
    <n v="-47783.1466"/>
    <n v="-59.607751519047419"/>
    <n v="-63.136678212499667"/>
    <n v="-65.416417605527158"/>
    <n v="-47229.662999999993"/>
    <n v="-58.917300695981105"/>
    <n v="-21756.829304452309"/>
    <n v="-21504.814754033105"/>
    <x v="2"/>
    <x v="3"/>
  </r>
  <r>
    <x v="543"/>
    <m/>
    <d v="1899-12-30T23:29:00"/>
    <n v="0.97847222222480923"/>
    <d v="1902-03-12T14:31:00"/>
    <n v="802.60486111111095"/>
    <n v="764.52152777778247"/>
    <n v="742.00208333333285"/>
    <n v="2625"/>
    <n v="48"/>
    <n v="2.0440028388874274"/>
    <n v="49.056068133298261"/>
    <n v="17905.464868653864"/>
    <n v="-177134"/>
    <n v="-9.1957869817979851"/>
    <n v="-220.69888756315163"/>
    <n v="-80555.093960550352"/>
    <n v="1269"/>
    <n v="25"/>
    <n v="1.0645848119205352"/>
    <n v="25.550035486092845"/>
    <n v="9325.7629524238891"/>
    <n v="-118163"/>
    <n v="-6.1343490077014868"/>
    <n v="-147.22437618483568"/>
    <n v="-53736.89730746502"/>
    <n v="73"/>
    <n v="3.1085876508079626"/>
    <n v="74.606103619391106"/>
    <n v="27231.227821077755"/>
    <n v="-295297"/>
    <n v="-389.61361999289443"/>
    <n v="-403.60264037893"/>
    <n v="-15.330135989499471"/>
    <n v="-367.92326374798733"/>
    <n v="-134291.99126801538"/>
    <n v="-47771.146399999998"/>
    <n v="-59.520130907089857"/>
    <n v="-63.040176435696957"/>
    <n v="-65.313980767125017"/>
    <n v="-47217.990299999998"/>
    <n v="-58.83092987330317"/>
    <n v="-21724.847781087799"/>
    <n v="-21473.289403755658"/>
    <x v="2"/>
    <x v="3"/>
  </r>
  <r>
    <x v="544"/>
    <m/>
    <d v="1899-12-31T00:43:00"/>
    <n v="1.0298611111065838"/>
    <d v="1902-03-13T15:14:00"/>
    <n v="803.63472222221753"/>
    <n v="765.55138888888905"/>
    <n v="743.03194444443943"/>
    <n v="2674"/>
    <n v="49"/>
    <n v="1.9824679703391261"/>
    <n v="47.579231288139027"/>
    <n v="17366.419420170743"/>
    <n v="-177085"/>
    <n v="-9.1814620033632455"/>
    <n v="-220.35508808071788"/>
    <n v="-80429.607149462026"/>
    <n v="1293"/>
    <n v="24"/>
    <n v="0.97100472016610262"/>
    <n v="23.304113283986464"/>
    <n v="8506.0013486550597"/>
    <n v="-118139"/>
    <n v="-6.125243468477457"/>
    <n v="-147.00584324345897"/>
    <n v="-53657.132783862522"/>
    <n v="73"/>
    <n v="2.9534726905052291"/>
    <n v="70.883344572125495"/>
    <n v="25872.420768825807"/>
    <n v="-295224"/>
    <n v="-388.994134583461"/>
    <n v="-402.94499077541053"/>
    <n v="-15.306705471840703"/>
    <n v="-367.36093132417687"/>
    <n v="-134086.73993332457"/>
    <n v="-47759.100900000005"/>
    <n v="-59.428866846290731"/>
    <n v="-62.939636971899333"/>
    <n v="-65.207242652570713"/>
    <n v="-47206.317599999995"/>
    <n v="-58.741012918735876"/>
    <n v="-21691.536398896114"/>
    <n v="-21440.469715338597"/>
    <x v="3"/>
    <x v="3"/>
  </r>
  <r>
    <x v="545"/>
    <m/>
    <d v="1899-12-31T00:02:00"/>
    <n v="1.0013888888934162"/>
    <d v="1902-03-14T15:16:00"/>
    <n v="804.63611111111095"/>
    <n v="766.55277777778247"/>
    <n v="744.03333333333285"/>
    <n v="2717"/>
    <n v="43"/>
    <n v="1.7891816920862247"/>
    <n v="42.940360610069391"/>
    <n v="15673.231622675328"/>
    <n v="-177042"/>
    <n v="-9.1678087748430119"/>
    <n v="-220.0274105962323"/>
    <n v="-80310.004867624782"/>
    <n v="1318"/>
    <n v="25"/>
    <n v="1.0402219140036189"/>
    <n v="24.965325936086856"/>
    <n v="9112.3439666717022"/>
    <n v="-118114"/>
    <n v="-6.1163258753957113"/>
    <n v="-146.79182100949708"/>
    <n v="-53579.014668466436"/>
    <n v="68"/>
    <n v="2.8294036060898438"/>
    <n v="67.905686546156247"/>
    <n v="24785.57558934703"/>
    <n v="-295156"/>
    <n v="-388.39726191209326"/>
    <n v="-402.31127637650667"/>
    <n v="-15.284134650238723"/>
    <n v="-366.81923160572939"/>
    <n v="-133889.01953609122"/>
    <n v="-47748.000200000002"/>
    <n v="-59.341110274140497"/>
    <n v="-62.842934232983509"/>
    <n v="-65.104561085972904"/>
    <n v="-47195.444399999993"/>
    <n v="-58.654395133756118"/>
    <n v="-21659.50525006128"/>
    <n v="-21408.854223820985"/>
    <x v="3"/>
    <x v="3"/>
  </r>
  <r>
    <x v="546"/>
    <m/>
    <d v="1899-12-31T00:16:00"/>
    <n v="1.0111111111109494"/>
    <d v="1902-03-15T15:32:00"/>
    <n v="805.6472222222219"/>
    <n v="767.56388888889342"/>
    <n v="745.0444444444438"/>
    <n v="2759"/>
    <n v="42"/>
    <n v="1.7307692307695075"/>
    <n v="41.538461538468184"/>
    <n v="15161.538461540888"/>
    <n v="-177000"/>
    <n v="-9.1541307368471898"/>
    <n v="-219.69913768433256"/>
    <n v="-80190.185254781376"/>
    <n v="1340"/>
    <n v="22"/>
    <n v="0.90659340659355159"/>
    <n v="21.758241758245237"/>
    <n v="7941.7582417595113"/>
    <n v="-118092"/>
    <n v="-6.1075119038178443"/>
    <n v="-146.58028569162826"/>
    <n v="-53501.804277444317"/>
    <n v="64"/>
    <n v="2.6373626373630592"/>
    <n v="63.296703296713417"/>
    <n v="23103.296703300399"/>
    <n v="-295092"/>
    <n v="-387.80224592234219"/>
    <n v="-401.67939272824924"/>
    <n v="-15.261642640665034"/>
    <n v="-366.27942337596079"/>
    <n v="-133691.98953222568"/>
    <n v="-47737.483200000002"/>
    <n v="-59.253581323504591"/>
    <n v="-62.746449510174322"/>
    <n v="-65.002090762668956"/>
    <n v="-47185.210799999993"/>
    <n v="-58.568079797816125"/>
    <n v="-21627.557183079174"/>
    <n v="-21377.349126202884"/>
    <x v="3"/>
    <x v="3"/>
  </r>
  <r>
    <x v="547"/>
    <m/>
    <d v="1899-12-31T00:25:00"/>
    <n v="1.0173611111094942"/>
    <d v="1902-03-16T15:57:00"/>
    <n v="806.66458333333139"/>
    <n v="768.58125000000291"/>
    <n v="746.06180555555329"/>
    <n v="2800"/>
    <n v="41"/>
    <n v="1.6791808873746823"/>
    <n v="40.300341296992379"/>
    <n v="14709.624573402218"/>
    <n v="-176959"/>
    <n v="-9.1404678214561716"/>
    <n v="-219.37122771494813"/>
    <n v="-80070.49811595607"/>
    <n v="1364"/>
    <n v="24"/>
    <n v="0.98293515358517991"/>
    <n v="23.590443686044317"/>
    <n v="8610.5119454061751"/>
    <n v="-118068"/>
    <n v="-6.0985694694459589"/>
    <n v="-146.36566726670301"/>
    <n v="-53423.468552346603"/>
    <n v="65"/>
    <n v="2.6621160409598623"/>
    <n v="63.890784983036696"/>
    <n v="23320.136518808395"/>
    <n v="-295027"/>
    <n v="-387.20434566937314"/>
    <n v="-401.04452174334057"/>
    <n v="-15.239037290902131"/>
    <n v="-365.73689498165112"/>
    <n v="-133493.96666830266"/>
    <n v="-47726.876900000003"/>
    <n v="-59.165702680017397"/>
    <n v="-62.649593000089219"/>
    <n v="-64.899234807959402"/>
    <n v="-47174.817299999995"/>
    <n v="-58.481329507566009"/>
    <n v="-21595.481478206351"/>
    <n v="-21345.685270261594"/>
    <x v="3"/>
    <x v="3"/>
  </r>
  <r>
    <x v="548"/>
    <m/>
    <d v="1899-12-31T00:30:00"/>
    <n v="1.0208333333357587"/>
    <d v="1902-03-17T16:27:00"/>
    <n v="807.68541666666715"/>
    <n v="769.60208333333867"/>
    <n v="747.08263888888905"/>
    <n v="2843"/>
    <n v="43"/>
    <n v="1.7551020408121567"/>
    <n v="42.122448979491764"/>
    <n v="15374.693877514494"/>
    <n v="-176916"/>
    <n v="-9.1266969142792238"/>
    <n v="-219.04072594270136"/>
    <n v="-79949.864969085989"/>
    <n v="1388"/>
    <n v="24"/>
    <n v="0.97959183673236649"/>
    <n v="23.510204081576799"/>
    <n v="8581.2244897755318"/>
    <n v="-118044"/>
    <n v="-6.0896233836915634"/>
    <n v="-146.15096120859752"/>
    <n v="-53345.100841138097"/>
    <n v="67"/>
    <n v="2.7346938775445233"/>
    <n v="65.632653061068552"/>
    <n v="23955.918367290022"/>
    <n v="-294960"/>
    <n v="-386.60368318042879"/>
    <n v="-400.40684179851434"/>
    <n v="-15.216320297970787"/>
    <n v="-365.19168715129888"/>
    <n v="-133294.96581022409"/>
    <n v="-47715.910799999998"/>
    <n v="-59.077345975769198"/>
    <n v="-62.552242831116295"/>
    <n v="-64.795876225949257"/>
    <n v="-47164.103999999999"/>
    <n v="-58.39415077549269"/>
    <n v="-21563.231281155757"/>
    <n v="-21313.86503305483"/>
    <x v="3"/>
    <x v="3"/>
  </r>
  <r>
    <x v="549"/>
    <m/>
    <d v="1899-12-30T22:15:00"/>
    <n v="0.92708333332848269"/>
    <d v="1902-03-18T14:42:00"/>
    <n v="808.61249999999563"/>
    <n v="770.52916666666715"/>
    <n v="748.00972222221753"/>
    <n v="2874"/>
    <n v="31"/>
    <n v="1.3932584269735819"/>
    <n v="33.438202247365965"/>
    <n v="12204.943820288578"/>
    <n v="-176885"/>
    <n v="-9.1146356670634869"/>
    <n v="-218.75125600952367"/>
    <n v="-79844.208443476135"/>
    <n v="1411"/>
    <n v="23"/>
    <n v="1.0337078651739477"/>
    <n v="24.80898876417475"/>
    <n v="9055.2808989237838"/>
    <n v="-118021"/>
    <n v="-6.0814564042315613"/>
    <n v="-145.95495370155746"/>
    <n v="-53273.558101068469"/>
    <n v="54"/>
    <n v="2.4269662921475299"/>
    <n v="58.247191011540714"/>
    <n v="21260.224719212361"/>
    <n v="-294906"/>
    <n v="-386.0684486310812"/>
    <n v="-399.83838593898503"/>
    <n v="-15.196092071295046"/>
    <n v="-364.70620971108116"/>
    <n v="-133117.76654454463"/>
    <n v="-47707.238100000002"/>
    <n v="-58.998887724342943"/>
    <n v="-62.46572587020821"/>
    <n v="-64.703973841695131"/>
    <n v="-47155.469399999994"/>
    <n v="-58.316522932801867"/>
    <n v="-21534.594019385171"/>
    <n v="-21285.530870472685"/>
    <x v="3"/>
    <x v="3"/>
  </r>
  <r>
    <x v="550"/>
    <m/>
    <d v="1899-12-30T23:40:00"/>
    <n v="0.98611111110949423"/>
    <d v="1902-03-19T14:22:00"/>
    <n v="809.59861111110513"/>
    <n v="771.51527777777665"/>
    <n v="748.99583333332703"/>
    <n v="2911"/>
    <n v="37"/>
    <n v="1.5633802816927043"/>
    <n v="37.521126760624902"/>
    <n v="13695.211267628089"/>
    <n v="-176848"/>
    <n v="-9.1016295798158531"/>
    <n v="-218.4391099155805"/>
    <n v="-79730.275119186888"/>
    <n v="1431"/>
    <n v="20"/>
    <n v="0.84507042253659692"/>
    <n v="20.281690140878325"/>
    <n v="7402.8169014205887"/>
    <n v="-118001"/>
    <n v="-6.0730197234226599"/>
    <n v="-145.75247336214383"/>
    <n v="-53199.652777182499"/>
    <n v="57"/>
    <n v="2.4084507042293013"/>
    <n v="57.802816901503228"/>
    <n v="21098.028169048677"/>
    <n v="-294849"/>
    <n v="-385.50111522959025"/>
    <n v="-399.23586579809972"/>
    <n v="-15.174649303238514"/>
    <n v="-364.19158327772431"/>
    <n v="-132929.92789636937"/>
    <n v="-47697.889800000004"/>
    <n v="-58.915478788357497"/>
    <n v="-62.373768590310291"/>
    <n v="-64.606304930490822"/>
    <n v="-47146.355099999993"/>
    <n v="-58.234234166108109"/>
    <n v="-21504.149757750485"/>
    <n v="-21255.495470629459"/>
    <x v="3"/>
    <x v="3"/>
  </r>
  <r>
    <x v="551"/>
    <m/>
    <d v="1899-12-31T00:57:00"/>
    <n v="1.039583333338669"/>
    <d v="1902-03-20T15:19:00"/>
    <n v="810.6381944444438"/>
    <n v="772.55486111111531"/>
    <n v="750.0354166666657"/>
    <n v="2951"/>
    <n v="40"/>
    <n v="1.6032064128174228"/>
    <n v="38.476953907618146"/>
    <n v="14044.088176280624"/>
    <n v="-176808"/>
    <n v="-9.0879014219763476"/>
    <n v="-218.10963412743234"/>
    <n v="-79610.016456512807"/>
    <n v="1448"/>
    <n v="17"/>
    <n v="0.68136272544740473"/>
    <n v="16.352705410737713"/>
    <n v="5968.737474919265"/>
    <n v="-117984"/>
    <n v="-6.0643577291211788"/>
    <n v="-145.5445854989083"/>
    <n v="-53123.773707101529"/>
    <n v="57"/>
    <n v="2.2845691382648274"/>
    <n v="54.829659318355858"/>
    <n v="20012.825651199888"/>
    <n v="-294792"/>
    <n v="-384.90858703849483"/>
    <n v="-398.60651024812768"/>
    <n v="-15.152259151097526"/>
    <n v="-363.65421962634065"/>
    <n v="-132733.79016361435"/>
    <n v="-47688.405599999998"/>
    <n v="-58.828224387678134"/>
    <n v="-62.277559331906154"/>
    <n v="-64.504112639125452"/>
    <n v="-47137.2408"/>
    <n v="-58.148309718251866"/>
    <n v="-21472.30190150252"/>
    <n v="-21224.133047161933"/>
    <x v="3"/>
    <x v="3"/>
  </r>
  <r>
    <x v="552"/>
    <m/>
    <d v="1899-12-31T00:32:00"/>
    <n v="1.0222222222218988"/>
    <d v="1902-03-21T15:51:00"/>
    <n v="811.6604166666657"/>
    <n v="773.57708333333721"/>
    <n v="751.0576388888876"/>
    <n v="2979"/>
    <n v="28"/>
    <n v="1.141304347826448"/>
    <n v="27.391304347834751"/>
    <n v="9997.8260869596834"/>
    <n v="-176780"/>
    <n v="-9.0750185448040011"/>
    <n v="-217.80044507529601"/>
    <n v="-79497.16245248304"/>
    <n v="1461"/>
    <n v="13"/>
    <n v="0.5298913043479937"/>
    <n v="12.71739130435185"/>
    <n v="4641.8478260884249"/>
    <n v="-117971"/>
    <n v="-6.0560527930143273"/>
    <n v="-145.34526703234386"/>
    <n v="-53051.022466805509"/>
    <n v="41"/>
    <n v="1.6711956521744418"/>
    <n v="40.108695652186604"/>
    <n v="14639.673913048111"/>
    <n v="-294751"/>
    <n v="-384.34695960594127"/>
    <n v="-398.00939970763523"/>
    <n v="-15.131071337818328"/>
    <n v="-363.14571210763989"/>
    <n v="-132548.18491928856"/>
    <n v="-47681.618600000002"/>
    <n v="-58.74577301159924"/>
    <n v="-62.186490831284011"/>
    <n v="-64.407283136835858"/>
    <n v="-47130.684899999993"/>
    <n v="-58.066999366011608"/>
    <n v="-21442.20714923372"/>
    <n v="-21194.454768594238"/>
    <x v="3"/>
    <x v="3"/>
  </r>
  <r>
    <x v="553"/>
    <m/>
    <d v="1899-12-30T23:30:00"/>
    <n v="0.97916666666424135"/>
    <d v="1902-03-22T15:21:00"/>
    <n v="812.63958333332994"/>
    <n v="774.55625000000146"/>
    <n v="752.03680555555184"/>
    <n v="3005"/>
    <n v="26"/>
    <n v="1.1063829787261448"/>
    <n v="26.553191489427473"/>
    <n v="9691.9148936410274"/>
    <n v="-176754"/>
    <n v="-9.0627507582031157"/>
    <n v="-217.50601819687478"/>
    <n v="-79389.696641859293"/>
    <n v="1475"/>
    <n v="14"/>
    <n v="0.5957446808525394"/>
    <n v="14.297872340460946"/>
    <n v="5218.7234042682458"/>
    <n v="-117957"/>
    <n v="-6.0480379011811047"/>
    <n v="-145.15290962834649"/>
    <n v="-52980.812014346469"/>
    <n v="40"/>
    <n v="1.7021276595786841"/>
    <n v="40.851063829888417"/>
    <n v="14910.638297909272"/>
    <n v="-294711"/>
    <n v="-383.8094392757136"/>
    <n v="-397.43799477899569"/>
    <n v="-15.11078865938422"/>
    <n v="-362.65892782522127"/>
    <n v="-132370.50865620575"/>
    <n v="-47675.056799999998"/>
    <n v="-58.66691430959321"/>
    <n v="-62.099405175543943"/>
    <n v="-64.314698220481176"/>
    <n v="-47124.2889"/>
    <n v="-57.989162559252883"/>
    <n v="-21413.423723001521"/>
    <n v="-21166.044334127298"/>
    <x v="3"/>
    <x v="3"/>
  </r>
  <r>
    <x v="554"/>
    <m/>
    <d v="1899-12-30T22:46:00"/>
    <n v="0.94861111111094942"/>
    <d v="1902-03-23T14:07:00"/>
    <n v="813.58819444444089"/>
    <n v="775.5048611111124"/>
    <n v="752.98541666666279"/>
    <n v="3036"/>
    <n v="31"/>
    <n v="1.3616398243047709"/>
    <n v="32.679355783314499"/>
    <n v="11927.964860909791"/>
    <n v="-176723"/>
    <n v="-9.050596338066919"/>
    <n v="-217.21431211360607"/>
    <n v="-79283.223921466211"/>
    <n v="1490"/>
    <n v="15"/>
    <n v="0.65885797950230851"/>
    <n v="15.812591508055403"/>
    <n v="5771.5959004402221"/>
    <n v="-117942"/>
    <n v="-6.0402179303445989"/>
    <n v="-144.96523032827037"/>
    <n v="-52912.309069818686"/>
    <n v="46"/>
    <n v="2.0204978038070793"/>
    <n v="48.491947291369904"/>
    <n v="17699.560761350014"/>
    <n v="-294665"/>
    <n v="-383.28064065792205"/>
    <n v="-396.87621218870646"/>
    <n v="-15.090814268411519"/>
    <n v="-362.17954244187644"/>
    <n v="-132195.53299128491"/>
    <n v="-47667.460899999998"/>
    <n v="-58.589174751422924"/>
    <n v="-62.013649316260718"/>
    <n v="-64.223586844588397"/>
    <n v="-47116.933499999999"/>
    <n v="-57.912508836456041"/>
    <n v="-21385.048784269369"/>
    <n v="-21138.065725306456"/>
    <x v="3"/>
    <x v="3"/>
  </r>
  <r>
    <x v="555"/>
    <m/>
    <d v="1899-12-31T02:32:00"/>
    <n v="1.1055555555576575"/>
    <d v="1902-03-24T16:39:00"/>
    <n v="814.69374999999854"/>
    <n v="776.61041666667006"/>
    <n v="754.09097222222044"/>
    <n v="3063"/>
    <n v="27"/>
    <n v="1.0175879396965577"/>
    <n v="24.422110552717385"/>
    <n v="8914.070351741846"/>
    <n v="-176696"/>
    <n v="-9.0369336125793858"/>
    <n v="-216.88640670190526"/>
    <n v="-79163.538446195424"/>
    <n v="1503"/>
    <n v="13"/>
    <n v="0.48994974874278707"/>
    <n v="11.75879396982689"/>
    <n v="4291.9597989868143"/>
    <n v="-117929"/>
    <n v="-6.0313563634596949"/>
    <n v="-144.75255272303269"/>
    <n v="-52834.681743906935"/>
    <n v="40"/>
    <n v="1.5075376884393448"/>
    <n v="36.180904522544274"/>
    <n v="13206.03015072866"/>
    <n v="-294625"/>
    <n v="-382.68350980355171"/>
    <n v="-396.2413170382672"/>
    <n v="-15.068289976039081"/>
    <n v="-361.63895942493792"/>
    <n v="-131998.22019010235"/>
    <n v="-47660.853799999997"/>
    <n v="-58.50155816219295"/>
    <n v="-61.916861231902253"/>
    <n v="-64.120668435414018"/>
    <n v="-47110.537499999999"/>
    <n v="-57.826069612047576"/>
    <n v="-21353.06872920043"/>
    <n v="-21106.515408397365"/>
    <x v="3"/>
    <x v="3"/>
  </r>
  <r>
    <x v="556"/>
    <m/>
    <d v="1899-12-30T21:53:00"/>
    <n v="0.91180555555183673"/>
    <d v="1902-03-25T14:32:00"/>
    <n v="815.60555555555038"/>
    <n v="777.5222222222219"/>
    <n v="755.00277777777228"/>
    <n v="3080"/>
    <n v="17"/>
    <n v="0.77684691546394524"/>
    <n v="18.644325971134684"/>
    <n v="6805.17897946416"/>
    <n v="-176679"/>
    <n v="-9.0259623047633895"/>
    <n v="-216.62309531432135"/>
    <n v="-79067.429789727292"/>
    <n v="1516"/>
    <n v="13"/>
    <n v="0.59405940594301698"/>
    <n v="14.257425742632407"/>
    <n v="5203.9603960608283"/>
    <n v="-117916"/>
    <n v="-6.0239494853858115"/>
    <n v="-144.57478764925949"/>
    <n v="-52769.797491979713"/>
    <n v="30"/>
    <n v="1.3709063214069621"/>
    <n v="32.901751713767091"/>
    <n v="12009.139375524988"/>
    <n v="-294595"/>
    <n v="-382.19615016362536"/>
    <n v="-395.72304737657618"/>
    <n v="-15.049911790149201"/>
    <n v="-361.19788296358081"/>
    <n v="-131837.22728170699"/>
    <n v="-47656.045700000002"/>
    <n v="-58.430261264636741"/>
    <n v="-61.838067036311962"/>
    <n v="-64.036862542816721"/>
    <n v="-47105.740499999993"/>
    <n v="-57.755541485876563"/>
    <n v="-21327.045361592409"/>
    <n v="-21080.772642344946"/>
    <x v="3"/>
    <x v="3"/>
  </r>
  <r>
    <x v="557"/>
    <m/>
    <d v="1899-12-31T00:09:00"/>
    <n v="1.0062500000058208"/>
    <d v="1902-03-26T14:41:00"/>
    <n v="816.6118055555562"/>
    <n v="778.52847222222772"/>
    <n v="756.0090277777781"/>
    <n v="3109"/>
    <n v="29"/>
    <n v="1.2008281573429502"/>
    <n v="28.819875776230802"/>
    <n v="10519.254658324242"/>
    <n v="-176650"/>
    <n v="-9.0133605914002661"/>
    <n v="-216.32065419360637"/>
    <n v="-78957.03878066632"/>
    <n v="1532"/>
    <n v="16"/>
    <n v="0.66252587991335177"/>
    <n v="15.900621117920444"/>
    <n v="5803.726708040962"/>
    <n v="-117900"/>
    <n v="-6.015710239038162"/>
    <n v="-144.37704573691587"/>
    <n v="-52697.621693974295"/>
    <n v="45"/>
    <n v="1.863354037256302"/>
    <n v="44.720496894151246"/>
    <n v="16322.981366365206"/>
    <n v="-294550"/>
    <n v="-381.64435932818145"/>
    <n v="-395.13681586327306"/>
    <n v="-15.029070830438428"/>
    <n v="-360.69769993052228"/>
    <n v="-131654.66047464064"/>
    <n v="-47648.675000000003"/>
    <n v="-58.349236045618667"/>
    <n v="-61.748673703326986"/>
    <n v="-63.941879823965927"/>
    <n v="-47098.544999999998"/>
    <n v="-57.675562218890505"/>
    <n v="-21297.471156650812"/>
    <n v="-21051.580209895037"/>
    <x v="3"/>
    <x v="3"/>
  </r>
  <r>
    <x v="558"/>
    <m/>
    <d v="1899-12-31T00:18:00"/>
    <n v="1.0124999999970896"/>
    <d v="1902-03-27T14:59:00"/>
    <n v="817.62430555555329"/>
    <n v="779.54097222222481"/>
    <n v="757.02152777777519"/>
    <n v="3139"/>
    <n v="30"/>
    <n v="1.2345679012381165"/>
    <n v="29.629629629714799"/>
    <n v="10814.814814845902"/>
    <n v="-176620"/>
    <n v="-9.0006701325571701"/>
    <n v="-216.0160831813721"/>
    <n v="-78845.87036120081"/>
    <n v="1550"/>
    <n v="18"/>
    <n v="0.74074074074287"/>
    <n v="17.777777777828881"/>
    <n v="6488.8888889075415"/>
    <n v="-117882"/>
    <n v="-6.0073434297707191"/>
    <n v="-144.17624231449727"/>
    <n v="-52624.328444791507"/>
    <n v="48"/>
    <n v="1.9753086419809867"/>
    <n v="47.40740740754368"/>
    <n v="17303.703703753443"/>
    <n v="-294502"/>
    <n v="-381.08708917908291"/>
    <n v="-394.54492248954597"/>
    <n v="-15.008013562327891"/>
    <n v="-360.19232549586934"/>
    <n v="-131470.19880599232"/>
    <n v="-47640.855200000005"/>
    <n v="-58.267415579860177"/>
    <n v="-61.658440688474769"/>
    <n v="-63.846029242893842"/>
    <n v="-47090.869799999993"/>
    <n v="-57.594752846789504"/>
    <n v="-21267.606686648964"/>
    <n v="-21022.08478907817"/>
    <x v="3"/>
    <x v="3"/>
  </r>
  <r>
    <x v="559"/>
    <m/>
    <d v="1899-12-30T23:25:00"/>
    <n v="0.97569444444525288"/>
    <d v="1902-03-28T14:24:00"/>
    <n v="818.59999999999854"/>
    <n v="780.51666666667006"/>
    <n v="757.99722222222044"/>
    <n v="3161"/>
    <n v="22"/>
    <n v="0.9395017793586522"/>
    <n v="22.548042704607653"/>
    <n v="8230.0355871817937"/>
    <n v="-176598"/>
    <n v="-8.9888223796726283"/>
    <n v="-215.73173711214307"/>
    <n v="-78742.084045932221"/>
    <n v="1566"/>
    <n v="16"/>
    <n v="0.68327402135174697"/>
    <n v="16.398576512441927"/>
    <n v="5985.4804270413033"/>
    <n v="-117866"/>
    <n v="-5.9993688411108499"/>
    <n v="-143.98485218666042"/>
    <n v="-52554.471048131054"/>
    <n v="38"/>
    <n v="1.6227758007103992"/>
    <n v="38.94661921704958"/>
    <n v="14215.516014223096"/>
    <n v="-294464"/>
    <n v="-380.56202088360106"/>
    <n v="-393.98693193686671"/>
    <n v="-14.988191220783477"/>
    <n v="-359.71658929880346"/>
    <n v="-131296.55509406325"/>
    <n v="-47634.743800000004"/>
    <n v="-58.190500610799035"/>
    <n v="-61.573533855779033"/>
    <n v="-63.755784036148043"/>
    <n v="-47084.793599999997"/>
    <n v="-57.518682628878672"/>
    <n v="-21239.532722941647"/>
    <n v="-20994.319159540712"/>
    <x v="3"/>
    <x v="3"/>
  </r>
  <r>
    <x v="560"/>
    <m/>
    <d v="1899-12-31T00:50:00"/>
    <n v="1.0347222222189885"/>
    <d v="1902-03-29T15:14:00"/>
    <n v="819.63472222221753"/>
    <n v="781.55138888888905"/>
    <n v="759.03194444443943"/>
    <n v="3176"/>
    <n v="15"/>
    <n v="0.60402684563947162"/>
    <n v="14.49664429534732"/>
    <n v="5291.2751678017721"/>
    <n v="-176583"/>
    <n v="-8.9767121871701487"/>
    <n v="-215.44109249208358"/>
    <n v="-78635.998759610506"/>
    <n v="1568"/>
    <n v="2"/>
    <n v="8.0536912751929549E-2"/>
    <n v="1.9328859060463093"/>
    <n v="705.50335570690288"/>
    <n v="-117864"/>
    <n v="-5.9916934542318483"/>
    <n v="-143.80064290156434"/>
    <n v="-52487.234659070986"/>
    <n v="17"/>
    <n v="0.68456375839140116"/>
    <n v="16.429530201393629"/>
    <n v="5996.7785235086749"/>
    <n v="-294447"/>
    <n v="-380.03643039040929"/>
    <n v="-393.42744687586605"/>
    <n v="-14.968405641401997"/>
    <n v="-359.24173539364796"/>
    <n v="-131123.23341868151"/>
    <n v="-47631.776100000003"/>
    <n v="-58.1134190738764"/>
    <n v="-61.488217388136484"/>
    <n v="-63.664961473221979"/>
    <n v="-47082.075299999997"/>
    <n v="-57.4427534894443"/>
    <n v="-21211.397961964885"/>
    <n v="-20966.605023647171"/>
    <x v="3"/>
    <x v="3"/>
  </r>
  <r>
    <x v="561"/>
    <m/>
    <d v="1899-12-30T23:11:00"/>
    <n v="0.96597222222771961"/>
    <d v="1902-03-30T14:25:00"/>
    <n v="820.60069444444525"/>
    <n v="782.51736111111677"/>
    <n v="759.99791666666715"/>
    <n v="3198"/>
    <n v="22"/>
    <n v="0.9489575844662026"/>
    <n v="22.774982027188862"/>
    <n v="8312.8684399239355"/>
    <n v="-176561"/>
    <n v="-8.9650281594191163"/>
    <n v="-215.16067582605879"/>
    <n v="-78533.64667651146"/>
    <n v="1583"/>
    <n v="15"/>
    <n v="0.64701653486332"/>
    <n v="15.528396836719679"/>
    <n v="5667.8648454026825"/>
    <n v="-117849"/>
    <n v="-5.9838786796596271"/>
    <n v="-143.61308831183104"/>
    <n v="-52418.777233818328"/>
    <n v="37"/>
    <n v="1.5959741193295225"/>
    <n v="38.303378863908542"/>
    <n v="13980.733285326618"/>
    <n v="-294410"/>
    <n v="-379.52001419918525"/>
    <n v="-392.87870854909119"/>
    <n v="-14.948906839078743"/>
    <n v="-358.77376413788983"/>
    <n v="-130952.42391032979"/>
    <n v="-47625.799299999999"/>
    <n v="-58.037727267880435"/>
    <n v="-61.404675842299824"/>
    <n v="-63.576177829434798"/>
    <n v="-47076.159"/>
    <n v="-57.367924885648584"/>
    <n v="-21183.770452776356"/>
    <n v="-20939.292583261733"/>
    <x v="3"/>
    <x v="3"/>
  </r>
  <r>
    <x v="562"/>
    <m/>
    <d v="1899-12-31T02:22:00"/>
    <n v="1.0986111111051287"/>
    <d v="1902-03-31T16:47:00"/>
    <n v="821.69930555555038"/>
    <n v="783.6159722222219"/>
    <n v="761.09652777777228"/>
    <n v="3231"/>
    <n v="33"/>
    <n v="1.2515802781357661"/>
    <n v="30.037926675258387"/>
    <n v="10963.843236469311"/>
    <n v="-176528"/>
    <n v="-8.95136856463618"/>
    <n v="-214.83284555126832"/>
    <n v="-78413.988626212944"/>
    <n v="1597"/>
    <n v="14"/>
    <n v="0.53097345133032503"/>
    <n v="12.743362831927801"/>
    <n v="4651.3274336536469"/>
    <n v="-117835"/>
    <n v="-5.9751683291823641"/>
    <n v="-143.40403990037674"/>
    <n v="-52342.474563637508"/>
    <n v="47"/>
    <n v="1.7825537294660911"/>
    <n v="42.781289507186187"/>
    <n v="15615.170670122958"/>
    <n v="-294363"/>
    <n v="-378.92795773156331"/>
    <n v="-392.249851502632"/>
    <n v="-14.926536893818545"/>
    <n v="-358.23688545164509"/>
    <n v="-130756.46318985046"/>
    <n v="-47617.978199999998"/>
    <n v="-57.950612685263877"/>
    <n v="-61.308607153270074"/>
    <n v="-63.474132172240985"/>
    <n v="-47068.643699999993"/>
    <n v="-57.28207798371804"/>
    <n v="-21151.973630121316"/>
    <n v="-20907.958464057087"/>
    <x v="3"/>
    <x v="3"/>
  </r>
  <r>
    <x v="563"/>
    <m/>
    <d v="1899-12-30T21:54:00"/>
    <n v="0.91250000000582077"/>
    <d v="1902-04-01T14:41:00"/>
    <n v="822.6118055555562"/>
    <n v="784.52847222222772"/>
    <n v="762.0090277777781"/>
    <n v="3253"/>
    <n v="22"/>
    <n v="1.0045662100392541"/>
    <n v="24.109589040942097"/>
    <n v="8799.999999943866"/>
    <n v="-176506"/>
    <n v="-8.9403247278949678"/>
    <n v="-214.56779346947926"/>
    <n v="-78317.244616359923"/>
    <n v="1613"/>
    <n v="16"/>
    <n v="0.73059360730127565"/>
    <n v="17.534246575230615"/>
    <n v="6399.9999999591746"/>
    <n v="-117819"/>
    <n v="-5.9677298172065383"/>
    <n v="-143.22551561295691"/>
    <n v="-52277.313198729273"/>
    <n v="38"/>
    <n v="1.7351598173405298"/>
    <n v="41.643835616172716"/>
    <n v="15199.999999903041"/>
    <n v="-294325"/>
    <n v="-378.43878267288738"/>
    <n v="-391.7302671209967"/>
    <n v="-14.908054545101507"/>
    <n v="-357.79330908243617"/>
    <n v="-130594.5578150892"/>
    <n v="-47611.866800000003"/>
    <n v="-57.878900446663323"/>
    <n v="-61.229508043135894"/>
    <n v="-63.390102268035953"/>
    <n v="-47062.567499999997"/>
    <n v="-57.211150122281538"/>
    <n v="-21125.79866303211"/>
    <n v="-20882.06979463276"/>
    <x v="3"/>
    <x v="3"/>
  </r>
  <r>
    <x v="564"/>
    <m/>
    <d v="1899-12-30T23:47:00"/>
    <n v="0.99097222222189885"/>
    <d v="1902-04-02T14:28:00"/>
    <n v="823.6027777777781"/>
    <n v="785.51944444444962"/>
    <n v="763"/>
    <n v="3274"/>
    <n v="21"/>
    <n v="0.88297126839552287"/>
    <n v="21.191310441492551"/>
    <n v="7734.8283111447809"/>
    <n v="-176485"/>
    <n v="-8.9285051788045031"/>
    <n v="-214.2841242913081"/>
    <n v="-78213.705366327456"/>
    <n v="1627"/>
    <n v="14"/>
    <n v="0.58864751226368195"/>
    <n v="14.127540294328366"/>
    <n v="5156.5522074298533"/>
    <n v="-117805"/>
    <n v="-5.9598410776500241"/>
    <n v="-143.03618586360059"/>
    <n v="-52208.207840214214"/>
    <n v="35"/>
    <n v="1.4716187806592049"/>
    <n v="35.318850735820916"/>
    <n v="12891.380518574635"/>
    <n v="-294290"/>
    <n v="-377.9168066424528"/>
    <n v="-391.17562254259502"/>
    <n v="-14.888346256454529"/>
    <n v="-357.32031015490867"/>
    <n v="-130421.91320654166"/>
    <n v="-47606.2045"/>
    <n v="-57.802384577246961"/>
    <n v="-61.145055593078489"/>
    <n v="-63.300351114023591"/>
    <n v="-47056.970999999998"/>
    <n v="-57.135517593769897"/>
    <n v="-21097.870370695142"/>
    <n v="-20854.463921726012"/>
    <x v="3"/>
    <x v="3"/>
  </r>
  <r>
    <x v="565"/>
    <m/>
    <d v="1899-12-31T02:02:00"/>
    <n v="1.0847222222218988"/>
    <d v="1902-04-03T16:30:00"/>
    <n v="824.6875"/>
    <n v="786.60416666667152"/>
    <n v="764.0847222222219"/>
    <n v="3291"/>
    <n v="17"/>
    <n v="0.65300896286831245"/>
    <n v="15.672215108839499"/>
    <n v="5720.3585147264166"/>
    <n v="-176468"/>
    <n v="-8.9159024883162807"/>
    <n v="-213.98165971959077"/>
    <n v="-78103.305797650624"/>
    <n v="1641"/>
    <n v="14"/>
    <n v="0.53777208706802204"/>
    <n v="12.906530089632529"/>
    <n v="4710.8834827158735"/>
    <n v="-117791"/>
    <n v="-5.9512946823291655"/>
    <n v="-142.83107237589996"/>
    <n v="-52133.34141720349"/>
    <n v="31"/>
    <n v="1.1907810499363345"/>
    <n v="28.578745198472028"/>
    <n v="10431.24199744229"/>
    <n v="-294259"/>
    <n v="-377.35625182085209"/>
    <n v="-390.57972410709272"/>
    <n v="-14.867197170645447"/>
    <n v="-356.81273209549073"/>
    <n v="-130236.64721485412"/>
    <n v="-47601.2618"/>
    <n v="-57.720362925350514"/>
    <n v="-61.054453351696004"/>
    <n v="-63.204018867890262"/>
    <n v="-47052.014099999993"/>
    <n v="-57.054355862068959"/>
    <n v="-21067.932467752937"/>
    <n v="-20824.839889655173"/>
    <x v="3"/>
    <x v="3"/>
  </r>
  <r>
    <x v="566"/>
    <m/>
    <d v="1899-12-30T22:22:00"/>
    <n v="0.93194444444088731"/>
    <d v="1902-04-04T14:52:00"/>
    <n v="825.61944444444089"/>
    <n v="787.5361111111124"/>
    <n v="765.01666666666279"/>
    <n v="3313"/>
    <n v="22"/>
    <n v="0.98360655738080349"/>
    <n v="23.606557377139286"/>
    <n v="8616.393442655839"/>
    <n v="-176446"/>
    <n v="-8.9047280997769729"/>
    <n v="-213.71347439464736"/>
    <n v="-78005.418154046289"/>
    <n v="1653"/>
    <n v="12"/>
    <n v="0.53651266766225647"/>
    <n v="12.876304023894155"/>
    <n v="4699.8509687213664"/>
    <n v="-117779"/>
    <n v="-5.943971361570294"/>
    <n v="-142.65531267768708"/>
    <n v="-52069.189127355785"/>
    <n v="34"/>
    <n v="1.52011922504306"/>
    <n v="36.482861401033439"/>
    <n v="13316.244411377205"/>
    <n v="-294225"/>
    <n v="-376.86652816625633"/>
    <n v="-390.05947582841532"/>
    <n v="-14.848699461347268"/>
    <n v="-356.36878707233444"/>
    <n v="-130074.60728140207"/>
    <n v="-47595.688799999996"/>
    <n v="-57.648459130013734"/>
    <n v="-60.975127010048823"/>
    <n v="-63.11973882921972"/>
    <n v="-47046.577499999999"/>
    <n v="-56.983369052866273"/>
    <n v="-21041.687582455015"/>
    <n v="-20798.929704296192"/>
    <x v="3"/>
    <x v="3"/>
  </r>
  <r>
    <x v="567"/>
    <m/>
    <d v="1899-12-31T00:30:00"/>
    <n v="1.0208333333357587"/>
    <d v="1902-04-05T15:22:00"/>
    <n v="826.64027777777665"/>
    <n v="788.55694444444816"/>
    <n v="766.03749999999854"/>
    <n v="3336"/>
    <n v="23"/>
    <n v="0.93877551020185124"/>
    <n v="22.530612244844431"/>
    <n v="8223.6734693682174"/>
    <n v="-176423"/>
    <n v="-8.8925721755230889"/>
    <n v="-213.42173221255413"/>
    <n v="-77898.932257582259"/>
    <n v="1664"/>
    <n v="11"/>
    <n v="0.44897959183566799"/>
    <n v="10.775510204056031"/>
    <n v="3933.0612244804515"/>
    <n v="-117768"/>
    <n v="-5.9360765884663742"/>
    <n v="-142.46583812319298"/>
    <n v="-52000.030914965435"/>
    <n v="34"/>
    <n v="1.3877551020375192"/>
    <n v="33.30612244890046"/>
    <n v="12156.734693848668"/>
    <n v="-294191"/>
    <n v="-376.33553555104874"/>
    <n v="-389.49529233229515"/>
    <n v="-14.828648763989461"/>
    <n v="-355.88757033574711"/>
    <n v="-129898.96317254769"/>
    <n v="-47590.070500000002"/>
    <n v="-57.570471436420263"/>
    <n v="-60.889066336010821"/>
    <n v="-63.028290259941706"/>
    <n v="-47041.140899999999"/>
    <n v="-56.906422496685956"/>
    <n v="-21013.222074293397"/>
    <n v="-20770.844211290376"/>
    <x v="3"/>
    <x v="3"/>
  </r>
  <r>
    <x v="568"/>
    <m/>
    <d v="1899-12-31T02:44:00"/>
    <n v="1.1138888888890506"/>
    <d v="1902-04-06T18:06:00"/>
    <n v="827.7541666666657"/>
    <n v="789.67083333333721"/>
    <n v="767.1513888888876"/>
    <n v="3363"/>
    <n v="27"/>
    <n v="1.0099750623439931"/>
    <n v="24.239401496255834"/>
    <n v="8847.3815461333797"/>
    <n v="-176396"/>
    <n v="-8.8792465556903579"/>
    <n v="-213.10191733656856"/>
    <n v="-77782.199827847522"/>
    <n v="1678"/>
    <n v="14"/>
    <n v="0.52369077306725564"/>
    <n v="12.568578553614136"/>
    <n v="4587.5311720691598"/>
    <n v="-117754"/>
    <n v="-5.9273838347738179"/>
    <n v="-142.25721203457161"/>
    <n v="-51923.882392618638"/>
    <n v="41"/>
    <n v="1.5336658354112487"/>
    <n v="36.807980049869968"/>
    <n v="13434.912718202539"/>
    <n v="-294150"/>
    <n v="-375.75276618422049"/>
    <n v="-388.87630827610872"/>
    <n v="-14.806630390464175"/>
    <n v="-355.35912937114017"/>
    <n v="-129706.08222046617"/>
    <n v="-47583.328800000003"/>
    <n v="-57.484855668702032"/>
    <n v="-60.794640467283017"/>
    <n v="-62.927986443353859"/>
    <n v="-47034.584999999999"/>
    <n v="-56.821924786445315"/>
    <n v="-20981.972319076238"/>
    <n v="-20740.00254705254"/>
    <x v="3"/>
    <x v="3"/>
  </r>
  <r>
    <x v="569"/>
    <m/>
    <d v="1899-12-30T22:19:00"/>
    <n v="0.92986111110803904"/>
    <d v="1902-04-07T16:25:00"/>
    <n v="828.68402777777374"/>
    <n v="790.60069444444525"/>
    <n v="768.08124999999563"/>
    <n v="3386"/>
    <n v="23"/>
    <n v="1.0306198655747267"/>
    <n v="24.734876773793445"/>
    <n v="9028.2300224346072"/>
    <n v="-176373"/>
    <n v="-8.868126757199585"/>
    <n v="-212.83504217279005"/>
    <n v="-77684.790393068368"/>
    <n v="1692"/>
    <n v="14"/>
    <n v="0.6273338312193989"/>
    <n v="15.056011949265574"/>
    <n v="5495.4443614819347"/>
    <n v="-117740"/>
    <n v="-5.9200288275001229"/>
    <n v="-142.08069186000296"/>
    <n v="-51859.452528901078"/>
    <n v="37"/>
    <n v="1.6579536967941257"/>
    <n v="39.79088872305902"/>
    <n v="14523.674383916543"/>
    <n v="-294113"/>
    <n v="-375.26402656208103"/>
    <n v="-388.35735151717569"/>
    <n v="-14.788155584699709"/>
    <n v="-354.91573403279301"/>
    <n v="-129544.24292196945"/>
    <n v="-47577.306700000001"/>
    <n v="-57.413085211241331"/>
    <n v="-60.715520030918768"/>
    <n v="-62.843963578072341"/>
    <n v="-47028.668699999995"/>
    <n v="-56.751025871843595"/>
    <n v="-20955.776102103082"/>
    <n v="-20714.124443222914"/>
    <x v="3"/>
    <x v="3"/>
  </r>
  <r>
    <x v="570"/>
    <m/>
    <d v="1899-12-30T22:17:00"/>
    <n v="0.92847222222189885"/>
    <d v="1902-04-08T14:42:00"/>
    <n v="829.61249999999563"/>
    <n v="791.52916666666715"/>
    <n v="769.00972222221753"/>
    <n v="3412"/>
    <n v="26"/>
    <n v="1.1667913238597931"/>
    <n v="28.002991772635035"/>
    <n v="10221.091997011788"/>
    <n v="-176347"/>
    <n v="-8.8568960408223187"/>
    <n v="-212.56550497973564"/>
    <n v="-77586.409317603509"/>
    <n v="1707"/>
    <n v="15"/>
    <n v="0.67314884068834213"/>
    <n v="16.155572176520213"/>
    <n v="5896.7838444298777"/>
    <n v="-117725"/>
    <n v="-5.9126499821704215"/>
    <n v="-141.90359957209012"/>
    <n v="-51794.813843812895"/>
    <n v="41"/>
    <n v="1.8399401645481352"/>
    <n v="44.158563949155244"/>
    <n v="16117.875841441664"/>
    <n v="-294072"/>
    <n v="-374.7720393542034"/>
    <n v="-387.83514873927203"/>
    <n v="-14.76954602299274"/>
    <n v="-354.46910455182575"/>
    <n v="-129381.2231614164"/>
    <n v="-47570.6103"/>
    <n v="-57.340758848257771"/>
    <n v="-60.635839993261953"/>
    <n v="-62.759380415289165"/>
    <n v="-47022.112799999995"/>
    <n v="-56.679609817836933"/>
    <n v="-20929.376979614088"/>
    <n v="-20688.057583510483"/>
    <x v="3"/>
    <x v="3"/>
  </r>
  <r>
    <x v="571"/>
    <m/>
    <d v="1899-12-31T01:17:00"/>
    <n v="1.0534722222218988"/>
    <d v="1902-04-09T15:59:00"/>
    <n v="830.66597222221753"/>
    <n v="792.58263888888905"/>
    <n v="770.06319444443943"/>
    <n v="3435"/>
    <n v="23"/>
    <n v="0.90969017798314011"/>
    <n v="21.832564271595363"/>
    <n v="7968.8859591323071"/>
    <n v="-176324"/>
    <n v="-8.8445098017906147"/>
    <n v="-212.26823524297475"/>
    <n v="-77477.905863685781"/>
    <n v="1726"/>
    <n v="19"/>
    <n v="0.75148319050781143"/>
    <n v="18.035596572187476"/>
    <n v="6582.9927488484291"/>
    <n v="-117706"/>
    <n v="-5.9041983549010126"/>
    <n v="-141.7007605176243"/>
    <n v="-51720.77758893287"/>
    <n v="42"/>
    <n v="1.6611733684909515"/>
    <n v="39.868160843782839"/>
    <n v="14551.878707980735"/>
    <n v="-294030"/>
    <n v="-374.22091457340139"/>
    <n v="-387.2500362975286"/>
    <n v="-14.748708156691627"/>
    <n v="-353.96899576059906"/>
    <n v="-129198.68345261866"/>
    <n v="-47563.915200000003"/>
    <n v="-57.259977885883394"/>
    <n v="-60.546797829528813"/>
    <n v="-62.664829260946711"/>
    <n v="-47015.396999999997"/>
    <n v="-56.599642422119786"/>
    <n v="-20899.891928347439"/>
    <n v="-20658.869484073723"/>
    <x v="3"/>
    <x v="3"/>
  </r>
  <r>
    <x v="572"/>
    <m/>
    <d v="1899-12-30T23:50:00"/>
    <n v="0.99305555555474712"/>
    <d v="1902-04-10T15:49:00"/>
    <n v="831.65902777777228"/>
    <n v="793.5756944444438"/>
    <n v="771.05624999999418"/>
    <n v="3456"/>
    <n v="21"/>
    <n v="0.88111888111959846"/>
    <n v="21.146853146870363"/>
    <n v="7718.6013986076823"/>
    <n v="-176303"/>
    <n v="-8.8328967617438625"/>
    <n v="-211.98952228185269"/>
    <n v="-77376.175632876228"/>
    <n v="1738"/>
    <n v="12"/>
    <n v="0.50349650349691344"/>
    <n v="12.083916083925921"/>
    <n v="4410.6293706329607"/>
    <n v="-117694"/>
    <n v="-5.896547145974159"/>
    <n v="-141.5171315033798"/>
    <n v="-51653.752998733624"/>
    <n v="33"/>
    <n v="1.3846153846165119"/>
    <n v="33.230769230796284"/>
    <n v="12129.230769240643"/>
    <n v="-293997"/>
    <n v="-373.71104240738811"/>
    <n v="-386.70849240895495"/>
    <n v="-14.729443907718021"/>
    <n v="-353.50665378523252"/>
    <n v="-129029.92863160987"/>
    <n v="-47558.522100000002"/>
    <n v="-57.185120958860225"/>
    <n v="-60.464235530287105"/>
    <n v="-62.577127803581604"/>
    <n v="-47010.120299999995"/>
    <n v="-56.525713940258669"/>
    <n v="-20872.569149983981"/>
    <n v="-20631.885588194418"/>
    <x v="3"/>
    <x v="3"/>
  </r>
  <r>
    <x v="573"/>
    <m/>
    <d v="1899-12-30T23:07:00"/>
    <n v="0.96319444444816327"/>
    <d v="1902-04-11T14:56:00"/>
    <n v="832.62222222222044"/>
    <n v="794.53888888889196"/>
    <n v="772.01944444444234"/>
    <n v="3470"/>
    <n v="14"/>
    <n v="0.60562364815916137"/>
    <n v="14.534967555819874"/>
    <n v="5305.2631578742539"/>
    <n v="-176289"/>
    <n v="-8.821978087968418"/>
    <n v="-211.72747411124203"/>
    <n v="-77280.528050603345"/>
    <n v="1740"/>
    <n v="2"/>
    <n v="8.6517664022737334E-2"/>
    <n v="2.0764239365456962"/>
    <n v="757.89473683917913"/>
    <n v="-117692"/>
    <n v="-5.8896258140279834"/>
    <n v="-141.3510195366716"/>
    <n v="-51593.122130885131"/>
    <n v="16"/>
    <n v="0.69214131218189867"/>
    <n v="16.61139149236557"/>
    <n v="6063.1578947134331"/>
    <n v="-293981"/>
    <n v="-373.2378668270191"/>
    <n v="-386.20529851363955"/>
    <n v="-14.711603901996401"/>
    <n v="-353.07849364791366"/>
    <n v="-128873.65018148848"/>
    <n v="-47555.734299999996"/>
    <n v="-57.115619822248433"/>
    <n v="-60.387427942132518"/>
    <n v="-62.495443666862329"/>
    <n v="-47007.561899999993"/>
    <n v="-56.45725113430138"/>
    <n v="-20847.201235120679"/>
    <n v="-20606.896664020005"/>
    <x v="3"/>
    <x v="3"/>
  </r>
  <r>
    <x v="574"/>
    <m/>
    <d v="1899-12-31T23:44:00"/>
    <n v="1.9888888888890506"/>
    <d v="1902-04-13T14:40:00"/>
    <n v="834.61111111110949"/>
    <n v="796.52777777778101"/>
    <n v="774.00833333333139"/>
    <n v="3509"/>
    <n v="39"/>
    <n v="0.81703910614518493"/>
    <n v="19.608938547484438"/>
    <n v="7157.2625698318197"/>
    <n v="-176250"/>
    <n v="-8.7990081874459332"/>
    <n v="-211.17619649870241"/>
    <n v="-77079.311722026381"/>
    <n v="1765"/>
    <n v="25"/>
    <n v="0.523743016759734"/>
    <n v="12.569832402233615"/>
    <n v="4587.9888268152699"/>
    <n v="-117667"/>
    <n v="-5.8743426745656775"/>
    <n v="-140.98422418957625"/>
    <n v="-51459.241829195329"/>
    <n v="64"/>
    <n v="1.3407821229049188"/>
    <n v="32.178770949718057"/>
    <n v="11745.251396647091"/>
    <n v="-293917"/>
    <n v="-372.22556233652858"/>
    <n v="-385.13022038953164"/>
    <n v="-14.673350862011612"/>
    <n v="-352.16042068827863"/>
    <n v="-128538.5535512217"/>
    <n v="-47545.353199999998"/>
    <n v="-56.967074326033526"/>
    <n v="-60.223610699215101"/>
    <n v="-62.321443481444149"/>
    <n v="-46997.328299999994"/>
    <n v="-56.310451268055751"/>
    <n v="-20792.982129002237"/>
    <n v="-20553.314712840347"/>
    <x v="4"/>
    <x v="3"/>
  </r>
  <r>
    <x v="575"/>
    <m/>
    <d v="1899-12-31T01:45:00"/>
    <n v="1.0729166666642413"/>
    <d v="1902-04-14T16:25:00"/>
    <n v="835.68402777777374"/>
    <n v="797.60069444444525"/>
    <n v="775.08124999999563"/>
    <n v="3542"/>
    <n v="33"/>
    <n v="1.2815533980611493"/>
    <n v="30.757281553467585"/>
    <n v="11226.407767015669"/>
    <n v="-176217"/>
    <n v="-8.7860659722366918"/>
    <n v="-210.8655833336806"/>
    <n v="-76965.937916793424"/>
    <n v="1780"/>
    <n v="15"/>
    <n v="0.58252427184597699"/>
    <n v="13.980582524303447"/>
    <n v="5102.9126213707577"/>
    <n v="-117652"/>
    <n v="-5.8660528426065088"/>
    <n v="-140.78526822255623"/>
    <n v="-51386.622901233022"/>
    <n v="48"/>
    <n v="1.8640776699071264"/>
    <n v="44.737864077771036"/>
    <n v="16329.320388386428"/>
    <n v="-293869"/>
    <n v="-371.66467138858258"/>
    <n v="-384.53516969995297"/>
    <n v="-14.652118814843201"/>
    <n v="-351.65085155623683"/>
    <n v="-128352.56081802644"/>
    <n v="-47537.397499999999"/>
    <n v="-56.884415544485208"/>
    <n v="-60.132624550191707"/>
    <n v="-62.224909840097759"/>
    <n v="-46989.653099999996"/>
    <n v="-56.22897116384226"/>
    <n v="-20762.811673737102"/>
    <n v="-20523.574474802426"/>
    <x v="4"/>
    <x v="3"/>
  </r>
  <r>
    <x v="576"/>
    <m/>
    <d v="1899-12-30T22:31:00"/>
    <n v="0.93819444444670808"/>
    <d v="1902-04-15T14:56:00"/>
    <n v="836.62222222222044"/>
    <n v="798.53888888889196"/>
    <n v="776.01944444444234"/>
    <n v="3567"/>
    <n v="25"/>
    <n v="1.1102886750528356"/>
    <n v="26.646928201268054"/>
    <n v="9726.1287934628399"/>
    <n v="-176192"/>
    <n v="-8.7749681257968746"/>
    <n v="-210.59923501912496"/>
    <n v="-76868.720781980606"/>
    <n v="1798"/>
    <n v="18"/>
    <n v="0.7994078460380416"/>
    <n v="19.185788304913"/>
    <n v="7002.8127312932447"/>
    <n v="-117634"/>
    <n v="-5.8585781449213892"/>
    <n v="-140.60587547811335"/>
    <n v="-51321.144549511373"/>
    <n v="43"/>
    <n v="1.9096965210908772"/>
    <n v="45.83271650618105"/>
    <n v="16728.941524756083"/>
    <n v="-293826"/>
    <n v="-371.17415835866751"/>
    <n v="-384.01486217055088"/>
    <n v="-14.633546270718263"/>
    <n v="-351.20511049723831"/>
    <n v="-128189.86533149198"/>
    <n v="-47530.477200000001"/>
    <n v="-56.812353219294643"/>
    <n v="-60.053309196657558"/>
    <n v="-62.140763282707148"/>
    <n v="-46982.777399999999"/>
    <n v="-56.157697168508406"/>
    <n v="-20736.508925042544"/>
    <n v="-20497.559466505565"/>
    <x v="4"/>
    <x v="3"/>
  </r>
  <r>
    <x v="577"/>
    <m/>
    <d v="1899-12-30T23:43:00"/>
    <n v="0.9881944444423425"/>
    <d v="1902-04-16T14:39:00"/>
    <n v="837.61041666666279"/>
    <n v="799.5270833333343"/>
    <n v="777.00763888888469"/>
    <n v="3600"/>
    <n v="33"/>
    <n v="1.3914265636009919"/>
    <n v="33.394237526423808"/>
    <n v="12188.89669714469"/>
    <n v="-176159"/>
    <n v="-8.7629740357614949"/>
    <n v="-210.31137685827588"/>
    <n v="-76763.652553270702"/>
    <n v="1818"/>
    <n v="20"/>
    <n v="0.8432888264248436"/>
    <n v="20.238931834196247"/>
    <n v="7387.2101194816305"/>
    <n v="-117614"/>
    <n v="-5.8506714288912427"/>
    <n v="-140.41611429338982"/>
    <n v="-51251.881717087286"/>
    <n v="53"/>
    <n v="2.2347153900258356"/>
    <n v="53.633169360620052"/>
    <n v="19576.106816626318"/>
    <n v="-293773"/>
    <n v="-370.64910767563072"/>
    <n v="-383.45826358421181"/>
    <n v="-14.613645464652738"/>
    <n v="-350.72749115166573"/>
    <n v="-128015.534270358"/>
    <n v="-47521.8485"/>
    <n v="-56.7350256806941"/>
    <n v="-59.968292631321049"/>
    <n v="-62.050627930692421"/>
    <n v="-46974.302699999993"/>
    <n v="-56.08132583515134"/>
    <n v="-20708.284373453345"/>
    <n v="-20469.68392983024"/>
    <x v="4"/>
    <x v="3"/>
  </r>
  <r>
    <x v="578"/>
    <m/>
    <d v="1899-12-31T01:15:00"/>
    <n v="1.0520833333357587"/>
    <d v="1902-04-17T15:54:00"/>
    <n v="838.66249999999854"/>
    <n v="800.57916666667006"/>
    <n v="778.05972222222044"/>
    <n v="3618"/>
    <n v="18"/>
    <n v="0.71287128712706949"/>
    <n v="17.108910891049668"/>
    <n v="6244.7524752331283"/>
    <n v="-176141"/>
    <n v="-8.7510867999145621"/>
    <n v="-210.02608319794948"/>
    <n v="-76659.520367251564"/>
    <n v="1838"/>
    <n v="20"/>
    <n v="0.79207920791896613"/>
    <n v="19.009900990055186"/>
    <n v="6938.6138613701432"/>
    <n v="-117594"/>
    <n v="-5.8423382469110141"/>
    <n v="-140.21611792586435"/>
    <n v="-51178.883042940492"/>
    <n v="38"/>
    <n v="1.5049504950460357"/>
    <n v="36.118811881104854"/>
    <n v="13183.366336603272"/>
    <n v="-293735"/>
    <n v="-370.11455248543865"/>
    <n v="-382.89091632854604"/>
    <n v="-14.593425046825576"/>
    <n v="-350.2422011238138"/>
    <n v="-127838.40341019204"/>
    <n v="-47515.918300000005"/>
    <n v="-56.65678184013246"/>
    <n v="-59.88207774579837"/>
    <n v="-61.959102011235359"/>
    <n v="-46968.226499999997"/>
    <n v="-56.003727959697827"/>
    <n v="-20679.725371648346"/>
    <n v="-20441.360705289706"/>
    <x v="4"/>
    <x v="3"/>
  </r>
  <r>
    <x v="579"/>
    <m/>
    <d v="1899-12-30T23:14:00"/>
    <n v="0.96805555555329192"/>
    <d v="1902-04-18T15:08:00"/>
    <n v="839.63055555555184"/>
    <n v="801.54722222222335"/>
    <n v="779.02777777777374"/>
    <n v="3638"/>
    <n v="20"/>
    <n v="0.86083213773515499"/>
    <n v="20.659971305643719"/>
    <n v="7540.8895265599576"/>
    <n v="-176121"/>
    <n v="-8.7400046978334114"/>
    <n v="-209.76011274800186"/>
    <n v="-76562.441153020685"/>
    <n v="1853"/>
    <n v="15"/>
    <n v="0.64562410330136621"/>
    <n v="15.494978479232788"/>
    <n v="5655.6671449199675"/>
    <n v="-117579"/>
    <n v="-5.8348579236238418"/>
    <n v="-140.03659016697222"/>
    <n v="-51113.35541094486"/>
    <n v="35"/>
    <n v="1.5064562410365212"/>
    <n v="36.154949784876507"/>
    <n v="13196.556671479924"/>
    <n v="-293700"/>
    <n v="-369.62388713495028"/>
    <n v="-382.37019076484421"/>
    <n v="-14.574862621457253"/>
    <n v="-349.79670291497405"/>
    <n v="-127675.79656396553"/>
    <n v="-47510.301299999999"/>
    <n v="-56.584769319839992"/>
    <n v="-59.802748448313423"/>
    <n v="-61.874898527367051"/>
    <n v="-46962.63"/>
    <n v="-55.932492796104349"/>
    <n v="-20653.440801741599"/>
    <n v="-20415.359870578086"/>
    <x v="4"/>
    <x v="3"/>
  </r>
  <r>
    <x v="580"/>
    <m/>
    <d v="1899-12-30T23:56:00"/>
    <n v="0.99722222222044365"/>
    <d v="1902-04-19T15:04:00"/>
    <n v="840.62777777777228"/>
    <n v="802.5444444444438"/>
    <n v="780.02499999999418"/>
    <n v="3655"/>
    <n v="17"/>
    <n v="0.71030640668650358"/>
    <n v="17.047353760476089"/>
    <n v="6222.284122573772"/>
    <n v="-176104"/>
    <n v="-8.7287939568973503"/>
    <n v="-209.49105496553639"/>
    <n v="-76464.23506242079"/>
    <n v="1865"/>
    <n v="12"/>
    <n v="0.50139275766106139"/>
    <n v="12.033426183865473"/>
    <n v="4392.2005571108975"/>
    <n v="-117567"/>
    <n v="-5.8273413388142838"/>
    <n v="-139.85619213154283"/>
    <n v="-51047.510128013135"/>
    <n v="29"/>
    <n v="1.211699164347565"/>
    <n v="29.080779944341561"/>
    <n v="10614.48467968467"/>
    <n v="-293671"/>
    <n v="-369.1284664054607"/>
    <n v="-381.84417166116754"/>
    <n v="-14.556135295711634"/>
    <n v="-349.34724709707922"/>
    <n v="-127511.74519043391"/>
    <n v="-47505.627800000002"/>
    <n v="-56.512084249205664"/>
    <n v="-59.722615652992616"/>
    <n v="-61.789803147335483"/>
    <n v="-46957.992899999997"/>
    <n v="-55.860624810822962"/>
    <n v="-20626.910750960069"/>
    <n v="-20389.128055950379"/>
    <x v="4"/>
    <x v="3"/>
  </r>
  <r>
    <x v="581"/>
    <m/>
    <d v="1899-12-31T05:12:00"/>
    <n v="1.2166666666671517"/>
    <d v="1902-04-20T20:16:00"/>
    <n v="841.84444444443943"/>
    <n v="803.76111111111095"/>
    <n v="781.24166666666133"/>
    <n v="3679"/>
    <n v="24"/>
    <n v="0.82191780821885041"/>
    <n v="19.726027397252409"/>
    <n v="7199.9999999971296"/>
    <n v="-176080"/>
    <n v="-8.7149908930127484"/>
    <n v="-209.15978143230598"/>
    <n v="-76343.320222791677"/>
    <n v="1880"/>
    <n v="15"/>
    <n v="0.51369863013678152"/>
    <n v="12.328767123282756"/>
    <n v="4499.9999999982056"/>
    <n v="-117552"/>
    <n v="-5.818177018715553"/>
    <n v="-139.63624844917328"/>
    <n v="-50967.230683948248"/>
    <n v="39"/>
    <n v="1.3356164383556319"/>
    <n v="32.054794520535168"/>
    <n v="11699.999999995336"/>
    <n v="-293632"/>
    <n v="-368.52118857869607"/>
    <n v="-381.19958612892134"/>
    <n v="-14.533167911728302"/>
    <n v="-348.79602988147923"/>
    <n v="-127310.55090673993"/>
    <n v="-47499.2912"/>
    <n v="-56.422883720930571"/>
    <n v="-59.624328842870682"/>
    <n v="-61.685463866281665"/>
    <n v="-46951.756799999996"/>
    <n v="-55.772485178048527"/>
    <n v="-20594.352558139657"/>
    <n v="-20356.957089987711"/>
    <x v="4"/>
    <x v="3"/>
  </r>
  <r>
    <x v="582"/>
    <m/>
    <d v="1899-12-31T19:47:00"/>
    <n v="1.8243055555576575"/>
    <d v="1902-04-22T16:03:00"/>
    <n v="843.66874999999709"/>
    <n v="805.58541666666861"/>
    <n v="783.06597222221899"/>
    <n v="3695"/>
    <n v="16"/>
    <n v="0.36543585839318382"/>
    <n v="8.7704606014364117"/>
    <n v="3201.2181195242902"/>
    <n v="-176064"/>
    <n v="-8.6953558490817926"/>
    <n v="-208.68854037796305"/>
    <n v="-76171.317237956508"/>
    <n v="1895"/>
    <n v="15"/>
    <n v="0.34259611724360983"/>
    <n v="8.222306813846636"/>
    <n v="3001.1419870540221"/>
    <n v="-117537"/>
    <n v="-5.8048552823605437"/>
    <n v="-139.31652677665303"/>
    <n v="-50850.532273478355"/>
    <n v="31"/>
    <n v="0.70803197563679365"/>
    <n v="16.992767415283048"/>
    <n v="6202.3601065783123"/>
    <n v="-293601"/>
    <n v="-367.64816476630517"/>
    <n v="-380.27191905038666"/>
    <n v="-14.500211131442336"/>
    <n v="-348.00506715461609"/>
    <n v="-127021.84951143488"/>
    <n v="-47494.393799999998"/>
    <n v="-56.295072918133052"/>
    <n v="-59.483225997656838"/>
    <n v="-61.535501361723888"/>
    <n v="-46946.799899999998"/>
    <n v="-55.646010238023109"/>
    <n v="-20547.701615118563"/>
    <n v="-20310.793736878437"/>
    <x v="4"/>
    <x v="3"/>
  </r>
  <r>
    <x v="583"/>
    <m/>
    <d v="1899-12-30T22:46:00"/>
    <n v="0.94861111111094942"/>
    <d v="1902-04-23T14:49:00"/>
    <n v="844.61736111110804"/>
    <n v="806.53402777777956"/>
    <n v="784.01458333332994"/>
    <n v="3716"/>
    <n v="21"/>
    <n v="0.92240117130323185"/>
    <n v="22.137628111277564"/>
    <n v="8080.2342606163111"/>
    <n v="-176043"/>
    <n v="-8.684553903024824"/>
    <n v="-208.42929367259575"/>
    <n v="-76076.692190497444"/>
    <n v="1906"/>
    <n v="11"/>
    <n v="0.48316251830169288"/>
    <n v="11.59590043924063"/>
    <n v="4232.50366032283"/>
    <n v="-117526"/>
    <n v="-5.7977930506006796"/>
    <n v="-139.1470332144163"/>
    <n v="-50788.667123261948"/>
    <n v="32"/>
    <n v="1.4055636896049248"/>
    <n v="33.733528550518194"/>
    <n v="12312.73792093914"/>
    <n v="-293569"/>
    <n v="-367.17607664483319"/>
    <n v="-379.77099703183831"/>
    <n v="-14.482346953625502"/>
    <n v="-347.57632688701204"/>
    <n v="-126865.3593137594"/>
    <n v="-47489.135300000002"/>
    <n v="-56.225620602360415"/>
    <n v="-59.406744476751818"/>
    <n v="-61.454339911832264"/>
    <n v="-46941.683099999995"/>
    <n v="-55.577454669233227"/>
    <n v="-20522.35151986155"/>
    <n v="-20285.770954270127"/>
    <x v="4"/>
    <x v="3"/>
  </r>
  <r>
    <x v="584"/>
    <m/>
    <d v="1899-12-31T01:33:00"/>
    <n v="1.0645833333328483"/>
    <d v="1902-04-24T16:22:00"/>
    <n v="845.68194444444089"/>
    <n v="807.5986111111124"/>
    <n v="785.07916666666279"/>
    <n v="3738"/>
    <n v="22"/>
    <n v="0.86105675146810268"/>
    <n v="20.665362035234466"/>
    <n v="7542.8571428605801"/>
    <n v="-176021"/>
    <n v="-8.6725374492315073"/>
    <n v="-208.14089878155619"/>
    <n v="-75971.428055268014"/>
    <n v="1920"/>
    <n v="14"/>
    <n v="0.54794520547970171"/>
    <n v="13.150684931512842"/>
    <n v="4800.0000000021873"/>
    <n v="-117512"/>
    <n v="-5.7898047433777391"/>
    <n v="-138.95531384106573"/>
    <n v="-50718.689551988995"/>
    <n v="36"/>
    <n v="1.4090019569478045"/>
    <n v="33.816046966747308"/>
    <n v="12342.857142862767"/>
    <n v="-293533"/>
    <n v="-366.64748542919534"/>
    <n v="-379.21016458000707"/>
    <n v="-14.462342192609247"/>
    <n v="-347.09621262262192"/>
    <n v="-126690.11760725699"/>
    <n v="-47483.293100000003"/>
    <n v="-56.147932933809408"/>
    <n v="-59.321199963540657"/>
    <n v="-61.363565033250673"/>
    <n v="-46935.926699999996"/>
    <n v="-55.500684398357244"/>
    <n v="-20493.995520840435"/>
    <n v="-20257.749805400392"/>
    <x v="4"/>
    <x v="3"/>
  </r>
  <r>
    <x v="585"/>
    <m/>
    <d v="1899-12-30T22:21:00"/>
    <n v="0.93125000000145519"/>
    <d v="1902-04-25T14:43:00"/>
    <n v="846.61319444444234"/>
    <n v="808.52986111111386"/>
    <n v="786.01041666666424"/>
    <n v="3761"/>
    <n v="23"/>
    <n v="1.029082774047609"/>
    <n v="24.697986577142615"/>
    <n v="9014.7651006570541"/>
    <n v="-175998"/>
    <n v="-8.6618659478986331"/>
    <n v="-207.88478274956722"/>
    <n v="-75877.945703592035"/>
    <n v="1938"/>
    <n v="18"/>
    <n v="0.80536912751552003"/>
    <n v="19.32885906037248"/>
    <n v="7055.0335570359548"/>
    <n v="-117494"/>
    <n v="-5.7825502430845921"/>
    <n v="-138.7812058340302"/>
    <n v="-50655.140129421023"/>
    <n v="41"/>
    <n v="1.8344519015631289"/>
    <n v="44.026845637515095"/>
    <n v="16069.798657693009"/>
    <n v="-293492"/>
    <n v="-366.1744781981688"/>
    <n v="-378.70872152351785"/>
    <n v="-14.444416190983226"/>
    <n v="-346.66598858359743"/>
    <n v="-126533.08583301306"/>
    <n v="-47476.732600000003"/>
    <n v="-56.078422721907614"/>
    <n v="-59.244760773797928"/>
    <n v="-61.282516082007163"/>
    <n v="-46929.370799999997"/>
    <n v="-55.431891574517223"/>
    <n v="-20468.624293496279"/>
    <n v="-20232.640424698788"/>
    <x v="4"/>
    <x v="3"/>
  </r>
  <r>
    <x v="586"/>
    <m/>
    <d v="1899-12-31T00:38:00"/>
    <n v="1.0263888888875954"/>
    <d v="1902-04-26T15:21:00"/>
    <n v="847.63958333332994"/>
    <n v="809.55625000000146"/>
    <n v="787.03680555555184"/>
    <n v="3788"/>
    <n v="27"/>
    <n v="1.0960757780798658"/>
    <n v="26.305818673916779"/>
    <n v="9601.6238159796249"/>
    <n v="-175971"/>
    <n v="-8.6500502621250046"/>
    <n v="-207.6012062910001"/>
    <n v="-75774.440296215034"/>
    <n v="1956"/>
    <n v="18"/>
    <n v="0.73071718538657715"/>
    <n v="17.537212449277852"/>
    <n v="6401.0825439864166"/>
    <n v="-117476"/>
    <n v="-5.7746634649652329"/>
    <n v="-138.59192315916559"/>
    <n v="-50586.051953095441"/>
    <n v="45"/>
    <n v="1.826792963466443"/>
    <n v="43.843031123194628"/>
    <n v="16002.70635996604"/>
    <n v="-293447"/>
    <n v="-365.65464104563392"/>
    <n v="-378.15766416402067"/>
    <n v="-14.424713727090237"/>
    <n v="-346.19312945016571"/>
    <n v="-126360.49224931048"/>
    <n v="-47469.452499999999"/>
    <n v="-56.001929868974607"/>
    <n v="-59.160655111982543"/>
    <n v="-61.193346435690415"/>
    <n v="-46922.175299999995"/>
    <n v="-55.356281399081489"/>
    <n v="-20440.704402175732"/>
    <n v="-20205.042710664744"/>
    <x v="4"/>
    <x v="3"/>
  </r>
  <r>
    <x v="587"/>
    <m/>
    <d v="1899-12-30T23:54:00"/>
    <n v="0.99583333333430346"/>
    <d v="1902-04-27T15:15:00"/>
    <n v="848.63541666666424"/>
    <n v="810.55208333333576"/>
    <n v="788.03263888888614"/>
    <n v="3815"/>
    <n v="27"/>
    <n v="1.1297071129696108"/>
    <n v="27.112970711270659"/>
    <n v="9896.2343096137902"/>
    <n v="-175944"/>
    <n v="-8.6385741815905686"/>
    <n v="-207.32578035817363"/>
    <n v="-75673.909830733377"/>
    <n v="1971"/>
    <n v="15"/>
    <n v="0.62761506276089485"/>
    <n v="15.062761506261477"/>
    <n v="5497.9079497854391"/>
    <n v="-117461"/>
    <n v="-5.7671506953565324"/>
    <n v="-138.41161668855679"/>
    <n v="-50520.240091323227"/>
    <n v="42"/>
    <n v="1.7573221757305055"/>
    <n v="42.175732217532136"/>
    <n v="15394.14225939923"/>
    <n v="-293405"/>
    <n v="-365.15358616169425"/>
    <n v="-377.62649072452894"/>
    <n v="-14.405724876947101"/>
    <n v="-345.73739704673039"/>
    <n v="-126194.14992205659"/>
    <n v="-47462.576199999996"/>
    <n v="-55.928111492715175"/>
    <n v="-59.079487653733771"/>
    <n v="-61.1072907689422"/>
    <n v="-46915.459499999997"/>
    <n v="-55.283409787772193"/>
    <n v="-20413.760694841039"/>
    <n v="-20178.444572536846"/>
    <x v="4"/>
    <x v="3"/>
  </r>
  <r>
    <x v="588"/>
    <m/>
    <d v="1899-12-31T00:34:00"/>
    <n v="1.023611111108039"/>
    <d v="1902-04-28T15:49:00"/>
    <n v="849.65902777777228"/>
    <n v="811.5756944444438"/>
    <n v="789.05624999999418"/>
    <n v="3838"/>
    <n v="23"/>
    <n v="0.93622795115613411"/>
    <n v="22.469470827747219"/>
    <n v="8201.3568521277357"/>
    <n v="-175921"/>
    <n v="-8.6270391145468217"/>
    <n v="-207.04893874912375"/>
    <n v="-75572.86264343017"/>
    <n v="1985"/>
    <n v="14"/>
    <n v="0.5698778833124295"/>
    <n v="13.677069199498307"/>
    <n v="4992.1302578168825"/>
    <n v="-117447"/>
    <n v="-5.7595162765456127"/>
    <n v="-138.22839063709469"/>
    <n v="-50453.362582539565"/>
    <n v="37"/>
    <n v="1.5061058344685636"/>
    <n v="36.146540027245528"/>
    <n v="13193.487109944617"/>
    <n v="-293368"/>
    <n v="-364.64744080659307"/>
    <n v="-377.08971952253364"/>
    <n v="-14.386555391092434"/>
    <n v="-345.27732938621841"/>
    <n v="-126026.22522596973"/>
    <n v="-47456.554100000001"/>
    <n v="-55.853645460720308"/>
    <n v="-58.99755257305538"/>
    <n v="-61.020386696132697"/>
    <n v="-46909.543199999993"/>
    <n v="-55.209844968856316"/>
    <n v="-20386.580593162915"/>
    <n v="-20151.593413632556"/>
    <x v="4"/>
    <x v="3"/>
  </r>
  <r>
    <x v="589"/>
    <m/>
    <d v="1899-12-30T23:07:00"/>
    <n v="0.96319444444816327"/>
    <d v="1902-04-29T14:56:00"/>
    <n v="850.62222222222044"/>
    <n v="812.53888888889196"/>
    <n v="790.01944444444234"/>
    <n v="3853"/>
    <n v="15"/>
    <n v="0.64888248017053007"/>
    <n v="15.573179524092721"/>
    <n v="5684.210526293843"/>
    <n v="-175906"/>
    <n v="-8.6165356079210174"/>
    <n v="-206.7968545901044"/>
    <n v="-75480.85192538811"/>
    <n v="1989"/>
    <n v="4"/>
    <n v="0.17303532804547467"/>
    <n v="4.1528478730913925"/>
    <n v="1515.7894736783583"/>
    <n v="-117443"/>
    <n v="-5.7527986049427993"/>
    <n v="-138.06716651862718"/>
    <n v="-50394.515779298919"/>
    <n v="19"/>
    <n v="0.82191780821600469"/>
    <n v="19.726027397184112"/>
    <n v="7199.9999999722004"/>
    <n v="-293349"/>
    <n v="-364.19179936686652"/>
    <n v="-376.60592038873966"/>
    <n v="-14.369334212863816"/>
    <n v="-344.86402110873161"/>
    <n v="-125875.36770468704"/>
    <n v="-47453.317200000005"/>
    <n v="-55.786594754167005"/>
    <n v="-58.923632400500274"/>
    <n v="-60.94189318828316"/>
    <n v="-46906.505099999995"/>
    <n v="-55.143756975286173"/>
    <n v="-20362.107085270953"/>
    <n v="-20127.471295979456"/>
    <x v="4"/>
    <x v="3"/>
  </r>
  <r>
    <x v="590"/>
    <m/>
    <d v="1899-12-30T23:37:00"/>
    <n v="0.98402777777664596"/>
    <d v="1902-04-30T14:33:00"/>
    <n v="851.60624999999709"/>
    <n v="813.52291666666861"/>
    <n v="791.00347222221899"/>
    <n v="3870"/>
    <n v="17"/>
    <n v="0.71983062808833675"/>
    <n v="17.275935074120081"/>
    <n v="6305.7163020538301"/>
    <n v="-175889"/>
    <n v="-8.6057474723011467"/>
    <n v="-206.53793933522752"/>
    <n v="-75386.347857358051"/>
    <n v="2003"/>
    <n v="14"/>
    <n v="0.59280169371980673"/>
    <n v="14.227240649275362"/>
    <n v="5192.9428369855077"/>
    <n v="-117429"/>
    <n v="-5.7454662879705456"/>
    <n v="-137.89119091129311"/>
    <n v="-50330.284682621983"/>
    <n v="31"/>
    <n v="1.3126323218081435"/>
    <n v="31.503175723395444"/>
    <n v="11498.659139039337"/>
    <n v="-293318"/>
    <n v="-363.71317136630461"/>
    <n v="-376.09822263387463"/>
    <n v="-14.351213760271692"/>
    <n v="-344.42913024652063"/>
    <n v="-125716.63253998003"/>
    <n v="-47448.374500000005"/>
    <n v="-55.716329583067491"/>
    <n v="-58.846283391934641"/>
    <n v="-60.859831328876638"/>
    <n v="-46901.548199999997"/>
    <n v="-55.074217926418648"/>
    <n v="-20336.460297819631"/>
    <n v="-20102.089543142803"/>
    <x v="4"/>
    <x v="3"/>
  </r>
  <r>
    <x v="591"/>
    <m/>
    <d v="1899-12-31T00:12:00"/>
    <n v="1.0083333333313931"/>
    <d v="1902-05-01T14:45:00"/>
    <n v="852.61458333332848"/>
    <n v="814.53125"/>
    <n v="792.01180555555038"/>
    <n v="3881"/>
    <n v="11"/>
    <n v="0.45454545454632916"/>
    <n v="10.909090909111901"/>
    <n v="3981.818181825844"/>
    <n v="-175878"/>
    <n v="-8.5950324369892126"/>
    <n v="-206.28077848774109"/>
    <n v="-75292.484148025498"/>
    <n v="2017"/>
    <n v="14"/>
    <n v="0.57851239669532806"/>
    <n v="13.884297520687873"/>
    <n v="5067.768595051074"/>
    <n v="-117415"/>
    <n v="-5.7379873184200889"/>
    <n v="-137.71169564208213"/>
    <n v="-50264.768909359977"/>
    <n v="25"/>
    <n v="1.0330578512416573"/>
    <n v="24.793388429799773"/>
    <n v="9049.5867768769167"/>
    <n v="-293293"/>
    <n v="-363.23222712449643"/>
    <n v="-375.58783582946978"/>
    <n v="-14.333019755409302"/>
    <n v="-343.99247412982322"/>
    <n v="-125557.25305738547"/>
    <n v="-47444.511200000001"/>
    <n v="-55.64590628336888"/>
    <n v="-58.768692791099177"/>
    <n v="-60.777471070945786"/>
    <n v="-46897.550699999993"/>
    <n v="-55.004396613358722"/>
    <n v="-20310.755793429642"/>
    <n v="-20076.604763875937"/>
    <x v="4"/>
    <x v="3"/>
  </r>
  <r>
    <x v="592"/>
    <m/>
    <d v="1899-12-31T00:51:00"/>
    <n v="1.0354166666656965"/>
    <d v="1902-05-02T15:36:00"/>
    <n v="853.64999999999418"/>
    <n v="815.5666666666657"/>
    <n v="793.04722222221608"/>
    <n v="3896"/>
    <n v="15"/>
    <n v="0.60362173038285927"/>
    <n v="14.486921529188624"/>
    <n v="5287.7263581538482"/>
    <n v="-175863"/>
    <n v="-8.5838751244655889"/>
    <n v="-206.01300298717413"/>
    <n v="-75194.746090318557"/>
    <n v="2020"/>
    <n v="3"/>
    <n v="0.12072434607657187"/>
    <n v="2.8973843058377247"/>
    <n v="1057.5452716307695"/>
    <n v="-117412"/>
    <n v="-5.7308811183350317"/>
    <n v="-137.54114684004077"/>
    <n v="-50202.518596614878"/>
    <n v="18"/>
    <n v="0.72434607645943117"/>
    <n v="17.38430583502635"/>
    <n v="6345.2716297846173"/>
    <n v="-293275"/>
    <n v="-362.74900886908944"/>
    <n v="-375.07476435829739"/>
    <n v="-14.314756242800621"/>
    <n v="-343.55414982721493"/>
    <n v="-125397.26468693344"/>
    <n v="-47441.408900000002"/>
    <n v="-55.574777602062113"/>
    <n v="-58.690278129725826"/>
    <n v="-60.694207042456263"/>
    <n v="-46894.672499999993"/>
    <n v="-54.934308557371658"/>
    <n v="-20284.793824752673"/>
    <n v="-20051.022623440655"/>
    <x v="4"/>
    <x v="3"/>
  </r>
  <r>
    <x v="593"/>
    <m/>
    <d v="1899-12-30T23:51:00"/>
    <n v="0.99375000000145519"/>
    <d v="1902-05-03T15:27:00"/>
    <n v="854.64374999999563"/>
    <n v="816.56041666666715"/>
    <n v="794.04097222221753"/>
    <n v="3906"/>
    <n v="10"/>
    <n v="0.41928721173942796"/>
    <n v="10.062893081746271"/>
    <n v="3672.955974837389"/>
    <n v="-175853"/>
    <n v="-8.573406560725882"/>
    <n v="-205.76175745742117"/>
    <n v="-75103.041471958728"/>
    <n v="2027"/>
    <n v="7"/>
    <n v="0.29350104821759954"/>
    <n v="7.0440251572223893"/>
    <n v="2571.0691823861721"/>
    <n v="-117405"/>
    <n v="-5.72387617647707"/>
    <n v="-137.37302823544968"/>
    <n v="-50141.15530593913"/>
    <n v="17"/>
    <n v="0.71278825995702755"/>
    <n v="17.10691823896866"/>
    <n v="6244.0251572235611"/>
    <n v="-293258"/>
    <n v="-362.28672607915803"/>
    <n v="-374.58394516795903"/>
    <n v="-14.297282737202952"/>
    <n v="-343.13478569287088"/>
    <n v="-125244.19677789787"/>
    <n v="-47438.667700000005"/>
    <n v="-55.506949767081601"/>
    <n v="-58.615495342506271"/>
    <n v="-60.614795437193557"/>
    <n v="-46891.954199999993"/>
    <n v="-54.867252232290042"/>
    <n v="-20260.036664984782"/>
    <n v="-20026.547064785867"/>
    <x v="4"/>
    <x v="3"/>
  </r>
  <r>
    <x v="594"/>
    <m/>
    <d v="1899-12-30T23:45:00"/>
    <n v="0.98958333333575865"/>
    <d v="1902-05-04T15:12:00"/>
    <n v="855.63333333333139"/>
    <n v="817.55000000000291"/>
    <n v="795.03055555555329"/>
    <n v="3921"/>
    <n v="15"/>
    <n v="0.63157894736687314"/>
    <n v="15.157894736804955"/>
    <n v="5532.6315789338087"/>
    <n v="-175838"/>
    <n v="-8.5627605282636843"/>
    <n v="-205.50625267832842"/>
    <n v="-75009.78222758988"/>
    <n v="2039"/>
    <n v="12"/>
    <n v="0.50526315789349852"/>
    <n v="12.126315789443964"/>
    <n v="4426.1052631470466"/>
    <n v="-117393"/>
    <n v="-5.7166718609996625"/>
    <n v="-137.20012466399189"/>
    <n v="-50078.045502357039"/>
    <n v="27"/>
    <n v="1.1368421052603717"/>
    <n v="27.28421052624892"/>
    <n v="9958.7368420808561"/>
    <n v="-293231"/>
    <n v="-361.81517949972351"/>
    <n v="-374.08373542596303"/>
    <n v="-14.279432389263347"/>
    <n v="-342.70637734232031"/>
    <n v="-125087.82772994692"/>
    <n v="-47434.353999999999"/>
    <n v="-55.43771163660459"/>
    <n v="-58.539269280166145"/>
    <n v="-60.533921701122772"/>
    <n v="-46887.636899999998"/>
    <n v="-54.798749737037014"/>
    <n v="-20234.764747360678"/>
    <n v="-20001.543654018511"/>
    <x v="4"/>
    <x v="3"/>
  </r>
  <r>
    <x v="595"/>
    <m/>
    <d v="1899-12-31T07:44:00"/>
    <n v="1.3222222222248092"/>
    <d v="1902-05-05T22:56:00"/>
    <n v="856.9555555555562"/>
    <n v="818.87222222222772"/>
    <n v="796.3527777777781"/>
    <n v="3940"/>
    <n v="19"/>
    <n v="0.5987394957971478"/>
    <n v="14.369747899131548"/>
    <n v="5244.9579831830151"/>
    <n v="-175819"/>
    <n v="-8.5486249773098493"/>
    <n v="-205.16699945543641"/>
    <n v="-74885.954801234286"/>
    <n v="2042"/>
    <n v="3"/>
    <n v="9.4537815125865454E-2"/>
    <n v="2.2689075630207709"/>
    <n v="828.15126050258141"/>
    <n v="-117390"/>
    <n v="-5.707705572699215"/>
    <n v="-136.98493374478116"/>
    <n v="-49999.500816845124"/>
    <n v="22"/>
    <n v="0.69327731092301326"/>
    <n v="16.638655462152318"/>
    <n v="6073.1092436855961"/>
    <n v="-293209"/>
    <n v="-361.20409506299069"/>
    <n v="-373.43500054065919"/>
    <n v="-14.256330550009066"/>
    <n v="-342.15193320021757"/>
    <n v="-124885.45561807942"/>
    <n v="-47430.532099999997"/>
    <n v="-55.34771528408055"/>
    <n v="-58.440079418169582"/>
    <n v="-60.428615109858455"/>
    <n v="-46884.119099999996"/>
    <n v="-54.710094118714785"/>
    <n v="-20201.916078689399"/>
    <n v="-19969.184353330897"/>
    <x v="4"/>
    <x v="3"/>
  </r>
  <r>
    <x v="596"/>
    <m/>
    <d v="1899-12-30T17:18:00"/>
    <n v="0.72083333333284827"/>
    <d v="1902-05-06T16:14:00"/>
    <n v="857.67638888888905"/>
    <n v="819.59305555556057"/>
    <n v="797.07361111111095"/>
    <n v="3950"/>
    <n v="10"/>
    <n v="0.57803468208131381"/>
    <n v="13.872832369951531"/>
    <n v="5063.5838150323088"/>
    <n v="-175809"/>
    <n v="-8.5409544845812402"/>
    <n v="-204.98290762994975"/>
    <n v="-74818.761284931665"/>
    <n v="2044"/>
    <n v="2"/>
    <n v="0.11560693641626277"/>
    <n v="2.7745664739903062"/>
    <n v="1012.7167630064617"/>
    <n v="-117388"/>
    <n v="-5.7028113750491869"/>
    <n v="-136.86747300118049"/>
    <n v="-49956.627645430875"/>
    <n v="12"/>
    <n v="0.69364161849757655"/>
    <n v="16.64739884394184"/>
    <n v="6076.3005780387712"/>
    <n v="-293197"/>
    <n v="-360.87177410198268"/>
    <n v="-373.08222961423132"/>
    <n v="-14.243765859630427"/>
    <n v="-341.85038063113024"/>
    <n v="-124775.38893036253"/>
    <n v="-47428.463900000002"/>
    <n v="-55.298786948586859"/>
    <n v="-58.386157832392755"/>
    <n v="-60.371371764423003"/>
    <n v="-46882.200299999997"/>
    <n v="-54.661875862917718"/>
    <n v="-20184.057236234203"/>
    <n v="-19951.584689964966"/>
    <x v="4"/>
    <x v="3"/>
  </r>
  <r>
    <x v="597"/>
    <m/>
    <d v="1899-12-30T22:57:00"/>
    <n v="0.95624999999563443"/>
    <d v="1902-05-07T15:11:00"/>
    <n v="858.63263888888469"/>
    <n v="820.5493055555562"/>
    <n v="798.02986111110658"/>
    <n v="3970"/>
    <n v="20"/>
    <n v="0.87145969499308529"/>
    <n v="20.915032679834045"/>
    <n v="7633.9869281394267"/>
    <n v="-175789"/>
    <n v="-8.5304719794311623"/>
    <n v="-204.7313275063479"/>
    <n v="-74726.934539816983"/>
    <n v="2062"/>
    <n v="18"/>
    <n v="0.78431372549377676"/>
    <n v="18.82352941185064"/>
    <n v="6870.5882353254838"/>
    <n v="-117370"/>
    <n v="-5.6955867331052312"/>
    <n v="-136.69408159452556"/>
    <n v="-49893.339782001829"/>
    <n v="38"/>
    <n v="1.6557734204868619"/>
    <n v="39.738562091684685"/>
    <n v="14504.57516346491"/>
    <n v="-293159"/>
    <n v="-360.40491168263776"/>
    <n v="-372.58756155567352"/>
    <n v="-14.226058712536394"/>
    <n v="-341.42540910087348"/>
    <n v="-124620.27432181883"/>
    <n v="-47422.443100000004"/>
    <n v="-55.230189201015129"/>
    <n v="-58.310778372550196"/>
    <n v="-60.291486377476822"/>
    <n v="-46876.124099999994"/>
    <n v="-54.593922915229655"/>
    <n v="-20159.019058370523"/>
    <n v="-19926.78186405883"/>
    <x v="4"/>
    <x v="3"/>
  </r>
  <r>
    <x v="598"/>
    <m/>
    <d v="1899-12-30T23:50:00"/>
    <n v="0.99305555555474712"/>
    <d v="1902-05-08T15:01:00"/>
    <n v="859.62569444443943"/>
    <n v="821.54236111111095"/>
    <n v="799.02291666666133"/>
    <n v="3991"/>
    <n v="21"/>
    <n v="0.88111888111959846"/>
    <n v="21.146853146870363"/>
    <n v="7718.6013986076823"/>
    <n v="-175768"/>
    <n v="-8.5195995350043834"/>
    <n v="-204.47038884010522"/>
    <n v="-74631.691926638407"/>
    <n v="2074"/>
    <n v="12"/>
    <n v="0.50349650349691344"/>
    <n v="12.083916083925921"/>
    <n v="4410.6293706329607"/>
    <n v="-117358"/>
    <n v="-5.6884254371048453"/>
    <n v="-136.5222104905163"/>
    <n v="-49830.60682903845"/>
    <n v="33"/>
    <n v="1.3846153846165119"/>
    <n v="33.230769230796284"/>
    <n v="12129.230769240643"/>
    <n v="-293126"/>
    <n v="-359.9290967785019"/>
    <n v="-372.08319536100328"/>
    <n v="-14.208024972109229"/>
    <n v="-340.99259933062149"/>
    <n v="-124462.29875567685"/>
    <n v="-47417.05"/>
    <n v="-55.160112484358422"/>
    <n v="-58.23372946380497"/>
    <n v="-60.209804245289575"/>
    <n v="-46870.847399999999"/>
    <n v="-54.524716632966374"/>
    <n v="-20133.441056790823"/>
    <n v="-19901.521571032725"/>
    <x v="4"/>
    <x v="3"/>
  </r>
  <r>
    <x v="599"/>
    <m/>
    <d v="1899-12-31T01:14:00"/>
    <n v="1.0513888888890506"/>
    <d v="1902-05-09T16:15:00"/>
    <n v="860.67708333332848"/>
    <n v="822.59375"/>
    <n v="800.07430555555038"/>
    <n v="4007"/>
    <n v="16"/>
    <n v="0.63408190224560923"/>
    <n v="15.217965653894622"/>
    <n v="5554.5574636715364"/>
    <n v="-175752"/>
    <n v="-8.5084175491679748"/>
    <n v="-204.20202118003141"/>
    <n v="-74533.737730711466"/>
    <n v="2078"/>
    <n v="4"/>
    <n v="0.15852047556140231"/>
    <n v="3.8044914134736554"/>
    <n v="1388.6393659178841"/>
    <n v="-117354"/>
    <n v="-5.6812829046898958"/>
    <n v="-136.35078971255751"/>
    <n v="-49768.038245083495"/>
    <n v="20"/>
    <n v="0.79260237780701148"/>
    <n v="19.022457067368276"/>
    <n v="6943.1968295894203"/>
    <n v="-293106"/>
    <n v="-359.44474414010563"/>
    <n v="-371.569237926688"/>
    <n v="-14.189700453857871"/>
    <n v="-340.55281089258892"/>
    <n v="-124301.77597579495"/>
    <n v="-47413.633199999997"/>
    <n v="-55.088759905597882"/>
    <n v="-58.155144991072447"/>
    <n v="-60.126411092025691"/>
    <n v="-46867.649399999995"/>
    <n v="-54.454394461724959"/>
    <n v="-20107.397365543231"/>
    <n v="-19875.853978529613"/>
    <x v="4"/>
    <x v="3"/>
  </r>
  <r>
    <x v="600"/>
    <m/>
    <d v="1899-12-30T22:09:00"/>
    <n v="0.92291666667006211"/>
    <d v="1902-05-10T14:24:00"/>
    <n v="861.59999999999854"/>
    <n v="823.51666666667006"/>
    <n v="800.99722222222044"/>
    <n v="4018"/>
    <n v="11"/>
    <n v="0.49661399548350027"/>
    <n v="11.918735891604006"/>
    <n v="4350.3386004354625"/>
    <n v="-175741"/>
    <n v="-8.4987716651191718"/>
    <n v="-203.97051996286015"/>
    <n v="-74449.239786443955"/>
    <n v="2081"/>
    <n v="3"/>
    <n v="0.13544018058640916"/>
    <n v="3.2505643340738199"/>
    <n v="1186.4559819369442"/>
    <n v="-117351"/>
    <n v="-5.675052228412266"/>
    <n v="-136.20125348189438"/>
    <n v="-49713.457520891447"/>
    <n v="14"/>
    <n v="0.63205417606990943"/>
    <n v="15.169300225677826"/>
    <n v="5536.7945823724067"/>
    <n v="-293092"/>
    <n v="-359.02491348080241"/>
    <n v="-371.12363408112884"/>
    <n v="-14.173823893531438"/>
    <n v="-340.17177344475454"/>
    <n v="-124162.6973073354"/>
    <n v="-47411.250499999995"/>
    <n v="-55.026985259981515"/>
    <n v="-58.087077088097551"/>
    <n v="-60.054158198634468"/>
    <n v="-46865.410799999998"/>
    <n v="-54.393466573816248"/>
    <n v="-20084.849619893255"/>
    <n v="-19853.615299442929"/>
    <x v="4"/>
    <x v="3"/>
  </r>
  <r>
    <x v="601"/>
    <m/>
    <d v="1899-12-31T00:32:00"/>
    <n v="1.0222222222218988"/>
    <d v="1902-05-11T14:56:00"/>
    <n v="862.62222222222044"/>
    <n v="824.53888888889196"/>
    <n v="802.01944444444234"/>
    <n v="4024"/>
    <n v="6"/>
    <n v="0.24456521739138171"/>
    <n v="5.8695652173931609"/>
    <n v="2142.3913043485036"/>
    <n v="-175735"/>
    <n v="-8.4884106600031082"/>
    <n v="-203.72185584007462"/>
    <n v="-74358.477381627235"/>
    <n v="2083"/>
    <n v="2"/>
    <n v="8.1521739130460569E-2"/>
    <n v="1.9565217391310536"/>
    <n v="714.13043478283453"/>
    <n v="-117349"/>
    <n v="-5.668230588902067"/>
    <n v="-136.03753413364961"/>
    <n v="-49653.699958782112"/>
    <n v="8"/>
    <n v="0.32608695652184227"/>
    <n v="7.8260869565242146"/>
    <n v="2856.5217391313381"/>
    <n v="-293084"/>
    <n v="-358.5701098930702"/>
    <n v="-370.64063977390504"/>
    <n v="-14.156641248905176"/>
    <n v="-339.75938997372424"/>
    <n v="-124012.17734040935"/>
    <n v="-47409.901899999997"/>
    <n v="-54.960213960018656"/>
    <n v="-58.013428043957013"/>
    <n v="-59.975934041499563"/>
    <n v="-46864.131599999993"/>
    <n v="-54.327526456798495"/>
    <n v="-20060.478095406812"/>
    <n v="-19829.547156731453"/>
    <x v="4"/>
    <x v="3"/>
  </r>
  <r>
    <x v="602"/>
    <m/>
    <d v="1899-12-31T03:19:00"/>
    <n v="1.1381944444437977"/>
    <d v="1902-05-12T18:15:00"/>
    <n v="863.76041666666424"/>
    <n v="825.67708333333576"/>
    <n v="803.15763888888614"/>
    <n v="4033"/>
    <n v="9"/>
    <n v="0.32946918852977841"/>
    <n v="7.9072605247146823"/>
    <n v="2886.150091520859"/>
    <n v="-175726"/>
    <n v="-8.4767911626729298"/>
    <n v="-203.4429879041503"/>
    <n v="-74256.690585014861"/>
    <n v="2086"/>
    <n v="3"/>
    <n v="0.10982306284325948"/>
    <n v="2.6357535082382273"/>
    <n v="962.05003050695291"/>
    <n v="-117346"/>
    <n v="-5.660616731587913"/>
    <n v="-135.8548015581099"/>
    <n v="-49587.002568710115"/>
    <n v="12"/>
    <n v="0.4392922513730379"/>
    <n v="10.543014032952909"/>
    <n v="3848.2001220278116"/>
    <n v="-293072"/>
    <n v="-358.0612880842732"/>
    <n v="-370.10044555041986"/>
    <n v="-14.137407894260843"/>
    <n v="-339.2977894622602"/>
    <n v="-123843.69315372498"/>
    <n v="-47407.879000000001"/>
    <n v="-54.885449813678235"/>
    <n v="-57.931006643537337"/>
    <n v="-59.888420493071393"/>
    <n v="-46862.212799999994"/>
    <n v="-54.2537165350154"/>
    <n v="-20033.189181992555"/>
    <n v="-19802.606535280622"/>
    <x v="4"/>
    <x v="3"/>
  </r>
  <r>
    <x v="603"/>
    <m/>
    <d v="1899-12-30T21:04:00"/>
    <n v="0.87777777777955635"/>
    <d v="1902-05-13T15:19:00"/>
    <n v="864.6381944444438"/>
    <n v="826.55486111111531"/>
    <n v="804.0354166666657"/>
    <n v="4041"/>
    <n v="8"/>
    <n v="0.3797468354422685"/>
    <n v="9.113924050614445"/>
    <n v="3326.5822784742722"/>
    <n v="-175718"/>
    <n v="-8.467800035178497"/>
    <n v="-203.22720084428394"/>
    <n v="-74177.928308163639"/>
    <n v="2088"/>
    <n v="2"/>
    <n v="9.4936708860567126E-2"/>
    <n v="2.2784810126536112"/>
    <n v="831.64556961856806"/>
    <n v="-117344"/>
    <n v="-5.6547737131539488"/>
    <n v="-135.71456911569476"/>
    <n v="-49535.817727228583"/>
    <n v="10"/>
    <n v="0.47468354430283566"/>
    <n v="11.392405063268056"/>
    <n v="4158.2278480928408"/>
    <n v="-293062"/>
    <n v="-357.66893875935659"/>
    <n v="-369.68396396303069"/>
    <n v="-14.122573748332446"/>
    <n v="-338.94176995997867"/>
    <n v="-123713.74603539222"/>
    <n v="-47406.170599999998"/>
    <n v="-54.827754434859195"/>
    <n v="-57.867418668015119"/>
    <n v="-59.820914605233568"/>
    <n v="-46860.613799999999"/>
    <n v="-54.19678901660059"/>
    <n v="-20012.130368723607"/>
    <n v="-19781.827991059214"/>
    <x v="5"/>
    <x v="3"/>
  </r>
  <r>
    <x v="604"/>
    <m/>
    <d v="1899-12-30T23:28:00"/>
    <n v="0.97777777777810115"/>
    <d v="1902-05-14T14:47:00"/>
    <n v="865.6159722222219"/>
    <n v="827.53263888889342"/>
    <n v="805.0131944444438"/>
    <n v="4053"/>
    <n v="12"/>
    <n v="0.51136363636346727"/>
    <n v="12.272727272723214"/>
    <n v="4479.5454545439734"/>
    <n v="-175706"/>
    <n v="-8.4576574003579683"/>
    <n v="-202.98377760859125"/>
    <n v="-74089.078827135803"/>
    <n v="2090"/>
    <n v="2"/>
    <n v="8.5227272727244535E-2"/>
    <n v="2.0454545454538691"/>
    <n v="746.59090909066219"/>
    <n v="-117342"/>
    <n v="-5.6482899540869678"/>
    <n v="-135.55895889808724"/>
    <n v="-49479.019997801843"/>
    <n v="14"/>
    <n v="0.59659090909071177"/>
    <n v="14.318181818177083"/>
    <n v="5226.136363634635"/>
    <n v="-293048"/>
    <n v="-357.2294144155087"/>
    <n v="-369.21755078203546"/>
    <n v="-14.105947354444938"/>
    <n v="-338.54273650667852"/>
    <n v="-123568.09882493767"/>
    <n v="-47403.742599999998"/>
    <n v="-54.763017459468109"/>
    <n v="-57.796110935536802"/>
    <n v="-59.745239372370584"/>
    <n v="-46858.375199999995"/>
    <n v="-54.132983567417888"/>
    <n v="-19988.501372705861"/>
    <n v="-19758.539002107533"/>
    <x v="5"/>
    <x v="3"/>
  </r>
  <r>
    <x v="605"/>
    <m/>
    <d v="1899-12-31T00:36:00"/>
    <n v="1.0250000000014552"/>
    <d v="1902-05-15T15:23:00"/>
    <n v="866.64097222222335"/>
    <n v="828.55763888889487"/>
    <n v="806.03819444444525"/>
    <n v="4058"/>
    <n v="5"/>
    <n v="0.20325203252003665"/>
    <n v="4.8780487804808796"/>
    <n v="1780.4878048755211"/>
    <n v="-175701"/>
    <n v="-8.4474139057007189"/>
    <n v="-202.73793373681724"/>
    <n v="-73999.345813938286"/>
    <n v="2092"/>
    <n v="2"/>
    <n v="8.1300813008014658E-2"/>
    <n v="1.9512195121923519"/>
    <n v="712.19512195020843"/>
    <n v="-117340"/>
    <n v="-5.6415134102533413"/>
    <n v="-135.39632184608018"/>
    <n v="-49419.657473819265"/>
    <n v="7"/>
    <n v="0.28455284552805132"/>
    <n v="6.8292682926732313"/>
    <n v="2492.6829268257293"/>
    <n v="-293041"/>
    <n v="-356.77904122206758"/>
    <n v="-368.73935013074026"/>
    <n v="-14.088927315954061"/>
    <n v="-338.13425558289742"/>
    <n v="-123419.00328775756"/>
    <n v="-47402.573900000003"/>
    <n v="-54.696899199735824"/>
    <n v="-57.723201446958534"/>
    <n v="-59.667814294022058"/>
    <n v="-46857.255899999996"/>
    <n v="-54.067667467705299"/>
    <n v="-19964.368207903572"/>
    <n v="-19734.698625712434"/>
    <x v="5"/>
    <x v="3"/>
  </r>
  <r>
    <x v="606"/>
    <m/>
    <d v="1899-12-30T23:22:00"/>
    <n v="0.97361111110512866"/>
    <d v="1902-05-16T14:45:00"/>
    <n v="867.61458333332848"/>
    <n v="829.53125"/>
    <n v="807.01180555555038"/>
    <n v="4068"/>
    <n v="10"/>
    <n v="0.42796005706397061"/>
    <n v="10.271041369535293"/>
    <n v="3748.9300998803819"/>
    <n v="-175691"/>
    <n v="-8.437454226747235"/>
    <n v="-202.49890144193364"/>
    <n v="-73912.099026305776"/>
    <n v="2095"/>
    <n v="3"/>
    <n v="0.12838801711919118"/>
    <n v="3.0813124108605883"/>
    <n v="1124.6790299641148"/>
    <n v="-117337"/>
    <n v="-5.6350385996086327"/>
    <n v="-135.24092639060717"/>
    <n v="-49362.938132571617"/>
    <n v="13"/>
    <n v="0.55634807418316179"/>
    <n v="13.352353780395882"/>
    <n v="4873.6091298444971"/>
    <n v="-293028"/>
    <n v="-356.34462233942361"/>
    <n v="-368.2783795156538"/>
    <n v="-14.072492826355868"/>
    <n v="-337.73982783254081"/>
    <n v="-123275.0371588774"/>
    <n v="-47400.371100000004"/>
    <n v="-54.632981061579592"/>
    <n v="-57.652796925974769"/>
    <n v="-59.593099095858996"/>
    <n v="-46855.177199999998"/>
    <n v="-54.004598470423275"/>
    <n v="-19941.038087476551"/>
    <n v="-19711.678441704495"/>
    <x v="5"/>
    <x v="3"/>
  </r>
  <r>
    <x v="607"/>
    <m/>
    <d v="1899-12-31T00:56:00"/>
    <n v="1.038888888891961"/>
    <d v="1902-05-17T15:41:00"/>
    <n v="868.65347222222044"/>
    <n v="830.57013888889196"/>
    <n v="808.05069444444234"/>
    <n v="4070"/>
    <n v="2"/>
    <n v="8.021390374307831E-2"/>
    <n v="1.9251336898338793"/>
    <n v="702.67379678936595"/>
    <n v="-175689"/>
    <n v="-8.4272672982849581"/>
    <n v="-202.25441515883901"/>
    <n v="-73822.86153297624"/>
    <n v="2098"/>
    <n v="3"/>
    <n v="0.12032085561461746"/>
    <n v="2.8877005347508193"/>
    <n v="1054.0106951840492"/>
    <n v="-117334"/>
    <n v="-5.6281553266110418"/>
    <n v="-135.07572783866502"/>
    <n v="-49302.640661112731"/>
    <n v="5"/>
    <n v="0.20053475935769577"/>
    <n v="4.8128342245846989"/>
    <n v="1756.6844919734151"/>
    <n v="-293023"/>
    <n v="-355.89288147950447"/>
    <n v="-367.79870624866351"/>
    <n v="-14.055422624896"/>
    <n v="-337.33014299750403"/>
    <n v="-123125.50219408897"/>
    <n v="-47399.607499999998"/>
    <n v="-54.566762254159443"/>
    <n v="-57.579764622861759"/>
    <n v="-59.515536872428918"/>
    <n v="-46854.377699999997"/>
    <n v="-53.939089865300886"/>
    <n v="-19916.8682227682"/>
    <n v="-19687.767800834827"/>
    <x v="5"/>
    <x v="3"/>
  </r>
  <r>
    <x v="608"/>
    <m/>
    <d v="1899-12-30T23:54:00"/>
    <n v="0.99583333333430346"/>
    <d v="1902-05-18T15:35:00"/>
    <n v="869.64930555555475"/>
    <n v="831.56597222222626"/>
    <n v="809.04652777777665"/>
    <n v="4076"/>
    <n v="6"/>
    <n v="0.25104602510435792"/>
    <n v="6.0251046025045909"/>
    <n v="2199.1631799141755"/>
    <n v="-175683"/>
    <n v="-8.4173297825193032"/>
    <n v="-202.01591478046325"/>
    <n v="-73735.808894869086"/>
    <n v="2100"/>
    <n v="2"/>
    <n v="8.3682008368119315E-2"/>
    <n v="2.0083682008348633"/>
    <n v="733.05439330472507"/>
    <n v="-117332"/>
    <n v="-5.6216147153825631"/>
    <n v="-134.91875316918151"/>
    <n v="-49245.344906751256"/>
    <n v="8"/>
    <n v="0.33472803347247726"/>
    <n v="8.0334728033394533"/>
    <n v="2932.2175732189003"/>
    <n v="-293015"/>
    <n v="-355.45706519242719"/>
    <n v="-367.33610465680243"/>
    <n v="-14.038944497901864"/>
    <n v="-336.93466794964479"/>
    <n v="-122981.15380162036"/>
    <n v="-47398.258900000001"/>
    <n v="-54.502727245577169"/>
    <n v="-57.509188804589456"/>
    <n v="-59.440613918819132"/>
    <n v="-46853.098499999993"/>
    <n v="-53.875853405148192"/>
    <n v="-19893.495444635668"/>
    <n v="-19664.686492879093"/>
    <x v="5"/>
    <x v="3"/>
  </r>
  <r>
    <x v="609"/>
    <m/>
    <d v="1899-12-30T23:35:00"/>
    <n v="0.98263888889050577"/>
    <d v="1902-05-19T15:10:00"/>
    <n v="870.63194444444525"/>
    <n v="832.54861111111677"/>
    <n v="810.02916666666715"/>
    <n v="4085"/>
    <n v="9"/>
    <n v="0.38162544169548512"/>
    <n v="9.1590106006916425"/>
    <n v="3343.0388692524493"/>
    <n v="-175674"/>
    <n v="-8.4073988402421538"/>
    <n v="-201.77757216581168"/>
    <n v="-73648.813840521267"/>
    <n v="2103"/>
    <n v="3"/>
    <n v="0.12720848056516171"/>
    <n v="3.053003533563881"/>
    <n v="1114.3462897508166"/>
    <n v="-117329"/>
    <n v="-5.6151263051263793"/>
    <n v="-134.76303132303312"/>
    <n v="-49188.506432907088"/>
    <n v="12"/>
    <n v="0.50883392226064683"/>
    <n v="12.212014134255524"/>
    <n v="4457.3851590032664"/>
    <n v="-293003"/>
    <n v="-355.02311343181253"/>
    <n v="-366.87567834491534"/>
    <n v="-14.022525145368533"/>
    <n v="-336.54060348884479"/>
    <n v="-122837.32027342835"/>
    <n v="-47396.235999999997"/>
    <n v="-54.438889248709778"/>
    <n v="-57.438882200738639"/>
    <n v="-59.36600974244751"/>
    <n v="-46851.179699999993"/>
    <n v="-53.812842497866278"/>
    <n v="-19870.194575779071"/>
    <n v="-19641.687511721193"/>
    <x v="5"/>
    <x v="3"/>
  </r>
  <r>
    <x v="610"/>
    <m/>
    <d v="1899-12-30T23:43:00"/>
    <n v="0.9881944444423425"/>
    <d v="1902-05-20T14:53:00"/>
    <n v="871.6201388888876"/>
    <n v="833.53680555555911"/>
    <n v="811.01736111110949"/>
    <n v="4091"/>
    <n v="6"/>
    <n v="0.25298664792745307"/>
    <n v="6.0716795502588736"/>
    <n v="2216.1630358444891"/>
    <n v="-175668"/>
    <n v="-8.3975801767621565"/>
    <n v="-201.54192424229174"/>
    <n v="-73562.802348436482"/>
    <n v="2106"/>
    <n v="3"/>
    <n v="0.12649332396372653"/>
    <n v="3.0358397751294368"/>
    <n v="1108.0815179222445"/>
    <n v="-117326"/>
    <n v="-5.6086167760707513"/>
    <n v="-134.60680262569804"/>
    <n v="-49131.482958379784"/>
    <n v="9"/>
    <n v="0.3794799718911796"/>
    <n v="9.1075193253883118"/>
    <n v="3324.2445537667336"/>
    <n v="-292994"/>
    <n v="-354.59142059480325"/>
    <n v="-366.41755682377743"/>
    <n v="-14.006196952832909"/>
    <n v="-336.14872686798981"/>
    <n v="-122694.28530681628"/>
    <n v="-47394.752800000002"/>
    <n v="-54.375467804607247"/>
    <n v="-57.369006480917335"/>
    <n v="-59.291845656818332"/>
    <n v="-46849.740599999997"/>
    <n v="-53.750181426191567"/>
    <n v="-19847.045748681641"/>
    <n v="-19618.816220559922"/>
    <x v="5"/>
    <x v="3"/>
  </r>
  <r>
    <x v="611"/>
    <m/>
    <d v="1899-12-30T23:50:00"/>
    <n v="0.99305555555474712"/>
    <d v="1902-05-21T14:43:00"/>
    <n v="872.61319444444234"/>
    <n v="834.52986111111386"/>
    <n v="812.01041666666424"/>
    <n v="4098"/>
    <n v="7"/>
    <n v="0.29370629370653278"/>
    <n v="7.0489510489567877"/>
    <n v="2572.8671328692276"/>
    <n v="-175661"/>
    <n v="-8.3876892762241333"/>
    <n v="-201.3045426293792"/>
    <n v="-73476.158059723413"/>
    <n v="2108"/>
    <n v="2"/>
    <n v="8.3916083916152226E-2"/>
    <n v="2.0139860139876538"/>
    <n v="735.1048951054936"/>
    <n v="-117324"/>
    <n v="-5.6021385318523755"/>
    <n v="-134.45132476445701"/>
    <n v="-49074.733539026813"/>
    <n v="9"/>
    <n v="0.37762237762268502"/>
    <n v="9.0629370629444406"/>
    <n v="3307.9720279747207"/>
    <n v="-292985"/>
    <n v="-354.15868715169688"/>
    <n v="-365.95835952432986"/>
    <n v="-13.989827808076509"/>
    <n v="-335.75586739383624"/>
    <n v="-122550.89159875023"/>
    <n v="-47393.224300000002"/>
    <n v="-54.311835532321233"/>
    <n v="-57.298908197646028"/>
    <n v="-59.217451787615794"/>
    <n v="-46848.301499999994"/>
    <n v="-53.687363196274404"/>
    <n v="-19823.819969297252"/>
    <n v="-19595.887566640158"/>
    <x v="5"/>
    <x v="3"/>
  </r>
  <r>
    <x v="612"/>
    <m/>
    <d v="1899-12-31T01:13:00"/>
    <n v="1.0506944444423425"/>
    <d v="1902-05-22T15:56:00"/>
    <n v="873.66388888888469"/>
    <n v="835.5805555555562"/>
    <n v="813.06111111110658"/>
    <n v="4109"/>
    <n v="11"/>
    <n v="0.43621943159373455"/>
    <n v="10.469266358249628"/>
    <n v="3821.2822207611143"/>
    <n v="-175650"/>
    <n v="-8.3770773784732011"/>
    <n v="-201.04985708335681"/>
    <n v="-73383.197835425235"/>
    <n v="2111"/>
    <n v="3"/>
    <n v="0.11896893588920032"/>
    <n v="2.8552544613408077"/>
    <n v="1042.1678783893949"/>
    <n v="-117321"/>
    <n v="-5.5952581561050634"/>
    <n v="-134.28619574652151"/>
    <n v="-49014.461447480353"/>
    <n v="14"/>
    <n v="0.55518836748293487"/>
    <n v="13.324520819590436"/>
    <n v="4863.4500991505092"/>
    <n v="-292971"/>
    <n v="-353.69659817359161"/>
    <n v="-365.46822365409389"/>
    <n v="-13.972335534578264"/>
    <n v="-335.33605282987833"/>
    <n v="-122397.65928290559"/>
    <n v="-47390.8416"/>
    <n v="-54.243791236777689"/>
    <n v="-57.224006568952348"/>
    <n v="-59.137996323906556"/>
    <n v="-46846.062899999997"/>
    <n v="-53.620234847497542"/>
    <n v="-19798.983801423856"/>
    <n v="-19571.385719336602"/>
    <x v="5"/>
    <x v="3"/>
  </r>
  <r>
    <x v="613"/>
    <m/>
    <d v="1899-12-30T22:38:00"/>
    <n v="0.94305555555911269"/>
    <d v="1902-05-23T14:34:00"/>
    <n v="874.6069444444438"/>
    <n v="836.52361111111531"/>
    <n v="814.0041666666657"/>
    <n v="4125"/>
    <n v="16"/>
    <n v="0.70692194403267961"/>
    <n v="16.966126656784311"/>
    <n v="6192.636229726274"/>
    <n v="-175634"/>
    <n v="-8.3672824459241273"/>
    <n v="-200.81477870217907"/>
    <n v="-73297.394226295364"/>
    <n v="2121"/>
    <n v="10"/>
    <n v="0.4418262150204248"/>
    <n v="10.603829160490195"/>
    <n v="3870.3976435789209"/>
    <n v="-117311"/>
    <n v="-5.5887485965918069"/>
    <n v="-134.12996631820334"/>
    <n v="-48957.437706144221"/>
    <n v="26"/>
    <n v="1.1487481590531043"/>
    <n v="27.569955817274504"/>
    <n v="10063.033873305194"/>
    <n v="-292945"/>
    <n v="-353.26677702196577"/>
    <n v="-365.01287360322726"/>
    <n v="-13.956031042515933"/>
    <n v="-334.94474502038241"/>
    <n v="-122254.83193243959"/>
    <n v="-47386.617200000001"/>
    <n v="-54.180472154952184"/>
    <n v="-57.154445092703149"/>
    <n v="-59.064292996043292"/>
    <n v="-46841.905499999993"/>
    <n v="-53.557664728759143"/>
    <n v="-19775.87233655755"/>
    <n v="-19548.547625997089"/>
    <x v="5"/>
    <x v="3"/>
  </r>
  <r>
    <x v="614"/>
    <m/>
    <d v="1899-12-30T23:58:00"/>
    <n v="0.99861111110658385"/>
    <d v="1902-05-24T14:32:00"/>
    <n v="875.60555555555038"/>
    <n v="837.5222222222219"/>
    <n v="815.00277777777228"/>
    <n v="4134"/>
    <n v="9"/>
    <n v="0.37552155772075668"/>
    <n v="9.0125173852981604"/>
    <n v="3289.5688456338285"/>
    <n v="-175625"/>
    <n v="-8.357311447950357"/>
    <n v="-200.57547475080855"/>
    <n v="-73210.048284045115"/>
    <n v="2126"/>
    <n v="5"/>
    <n v="0.20862308762264262"/>
    <n v="5.0069541029434221"/>
    <n v="1827.538247574349"/>
    <n v="-117306"/>
    <n v="-5.5821368069082675"/>
    <n v="-133.97128336579843"/>
    <n v="-48899.518428516429"/>
    <n v="14"/>
    <n v="0.58414464534339927"/>
    <n v="14.019471488241583"/>
    <n v="5117.1070932081775"/>
    <n v="-292931"/>
    <n v="-352.82884699576806"/>
    <n v="-364.54845075511236"/>
    <n v="-13.939448254858625"/>
    <n v="-334.54675811660701"/>
    <n v="-122109.56671256156"/>
    <n v="-47384.325100000002"/>
    <n v="-54.116062648706929"/>
    <n v="-57.083560807673457"/>
    <n v="-58.989109989400575"/>
    <n v="-46839.666899999997"/>
    <n v="-53.494026622845453"/>
    <n v="-19752.362866778029"/>
    <n v="-19525.319717338592"/>
    <x v="5"/>
    <x v="3"/>
  </r>
  <r>
    <x v="615"/>
    <m/>
    <d v="1899-12-31T00:25:00"/>
    <n v="1.0173611111167702"/>
    <d v="1902-05-25T14:57:00"/>
    <n v="876.62291666666715"/>
    <n v="838.53958333333867"/>
    <n v="816.02013888888905"/>
    <n v="4149"/>
    <n v="15"/>
    <n v="0.61433447098634386"/>
    <n v="14.744027303672253"/>
    <n v="5381.5699658403719"/>
    <n v="-175610"/>
    <n v="-8.3468994412743935"/>
    <n v="-200.32558659058546"/>
    <n v="-73118.839105563689"/>
    <n v="2129"/>
    <n v="3"/>
    <n v="0.12286689419726878"/>
    <n v="2.9488054607344507"/>
    <n v="1076.3139931680746"/>
    <n v="-117303"/>
    <n v="-5.5755158883879634"/>
    <n v="-133.81238132131111"/>
    <n v="-48841.519182278556"/>
    <n v="18"/>
    <n v="0.73720136518361268"/>
    <n v="17.692832764406702"/>
    <n v="6457.8839590084463"/>
    <n v="-292913"/>
    <n v="-352.37931025915367"/>
    <n v="-364.07189705455585"/>
    <n v="-13.922415329662357"/>
    <n v="-334.13796791189657"/>
    <n v="-121960.35828784225"/>
    <n v="-47381.222800000003"/>
    <n v="-54.049719553494803"/>
    <n v="-57.010604329451397"/>
    <n v="-58.911764439364831"/>
    <n v="-46836.788699999997"/>
    <n v="-53.428661069112259"/>
    <n v="-19728.147637025602"/>
    <n v="-19501.461290225972"/>
    <x v="5"/>
    <x v="3"/>
  </r>
  <r>
    <x v="616"/>
    <m/>
    <d v="1899-12-31T00:24:00"/>
    <n v="1.0166666666627862"/>
    <d v="1902-05-26T15:21:00"/>
    <n v="877.63958333332994"/>
    <n v="839.55625000000146"/>
    <n v="817.03680555555184"/>
    <n v="4163"/>
    <n v="14"/>
    <n v="0.57377049180546869"/>
    <n v="13.770491803331248"/>
    <n v="5026.2295082159053"/>
    <n v="-175596"/>
    <n v="-8.3365656460155044"/>
    <n v="-200.07757550437211"/>
    <n v="-73028.315059095825"/>
    <n v="2132"/>
    <n v="3"/>
    <n v="0.12295081967260044"/>
    <n v="2.9508196721424107"/>
    <n v="1077.0491803319799"/>
    <n v="-117300"/>
    <n v="-5.5689147262899992"/>
    <n v="-133.65395343095997"/>
    <n v="-48783.693002300388"/>
    <n v="17"/>
    <n v="0.69672131147806915"/>
    <n v="16.721311475473659"/>
    <n v="6103.2786885478854"/>
    <n v="-292896"/>
    <n v="-351.93234521212781"/>
    <n v="-363.59806312275299"/>
    <n v="-13.905480372305504"/>
    <n v="-333.73152893533211"/>
    <n v="-121812.00806139622"/>
    <n v="-47378.3004"/>
    <n v="-53.983777965043757"/>
    <n v="-56.9380860424777"/>
    <n v="-58.834881700726044"/>
    <n v="-46834.070399999997"/>
    <n v="-53.363671476759599"/>
    <n v="-19704.07895724097"/>
    <n v="-19477.740089017254"/>
    <x v="5"/>
    <x v="3"/>
  </r>
  <r>
    <x v="617"/>
    <m/>
    <d v="1899-12-30T23:21:00"/>
    <n v="0.97291666666569654"/>
    <d v="1902-05-27T14:42:00"/>
    <n v="878.61249999999563"/>
    <n v="840.52916666666715"/>
    <n v="818.00972222221753"/>
    <n v="4174"/>
    <n v="11"/>
    <n v="0.47109207708826417"/>
    <n v="11.306209850118341"/>
    <n v="4126.7665952931948"/>
    <n v="-175585"/>
    <n v="-8.3268126354527201"/>
    <n v="-199.84350325086527"/>
    <n v="-72942.878686565818"/>
    <n v="2134"/>
    <n v="2"/>
    <n v="8.5653104925138945E-2"/>
    <n v="2.0556745182033347"/>
    <n v="750.32119914421719"/>
    <n v="-117298"/>
    <n v="-5.562653236400223"/>
    <n v="-133.50367767360535"/>
    <n v="-48728.842350865954"/>
    <n v="13"/>
    <n v="0.55674518201340306"/>
    <n v="13.361884368321675"/>
    <n v="4877.0877944374115"/>
    <n v="-292883"/>
    <n v="-351.50951533508135"/>
    <n v="-363.14971806570014"/>
    <n v="-13.889465871852943"/>
    <n v="-333.34718092447065"/>
    <n v="-121671.72103743178"/>
    <n v="-47376.052299999996"/>
    <n v="-53.921441249697942"/>
    <n v="-56.869505301719613"/>
    <n v="-58.762156969745668"/>
    <n v="-46831.991699999999"/>
    <n v="-53.302214229822852"/>
    <n v="-19681.326056139747"/>
    <n v="-19455.308193885339"/>
    <x v="5"/>
    <x v="3"/>
  </r>
  <r>
    <x v="618"/>
    <m/>
    <d v="1899-12-31T00:02:00"/>
    <n v="1.0013888888934162"/>
    <d v="1902-05-28T14:44:00"/>
    <n v="879.61388888888905"/>
    <n v="841.53055555556057"/>
    <n v="819.01111111111095"/>
    <n v="4184"/>
    <n v="10"/>
    <n v="0.41608876560144759"/>
    <n v="9.9861303744347421"/>
    <n v="3644.937586668681"/>
    <n v="-175575"/>
    <n v="-8.3168593543252864"/>
    <n v="-199.60462450380686"/>
    <n v="-72855.687943889498"/>
    <n v="2137"/>
    <n v="3"/>
    <n v="0.12482662968043427"/>
    <n v="2.9958391123304224"/>
    <n v="1093.4812760006041"/>
    <n v="-117295"/>
    <n v="-5.5561783737182653"/>
    <n v="-133.34828096923837"/>
    <n v="-48672.122553772009"/>
    <n v="13"/>
    <n v="0.54091539528188182"/>
    <n v="12.981969486765164"/>
    <n v="4738.4188626692849"/>
    <n v="-292870"/>
    <n v="-351.07578453281013"/>
    <n v="-362.68982919781314"/>
    <n v="-13.873037728043553"/>
    <n v="-332.95290547304523"/>
    <n v="-121527.81049766151"/>
    <n v="-47373.849499999997"/>
    <n v="-53.857550566694336"/>
    <n v="-56.799215173410545"/>
    <n v="-58.687620043141465"/>
    <n v="-46829.912999999993"/>
    <n v="-53.239169585139926"/>
    <n v="-19658.005956843434"/>
    <n v="-19432.296898576074"/>
    <x v="5"/>
    <x v="3"/>
  </r>
  <r>
    <x v="619"/>
    <m/>
    <d v="1899-12-31T01:21:00"/>
    <n v="1.0562499999941792"/>
    <d v="1902-05-29T16:05:00"/>
    <n v="880.67013888888323"/>
    <n v="842.58680555555475"/>
    <n v="820.06736111110513"/>
    <n v="4195"/>
    <n v="11"/>
    <n v="0.43392504931205594"/>
    <n v="10.414201183489343"/>
    <n v="3801.1834319736104"/>
    <n v="-175564"/>
    <n v="-8.3063639195215675"/>
    <n v="-199.35273406851761"/>
    <n v="-72763.747935008927"/>
    <n v="2143"/>
    <n v="6"/>
    <n v="0.23668639053384871"/>
    <n v="5.6804733728123686"/>
    <n v="2073.3727810765145"/>
    <n v="-117289"/>
    <n v="-5.5492305811941236"/>
    <n v="-133.18153394865897"/>
    <n v="-48611.259891260524"/>
    <n v="17"/>
    <n v="0.67061143984590466"/>
    <n v="16.094674556301712"/>
    <n v="5874.5562130501248"/>
    <n v="-292853"/>
    <n v="-350.61550697463616"/>
    <n v="-362.20195326095597"/>
    <n v="-13.855594500715689"/>
    <n v="-332.53426801717654"/>
    <n v="-121375.00782626944"/>
    <n v="-47371.062999999995"/>
    <n v="-53.789791328415809"/>
    <n v="-56.724705733418553"/>
    <n v="-58.608632265134467"/>
    <n v="-46827.194699999993"/>
    <n v="-53.172229455946521"/>
    <n v="-19633.273834871772"/>
    <n v="-19407.863751420482"/>
    <x v="5"/>
    <x v="3"/>
  </r>
  <r>
    <x v="620"/>
    <m/>
    <d v="1899-12-31T01:05:00"/>
    <n v="1.0451388888905058"/>
    <d v="1902-05-30T17:10:00"/>
    <n v="881.71527777777374"/>
    <n v="843.63194444444525"/>
    <n v="821.11249999999563"/>
    <n v="4205"/>
    <n v="10"/>
    <n v="0.39867109634489817"/>
    <n v="9.5681063122775569"/>
    <n v="3492.3588039813085"/>
    <n v="-175554"/>
    <n v="-8.2960454291272914"/>
    <n v="-199.10509029905501"/>
    <n v="-72673.357959155081"/>
    <n v="2145"/>
    <n v="2"/>
    <n v="7.9734219268979639E-2"/>
    <n v="1.9136212624555113"/>
    <n v="698.47176079626161"/>
    <n v="-117287"/>
    <n v="-5.5425583025510816"/>
    <n v="-133.02139926122598"/>
    <n v="-48552.810730347483"/>
    <n v="12"/>
    <n v="0.47840531561387784"/>
    <n v="11.481727574733068"/>
    <n v="4190.8305647775696"/>
    <n v="-292841"/>
    <n v="-350.16692047446935"/>
    <n v="-361.72631643045452"/>
    <n v="-13.838603731678374"/>
    <n v="-332.12648956028096"/>
    <n v="-121226.16868950255"/>
    <n v="-47368.9948"/>
    <n v="-53.72368608536101"/>
    <n v="-56.65198042195199"/>
    <n v="-58.531514500144937"/>
    <n v="-46825.275899999993"/>
    <n v="-53.10702568068892"/>
    <n v="-19609.145421156769"/>
    <n v="-19384.064373451456"/>
    <x v="5"/>
    <x v="3"/>
  </r>
  <r>
    <x v="621"/>
    <m/>
    <d v="1899-12-30T21:41:00"/>
    <n v="0.90347222222044365"/>
    <d v="1902-05-31T14:51:00"/>
    <n v="882.61874999999418"/>
    <n v="844.5354166666657"/>
    <n v="822.01597222221608"/>
    <n v="4214"/>
    <n v="9"/>
    <n v="0.41506533435900311"/>
    <n v="9.9615680246160743"/>
    <n v="3635.9723289848671"/>
    <n v="-175545"/>
    <n v="-8.2871285025386641"/>
    <n v="-198.89108406092797"/>
    <n v="-72595.245682238703"/>
    <n v="2150"/>
    <n v="5"/>
    <n v="0.23059185242166838"/>
    <n v="5.5342044581200414"/>
    <n v="2019.9846272138152"/>
    <n v="-117282"/>
    <n v="-5.5366487512303948"/>
    <n v="-132.87957002952948"/>
    <n v="-48501.043060778262"/>
    <n v="14"/>
    <n v="0.64565718678067152"/>
    <n v="15.495772482736117"/>
    <n v="5655.9569561986827"/>
    <n v="-292827"/>
    <n v="-349.77573962015646"/>
    <n v="-361.31171417154741"/>
    <n v="-13.823777253769061"/>
    <n v="-331.77065409045741"/>
    <n v="-121096.28874301695"/>
    <n v="-47366.702700000002"/>
    <n v="-53.666096148535608"/>
    <n v="-56.588660886039484"/>
    <n v="-58.464394517882035"/>
    <n v="-46823.037299999996"/>
    <n v="-53.050127589064139"/>
    <n v="-19588.125094215495"/>
    <n v="-19363.29657000841"/>
    <x v="5"/>
    <x v="3"/>
  </r>
  <r>
    <x v="622"/>
    <m/>
    <d v="1899-12-31T00:35:00"/>
    <n v="1.0243055555620231"/>
    <d v="1902-06-01T15:26:00"/>
    <n v="883.6430555555562"/>
    <n v="845.55972222222772"/>
    <n v="823.0402777777781"/>
    <n v="4219"/>
    <n v="5"/>
    <n v="0.20338983050719037"/>
    <n v="4.8813559321725686"/>
    <n v="1781.6949152429875"/>
    <n v="-175540"/>
    <n v="-8.2772864231566547"/>
    <n v="-198.6548741557597"/>
    <n v="-72509.029066852294"/>
    <n v="2153"/>
    <n v="3"/>
    <n v="0.12203389830431421"/>
    <n v="2.9288135593035411"/>
    <n v="1069.0169491457925"/>
    <n v="-117279"/>
    <n v="-5.5300892925908016"/>
    <n v="-132.72214302217924"/>
    <n v="-48443.582203095422"/>
    <n v="8"/>
    <n v="0.32542372881150455"/>
    <n v="7.8101694914761097"/>
    <n v="2850.7118643887802"/>
    <n v="-292819"/>
    <n v="-349.34256237239077"/>
    <n v="-360.85232766723635"/>
    <n v="-13.807375715747456"/>
    <n v="-331.37701717793897"/>
    <n v="-120952.61126994772"/>
    <n v="-47365.399400000002"/>
    <n v="-53.602412311406496"/>
    <n v="-56.51856840390041"/>
    <n v="-58.390049791676844"/>
    <n v="-46821.758099999999"/>
    <n v="-52.987185046752437"/>
    <n v="-19564.880493663371"/>
    <n v="-19340.322542064638"/>
    <x v="5"/>
    <x v="3"/>
  </r>
  <r>
    <x v="623"/>
    <m/>
    <d v="1899-12-30T23:38:00"/>
    <n v="0.98472222221607808"/>
    <d v="1902-06-02T15:04:00"/>
    <n v="884.62777777777228"/>
    <n v="846.5444444444438"/>
    <n v="824.02499999999418"/>
    <n v="4227"/>
    <n v="8"/>
    <n v="0.33850493653243652"/>
    <n v="8.1241184767784755"/>
    <n v="2965.3032440241436"/>
    <n v="-175532"/>
    <n v="-8.2676957665810988"/>
    <n v="-198.42469839794637"/>
    <n v="-72425.014915250431"/>
    <n v="2155"/>
    <n v="2"/>
    <n v="8.4626234133109129E-2"/>
    <n v="2.0310296191946189"/>
    <n v="741.32581100603591"/>
    <n v="-117277"/>
    <n v="-5.5238392795463591"/>
    <n v="-132.57214270911263"/>
    <n v="-48388.832088826108"/>
    <n v="10"/>
    <n v="0.42313117066554562"/>
    <n v="10.155148095973095"/>
    <n v="3706.6290550301796"/>
    <n v="-292809"/>
    <n v="-348.92438540996761"/>
    <n v="-360.40896817451181"/>
    <n v="-13.791535046127459"/>
    <n v="-330.99684110705903"/>
    <n v="-120813.84700407654"/>
    <n v="-47363.690999999999"/>
    <n v="-53.540813650437116"/>
    <n v="-56.450806468125364"/>
    <n v="-58.318199569188238"/>
    <n v="-46820.159099999997"/>
    <n v="-52.926394893018731"/>
    <n v="-19542.396982409547"/>
    <n v="-19318.134135951837"/>
    <x v="5"/>
    <x v="3"/>
  </r>
  <r>
    <x v="624"/>
    <m/>
    <d v="1899-12-30T23:46:00"/>
    <n v="0.99027777778246673"/>
    <d v="1902-06-03T14:50:00"/>
    <n v="885.61805555555475"/>
    <n v="847.53472222222626"/>
    <n v="825.01527777777665"/>
    <n v="4236"/>
    <n v="9"/>
    <n v="0.37868162692667817"/>
    <n v="9.0883590462402761"/>
    <n v="3317.2510518777008"/>
    <n v="-175523"/>
    <n v="-8.2580275858824344"/>
    <n v="-198.19266206117842"/>
    <n v="-72340.321652330123"/>
    <n v="2157"/>
    <n v="2"/>
    <n v="8.4151472650372927E-2"/>
    <n v="2.0196353436089503"/>
    <n v="737.16690041726679"/>
    <n v="-117275"/>
    <n v="-5.5175685530350007"/>
    <n v="-132.42164527284001"/>
    <n v="-48333.900524586606"/>
    <n v="11"/>
    <n v="0.46283309957705115"/>
    <n v="11.107994389849226"/>
    <n v="4054.4179522949676"/>
    <n v="-292798"/>
    <n v="-348.50371584251542"/>
    <n v="-359.96303098764213"/>
    <n v="-13.775596138917436"/>
    <n v="-330.61430733401846"/>
    <n v="-120674.22217691674"/>
    <n v="-47361.8027"/>
    <n v="-53.478813358530267"/>
    <n v="-56.382620141750728"/>
    <n v="-58.245910584147509"/>
    <n v="-46818.400199999996"/>
    <n v="-52.865227742709543"/>
    <n v="-19519.766875863548"/>
    <n v="-19295.808126088985"/>
    <x v="5"/>
    <x v="3"/>
  </r>
  <r>
    <x v="625"/>
    <m/>
    <d v="1899-12-30T23:35:00"/>
    <n v="0.98263888889050577"/>
    <d v="1902-06-04T14:25:00"/>
    <n v="886.60069444444525"/>
    <n v="848.51736111111677"/>
    <n v="825.99791666666715"/>
    <n v="4241"/>
    <n v="5"/>
    <n v="0.21201413427526952"/>
    <n v="5.0883392226064688"/>
    <n v="1857.2438162513611"/>
    <n v="-175518"/>
    <n v="-8.2486400538887139"/>
    <n v="-197.96736129332913"/>
    <n v="-72258.086872065134"/>
    <n v="2160"/>
    <n v="3"/>
    <n v="0.12720848056516171"/>
    <n v="3.053003533563881"/>
    <n v="1114.3462897508166"/>
    <n v="-117272"/>
    <n v="-5.5113123235203068"/>
    <n v="-132.27149576448736"/>
    <n v="-48279.095954037883"/>
    <n v="8"/>
    <n v="0.3392226148404312"/>
    <n v="8.1413427561703493"/>
    <n v="2971.5901060021774"/>
    <n v="-292790"/>
    <n v="-348.09069741747015"/>
    <n v="-359.52511986763466"/>
    <n v="-13.759952377409022"/>
    <n v="-330.23885705781652"/>
    <n v="-120537.18282610303"/>
    <n v="-47360.499400000001"/>
    <n v="-53.418071626569912"/>
    <n v="-56.315789387534259"/>
    <n v="-58.17504115980919"/>
    <n v="-46817.120999999999"/>
    <n v="-52.805193243544856"/>
    <n v="-19497.596143698018"/>
    <n v="-19273.895533893872"/>
    <x v="5"/>
    <x v="3"/>
  </r>
  <r>
    <x v="626"/>
    <m/>
    <d v="1899-12-31T01:07:00"/>
    <n v="1.046527777776646"/>
    <d v="1902-06-05T15:32:00"/>
    <n v="887.6472222222219"/>
    <n v="849.56388888889342"/>
    <n v="827.0444444444438"/>
    <n v="4247"/>
    <n v="6"/>
    <n v="0.23888520238911037"/>
    <n v="5.733244857338649"/>
    <n v="2092.6343729286068"/>
    <n v="-175512"/>
    <n v="-8.2386333409481391"/>
    <n v="-197.72720018275535"/>
    <n v="-72170.428066705703"/>
    <n v="2162"/>
    <n v="2"/>
    <n v="7.9628400796370125E-2"/>
    <n v="1.911081619112883"/>
    <n v="697.54479097620231"/>
    <n v="-117270"/>
    <n v="-5.5047206566672839"/>
    <n v="-132.11329576001481"/>
    <n v="-48221.352952405403"/>
    <n v="8"/>
    <n v="0.3185136031854805"/>
    <n v="7.644326476451532"/>
    <n v="2790.1791639048092"/>
    <n v="-292782"/>
    <n v="-347.6524883682132"/>
    <n v="-359.06050998199777"/>
    <n v="-13.743353997615424"/>
    <n v="-329.84049594277019"/>
    <n v="-120391.78101911112"/>
    <n v="-47359.150800000003"/>
    <n v="-53.353572922175687"/>
    <n v="-56.244829876766545"/>
    <n v="-58.099796840153743"/>
    <n v="-46815.841799999995"/>
    <n v="-52.741495301248946"/>
    <n v="-19474.054116594125"/>
    <n v="-19250.645784955868"/>
    <x v="5"/>
    <x v="3"/>
  </r>
  <r>
    <x v="627"/>
    <m/>
    <d v="1899-12-30T23:14:00"/>
    <n v="0.96805555555329192"/>
    <d v="1902-06-06T14:46:00"/>
    <n v="888.61527777777519"/>
    <n v="850.53194444444671"/>
    <n v="828.01249999999709"/>
    <n v="4256"/>
    <n v="9"/>
    <n v="0.38737446198081971"/>
    <n v="9.296987087539673"/>
    <n v="3393.4002869519804"/>
    <n v="-175503"/>
    <n v="-8.229236186763762"/>
    <n v="-197.5016684823303"/>
    <n v="-72088.108996050563"/>
    <n v="2164"/>
    <n v="2"/>
    <n v="8.6083213773515493E-2"/>
    <n v="2.0659971305643721"/>
    <n v="754.08895265599585"/>
    <n v="-117268"/>
    <n v="-5.4986300470613774"/>
    <n v="-131.96712112947304"/>
    <n v="-48167.999212257659"/>
    <n v="11"/>
    <n v="0.47345767575433523"/>
    <n v="11.362984218104046"/>
    <n v="4147.4892396079767"/>
    <n v="-292771"/>
    <n v="-347.24386535876965"/>
    <n v="-358.62743618001065"/>
    <n v="-13.727866233825139"/>
    <n v="-329.46878961180334"/>
    <n v="-120256.10820830821"/>
    <n v="-47357.262499999997"/>
    <n v="-53.293324663998291"/>
    <n v="-56.178593187596498"/>
    <n v="-58.029590012228276"/>
    <n v="-46814.082899999994"/>
    <n v="-52.682059458927348"/>
    <n v="-19452.063502359379"/>
    <n v="-19228.951702508482"/>
    <x v="5"/>
    <x v="3"/>
  </r>
  <r>
    <x v="628"/>
    <m/>
    <d v="1899-12-31T00:37:00"/>
    <n v="1.0256944444481633"/>
    <d v="1902-06-07T15:23:00"/>
    <n v="889.64097222222335"/>
    <n v="851.55763888889487"/>
    <n v="829.03819444444525"/>
    <n v="4261"/>
    <n v="5"/>
    <n v="0.20311442112316339"/>
    <n v="4.8747461069559206"/>
    <n v="1779.282329038911"/>
    <n v="-175498"/>
    <n v="-8.2195142703478119"/>
    <n v="-197.26834248834749"/>
    <n v="-72002.945008246839"/>
    <n v="2166"/>
    <n v="2"/>
    <n v="8.1245768449265343E-2"/>
    <n v="1.9498984427823685"/>
    <n v="711.71293161556446"/>
    <n v="-117266"/>
    <n v="-5.4921968365827905"/>
    <n v="-131.81272407798699"/>
    <n v="-48111.64428846525"/>
    <n v="7"/>
    <n v="0.2843601895724287"/>
    <n v="6.8246445497382897"/>
    <n v="2490.9952606544757"/>
    <n v="-292764"/>
    <n v="-346.81739263750904"/>
    <n v="-358.17529516717377"/>
    <n v="-13.711711106930602"/>
    <n v="-329.08106656633447"/>
    <n v="-120114.58929671209"/>
    <n v="-47356.093800000002"/>
    <n v="-53.230567474550767"/>
    <n v="-56.109554090012765"/>
    <n v="-57.956385510317709"/>
    <n v="-46812.963599999995"/>
    <n v="-52.620062543956877"/>
    <n v="-19429.157128211031"/>
    <n v="-19206.32282854426"/>
    <x v="5"/>
    <x v="3"/>
  </r>
  <r>
    <x v="629"/>
    <m/>
    <d v="1899-12-30T22:55:00"/>
    <n v="0.95486111110949423"/>
    <d v="1902-06-08T14:18:00"/>
    <n v="890.59583333333285"/>
    <n v="852.51250000000437"/>
    <n v="829.99305555555475"/>
    <n v="4267"/>
    <n v="6"/>
    <n v="0.26181818181862515"/>
    <n v="6.2836363636470036"/>
    <n v="2293.5272727311562"/>
    <n v="-175492"/>
    <n v="-8.2104209260654191"/>
    <n v="-197.05010222557007"/>
    <n v="-71923.287312333079"/>
    <n v="2169"/>
    <n v="3"/>
    <n v="0.13090909090931258"/>
    <n v="3.1418181818235018"/>
    <n v="1146.7636363655781"/>
    <n v="-117263"/>
    <n v="-5.4861679680738114"/>
    <n v="-131.66803123377147"/>
    <n v="-48058.831400326584"/>
    <n v="9"/>
    <n v="0.39272727272793773"/>
    <n v="9.4254545454705063"/>
    <n v="3440.2909090967346"/>
    <n v="-292755"/>
    <n v="-346.41838096215423"/>
    <n v="-357.75239083325698"/>
    <n v="-13.69658889413923"/>
    <n v="-328.71813345934152"/>
    <n v="-119982.11871265965"/>
    <n v="-47354.6106"/>
    <n v="-53.171830394445692"/>
    <n v="-56.044968490197803"/>
    <n v="-57.887922890921168"/>
    <n v="-46811.5245"/>
    <n v="-52.562029540148714"/>
    <n v="-19407.718093972679"/>
    <n v="-19185.140782154278"/>
    <x v="5"/>
    <x v="3"/>
  </r>
  <r>
    <x v="630"/>
    <m/>
    <d v="1899-12-31T01:23:00"/>
    <n v="1.0576388888875954"/>
    <d v="1902-06-09T15:41:00"/>
    <n v="891.65347222222044"/>
    <n v="853.57013888889196"/>
    <n v="831.05069444444234"/>
    <n v="4276"/>
    <n v="9"/>
    <n v="0.35456336178638242"/>
    <n v="8.5095206828731786"/>
    <n v="3105.9750492487101"/>
    <n v="-175483"/>
    <n v="-8.2002615303497652"/>
    <n v="-196.80627672839435"/>
    <n v="-71834.291005863939"/>
    <n v="2171"/>
    <n v="2"/>
    <n v="7.879185817475165E-2"/>
    <n v="1.8910045961940396"/>
    <n v="690.21667761082449"/>
    <n v="-117261"/>
    <n v="-5.4795670652447459"/>
    <n v="-131.50960956587389"/>
    <n v="-48001.007491543969"/>
    <n v="11"/>
    <n v="0.43335521996113407"/>
    <n v="10.400525279067217"/>
    <n v="3796.1917268595344"/>
    <n v="-292744"/>
    <n v="-345.97625496179728"/>
    <n v="-357.28386003996036"/>
    <n v="-13.679828595594511"/>
    <n v="-328.31588629426824"/>
    <n v="-119835.2984974079"/>
    <n v="-47352.722300000001"/>
    <n v="-53.106642631004775"/>
    <n v="-55.973312236757018"/>
    <n v="-57.811979487145351"/>
    <n v="-46809.765599999999"/>
    <n v="-52.497710218453491"/>
    <n v="-19383.92456031674"/>
    <n v="-19161.664229735521"/>
    <x v="5"/>
    <x v="3"/>
  </r>
  <r>
    <x v="631"/>
    <m/>
    <d v="1899-12-30T23:19:00"/>
    <n v="0.97152777777955635"/>
    <d v="1902-06-10T15:00:00"/>
    <n v="892.625"/>
    <n v="854.54166666667152"/>
    <n v="832.0222222222219"/>
    <n v="4280"/>
    <n v="4"/>
    <n v="0.1715511079339247"/>
    <n v="4.1172265904141927"/>
    <n v="1502.7877055011804"/>
    <n v="-175479"/>
    <n v="-8.1911496989217198"/>
    <n v="-196.58759277412128"/>
    <n v="-71754.471362554264"/>
    <n v="2173"/>
    <n v="2"/>
    <n v="8.5775553966962348E-2"/>
    <n v="2.0586132952070963"/>
    <n v="751.39385275059021"/>
    <n v="-117259"/>
    <n v="-5.4735097792092615"/>
    <n v="-131.36423470102227"/>
    <n v="-47947.945665873129"/>
    <n v="6"/>
    <n v="0.25732666190088704"/>
    <n v="6.175839885621289"/>
    <n v="2254.1815582517706"/>
    <n v="-292738"/>
    <n v="-345.57589351016429"/>
    <n v="-356.85945888197443"/>
    <n v="-13.66465947813098"/>
    <n v="-327.95182747514355"/>
    <n v="-119702.4170284274"/>
    <n v="-47351.733500000002"/>
    <n v="-53.047733930822019"/>
    <n v="-55.908519108683677"/>
    <n v="-57.743285716193505"/>
    <n v="-46808.806199999999"/>
    <n v="-52.439497213275452"/>
    <n v="-19362.422884750034"/>
    <n v="-19140.41648284554"/>
    <x v="5"/>
    <x v="3"/>
  </r>
  <r>
    <x v="632"/>
    <m/>
    <d v="1899-12-30T23:44:00"/>
    <n v="0.98888888888905058"/>
    <d v="1902-06-11T14:44:00"/>
    <n v="893.61388888888905"/>
    <n v="855.53055555556057"/>
    <n v="833.01111111111095"/>
    <n v="4288"/>
    <n v="8"/>
    <n v="0.33707865168533813"/>
    <n v="8.089887640448115"/>
    <n v="2952.808988763562"/>
    <n v="-175471"/>
    <n v="-8.1817122110282519"/>
    <n v="-196.36109306467804"/>
    <n v="-71671.798968607487"/>
    <n v="2175"/>
    <n v="2"/>
    <n v="8.4269662921334532E-2"/>
    <n v="2.0224719101120288"/>
    <n v="738.20224719089049"/>
    <n v="-117257"/>
    <n v="-5.4673594424636534"/>
    <n v="-131.21662661912768"/>
    <n v="-47894.068715981601"/>
    <n v="10"/>
    <n v="0.42134831460667266"/>
    <n v="10.112359550560145"/>
    <n v="3691.0112359544528"/>
    <n v="-292728"/>
    <n v="-345.16476130795826"/>
    <n v="-356.42381720932099"/>
    <n v="-13.649071653491905"/>
    <n v="-327.5777196838057"/>
    <n v="-119565.86768458907"/>
    <n v="-47350.025099999999"/>
    <n v="-52.98711858527016"/>
    <n v="-55.841898795743703"/>
    <n v="-57.672686305371421"/>
    <n v="-46807.207199999997"/>
    <n v="-52.37967737744053"/>
    <n v="-19340.298283623611"/>
    <n v="-19118.582242765791"/>
    <x v="5"/>
    <x v="3"/>
  </r>
  <r>
    <x v="633"/>
    <m/>
    <d v="1899-12-31T01:43:00"/>
    <n v="1.0715277777781012"/>
    <d v="1902-06-12T16:27:00"/>
    <n v="894.68541666666715"/>
    <n v="856.60208333333867"/>
    <n v="834.08263888888905"/>
    <n v="4294"/>
    <n v="6"/>
    <n v="0.23331173039526334"/>
    <n v="5.5994815294863205"/>
    <n v="2043.8107582625071"/>
    <n v="-175465"/>
    <n v="-8.1716338843494754"/>
    <n v="-196.11921322438744"/>
    <n v="-71583.512826901409"/>
    <n v="2177"/>
    <n v="2"/>
    <n v="7.7770576798421115E-2"/>
    <n v="1.8664938431621068"/>
    <n v="681.27025275416895"/>
    <n v="-117255"/>
    <n v="-5.4607182692240492"/>
    <n v="-131.05723846137718"/>
    <n v="-47835.892038402671"/>
    <n v="8"/>
    <n v="0.31108230719368446"/>
    <n v="7.465975372648427"/>
    <n v="2725.0810110166758"/>
    <n v="-292720"/>
    <n v="-344.7236537773984"/>
    <n v="-355.95633592794474"/>
    <n v="-13.632352153573525"/>
    <n v="-327.17645168576462"/>
    <n v="-119419.40486530408"/>
    <n v="-47348.676500000001"/>
    <n v="-52.922150755968666"/>
    <n v="-55.770471528738447"/>
    <n v="-57.596978596745082"/>
    <n v="-46805.927999999993"/>
    <n v="-52.315514624553749"/>
    <n v="-19316.585025928565"/>
    <n v="-19095.162837962122"/>
    <x v="5"/>
    <x v="3"/>
  </r>
  <r>
    <x v="634"/>
    <m/>
    <d v="1899-12-30T22:17:00"/>
    <n v="0.92847222222189885"/>
    <d v="1902-06-13T14:44:00"/>
    <n v="895.61388888888905"/>
    <n v="857.53055555556057"/>
    <n v="835.01111111111095"/>
    <n v="4301"/>
    <n v="7"/>
    <n v="0.31413612565455967"/>
    <n v="7.5392670157094317"/>
    <n v="2751.8324607339428"/>
    <n v="-175458"/>
    <n v="-8.1628367879263433"/>
    <n v="-195.90808291023225"/>
    <n v="-71506.450262234779"/>
    <n v="2179"/>
    <n v="2"/>
    <n v="8.9753178758445615E-2"/>
    <n v="2.1540762902026951"/>
    <n v="786.23784592398374"/>
    <n v="-117253"/>
    <n v="-5.4549641617636562"/>
    <n v="-130.91913988232773"/>
    <n v="-47785.486057049624"/>
    <n v="9"/>
    <n v="0.4038893044130053"/>
    <n v="9.6933433059121263"/>
    <n v="3538.0703066579263"/>
    <n v="-292711"/>
    <n v="-344.33991662104484"/>
    <n v="-355.54975981690205"/>
    <n v="-13.617800949689999"/>
    <n v="-326.82722279255995"/>
    <n v="-119291.93631928439"/>
    <n v="-47347.148000000001"/>
    <n v="-52.865580343712097"/>
    <n v="-55.708304841744869"/>
    <n v="-57.531104389828492"/>
    <n v="-46804.488899999997"/>
    <n v="-52.259672924530335"/>
    <n v="-19295.936825454915"/>
    <n v="-19074.780617453573"/>
    <x v="6"/>
    <x v="3"/>
  </r>
  <r>
    <x v="635"/>
    <m/>
    <d v="1899-12-30T23:44:00"/>
    <n v="0.98888888888905058"/>
    <d v="1902-06-14T14:28:00"/>
    <n v="896.6027777777781"/>
    <n v="858.51944444444962"/>
    <n v="836"/>
    <n v="4304"/>
    <n v="3"/>
    <n v="0.1264044943820018"/>
    <n v="3.0337078651680431"/>
    <n v="1107.3033707863358"/>
    <n v="-175455"/>
    <n v="-8.1536943462514344"/>
    <n v="-195.6886643100344"/>
    <n v="-71426.36247316256"/>
    <n v="2181"/>
    <n v="2"/>
    <n v="8.4269662921334532E-2"/>
    <n v="2.0224719101120288"/>
    <n v="738.20224719089049"/>
    <n v="-117251"/>
    <n v="-5.4488547820941378"/>
    <n v="-130.77251477025931"/>
    <n v="-47731.967891144646"/>
    <n v="5"/>
    <n v="0.21067415730333633"/>
    <n v="5.0561797752800723"/>
    <n v="1845.5056179772264"/>
    <n v="-292706"/>
    <n v="-343.93746339790192"/>
    <n v="-355.1232057416268"/>
    <n v="-13.60254912834557"/>
    <n v="-326.46117908029373"/>
    <n v="-119158.33036430721"/>
    <n v="-47346.339099999997"/>
    <n v="-52.806371197452087"/>
    <n v="-55.643194815363323"/>
    <n v="-57.46208433014354"/>
    <n v="-46803.689399999996"/>
    <n v="-52.20114253493896"/>
    <n v="-19274.325487070015"/>
    <n v="-19053.417025252722"/>
    <x v="6"/>
    <x v="3"/>
  </r>
  <r>
    <x v="636"/>
    <m/>
    <d v="1899-12-31T00:02:00"/>
    <n v="1.0013888888861402"/>
    <d v="1902-06-15T14:30:00"/>
    <n v="897.60416666666424"/>
    <n v="859.52083333333576"/>
    <n v="837.00138888888614"/>
    <n v="4308"/>
    <n v="4"/>
    <n v="0.16643550624178832"/>
    <n v="3.9944521498029197"/>
    <n v="1457.9750346780656"/>
    <n v="-175451"/>
    <n v="-8.1444122084252282"/>
    <n v="-195.46589300220546"/>
    <n v="-71345.050945804993"/>
    <n v="2182"/>
    <n v="1"/>
    <n v="4.1608876560447081E-2"/>
    <n v="0.99861303745072993"/>
    <n v="364.49375866951641"/>
    <n v="-117250"/>
    <n v="-5.4427294882209729"/>
    <n v="-130.62550771730335"/>
    <n v="-47678.310316815725"/>
    <n v="5"/>
    <n v="0.20804438280223542"/>
    <n v="4.9930651872536496"/>
    <n v="1822.4687933475821"/>
    <n v="-292701"/>
    <n v="-343.5309402040856"/>
    <n v="-354.69236245127814"/>
    <n v="-13.587141696646201"/>
    <n v="-326.09140071950884"/>
    <n v="-119023.36126262073"/>
    <n v="-47345.484900000003"/>
    <n v="-52.746507489845797"/>
    <n v="-55.57737363356506"/>
    <n v="-57.39231611523298"/>
    <n v="-46802.889899999995"/>
    <n v="-52.142014975049456"/>
    <n v="-19252.475233793717"/>
    <n v="-19031.835465893055"/>
    <x v="6"/>
    <x v="3"/>
  </r>
  <r>
    <x v="637"/>
    <m/>
    <d v="1899-12-31T00:18:00"/>
    <n v="1.0124999999970896"/>
    <d v="1902-06-16T14:48:00"/>
    <n v="898.61666666666133"/>
    <n v="860.53333333333285"/>
    <n v="838.01388888888323"/>
    <n v="4317"/>
    <n v="9"/>
    <n v="0.370370370371435"/>
    <n v="8.8888888889144404"/>
    <n v="3244.4444444537708"/>
    <n v="-175442"/>
    <n v="-8.1348183318805312"/>
    <n v="-195.23563996513275"/>
    <n v="-71261.008587273449"/>
    <n v="2187"/>
    <n v="5"/>
    <n v="0.20576131687301943"/>
    <n v="4.9382716049524662"/>
    <n v="1802.4691358076502"/>
    <n v="-117245"/>
    <n v="-5.4363651538476132"/>
    <n v="-130.47276369234271"/>
    <n v="-47622.558747705087"/>
    <n v="14"/>
    <n v="0.5761316872444544"/>
    <n v="13.827160493866906"/>
    <n v="5046.913580261421"/>
    <n v="-292687"/>
    <n v="-343.11047412457413"/>
    <n v="-354.24711205396596"/>
    <n v="-13.571183485728143"/>
    <n v="-325.70840365747546"/>
    <n v="-118883.56733497854"/>
    <n v="-47343.192800000004"/>
    <n v="-52.684525622716713"/>
    <n v="-55.509317942361363"/>
    <n v="-57.320238765600273"/>
    <n v="-46800.651299999998"/>
    <n v="-52.080773744830324"/>
    <n v="-19229.851852291598"/>
    <n v="-19009.482416863066"/>
    <x v="6"/>
    <x v="3"/>
  </r>
  <r>
    <x v="638"/>
    <m/>
    <d v="1899-12-30T23:54:00"/>
    <n v="0.99583333333430346"/>
    <d v="1902-06-17T14:42:00"/>
    <n v="899.61249999999563"/>
    <n v="861.52916666666715"/>
    <n v="839.00972222221753"/>
    <n v="4325"/>
    <n v="8"/>
    <n v="0.33472803347247726"/>
    <n v="8.0334728033394533"/>
    <n v="2932.2175732189003"/>
    <n v="-175434"/>
    <n v="-8.1254428990260088"/>
    <n v="-195.01062957662421"/>
    <n v="-71178.87979546783"/>
    <n v="2189"/>
    <n v="2"/>
    <n v="8.3682008368119315E-2"/>
    <n v="2.0083682008348633"/>
    <n v="733.05439330472507"/>
    <n v="-117243"/>
    <n v="-5.4302546929928424"/>
    <n v="-130.32611263182824"/>
    <n v="-47569.03111061731"/>
    <n v="10"/>
    <n v="0.41841004184059655"/>
    <n v="10.041841004174318"/>
    <n v="3665.2719665236259"/>
    <n v="-292677"/>
    <n v="-342.70226873727415"/>
    <n v="-353.81473198397117"/>
    <n v="-13.555697592018852"/>
    <n v="-325.33674220845245"/>
    <n v="-118747.91090608515"/>
    <n v="-47341.484400000001"/>
    <n v="-52.624307021078778"/>
    <n v="-55.443172266367426"/>
    <n v="-57.250168296950925"/>
    <n v="-46799.052299999996"/>
    <n v="-52.021345079131542"/>
    <n v="-19207.87206269375"/>
    <n v="-18987.790953883014"/>
    <x v="6"/>
    <x v="3"/>
  </r>
  <r>
    <x v="639"/>
    <m/>
    <d v="1899-12-30T23:51:00"/>
    <n v="0.99375000000145519"/>
    <d v="1902-06-18T14:33:00"/>
    <n v="900.60624999999709"/>
    <n v="862.52291666666861"/>
    <n v="840.00347222221899"/>
    <n v="4329"/>
    <n v="4"/>
    <n v="0.16771488469577117"/>
    <n v="4.0251572326985086"/>
    <n v="1469.1823899349556"/>
    <n v="-175430"/>
    <n v="-8.1162920347636458"/>
    <n v="-194.7910088343275"/>
    <n v="-71098.718224529541"/>
    <n v="2191"/>
    <n v="2"/>
    <n v="8.3857442347885586E-2"/>
    <n v="2.0125786163492543"/>
    <n v="734.5911949674778"/>
    <n v="-117241"/>
    <n v="-5.4241702926963722"/>
    <n v="-130.18008702471295"/>
    <n v="-47515.731764020224"/>
    <n v="6"/>
    <n v="0.25157232704365678"/>
    <n v="6.0377358490477624"/>
    <n v="2203.7735849024334"/>
    <n v="-292671"/>
    <n v="-342.30047027735901"/>
    <n v="-353.38901542239131"/>
    <n v="-13.540462327460018"/>
    <n v="-324.97109585904047"/>
    <n v="-118614.44998854978"/>
    <n v="-47340.495600000002"/>
    <n v="-52.565142202821882"/>
    <n v="-55.378147382557351"/>
    <n v="-57.181262445178611"/>
    <n v="-46798.092899999996"/>
    <n v="-51.962878227860564"/>
    <n v="-19186.276904029986"/>
    <n v="-18966.450553169107"/>
    <x v="6"/>
    <x v="3"/>
  </r>
  <r>
    <x v="640"/>
    <m/>
    <d v="1899-12-31T01:08:00"/>
    <n v="1.047222222223354"/>
    <d v="1902-06-19T15:41:00"/>
    <n v="901.65347222222044"/>
    <n v="863.57013888889196"/>
    <n v="841.05069444444234"/>
    <n v="4334"/>
    <n v="5"/>
    <n v="0.19893899204222532"/>
    <n v="4.7745358090134076"/>
    <n v="1742.7055702898938"/>
    <n v="-175425"/>
    <n v="-8.1066343392270994"/>
    <n v="-194.55922414145039"/>
    <n v="-71014.116811629385"/>
    <n v="2194"/>
    <n v="3"/>
    <n v="0.11936339522533519"/>
    <n v="2.8647214854080443"/>
    <n v="1045.6233421739362"/>
    <n v="-117238"/>
    <n v="-5.4177317751877254"/>
    <n v="-130.02556260450541"/>
    <n v="-47459.330350644472"/>
    <n v="8"/>
    <n v="0.31830238726756049"/>
    <n v="7.6392572944214523"/>
    <n v="2788.32891246383"/>
    <n v="-292663"/>
    <n v="-341.87611023681444"/>
    <n v="-352.93948624116911"/>
    <n v="-13.524366114414825"/>
    <n v="-324.5847867459558"/>
    <n v="-118473.44716227386"/>
    <n v="-47339.192300000002"/>
    <n v="-52.502645149613357"/>
    <n v="-55.309482981260579"/>
    <n v="-57.108514406170336"/>
    <n v="-46796.813699999999"/>
    <n v="-51.901107400678328"/>
    <n v="-19163.465479608873"/>
    <n v="-18943.904201247587"/>
    <x v="6"/>
    <x v="3"/>
  </r>
  <r>
    <x v="641"/>
    <m/>
    <d v="1899-12-30T23:51:00"/>
    <n v="0.99375000000145519"/>
    <d v="1902-06-20T15:32:00"/>
    <n v="902.6472222222219"/>
    <n v="864.56388888889342"/>
    <n v="842.0444444444438"/>
    <n v="4339"/>
    <n v="5"/>
    <n v="0.20964360586971398"/>
    <n v="5.0314465408731355"/>
    <n v="1836.4779874186945"/>
    <n v="-175420"/>
    <n v="-8.0974787123060903"/>
    <n v="-194.33948909534615"/>
    <n v="-70933.913519801339"/>
    <n v="2196"/>
    <n v="2"/>
    <n v="8.3857442347885586E-2"/>
    <n v="2.0125786163492543"/>
    <n v="734.5911949674778"/>
    <n v="-117236"/>
    <n v="-5.4116749191421549"/>
    <n v="-129.88019805941173"/>
    <n v="-47406.27229168528"/>
    <n v="7"/>
    <n v="0.29350104821759954"/>
    <n v="7.0440251572223893"/>
    <n v="2571.0691823861721"/>
    <n v="-292656"/>
    <n v="-341.47505325420792"/>
    <n v="-352.51464689116466"/>
    <n v="-13.509153631448244"/>
    <n v="-324.21968715475788"/>
    <n v="-118340.18581148662"/>
    <n v="-47338.0236"/>
    <n v="-52.44354874704959"/>
    <n v="-55.244557185221552"/>
    <n v="-57.03972909849049"/>
    <n v="-46795.694399999993"/>
    <n v="-51.842727976045779"/>
    <n v="-19141.8952926731"/>
    <n v="-18922.595711256708"/>
    <x v="6"/>
    <x v="3"/>
  </r>
  <r>
    <x v="642"/>
    <m/>
    <d v="1899-12-31T00:00:00"/>
    <n v="1"/>
    <d v="1902-06-21T15:32:00"/>
    <n v="903.6472222222219"/>
    <n v="865.56388888889342"/>
    <n v="843.0444444444438"/>
    <n v="4344"/>
    <n v="5"/>
    <n v="0.20833333333333334"/>
    <n v="5"/>
    <n v="1825"/>
    <n v="-175415"/>
    <n v="-8.0882872802500998"/>
    <n v="-194.11889472600242"/>
    <n v="-70853.396574990882"/>
    <n v="2198"/>
    <n v="2"/>
    <n v="8.3333333333333329E-2"/>
    <n v="2"/>
    <n v="730"/>
    <n v="-117234"/>
    <n v="-5.4055939971658082"/>
    <n v="-129.73425593197939"/>
    <n v="-47353.003415172476"/>
    <n v="7"/>
    <n v="0.29166666666666669"/>
    <n v="7"/>
    <n v="2555"/>
    <n v="-292649"/>
    <n v="-341.07245437303055"/>
    <n v="-352.08819885599837"/>
    <n v="-13.493881277415909"/>
    <n v="-323.85315065798181"/>
    <n v="-118206.39999016337"/>
    <n v="-47336.854899999998"/>
    <n v="-52.38422000965226"/>
    <n v="-55.179382034190652"/>
    <n v="-56.970683593853011"/>
    <n v="-46794.575099999995"/>
    <n v="-51.784118790211288"/>
    <n v="-19120.240303523075"/>
    <n v="-18901.203358427119"/>
    <x v="6"/>
    <x v="3"/>
  </r>
  <r>
    <x v="643"/>
    <m/>
    <d v="1899-12-30T23:03:00"/>
    <n v="0.96041666666133096"/>
    <d v="1902-06-22T14:35:00"/>
    <n v="904.60763888888323"/>
    <n v="866.52430555555475"/>
    <n v="844.00486111110513"/>
    <n v="4348"/>
    <n v="4"/>
    <n v="0.17353579175801398"/>
    <n v="4.164859002192336"/>
    <n v="1520.1735358002027"/>
    <n v="-175411"/>
    <n v="-8.079515750766765"/>
    <n v="-193.90837801840237"/>
    <n v="-70776.557976716867"/>
    <n v="2201"/>
    <n v="3"/>
    <n v="0.1301518438185105"/>
    <n v="3.1236442516442517"/>
    <n v="1140.1301518501518"/>
    <n v="-117231"/>
    <n v="-5.399716728016708"/>
    <n v="-129.59320147240098"/>
    <n v="-47301.51853742636"/>
    <n v="7"/>
    <n v="0.30368763557652451"/>
    <n v="7.2885032538365877"/>
    <n v="2660.3036876503547"/>
    <n v="-292642"/>
    <n v="-340.68634671560665"/>
    <n v="-351.67925408539401"/>
    <n v="-13.479232478783473"/>
    <n v="-323.50157949080335"/>
    <n v="-118078.07651414322"/>
    <n v="-47335.731500000002"/>
    <n v="-52.327362123695764"/>
    <n v="-55.116927238849385"/>
    <n v="-56.904524029367664"/>
    <n v="-46793.455799999996"/>
    <n v="-51.727902560579452"/>
    <n v="-19099.487175148952"/>
    <n v="-18880.684434611499"/>
    <x v="6"/>
    <x v="3"/>
  </r>
  <r>
    <x v="644"/>
    <m/>
    <d v="1899-12-31T02:47:00"/>
    <n v="1.1159722222218988"/>
    <d v="1902-06-23T17:22:00"/>
    <n v="905.72361111110513"/>
    <n v="867.64027777777665"/>
    <n v="845.12083333332703"/>
    <n v="4353"/>
    <n v="5"/>
    <n v="0.18668326073434158"/>
    <n v="4.4803982576241985"/>
    <n v="1635.3453640328325"/>
    <n v="-175406"/>
    <n v="-8.0693306916968393"/>
    <n v="-193.66393660072416"/>
    <n v="-70687.336859264324"/>
    <n v="2204"/>
    <n v="3"/>
    <n v="0.11200995644060495"/>
    <n v="2.6882389545745187"/>
    <n v="981.2072184196993"/>
    <n v="-117228"/>
    <n v="-5.392925546026003"/>
    <n v="-129.43021310462407"/>
    <n v="-47242.02778318779"/>
    <n v="8"/>
    <n v="0.29869321717494651"/>
    <n v="7.1686372121987167"/>
    <n v="2616.5525824525316"/>
    <n v="-292634"/>
    <n v="-340.23893030425802"/>
    <n v="-351.2053996223446"/>
    <n v="-13.462256237722842"/>
    <n v="-323.09414970534823"/>
    <n v="-117929.3646424521"/>
    <n v="-47334.428200000002"/>
    <n v="-52.261448878352681"/>
    <n v="-55.044532882130888"/>
    <n v="-56.827840121482069"/>
    <n v="-46792.176599999999"/>
    <n v="-51.662754537885178"/>
    <n v="-19075.428840598728"/>
    <n v="-18856.905406328089"/>
    <x v="6"/>
    <x v="3"/>
  </r>
  <r>
    <x v="645"/>
    <m/>
    <d v="1899-12-30T21:18:00"/>
    <n v="0.88750000000436557"/>
    <d v="1902-06-24T14:40:00"/>
    <n v="906.61111111110949"/>
    <n v="868.52777777778101"/>
    <n v="846.00833333333139"/>
    <n v="4356"/>
    <n v="3"/>
    <n v="0.14084507042184241"/>
    <n v="3.3802816901242174"/>
    <n v="1233.8028168953394"/>
    <n v="-175403"/>
    <n v="-8.0612935841657105"/>
    <n v="-193.47104601997705"/>
    <n v="-70616.931797291618"/>
    <n v="2206"/>
    <n v="2"/>
    <n v="9.3896713614561603E-2"/>
    <n v="2.2535211267494786"/>
    <n v="822.53521126355963"/>
    <n v="-117226"/>
    <n v="-5.3875543844598415"/>
    <n v="-129.30130522703621"/>
    <n v="-47194.97640786822"/>
    <n v="5"/>
    <n v="0.234741784036404"/>
    <n v="5.633802816873696"/>
    <n v="2056.3380281588989"/>
    <n v="-292629"/>
    <n v="-339.88550228675473"/>
    <n v="-350.83105958373227"/>
    <n v="-13.448847968625552"/>
    <n v="-322.77235124701326"/>
    <n v="-117811.90820515984"/>
    <n v="-47333.619299999998"/>
    <n v="-52.209396862552943"/>
    <n v="-54.987354603895277"/>
    <n v="-56.767269077333886"/>
    <n v="-46791.377099999998"/>
    <n v="-51.61129896439742"/>
    <n v="-19056.429854831826"/>
    <n v="-18838.124122005058"/>
    <x v="6"/>
    <x v="3"/>
  </r>
  <r>
    <x v="646"/>
    <m/>
    <d v="1899-12-30T23:53:00"/>
    <n v="0.99513888888759539"/>
    <d v="1902-06-25T14:33:00"/>
    <n v="907.60624999999709"/>
    <n v="869.52291666666861"/>
    <n v="847.00347222221899"/>
    <n v="4361"/>
    <n v="5"/>
    <n v="0.20935101186349611"/>
    <n v="5.0244242847239073"/>
    <n v="1833.9148639242262"/>
    <n v="-175398"/>
    <n v="-8.0522252904274545"/>
    <n v="-193.25340697025894"/>
    <n v="-70537.493544144512"/>
    <n v="2208"/>
    <n v="2"/>
    <n v="8.3740404745398456E-2"/>
    <n v="2.0097697138895629"/>
    <n v="733.56594556969048"/>
    <n v="-117224"/>
    <n v="-5.3815554193609278"/>
    <n v="-129.15733006466226"/>
    <n v="-47142.425473601725"/>
    <n v="7"/>
    <n v="0.29309141660889459"/>
    <n v="7.0341939986134694"/>
    <n v="2567.4808094939162"/>
    <n v="-292622"/>
    <n v="-339.48846469927162"/>
    <n v="-350.41060601712871"/>
    <n v="-13.433780709788383"/>
    <n v="-322.41073703492117"/>
    <n v="-117679.91901774623"/>
    <n v="-47332.450599999996"/>
    <n v="-52.150864540653117"/>
    <n v="-54.923079408966956"/>
    <n v="-56.699193775442232"/>
    <n v="-46790.257799999999"/>
    <n v="-51.5534768518839"/>
    <n v="-19035.065557338388"/>
    <n v="-18817.019050937619"/>
    <x v="6"/>
    <x v="3"/>
  </r>
  <r>
    <x v="647"/>
    <m/>
    <d v="1899-12-31T00:23:00"/>
    <n v="1.015972222223354"/>
    <d v="1902-06-26T14:56:00"/>
    <n v="908.62222222222044"/>
    <n v="870.53888888889196"/>
    <n v="848.01944444444234"/>
    <n v="4365"/>
    <n v="4"/>
    <n v="0.16404647983577078"/>
    <n v="3.9371155160584985"/>
    <n v="1437.047163361352"/>
    <n v="-175394"/>
    <n v="-8.0430382997456622"/>
    <n v="-193.03291919389591"/>
    <n v="-70457.015505772011"/>
    <n v="2210"/>
    <n v="2"/>
    <n v="8.202323991788539E-2"/>
    <n v="1.9685577580292493"/>
    <n v="718.52358168067599"/>
    <n v="-117222"/>
    <n v="-5.3754463412248201"/>
    <n v="-129.01071218939566"/>
    <n v="-47088.909949129418"/>
    <n v="6"/>
    <n v="0.24606971975365616"/>
    <n v="5.9056732740877473"/>
    <n v="2155.5707450420277"/>
    <n v="-292616"/>
    <n v="-339.08536857757207"/>
    <n v="-349.98372023702376"/>
    <n v="-13.418484640970481"/>
    <n v="-322.0436313832916"/>
    <n v="-117545.92545490143"/>
    <n v="-47331.461800000005"/>
    <n v="-52.091464023674533"/>
    <n v="-54.85784496193272"/>
    <n v="-56.630099126395962"/>
    <n v="-46789.2984"/>
    <n v="-51.494776658188322"/>
    <n v="-19013.384368641207"/>
    <n v="-18795.593480238738"/>
    <x v="6"/>
    <x v="3"/>
  </r>
  <r>
    <x v="648"/>
    <m/>
    <d v="1899-12-30T23:52:00"/>
    <n v="0.99444444444088731"/>
    <d v="1902-06-27T14:48:00"/>
    <n v="909.61666666666133"/>
    <n v="871.53333333333285"/>
    <n v="849.01388888888323"/>
    <n v="4372"/>
    <n v="7"/>
    <n v="0.29329608938652396"/>
    <n v="7.039106145276576"/>
    <n v="2569.2737430259504"/>
    <n v="-175387"/>
    <n v="-8.0339245469703826"/>
    <n v="-192.81418912728918"/>
    <n v="-70377.179031460546"/>
    <n v="2213"/>
    <n v="3"/>
    <n v="0.12569832402279599"/>
    <n v="3.0167597765471039"/>
    <n v="1101.117318439693"/>
    <n v="-117219"/>
    <n v="-5.3694321783901957"/>
    <n v="-128.8663722813647"/>
    <n v="-47036.22588269812"/>
    <n v="10"/>
    <n v="0.41899441340931998"/>
    <n v="10.055865921823679"/>
    <n v="3670.3910614656429"/>
    <n v="-292606"/>
    <n v="-338.68698844947619"/>
    <n v="-349.56200821214389"/>
    <n v="-13.403356725360579"/>
    <n v="-321.68056140865389"/>
    <n v="-117413.40491415867"/>
    <n v="-47329.798699999999"/>
    <n v="-52.032686333071013"/>
    <n v="-54.793342346821724"/>
    <n v="-56.561809798950136"/>
    <n v="-46787.699399999998"/>
    <n v="-51.436721769243753"/>
    <n v="-18991.930511570918"/>
    <n v="-18774.403445773969"/>
    <x v="6"/>
    <x v="3"/>
  </r>
  <r>
    <x v="649"/>
    <m/>
    <d v="1899-12-30T23:44:00"/>
    <n v="0.98888888888905058"/>
    <d v="1902-06-28T14:32:00"/>
    <n v="910.60555555555038"/>
    <n v="872.5222222222219"/>
    <n v="850.00277777777228"/>
    <n v="4377"/>
    <n v="5"/>
    <n v="0.21067415730333633"/>
    <n v="5.0561797752800723"/>
    <n v="1845.5056179772264"/>
    <n v="-175382"/>
    <n v="-8.0249711730289821"/>
    <n v="-192.59930815269558"/>
    <n v="-70298.747475733893"/>
    <n v="2215"/>
    <n v="2"/>
    <n v="8.4269662921334532E-2"/>
    <n v="2.0224719101120288"/>
    <n v="738.20224719089049"/>
    <n v="-117217"/>
    <n v="-5.3635096303436969"/>
    <n v="-128.72423112824873"/>
    <n v="-46984.344361810785"/>
    <n v="7"/>
    <n v="0.29494382022467086"/>
    <n v="7.0786516853921011"/>
    <n v="2583.7078651681168"/>
    <n v="-292599"/>
    <n v="-338.29510868873137"/>
    <n v="-349.14709429054381"/>
    <n v="-13.38848080337268"/>
    <n v="-321.32353928094432"/>
    <n v="-117283.09183754468"/>
    <n v="-47328.63"/>
    <n v="-51.974897046532206"/>
    <n v="-54.72990186814728"/>
    <n v="-56.494631141728661"/>
    <n v="-46786.580099999999"/>
    <n v="-51.379633931022994"/>
    <n v="-18970.837421984259"/>
    <n v="-18753.566384823393"/>
    <x v="6"/>
    <x v="3"/>
  </r>
  <r>
    <x v="650"/>
    <m/>
    <d v="1899-12-31T00:33:00"/>
    <n v="1.0229166666686069"/>
    <d v="1902-06-29T15:05:00"/>
    <n v="911.62847222221899"/>
    <n v="873.54513888889051"/>
    <n v="851.02569444444089"/>
    <n v="4382"/>
    <n v="5"/>
    <n v="0.20366598777965442"/>
    <n v="4.8879837067117062"/>
    <n v="1784.1140529497727"/>
    <n v="-175377"/>
    <n v="-8.0157380146182522"/>
    <n v="-192.37771235083804"/>
    <n v="-70217.865008055887"/>
    <n v="2217"/>
    <n v="2"/>
    <n v="8.1466395111861767E-2"/>
    <n v="1.9551934826846824"/>
    <n v="713.64562117990909"/>
    <n v="-117215"/>
    <n v="-5.3573999520089775"/>
    <n v="-128.57759884821544"/>
    <n v="-46930.82357959864"/>
    <n v="7"/>
    <n v="0.28513238289151621"/>
    <n v="6.8431771893963882"/>
    <n v="2497.7596741296816"/>
    <n v="-292592"/>
    <n v="-337.8909536093737"/>
    <n v="-348.71920076835534"/>
    <n v="-13.37313796662723"/>
    <n v="-320.95531119905348"/>
    <n v="-117148.68858765453"/>
    <n v="-47327.461299999995"/>
    <n v="-51.915295256885564"/>
    <n v="-54.664475565324778"/>
    <n v="-56.425352387682743"/>
    <n v="-46785.460799999993"/>
    <n v="-51.320754260728648"/>
    <n v="-18949.08276876323"/>
    <n v="-18732.075305165956"/>
    <x v="6"/>
    <x v="3"/>
  </r>
  <r>
    <x v="651"/>
    <m/>
    <d v="1899-12-31T23:41:00"/>
    <n v="1.9868055555562023"/>
    <d v="1902-07-01T14:46:00"/>
    <n v="913.61527777777519"/>
    <n v="875.53194444444671"/>
    <n v="853.01249999999709"/>
    <n v="4391"/>
    <n v="9"/>
    <n v="0.18874519398805462"/>
    <n v="4.5298846557133103"/>
    <n v="1653.4078993353583"/>
    <n v="-175368"/>
    <n v="-7.9978960266219747"/>
    <n v="-191.94950463892741"/>
    <n v="-70061.569193208503"/>
    <n v="2222"/>
    <n v="5"/>
    <n v="0.10485844110447477"/>
    <n v="2.5166025865073949"/>
    <n v="918.55994407519916"/>
    <n v="-117210"/>
    <n v="-5.3455213795011725"/>
    <n v="-128.29251310802815"/>
    <n v="-46826.767284430272"/>
    <n v="14"/>
    <n v="0.2936036350925294"/>
    <n v="7.0464872422207048"/>
    <n v="2571.9678434105572"/>
    <n v="-292578"/>
    <n v="-337.10820247373334"/>
    <n v="-347.89056432350174"/>
    <n v="-13.343417406123148"/>
    <n v="-320.24201774695553"/>
    <n v="-116888.33647763876"/>
    <n v="-47325.169200000004"/>
    <n v="-51.799888148883632"/>
    <n v="-54.537809959976578"/>
    <n v="-56.291241453085583"/>
    <n v="-46783.222199999997"/>
    <n v="-51.206698637738185"/>
    <n v="-18906.959174342526"/>
    <n v="-18690.445002774435"/>
    <x v="6"/>
    <x v="3"/>
  </r>
  <r>
    <x v="652"/>
    <m/>
    <d v="1899-12-30T23:56:00"/>
    <n v="0.99722222222044365"/>
    <d v="1902-07-02T14:42:00"/>
    <n v="914.61249999999563"/>
    <n v="876.52916666666715"/>
    <n v="854.00972222221753"/>
    <n v="4394"/>
    <n v="3"/>
    <n v="0.12534818941526535"/>
    <n v="3.0083565459663681"/>
    <n v="1098.0501392777244"/>
    <n v="-175365"/>
    <n v="-7.9890390739247881"/>
    <n v="-191.7369377741949"/>
    <n v="-69983.982287581137"/>
    <n v="2224"/>
    <n v="2"/>
    <n v="8.356545961017689E-2"/>
    <n v="2.0055710306442456"/>
    <n v="732.03342618514966"/>
    <n v="-117208"/>
    <n v="-5.3396019261344998"/>
    <n v="-128.150446227228"/>
    <n v="-46774.912872938221"/>
    <n v="5"/>
    <n v="0.20891364902544224"/>
    <n v="5.0139275766106142"/>
    <n v="1830.0835654628743"/>
    <n v="-292573"/>
    <n v="-336.71897208212295"/>
    <n v="-347.4784797857186"/>
    <n v="-13.328641000059287"/>
    <n v="-319.8873840014229"/>
    <n v="-116758.89516051936"/>
    <n v="-47324.3603"/>
    <n v="-51.742525167762551"/>
    <n v="-54.474839760989099"/>
    <n v="-56.224563316512125"/>
    <n v="-46782.422699999996"/>
    <n v="-51.149992701827514"/>
    <n v="-18886.021686233333"/>
    <n v="-18669.747336167045"/>
    <x v="6"/>
    <x v="3"/>
  </r>
  <r>
    <x v="653"/>
    <m/>
    <d v="1899-12-31T04:56:00"/>
    <n v="1.2055555555562023"/>
    <d v="1902-07-03T19:38:00"/>
    <n v="915.81805555555184"/>
    <n v="877.73472222222335"/>
    <n v="855.21527777777374"/>
    <n v="4401"/>
    <n v="7"/>
    <n v="0.24193548387083794"/>
    <n v="5.8064516129001111"/>
    <n v="2119.3548387085407"/>
    <n v="-175358"/>
    <n v="-7.978204064672024"/>
    <n v="-191.47689755212858"/>
    <n v="-69889.067606526936"/>
    <n v="2226"/>
    <n v="2"/>
    <n v="6.9124423963096551E-2"/>
    <n v="1.6589861751143173"/>
    <n v="605.52995391672584"/>
    <n v="-117206"/>
    <n v="-5.332482040191775"/>
    <n v="-127.97956896460259"/>
    <n v="-46712.542672079944"/>
    <n v="9"/>
    <n v="0.3110599078339345"/>
    <n v="7.4654377880144285"/>
    <n v="2724.8847926252665"/>
    <n v="-292564"/>
    <n v="-336.24623992632507"/>
    <n v="-346.97813253648127"/>
    <n v="-13.3106861048638"/>
    <n v="-319.45646651673115"/>
    <n v="-116601.61027860687"/>
    <n v="-47322.8318"/>
    <n v="-51.672743852263444"/>
    <n v="-54.398277966165992"/>
    <n v="-56.143519003500032"/>
    <n v="-46780.9836"/>
    <n v="-51.081088996025315"/>
    <n v="-18860.551506076157"/>
    <n v="-18644.597483549238"/>
    <x v="6"/>
    <x v="3"/>
  </r>
  <r>
    <x v="654"/>
    <m/>
    <d v="1899-12-30T19:09:00"/>
    <n v="0.79791666667006211"/>
    <d v="1902-07-04T14:47:00"/>
    <n v="916.6159722222219"/>
    <n v="878.53263888889342"/>
    <n v="856.0131944444438"/>
    <n v="4405"/>
    <n v="4"/>
    <n v="0.20887728459441141"/>
    <n v="5.0130548302658742"/>
    <n v="1829.765013047044"/>
    <n v="-175354"/>
    <n v="-7.9710771883596623"/>
    <n v="-191.3058525206319"/>
    <n v="-69826.636170030644"/>
    <n v="2228"/>
    <n v="2"/>
    <n v="0.1044386422972057"/>
    <n v="2.5065274151329371"/>
    <n v="914.88250652352201"/>
    <n v="-117204"/>
    <n v="-5.3277491861292345"/>
    <n v="-127.86598046710164"/>
    <n v="-46671.0828704921"/>
    <n v="6"/>
    <n v="0.31331592689161714"/>
    <n v="7.5195822453988104"/>
    <n v="2744.6475195705657"/>
    <n v="-292558"/>
    <n v="-335.93401876708703"/>
    <n v="-346.64769413114277"/>
    <n v="-13.298826374488897"/>
    <n v="-319.17183298773352"/>
    <n v="-116497.71904052273"/>
    <n v="-47321.843000000001"/>
    <n v="-51.626683839333559"/>
    <n v="-54.347745873603671"/>
    <n v="-56.090030751408179"/>
    <n v="-46780.024199999993"/>
    <n v="-51.03557609473858"/>
    <n v="-18843.739601356749"/>
    <n v="-18627.985274579583"/>
    <x v="6"/>
    <x v="3"/>
  </r>
  <r>
    <x v="655"/>
    <m/>
    <d v="1899-12-31T00:16:00"/>
    <n v="1.0111111111109494"/>
    <d v="1902-07-05T15:03:00"/>
    <n v="917.62708333333285"/>
    <n v="879.54375000000437"/>
    <n v="857.02430555555475"/>
    <n v="4409"/>
    <n v="4"/>
    <n v="0.1648351648351912"/>
    <n v="3.9560439560445886"/>
    <n v="1443.9560439562749"/>
    <n v="-175350"/>
    <n v="-7.9621124231203257"/>
    <n v="-191.09069815488783"/>
    <n v="-69748.104826534065"/>
    <n v="2231"/>
    <n v="3"/>
    <n v="0.12362637362639339"/>
    <n v="2.9670329670334414"/>
    <n v="1082.967032967206"/>
    <n v="-117201"/>
    <n v="-5.3217424471179084"/>
    <n v="-127.72181873082981"/>
    <n v="-46618.463836752882"/>
    <n v="7"/>
    <n v="0.28846153846158457"/>
    <n v="6.92307692307803"/>
    <n v="2526.9230769234809"/>
    <n v="-292551"/>
    <n v="-335.53987507727561"/>
    <n v="-346.23055387869073"/>
    <n v="-13.283854870238235"/>
    <n v="-318.81251688571763"/>
    <n v="-116366.56866328693"/>
    <n v="-47320.719599999997"/>
    <n v="-51.568573399234005"/>
    <n v="-54.28399121703697"/>
    <n v="-56.022545321951405"/>
    <n v="-46778.904899999994"/>
    <n v="-50.978121450026244"/>
    <n v="-18822.529290720417"/>
    <n v="-18607.014329259579"/>
    <x v="6"/>
    <x v="3"/>
  </r>
  <r>
    <x v="656"/>
    <m/>
    <d v="1899-12-31T00:43:00"/>
    <n v="1.0298611111065838"/>
    <d v="1902-07-06T15:46:00"/>
    <n v="918.65694444443943"/>
    <n v="880.57361111111095"/>
    <n v="858.05416666666133"/>
    <n v="4416"/>
    <n v="7"/>
    <n v="0.28320971004844658"/>
    <n v="6.7970330411627184"/>
    <n v="2480.9170600243924"/>
    <n v="-175343"/>
    <n v="-7.9528689980693867"/>
    <n v="-190.86885595366527"/>
    <n v="-69667.132423087824"/>
    <n v="2233"/>
    <n v="2"/>
    <n v="8.0917060013841885E-2"/>
    <n v="1.9420094403322052"/>
    <n v="708.83344572125486"/>
    <n v="-117199"/>
    <n v="-5.3156857913046665"/>
    <n v="-127.57645899131198"/>
    <n v="-46565.407531828874"/>
    <n v="9"/>
    <n v="0.3641267700622885"/>
    <n v="8.7390424814949235"/>
    <n v="3189.7505057456469"/>
    <n v="-292542"/>
    <n v="-335.13722904735397"/>
    <n v="-345.80450923358785"/>
    <n v="-13.268554789374052"/>
    <n v="-318.44531494497727"/>
    <n v="-116232.53995491671"/>
    <n v="-47319.191100000004"/>
    <n v="-51.509098566294981"/>
    <n v="-54.218768422729518"/>
    <n v="-55.953524107355655"/>
    <n v="-46777.465799999998"/>
    <n v="-50.919405859701861"/>
    <n v="-18800.820976697665"/>
    <n v="-18585.583138791178"/>
    <x v="6"/>
    <x v="3"/>
  </r>
  <r>
    <x v="657"/>
    <m/>
    <d v="1899-12-31T00:16:00"/>
    <n v="1.0111111111109494"/>
    <d v="1902-07-07T16:02:00"/>
    <n v="919.66805555555038"/>
    <n v="881.5847222222219"/>
    <n v="859.06527777777228"/>
    <n v="4421"/>
    <n v="5"/>
    <n v="0.20604395604398898"/>
    <n v="4.9450549450557357"/>
    <n v="1804.9450549453436"/>
    <n v="-175338"/>
    <n v="-7.9438988403122952"/>
    <n v="-190.65357216749507"/>
    <n v="-69588.553841135697"/>
    <n v="2236"/>
    <n v="3"/>
    <n v="0.12362637362639339"/>
    <n v="2.9670329670334414"/>
    <n v="1082.967032967206"/>
    <n v="-117196"/>
    <n v="-5.3097056456058569"/>
    <n v="-127.43293549454056"/>
    <n v="-46513.021455507303"/>
    <n v="8"/>
    <n v="0.3296703296703824"/>
    <n v="7.9120879120891772"/>
    <n v="2887.9120879125499"/>
    <n v="-292534"/>
    <n v="-334.7437773832163"/>
    <n v="-345.38818838951471"/>
    <n v="-13.253604485918151"/>
    <n v="-318.08650766203567"/>
    <n v="-116101.57529664302"/>
    <n v="-47317.887799999997"/>
    <n v="-51.451050750497522"/>
    <n v="-54.155105228746862"/>
    <n v="-55.88615026344884"/>
    <n v="-46776.186599999994"/>
    <n v="-50.862032575159496"/>
    <n v="-18779.633523931596"/>
    <n v="-18564.641889933217"/>
    <x v="6"/>
    <x v="3"/>
  </r>
  <r>
    <x v="658"/>
    <m/>
    <d v="1899-12-30T22:36:00"/>
    <n v="0.9416666666729725"/>
    <d v="1902-07-08T14:38:00"/>
    <n v="920.60972222222335"/>
    <n v="882.52638888889487"/>
    <n v="860.00694444444525"/>
    <n v="4427"/>
    <n v="6"/>
    <n v="0.26548672566193898"/>
    <n v="6.3716814158865356"/>
    <n v="2325.6637167985855"/>
    <n v="-175332"/>
    <n v="-7.9355016829124319"/>
    <n v="-190.45204038989837"/>
    <n v="-69514.994742312905"/>
    <n v="2239"/>
    <n v="3"/>
    <n v="0.13274336283096949"/>
    <n v="3.1858407079432678"/>
    <n v="1162.8318583992927"/>
    <n v="-117193"/>
    <n v="-5.3041387124173376"/>
    <n v="-127.2993290980161"/>
    <n v="-46464.255120775881"/>
    <n v="9"/>
    <n v="0.39823008849290847"/>
    <n v="9.5575221238298038"/>
    <n v="3488.4955751978782"/>
    <n v="-292525"/>
    <n v="-334.37640360140091"/>
    <n v="-344.99953973239849"/>
    <n v="-13.23964039532977"/>
    <n v="-317.75136948791447"/>
    <n v="-115979.24986308879"/>
    <n v="-47316.404600000002"/>
    <n v="-51.396811762735688"/>
    <n v="-54.09564042623807"/>
    <n v="-55.823232951930251"/>
    <n v="-46774.747499999998"/>
    <n v="-50.80844398111752"/>
    <n v="-18759.836293398526"/>
    <n v="-18545.082053107897"/>
    <x v="6"/>
    <x v="3"/>
  </r>
  <r>
    <x v="659"/>
    <m/>
    <d v="1899-12-30T23:50:00"/>
    <n v="0.99305555555474712"/>
    <d v="1902-07-09T14:28:00"/>
    <n v="921.6027777777781"/>
    <n v="883.51944444444962"/>
    <n v="861"/>
    <n v="4431"/>
    <n v="4"/>
    <n v="0.16783216783230445"/>
    <n v="4.0279720279753075"/>
    <n v="1470.2097902109872"/>
    <n v="-175328"/>
    <n v="-7.9267700895480973"/>
    <n v="-190.24248214915434"/>
    <n v="-69438.505984441334"/>
    <n v="2241"/>
    <n v="2"/>
    <n v="8.3916083916152226E-2"/>
    <n v="2.0139860139876538"/>
    <n v="735.1048951054936"/>
    <n v="-117191"/>
    <n v="-5.2983329163866069"/>
    <n v="-127.15998999327857"/>
    <n v="-46413.396347546681"/>
    <n v="6"/>
    <n v="0.25174825174845672"/>
    <n v="6.0419580419629604"/>
    <n v="2205.3146853164803"/>
    <n v="-292519"/>
    <n v="-333.99378118446549"/>
    <n v="-344.59465737514518"/>
    <n v="-13.225103005934704"/>
    <n v="-317.40247214243288"/>
    <n v="-115851.90233198801"/>
    <n v="-47315.415800000002"/>
    <n v="-51.340357191728167"/>
    <n v="-54.033719008887751"/>
    <n v="-55.757699419279909"/>
    <n v="-46773.788099999998"/>
    <n v="-50.752655295575018"/>
    <n v="-18739.23037498078"/>
    <n v="-18524.719182884881"/>
    <x v="6"/>
    <x v="3"/>
  </r>
  <r>
    <x v="660"/>
    <m/>
    <d v="1899-12-31T00:07:00"/>
    <n v="1.0048611111051287"/>
    <d v="1902-07-10T14:35:00"/>
    <n v="922.60763888888323"/>
    <n v="884.52430555555475"/>
    <n v="862.00486111110513"/>
    <n v="4435"/>
    <n v="4"/>
    <n v="0.16586040083028947"/>
    <n v="3.9806496199269468"/>
    <n v="1452.9371112733356"/>
    <n v="-175324"/>
    <n v="-7.9179559747244674"/>
    <n v="-190.03094339338722"/>
    <n v="-69361.294338586333"/>
    <n v="2244"/>
    <n v="3"/>
    <n v="0.12439530062271709"/>
    <n v="2.9854872149452101"/>
    <n v="1089.7028334550016"/>
    <n v="-117188"/>
    <n v="-5.2924267343091129"/>
    <n v="-127.0182416234187"/>
    <n v="-46361.658192547824"/>
    <n v="7"/>
    <n v="0.29025570145300655"/>
    <n v="6.9661368348721568"/>
    <n v="2542.6399447283375"/>
    <n v="-292512"/>
    <n v="-333.60643472048332"/>
    <n v="-344.18483396668375"/>
    <n v="-13.210382709033579"/>
    <n v="-317.04918501680589"/>
    <n v="-115722.95253113416"/>
    <n v="-47314.292399999998"/>
    <n v="-51.283222038982515"/>
    <n v="-53.971064107747857"/>
    <n v="-55.691398002235161"/>
    <n v="-46772.668799999999"/>
    <n v="-50.696164684187266"/>
    <n v="-18718.376044228618"/>
    <n v="-18504.100109728352"/>
    <x v="6"/>
    <x v="3"/>
  </r>
  <r>
    <x v="661"/>
    <m/>
    <d v="1899-12-31T00:38:00"/>
    <n v="1.0263888888948713"/>
    <d v="1902-07-11T15:13:00"/>
    <n v="923.6340277777781"/>
    <n v="885.55069444444962"/>
    <n v="863.03125"/>
    <n v="4442"/>
    <n v="7"/>
    <n v="0.28416779431498779"/>
    <n v="6.8200270635597073"/>
    <n v="2489.3098781992931"/>
    <n v="-175317"/>
    <n v="-7.9088413595752858"/>
    <n v="-189.81219262980687"/>
    <n v="-69281.45030987951"/>
    <n v="2246"/>
    <n v="2"/>
    <n v="8.1190798375710804E-2"/>
    <n v="1.9485791610170593"/>
    <n v="711.23139377122664"/>
    <n v="-117186"/>
    <n v="-5.2864552984775548"/>
    <n v="-126.87492716346131"/>
    <n v="-46309.348414663378"/>
    <n v="9"/>
    <n v="0.36535859269069859"/>
    <n v="8.7686062245767662"/>
    <n v="3200.5412719705196"/>
    <n v="-292503"/>
    <n v="-333.20960827105978"/>
    <n v="-343.76507223811421"/>
    <n v="-13.195296658052841"/>
    <n v="-316.68711979326815"/>
    <n v="-115590.79872454288"/>
    <n v="-47312.763900000005"/>
    <n v="-51.224578650304153"/>
    <n v="-53.906783428076857"/>
    <n v="-55.6233940543868"/>
    <n v="-46771.229699999996"/>
    <n v="-50.63827045494358"/>
    <n v="-18696.971207361014"/>
    <n v="-18482.968716054405"/>
    <x v="6"/>
    <x v="3"/>
  </r>
  <r>
    <x v="662"/>
    <m/>
    <d v="1899-12-30T22:42:00"/>
    <n v="0.94583333333139308"/>
    <d v="1902-07-12T13:55:00"/>
    <n v="924.57986111110949"/>
    <n v="886.49652777778101"/>
    <n v="863.97708333333139"/>
    <n v="4447"/>
    <n v="5"/>
    <n v="0.22026431718106859"/>
    <n v="5.2863436123456458"/>
    <n v="1929.5154185061608"/>
    <n v="-175312"/>
    <n v="-7.9005253887839588"/>
    <n v="-189.61260933081499"/>
    <n v="-69208.602405747471"/>
    <n v="2248"/>
    <n v="2"/>
    <n v="8.8105726872427431E-2"/>
    <n v="2.1145374449382586"/>
    <n v="771.80616740246433"/>
    <n v="-117184"/>
    <n v="-5.2809571915171771"/>
    <n v="-126.74297259641226"/>
    <n v="-46261.184997690478"/>
    <n v="7"/>
    <n v="0.308370044053496"/>
    <n v="7.4008810572839048"/>
    <n v="2701.3215859086254"/>
    <n v="-292496"/>
    <n v="-332.84619934119445"/>
    <n v="-343.38063557820141"/>
    <n v="-13.181482580301136"/>
    <n v="-316.35558192722726"/>
    <n v="-115469.78740343795"/>
    <n v="-47311.595200000003"/>
    <n v="-51.17091253009071"/>
    <n v="-53.847950109474141"/>
    <n v="-55.561148004986755"/>
    <n v="-46770.110399999998"/>
    <n v="-50.585257550163639"/>
    <n v="-18677.383073483106"/>
    <n v="-18463.619005809727"/>
    <x v="6"/>
    <x v="3"/>
  </r>
  <r>
    <x v="663"/>
    <m/>
    <d v="1899-12-31T00:35:00"/>
    <n v="1.0243055555547471"/>
    <d v="1902-07-13T14:30:00"/>
    <n v="925.60416666666424"/>
    <n v="887.52083333333576"/>
    <n v="865.00138888888614"/>
    <n v="4451"/>
    <n v="4"/>
    <n v="0.16271186440690807"/>
    <n v="3.905084745765794"/>
    <n v="1425.3559322045148"/>
    <n v="-175308"/>
    <n v="-7.8916023318103248"/>
    <n v="-189.39845596344779"/>
    <n v="-69130.436426658445"/>
    <n v="2250"/>
    <n v="2"/>
    <n v="8.1355932203454037E-2"/>
    <n v="1.952542372882897"/>
    <n v="712.67796610225741"/>
    <n v="-117182"/>
    <n v="-5.2750230705170189"/>
    <n v="-126.60055369240844"/>
    <n v="-46209.202097729081"/>
    <n v="6"/>
    <n v="0.24406779661036213"/>
    <n v="5.8576271186486908"/>
    <n v="2138.0338983067722"/>
    <n v="-292490"/>
    <n v="-332.45529447665456"/>
    <n v="-342.96707937206378"/>
    <n v="-13.166625402327343"/>
    <n v="-315.99900965585624"/>
    <n v="-115339.63852438753"/>
    <n v="-47310.606400000004"/>
    <n v="-51.113216754822439"/>
    <n v="-53.784688997910706"/>
    <n v="-55.494211242435568"/>
    <n v="-46769.150999999998"/>
    <n v="-50.528241643971413"/>
    <n v="-18656.32411551019"/>
    <n v="-18442.808200049563"/>
    <x v="7"/>
    <x v="3"/>
  </r>
  <r>
    <x v="664"/>
    <m/>
    <d v="1900-01-01T00:17:00"/>
    <n v="2.0118055555576575"/>
    <d v="1902-07-15T14:47:00"/>
    <n v="927.6159722222219"/>
    <n v="889.53263888889342"/>
    <n v="867.0131944444438"/>
    <n v="4459"/>
    <n v="8"/>
    <n v="0.16568864342405884"/>
    <n v="3.9765274421774124"/>
    <n v="1451.4325163947556"/>
    <n v="-175300"/>
    <n v="-7.8741277483273686"/>
    <n v="-188.97906595985683"/>
    <n v="-68977.359075347747"/>
    <n v="2255"/>
    <n v="5"/>
    <n v="0.10355540214003678"/>
    <n v="2.4853296513608827"/>
    <n v="907.14532274672217"/>
    <n v="-117177"/>
    <n v="-5.2633580557088191"/>
    <n v="-126.32059333701166"/>
    <n v="-46107.016568009254"/>
    <n v="13"/>
    <n v="0.26924404556409565"/>
    <n v="6.4618570935382955"/>
    <n v="2358.5778391414779"/>
    <n v="-292477"/>
    <n v="-331.68878476290831"/>
    <n v="-342.1562692481134"/>
    <n v="-13.137485804036187"/>
    <n v="-315.29965929686853"/>
    <n v="-115084.37564335701"/>
    <n v="-47308.494200000001"/>
    <n v="-51.000085829340016"/>
    <n v="-53.660672709685763"/>
    <n v="-55.363007054070572"/>
    <n v="-46767.072299999993"/>
    <n v="-50.416415521569263"/>
    <n v="-18615.031327709105"/>
    <n v="-18401.991665372785"/>
    <x v="7"/>
    <x v="3"/>
  </r>
  <r>
    <x v="665"/>
    <m/>
    <d v="1899-12-30T23:49:00"/>
    <n v="0.99236111110803904"/>
    <d v="1902-07-16T14:36:00"/>
    <n v="928.60833333332994"/>
    <n v="890.52500000000146"/>
    <n v="868.00555555555184"/>
    <n v="4464"/>
    <n v="5"/>
    <n v="0.20993701889498162"/>
    <n v="5.0384884534795589"/>
    <n v="1839.0482855200389"/>
    <n v="-175295"/>
    <n v="-7.8654886792961083"/>
    <n v="-188.77172830310658"/>
    <n v="-68901.680830633908"/>
    <n v="2257"/>
    <n v="2"/>
    <n v="8.3974807557992637E-2"/>
    <n v="2.0153953813918233"/>
    <n v="735.61931420801545"/>
    <n v="-117175"/>
    <n v="-5.2576436064720697"/>
    <n v="-126.18344655532967"/>
    <n v="-46056.95799269533"/>
    <n v="7"/>
    <n v="0.29391182645297426"/>
    <n v="7.0538838348713817"/>
    <n v="2574.6675997280545"/>
    <n v="-292470"/>
    <n v="-331.31130512899642"/>
    <n v="-341.75702920488368"/>
    <n v="-13.123132285768177"/>
    <n v="-314.95517485843624"/>
    <n v="-114958.63882332922"/>
    <n v="-47307.325499999999"/>
    <n v="-50.944325828076252"/>
    <n v="-53.599563291316834"/>
    <n v="-55.29836599868176"/>
    <n v="-46765.952999999994"/>
    <n v="-50.361332459863952"/>
    <n v="-18594.678927247831"/>
    <n v="-18381.886347850341"/>
    <x v="7"/>
    <x v="3"/>
  </r>
  <r>
    <x v="666"/>
    <m/>
    <d v="1899-12-31T01:16:00"/>
    <n v="1.0527777777751908"/>
    <d v="1902-07-17T15:52:00"/>
    <n v="929.66111111110513"/>
    <n v="891.57777777777665"/>
    <n v="869.05833333332703"/>
    <n v="4469"/>
    <n v="5"/>
    <n v="0.19788918205853376"/>
    <n v="4.7493403694048109"/>
    <n v="1733.509234832756"/>
    <n v="-175290"/>
    <n v="-7.8563574540304915"/>
    <n v="-188.5525788967318"/>
    <n v="-68821.691297307101"/>
    <n v="2260"/>
    <n v="3"/>
    <n v="0.11873350923512026"/>
    <n v="2.8496042216428861"/>
    <n v="1040.1055408996533"/>
    <n v="-117172"/>
    <n v="-5.2515552262174729"/>
    <n v="-126.03732542921934"/>
    <n v="-46003.623781665061"/>
    <n v="8"/>
    <n v="0.31662269129365406"/>
    <n v="7.5989445910476965"/>
    <n v="2773.6147757324093"/>
    <n v="-292462"/>
    <n v="-330.91111886543251"/>
    <n v="-341.33381917209488"/>
    <n v="-13.107912680247964"/>
    <n v="-314.58990432595112"/>
    <n v="-114825.31507897215"/>
    <n v="-47306.022199999999"/>
    <n v="-50.885232946294977"/>
    <n v="-53.534810971810344"/>
    <n v="-55.229877856300803"/>
    <n v="-46764.673799999997"/>
    <n v="-50.302925701719587"/>
    <n v="-18573.110025397666"/>
    <n v="-18360.567881127645"/>
    <x v="7"/>
    <x v="3"/>
  </r>
  <r>
    <x v="667"/>
    <m/>
    <d v="1899-12-30T23:00:00"/>
    <n v="0.95833333333575865"/>
    <d v="1902-07-18T14:52:00"/>
    <n v="930.61944444444089"/>
    <n v="892.5361111111124"/>
    <n v="870.01666666666279"/>
    <n v="4476"/>
    <n v="7"/>
    <n v="0.30434782608618627"/>
    <n v="7.3043478260684713"/>
    <n v="2666.0869565149919"/>
    <n v="-175283"/>
    <n v="-7.8479537225802707"/>
    <n v="-188.35088934192649"/>
    <n v="-68748.074609803167"/>
    <n v="2262"/>
    <n v="2"/>
    <n v="8.6956521738910372E-2"/>
    <n v="2.0869565217338488"/>
    <n v="761.73913043285484"/>
    <n v="-117170"/>
    <n v="-5.2460577333496703"/>
    <n v="-125.90538560039209"/>
    <n v="-45955.465744143112"/>
    <n v="9"/>
    <n v="0.39130434782509665"/>
    <n v="9.3913043478023202"/>
    <n v="3427.8260869478468"/>
    <n v="-292453"/>
    <n v="-330.54572955342564"/>
    <n v="-340.94749142736879"/>
    <n v="-13.094011455929941"/>
    <n v="-314.25627494231861"/>
    <n v="-114703.5403539463"/>
    <n v="-47304.493699999999"/>
    <n v="-50.83118989442535"/>
    <n v="-53.475617071204638"/>
    <n v="-55.167284649719598"/>
    <n v="-46763.234699999994"/>
    <n v="-50.24957836327674"/>
    <n v="-18553.384311465252"/>
    <n v="-18341.096102596013"/>
    <x v="7"/>
    <x v="3"/>
  </r>
  <r>
    <x v="668"/>
    <m/>
    <d v="1899-12-31T00:23:00"/>
    <n v="1.015972222223354"/>
    <d v="1902-07-19T15:15:00"/>
    <n v="931.63541666666424"/>
    <n v="893.55208333333576"/>
    <n v="871.03263888888614"/>
    <n v="4481"/>
    <n v="5"/>
    <n v="0.20505809979471346"/>
    <n v="4.9213943950731229"/>
    <n v="1796.3089542016899"/>
    <n v="-175278"/>
    <n v="-7.8391717074589025"/>
    <n v="-188.14012097901366"/>
    <n v="-68671.144157339979"/>
    <n v="2265"/>
    <n v="3"/>
    <n v="0.12303485987682808"/>
    <n v="2.9528366370438737"/>
    <n v="1077.7853725210139"/>
    <n v="-117167"/>
    <n v="-5.2402026007133653"/>
    <n v="-125.76486241712075"/>
    <n v="-45904.174782249072"/>
    <n v="8"/>
    <n v="0.32809295967154156"/>
    <n v="7.874231032116997"/>
    <n v="2874.094326722704"/>
    <n v="-292445"/>
    <n v="-330.16094473134984"/>
    <n v="-340.54062586951898"/>
    <n v="-13.079374308172268"/>
    <n v="-313.90498339613441"/>
    <n v="-114575.31893958907"/>
    <n v="-47303.190399999999"/>
    <n v="-50.77435824546901"/>
    <n v="-53.413356524171874"/>
    <n v="-55.101441274604788"/>
    <n v="-46761.955499999996"/>
    <n v="-50.193406845041885"/>
    <n v="-18532.640759596186"/>
    <n v="-18320.593498440288"/>
    <x v="7"/>
    <x v="3"/>
  </r>
  <r>
    <x v="669"/>
    <m/>
    <d v="1899-12-31T04:09:00"/>
    <n v="1.1729166666700621"/>
    <d v="1902-07-20T19:24:00"/>
    <n v="932.8083333333343"/>
    <n v="894.72500000000582"/>
    <n v="872.2055555555562"/>
    <n v="4490"/>
    <n v="9"/>
    <n v="0.31971580816958955"/>
    <n v="7.6731793960701493"/>
    <n v="2800.7104795656046"/>
    <n v="-175269"/>
    <n v="-7.8289126919606487"/>
    <n v="-187.89390460705556"/>
    <n v="-68581.275181575285"/>
    <n v="2268"/>
    <n v="3"/>
    <n v="0.10657193605652986"/>
    <n v="2.5577264653567164"/>
    <n v="933.5701598552015"/>
    <n v="-117164"/>
    <n v="-5.2334795465306323"/>
    <n v="-125.60350911673518"/>
    <n v="-45845.280827608345"/>
    <n v="12"/>
    <n v="0.42628774422611942"/>
    <n v="10.230905861426866"/>
    <n v="3734.280639420806"/>
    <n v="-292433"/>
    <n v="-329.71471681242627"/>
    <n v="-340.06891851436626"/>
    <n v="-13.062392238491281"/>
    <n v="-313.49741372379071"/>
    <n v="-114426.55600918361"/>
    <n v="-47301.167500000003"/>
    <n v="-50.708345765921855"/>
    <n v="-53.341074743635971"/>
    <n v="-55.025023166047724"/>
    <n v="-46760.036699999997"/>
    <n v="-50.128236454434138"/>
    <n v="-18508.546204561477"/>
    <n v="-18296.806305868457"/>
    <x v="7"/>
    <x v="3"/>
  </r>
  <r>
    <x v="670"/>
    <m/>
    <d v="1899-12-30T21:21:00"/>
    <n v="0.88958333332993789"/>
    <d v="1902-07-21T16:45:00"/>
    <n v="933.69791666666424"/>
    <n v="895.61458333333576"/>
    <n v="873.09513888888614"/>
    <n v="4496"/>
    <n v="6"/>
    <n v="0.28103044496594387"/>
    <n v="6.7447306791826529"/>
    <n v="2461.8266979016685"/>
    <n v="-175263"/>
    <n v="-7.8211859206783272"/>
    <n v="-187.70846209627985"/>
    <n v="-68513.588665142146"/>
    <n v="2270"/>
    <n v="2"/>
    <n v="9.3676814988647952E-2"/>
    <n v="2.248243559727551"/>
    <n v="820.60889930055612"/>
    <n v="-117162"/>
    <n v="-5.2284040832264322"/>
    <n v="-125.48169799743437"/>
    <n v="-45800.819769063542"/>
    <n v="8"/>
    <n v="0.37470725995459181"/>
    <n v="8.9929742389102039"/>
    <n v="3282.4355972022245"/>
    <n v="-292425"/>
    <n v="-329.37829004756884"/>
    <n v="-339.71326467062926"/>
    <n v="-13.049590003904759"/>
    <n v="-313.19016009371421"/>
    <n v="-114314.40843420569"/>
    <n v="-47299.818899999998"/>
    <n v="-50.658588881575405"/>
    <n v="-53.28658709684909"/>
    <n v="-54.967414388625571"/>
    <n v="-46758.7575"/>
    <n v="-50.0791065989849"/>
    <n v="-18490.384941775024"/>
    <n v="-18278.873908629488"/>
    <x v="7"/>
    <x v="3"/>
  </r>
  <r>
    <x v="671"/>
    <m/>
    <d v="1899-12-30T22:02:00"/>
    <n v="0.9180555555576575"/>
    <d v="1902-07-22T14:47:00"/>
    <n v="934.6159722222219"/>
    <n v="896.53263888889342"/>
    <n v="874.0131944444438"/>
    <n v="4499"/>
    <n v="3"/>
    <n v="0.13615733736731306"/>
    <n v="3.2677760968155138"/>
    <n v="1192.7382753376626"/>
    <n v="-175260"/>
    <n v="-7.8133695732130057"/>
    <n v="-187.52086975711214"/>
    <n v="-68445.11746134593"/>
    <n v="2273"/>
    <n v="3"/>
    <n v="0.13615733736731306"/>
    <n v="3.2677760968155138"/>
    <n v="1192.7382753376626"/>
    <n v="-117159"/>
    <n v="-5.2231345762185466"/>
    <n v="-125.35522982924512"/>
    <n v="-45754.658887674472"/>
    <n v="6"/>
    <n v="0.27231467473462612"/>
    <n v="6.5355521936310277"/>
    <n v="2385.4765506753251"/>
    <n v="-292419"/>
    <n v="-329.03431197506899"/>
    <n v="-339.34956804459659"/>
    <n v="-13.036504149431552"/>
    <n v="-312.87609958635727"/>
    <n v="-114199.77634902041"/>
    <n v="-47298.875400000004"/>
    <n v="-50.607818404320867"/>
    <n v="-53.230968879331918"/>
    <n v="-54.908597610479802"/>
    <n v="-46757.798099999993"/>
    <n v="-50.028888323858517"/>
    <n v="-18471.85371757712"/>
    <n v="-18260.54423820836"/>
    <x v="7"/>
    <x v="3"/>
  </r>
  <r>
    <x v="672"/>
    <m/>
    <d v="1899-12-30T23:35:00"/>
    <n v="0.98263888888322981"/>
    <d v="1902-07-23T14:22:00"/>
    <n v="935.59861111110513"/>
    <n v="897.51527777777665"/>
    <n v="874.99583333332703"/>
    <n v="4507"/>
    <n v="8"/>
    <n v="0.33922261484294303"/>
    <n v="8.1413427562306317"/>
    <n v="2971.5901060241804"/>
    <n v="-175252"/>
    <n v="-7.8048070828094813"/>
    <n v="-187.31536998742754"/>
    <n v="-68370.110045411056"/>
    <n v="2275"/>
    <n v="2"/>
    <n v="8.4805653710735757E-2"/>
    <n v="2.0353356890576579"/>
    <n v="742.8975265060451"/>
    <n v="-117157"/>
    <n v="-5.2175597619468554"/>
    <n v="-125.22143428672454"/>
    <n v="-45705.823514654461"/>
    <n v="10"/>
    <n v="0.42402826855367876"/>
    <n v="10.176678445288291"/>
    <n v="3714.4876325302262"/>
    <n v="-292409"/>
    <n v="-328.66292898140125"/>
    <n v="-338.95704265258649"/>
    <n v="-13.022366844756338"/>
    <n v="-312.53680427415208"/>
    <n v="-114075.9335600655"/>
    <n v="-47297.167000000001"/>
    <n v="-50.552840115731343"/>
    <n v="-53.170785814540523"/>
    <n v="-54.844981623722418"/>
    <n v="-46756.199099999998"/>
    <n v="-49.974635003436916"/>
    <n v="-18451.786642241939"/>
    <n v="-18240.741776254472"/>
    <x v="7"/>
    <x v="3"/>
  </r>
  <r>
    <x v="673"/>
    <m/>
    <d v="1899-12-31T01:43:00"/>
    <n v="1.0715277777781012"/>
    <d v="1902-07-24T16:05:00"/>
    <n v="936.67013888888323"/>
    <n v="898.58680555555475"/>
    <n v="876.06736111110513"/>
    <n v="4512"/>
    <n v="5"/>
    <n v="0.1944264419960528"/>
    <n v="4.6662346079052668"/>
    <n v="1703.1756318854223"/>
    <n v="-175247"/>
    <n v="-7.7956561548927112"/>
    <n v="-187.09574771742507"/>
    <n v="-68289.947916860154"/>
    <n v="2277"/>
    <n v="2"/>
    <n v="7.7770576798421115E-2"/>
    <n v="1.8664938431621068"/>
    <n v="681.27025275416895"/>
    <n v="-117155"/>
    <n v="-5.2115020332813433"/>
    <n v="-125.07604879875224"/>
    <n v="-45652.757811544565"/>
    <n v="7"/>
    <n v="0.27219701879447389"/>
    <n v="6.5327284510673742"/>
    <n v="2384.4458846395914"/>
    <n v="-292402"/>
    <n v="-328.26322195731751"/>
    <n v="-338.53447025335197"/>
    <n v="-13.007158188174055"/>
    <n v="-312.17179651617732"/>
    <n v="-113942.70572840472"/>
    <n v="-47295.998299999999"/>
    <n v="-50.49376118267682"/>
    <n v="-53.106081243310342"/>
    <n v="-54.776566084070836"/>
    <n v="-46755.0798"/>
    <n v="-49.916270262936749"/>
    <n v="-18430.222831677042"/>
    <n v="-18219.438645971914"/>
    <x v="7"/>
    <x v="3"/>
  </r>
  <r>
    <x v="674"/>
    <m/>
    <d v="1899-12-30T22:33:00"/>
    <n v="0.93958333334012423"/>
    <d v="1902-07-25T14:38:00"/>
    <n v="937.60972222222335"/>
    <n v="899.52638888889487"/>
    <n v="877.00694444444525"/>
    <n v="4516"/>
    <n v="4"/>
    <n v="0.17738359201645632"/>
    <n v="4.2572062083949511"/>
    <n v="1553.8802660641572"/>
    <n v="-175243"/>
    <n v="-7.7876663323847932"/>
    <n v="-186.90399197723502"/>
    <n v="-68219.957071690777"/>
    <n v="2279"/>
    <n v="2"/>
    <n v="8.8691796008228158E-2"/>
    <n v="2.1286031041974756"/>
    <n v="776.94013303207862"/>
    <n v="-117153"/>
    <n v="-5.206190682868221"/>
    <n v="-124.94857638883731"/>
    <n v="-45606.230381925619"/>
    <n v="6"/>
    <n v="0.26607538802468444"/>
    <n v="6.3858093125924267"/>
    <n v="2330.8203990962356"/>
    <n v="-292396"/>
    <n v="-327.91367061987648"/>
    <n v="-338.16493914751055"/>
    <n v="-12.993857015253013"/>
    <n v="-311.85256836607232"/>
    <n v="-113826.1874536164"/>
    <n v="-47295.0095"/>
    <n v="-50.442106538642086"/>
    <n v="-53.049511042075807"/>
    <n v="-54.71675361749633"/>
    <n v="-46754.120399999993"/>
    <n v="-49.865225681734955"/>
    <n v="-18411.368886604359"/>
    <n v="-18200.80737383326"/>
    <x v="7"/>
    <x v="3"/>
  </r>
  <r>
    <x v="675"/>
    <m/>
    <d v="1899-12-31T00:14:00"/>
    <n v="1.0097222222175333"/>
    <d v="1902-07-26T14:52:00"/>
    <n v="938.61944444444089"/>
    <n v="900.5361111111124"/>
    <n v="878.01666666666279"/>
    <n v="4522"/>
    <n v="6"/>
    <n v="0.24759284731889392"/>
    <n v="5.9422283356534544"/>
    <n v="2168.913342513511"/>
    <n v="-175237"/>
    <n v="-7.7790223821629576"/>
    <n v="-186.69653717191099"/>
    <n v="-68144.236067747508"/>
    <n v="2282"/>
    <n v="3"/>
    <n v="0.12379642365944696"/>
    <n v="2.9711141678267272"/>
    <n v="1084.4566712567555"/>
    <n v="-117150"/>
    <n v="-5.2004569358662298"/>
    <n v="-124.81096646078952"/>
    <n v="-45556.002758188173"/>
    <n v="9"/>
    <n v="0.3713892709783409"/>
    <n v="8.9133425034801821"/>
    <n v="3253.3700137702663"/>
    <n v="-292387"/>
    <n v="-327.53600478727128"/>
    <n v="-337.76579791575858"/>
    <n v="-12.979479318029188"/>
    <n v="-311.50750363270049"/>
    <n v="-113700.23882593568"/>
    <n v="-47293.526299999998"/>
    <n v="-50.386263122849051"/>
    <n v="-52.988382488209105"/>
    <n v="-54.652139898635419"/>
    <n v="-46752.681299999997"/>
    <n v="-49.810049830868806"/>
    <n v="-18390.986039839907"/>
    <n v="-18180.668188267115"/>
    <x v="7"/>
    <x v="3"/>
  </r>
  <r>
    <x v="676"/>
    <m/>
    <d v="1899-12-31T04:12:00"/>
    <n v="1.1750000000029104"/>
    <d v="1902-07-27T19:04:00"/>
    <n v="939.7944444444438"/>
    <n v="901.71111111111531"/>
    <n v="879.1916666666657"/>
    <n v="4530"/>
    <n v="8"/>
    <n v="0.28368794326170865"/>
    <n v="6.8085106382810086"/>
    <n v="2485.1063829725681"/>
    <n v="-175229"/>
    <n v="-7.7689417898713131"/>
    <n v="-186.45460295691151"/>
    <n v="-68055.930079272701"/>
    <n v="2285"/>
    <n v="3"/>
    <n v="0.10638297872314076"/>
    <n v="2.553191489355378"/>
    <n v="931.91489361471292"/>
    <n v="-117147"/>
    <n v="-5.1938219350567243"/>
    <n v="-124.65172644136138"/>
    <n v="-45497.880151096899"/>
    <n v="11"/>
    <n v="0.39007092198484944"/>
    <n v="9.3617021276363861"/>
    <n v="3417.0212765872811"/>
    <n v="-292376"/>
    <n v="-327.09700076397809"/>
    <n v="-337.30187767172532"/>
    <n v="-12.962763724928037"/>
    <n v="-311.10632939827286"/>
    <n v="-113553.81023036959"/>
    <n v="-47291.683300000004"/>
    <n v="-50.321305450955627"/>
    <n v="-52.917290595657398"/>
    <n v="-54.577003535444554"/>
    <n v="-46750.922399999996"/>
    <n v="-49.745902070783828"/>
    <n v="-18367.2764895988"/>
    <n v="-18157.254255836095"/>
    <x v="7"/>
    <x v="3"/>
  </r>
  <r>
    <x v="677"/>
    <m/>
    <d v="1899-12-30T20:54:00"/>
    <n v="0.87083333333430346"/>
    <d v="1902-07-28T15:58:00"/>
    <n v="940.6652777777781"/>
    <n v="902.58194444444962"/>
    <n v="880.0625"/>
    <n v="4534"/>
    <n v="4"/>
    <n v="0.19138755980839922"/>
    <n v="4.5933014354015818"/>
    <n v="1676.5550239215772"/>
    <n v="-175225"/>
    <n v="-7.7615724095978145"/>
    <n v="-186.27773783034755"/>
    <n v="-67991.374308076862"/>
    <n v="2287"/>
    <n v="2"/>
    <n v="9.5693779904199611E-2"/>
    <n v="2.2966507177007909"/>
    <n v="838.27751196078862"/>
    <n v="-117145"/>
    <n v="-5.1889250958615261"/>
    <n v="-124.53420230067664"/>
    <n v="-45454.983839746972"/>
    <n v="6"/>
    <n v="0.28708133971259886"/>
    <n v="6.8899521531023726"/>
    <n v="2514.8325358823658"/>
    <n v="-292370"/>
    <n v="-326.77476190988932"/>
    <n v="-336.96129536254529"/>
    <n v="-12.950497505459341"/>
    <n v="-310.81194013102419"/>
    <n v="-113446.35814782383"/>
    <n v="-47290.694499999998"/>
    <n v="-50.273668665350598"/>
    <n v="-52.865139164033742"/>
    <n v="-54.521875321355019"/>
    <n v="-46749.962999999996"/>
    <n v="-49.698829226950764"/>
    <n v="-18349.88906285297"/>
    <n v="-18140.07266783703"/>
    <x v="7"/>
    <x v="3"/>
  </r>
  <r>
    <x v="678"/>
    <m/>
    <d v="1899-12-30T22:48:00"/>
    <n v="0.94999999999708962"/>
    <d v="1902-07-29T14:46:00"/>
    <n v="941.61527777777519"/>
    <n v="903.53194444444671"/>
    <n v="881.01249999999709"/>
    <n v="4540"/>
    <n v="6"/>
    <n v="0.26315789473764828"/>
    <n v="6.3157894737035596"/>
    <n v="2305.2631579017993"/>
    <n v="-175219"/>
    <n v="-7.7534762221537372"/>
    <n v="-186.0834293316897"/>
    <n v="-67920.451706066742"/>
    <n v="2289"/>
    <n v="2"/>
    <n v="8.7719298245882774E-2"/>
    <n v="2.1052631579011862"/>
    <n v="768.42105263393296"/>
    <n v="-117143"/>
    <n v="-5.1836014649767161"/>
    <n v="-124.4064351594412"/>
    <n v="-45408.34883319604"/>
    <n v="8"/>
    <n v="0.35087719298353109"/>
    <n v="8.4210526316047449"/>
    <n v="3073.6842105357318"/>
    <n v="-292362"/>
    <n v="-326.42232719435833"/>
    <n v="-336.5888679218524"/>
    <n v="-12.937077687130454"/>
    <n v="-310.4898644911309"/>
    <n v="-113328.80053926278"/>
    <n v="-47289.3459"/>
    <n v="-50.22151510923176"/>
    <n v="-52.808062618458607"/>
    <n v="-54.46155338318146"/>
    <n v="-46748.683799999999"/>
    <n v="-49.647329332131832"/>
    <n v="-18330.853014869594"/>
    <n v="-18121.275206228118"/>
    <x v="7"/>
    <x v="3"/>
  </r>
  <r>
    <x v="679"/>
    <m/>
    <d v="1899-12-31T01:44:00"/>
    <n v="1.0722222222248092"/>
    <d v="1902-07-30T16:30:00"/>
    <n v="942.6875"/>
    <n v="904.60416666667152"/>
    <n v="882.0847222222219"/>
    <n v="4548"/>
    <n v="8"/>
    <n v="0.31088082901479397"/>
    <n v="7.4611398963550553"/>
    <n v="2723.3160621695952"/>
    <n v="-175211"/>
    <n v="-7.7443037415191496"/>
    <n v="-185.86328979645958"/>
    <n v="-67840.100775707746"/>
    <n v="2292"/>
    <n v="3"/>
    <n v="0.11658031088054774"/>
    <n v="2.7979274611331455"/>
    <n v="1021.2435233135981"/>
    <n v="-117140"/>
    <n v="-5.177572985038343"/>
    <n v="-124.26175164092024"/>
    <n v="-45355.53934893589"/>
    <n v="11"/>
    <n v="0.42746113989534168"/>
    <n v="10.259067357488201"/>
    <n v="3744.5595854831931"/>
    <n v="-292351"/>
    <n v="-326.02326063425357"/>
    <n v="-336.16725528695446"/>
    <n v="-12.921876726557493"/>
    <n v="-310.12504143737982"/>
    <n v="-113195.64012464363"/>
    <n v="-47287.502899999999"/>
    <n v="-50.162437605250943"/>
    <n v="-52.74343216415992"/>
    <n v="-54.393263018008177"/>
    <n v="-46746.924899999998"/>
    <n v="-49.588994125837033"/>
    <n v="-18309.289725916595"/>
    <n v="-18099.982855930513"/>
    <x v="7"/>
    <x v="3"/>
  </r>
  <r>
    <x v="680"/>
    <m/>
    <d v="1900-01-14T02:54:00"/>
    <n v="15.120833333334303"/>
    <d v="1902-08-14T19:24:00"/>
    <n v="957.8083333333343"/>
    <n v="919.72500000000582"/>
    <n v="897.2055555555562"/>
    <n v="4591"/>
    <n v="43"/>
    <n v="0.11848994213281136"/>
    <n v="2.8437586111874724"/>
    <n v="1037.9718930834274"/>
    <n v="-175168"/>
    <n v="-7.6201745303949044"/>
    <n v="-182.8841887294777"/>
    <n v="-66752.728886259356"/>
    <n v="2320"/>
    <n v="28"/>
    <n v="7.7156241388807389E-2"/>
    <n v="1.8517497933313776"/>
    <n v="675.88867456595278"/>
    <n v="-117112"/>
    <n v="-5.0946170510801521"/>
    <n v="-122.27080922592364"/>
    <n v="-44628.845367462127"/>
    <n v="71"/>
    <n v="0.19564618352161875"/>
    <n v="4.6955084045188498"/>
    <n v="1713.8605676493801"/>
    <n v="-292280"/>
    <n v="-320.58604474163269"/>
    <n v="-330.42260846950694"/>
    <n v="-12.714791581475057"/>
    <n v="-305.15499795540137"/>
    <n v="-111381.5742537215"/>
    <n v="-47275.998399999997"/>
    <n v="-49.358516474242357"/>
    <n v="-51.863789719752859"/>
    <n v="-53.463736936289799"/>
    <n v="-46735.571999999993"/>
    <n v="-48.794284173068668"/>
    <n v="-18015.858513098461"/>
    <n v="-17809.913723170066"/>
    <x v="11"/>
    <x v="3"/>
  </r>
  <r>
    <x v="681"/>
    <m/>
    <d v="1899-12-30T21:36:00"/>
    <n v="0.89999999999417923"/>
    <d v="1902-08-15T17:00:00"/>
    <n v="958.70833333332848"/>
    <n v="920.625"/>
    <n v="898.10555555555038"/>
    <n v="4597"/>
    <n v="6"/>
    <n v="0.2777777777795743"/>
    <n v="6.6666666667097836"/>
    <n v="2433.3333333490709"/>
    <n v="-175162"/>
    <n v="-7.6127602242601107"/>
    <n v="-182.70624538224266"/>
    <n v="-66687.779564518569"/>
    <n v="2323"/>
    <n v="3"/>
    <n v="0.13888888888978715"/>
    <n v="3.3333333333548918"/>
    <n v="1216.6666666745355"/>
    <n v="-117109"/>
    <n v="-5.0897040288582982"/>
    <n v="-122.15289669259917"/>
    <n v="-44585.807292798694"/>
    <n v="9"/>
    <n v="0.41666666666936147"/>
    <n v="10.000000000064675"/>
    <n v="3650.0000000236064"/>
    <n v="-292271"/>
    <n v="-320.26286490156144"/>
    <n v="-330.08146778094823"/>
    <n v="-12.702464253118409"/>
    <n v="-304.85914207484183"/>
    <n v="-111273.58685731726"/>
    <n v="-47274.515200000002"/>
    <n v="-49.310633439089301"/>
    <n v="-51.811476768499666"/>
    <n v="-53.408508947847324"/>
    <n v="-46734.132899999997"/>
    <n v="-48.746976817767205"/>
    <n v="-17998.381205267593"/>
    <n v="-17792.646538485027"/>
    <x v="11"/>
    <x v="3"/>
  </r>
  <r>
    <x v="682"/>
    <m/>
    <d v="1899-12-31T00:28:00"/>
    <n v="1.0194444444496185"/>
    <d v="1902-08-16T17:28:00"/>
    <n v="959.7277777777781"/>
    <n v="921.64444444444962"/>
    <n v="899.125"/>
    <n v="4603"/>
    <n v="6"/>
    <n v="0.24523160762818316"/>
    <n v="5.8855585830763957"/>
    <n v="2148.2288828228843"/>
    <n v="-175156"/>
    <n v="-7.6044132884903677"/>
    <n v="-182.50591892376883"/>
    <n v="-66614.66040717563"/>
    <n v="2325"/>
    <n v="2"/>
    <n v="8.1743869209394387E-2"/>
    <n v="1.9618528610254653"/>
    <n v="716.07629427429481"/>
    <n v="-117107"/>
    <n v="-5.084210800516348"/>
    <n v="-122.02105921239236"/>
    <n v="-44537.686612523212"/>
    <n v="8"/>
    <n v="0.32697547683757755"/>
    <n v="7.8474114441018612"/>
    <n v="2864.3051770971792"/>
    <n v="-292263"/>
    <n v="-319.89993731012021"/>
    <n v="-329.69831780898096"/>
    <n v="-12.688624089006716"/>
    <n v="-304.52697813616118"/>
    <n v="-111152.34701969883"/>
    <n v="-47273.166599999997"/>
    <n v="-49.256849384374021"/>
    <n v="-51.752704079664078"/>
    <n v="-53.346453496454885"/>
    <n v="-46732.8537"/>
    <n v="-48.693863803972171"/>
    <n v="-17978.750025296518"/>
    <n v="-17773.260288449841"/>
    <x v="11"/>
    <x v="3"/>
  </r>
  <r>
    <x v="683"/>
    <m/>
    <d v="1899-12-31T00:37:00"/>
    <n v="1.0256944444408873"/>
    <d v="1902-08-17T18:05:00"/>
    <n v="960.75347222221899"/>
    <n v="922.67013888889051"/>
    <n v="900.15069444444089"/>
    <n v="4611"/>
    <n v="8"/>
    <n v="0.32498307379936675"/>
    <n v="7.7995937711848011"/>
    <n v="2846.8517264824522"/>
    <n v="-175148"/>
    <n v="-7.5959479141443786"/>
    <n v="-182.30274993946509"/>
    <n v="-66540.503727904754"/>
    <n v="2327"/>
    <n v="2"/>
    <n v="8.1245768449841688E-2"/>
    <n v="1.9498984427962003"/>
    <n v="711.71293162061306"/>
    <n v="-117105"/>
    <n v="-5.0786961911405069"/>
    <n v="-121.88870858737215"/>
    <n v="-44489.378634390836"/>
    <n v="10"/>
    <n v="0.40622884224920841"/>
    <n v="9.7494922139810019"/>
    <n v="3558.5646581030655"/>
    <n v="-292253"/>
    <n v="-319.53347959763465"/>
    <n v="-329.31152731371498"/>
    <n v="-12.674644105284885"/>
    <n v="-304.19145852683727"/>
    <n v="-111029.8823622956"/>
    <n v="-47271.458200000001"/>
    <n v="-49.202484889970059"/>
    <n v="-51.693321144474169"/>
    <n v="-53.283768924493565"/>
    <n v="-46731.254699999998"/>
    <n v="-48.640214218441272"/>
    <n v="-17958.906984839072"/>
    <n v="-17753.678189731065"/>
    <x v="11"/>
    <x v="3"/>
  </r>
  <r>
    <x v="684"/>
    <m/>
    <d v="1899-12-31T20:46:00"/>
    <n v="1.8652777777751908"/>
    <d v="1902-08-19T14:51:00"/>
    <n v="962.61874999999418"/>
    <n v="924.5354166666657"/>
    <n v="902.01597222221608"/>
    <n v="4621"/>
    <n v="10"/>
    <n v="0.22338049143739097"/>
    <n v="5.3611317944973838"/>
    <n v="1956.8131049915451"/>
    <n v="-175138"/>
    <n v="-7.5807963086805765"/>
    <n v="-181.93911140833384"/>
    <n v="-66407.775664041852"/>
    <n v="2332"/>
    <n v="5"/>
    <n v="0.11169024571869549"/>
    <n v="2.6805658972486919"/>
    <n v="978.40655249577253"/>
    <n v="-117100"/>
    <n v="-5.0686387177339896"/>
    <n v="-121.64732922561576"/>
    <n v="-44401.275167349755"/>
    <n v="15"/>
    <n v="0.33507073715608648"/>
    <n v="8.0416976917460747"/>
    <n v="2935.2196574873174"/>
    <n v="-292238"/>
    <n v="-318.8725869073885"/>
    <n v="-328.6139149728678"/>
    <n v="-12.649435026414567"/>
    <n v="-303.58644063394962"/>
    <n v="-110809.05083139161"/>
    <n v="-47268.986199999999"/>
    <n v="-49.104576656127136"/>
    <n v="-51.586354551948446"/>
    <n v="-53.170842952861356"/>
    <n v="-46728.856199999995"/>
    <n v="-48.543471857368537"/>
    <n v="-17923.170479486405"/>
    <n v="-17718.367227939518"/>
    <x v="11"/>
    <x v="3"/>
  </r>
  <r>
    <x v="685"/>
    <m/>
    <d v="1899-12-30T23:45:00"/>
    <n v="0.98958333333575865"/>
    <d v="1902-08-20T14:36:00"/>
    <n v="963.60833333332994"/>
    <n v="925.52500000000146"/>
    <n v="903.00555555555184"/>
    <n v="4627"/>
    <n v="6"/>
    <n v="0.25263157894674926"/>
    <n v="6.0631578947219822"/>
    <n v="2213.0526315735233"/>
    <n v="-175132"/>
    <n v="-7.572751723124048"/>
    <n v="-181.74604135497717"/>
    <n v="-66337.305094566662"/>
    <n v="2334"/>
    <n v="2"/>
    <n v="8.4210526315583081E-2"/>
    <n v="2.0210526315739941"/>
    <n v="737.68421052450788"/>
    <n v="-117098"/>
    <n v="-5.0633469684259866"/>
    <n v="-121.52032724222367"/>
    <n v="-44354.919443411643"/>
    <n v="8"/>
    <n v="0.33684210526233233"/>
    <n v="8.0842105262959763"/>
    <n v="2950.7368420980315"/>
    <n v="-292230"/>
    <n v="-318.52300045919833"/>
    <n v="-328.24493512406235"/>
    <n v="-12.636098691550034"/>
    <n v="-303.26636859720082"/>
    <n v="-110692.2245379783"/>
    <n v="-47267.637600000002"/>
    <n v="-49.052748886563698"/>
    <n v="-51.52974063369431"/>
    <n v="-53.111080773466611"/>
    <n v="-46727.576999999997"/>
    <n v="-48.492292338692408"/>
    <n v="-17904.253343595752"/>
    <n v="-17699.686703622727"/>
    <x v="11"/>
    <x v="3"/>
  </r>
  <r>
    <x v="686"/>
    <m/>
    <d v="1899-12-31T00:43:00"/>
    <n v="1.0298611111138598"/>
    <d v="1902-08-21T15:19:00"/>
    <n v="964.6381944444438"/>
    <n v="926.55486111111531"/>
    <n v="904.0354166666657"/>
    <n v="4633"/>
    <n v="6"/>
    <n v="0.24275118003981064"/>
    <n v="5.8260283209554551"/>
    <n v="2126.500337148741"/>
    <n v="-175126"/>
    <n v="-7.5644077838625501"/>
    <n v="-181.54578681270121"/>
    <n v="-66264.212186635938"/>
    <n v="2336"/>
    <n v="2"/>
    <n v="8.0917060013270203E-2"/>
    <n v="1.9420094403184851"/>
    <n v="708.83344571624707"/>
    <n v="-117096"/>
    <n v="-5.0578548808239159"/>
    <n v="-121.388517139774"/>
    <n v="-44306.808756017512"/>
    <n v="8"/>
    <n v="0.32366824005308081"/>
    <n v="7.7680377612739404"/>
    <n v="2835.3337828649883"/>
    <n v="-292222"/>
    <n v="-318.16032959612039"/>
    <n v="-327.86215510546498"/>
    <n v="-12.622262664686467"/>
    <n v="-302.9343039524752"/>
    <n v="-110571.02094265346"/>
    <n v="-47266.289000000004"/>
    <n v="-48.99898145461853"/>
    <n v="-51.471010084399943"/>
    <n v="-53.04908581660478"/>
    <n v="-46726.297799999993"/>
    <n v="-48.439195202000775"/>
    <n v="-17884.628230935763"/>
    <n v="-17680.306248730285"/>
    <x v="11"/>
    <x v="3"/>
  </r>
  <r>
    <x v="687"/>
    <m/>
    <d v="1899-12-30T23:17:00"/>
    <n v="0.97013888888614019"/>
    <d v="1902-08-22T14:36:00"/>
    <n v="965.60833333332994"/>
    <n v="927.52500000000146"/>
    <n v="905.00555555555184"/>
    <n v="4639"/>
    <n v="6"/>
    <n v="0.25769506084539728"/>
    <n v="6.1846814602895348"/>
    <n v="2257.40873300568"/>
    <n v="-175120"/>
    <n v="-7.5565489803492021"/>
    <n v="-181.35717552838085"/>
    <n v="-66195.369067859006"/>
    <n v="2339"/>
    <n v="3"/>
    <n v="0.12884753042269864"/>
    <n v="3.0923407301447674"/>
    <n v="1128.70436650284"/>
    <n v="-117093"/>
    <n v="-5.0526438428279414"/>
    <n v="-121.2634522278706"/>
    <n v="-44261.160063172771"/>
    <n v="9"/>
    <n v="0.38654259126809593"/>
    <n v="9.2770221904343018"/>
    <n v="3386.11309950852"/>
    <n v="-292213"/>
    <n v="-317.81784857550957"/>
    <n v="-327.5007519904741"/>
    <n v="-12.609192823177143"/>
    <n v="-302.62062775625145"/>
    <n v="-110456.52913103178"/>
    <n v="-47264.805800000002"/>
    <n v="-48.948216547427101"/>
    <n v="-51.415575213606026"/>
    <n v="-52.990579898220609"/>
    <n v="-46724.858699999997"/>
    <n v="-48.389038378224605"/>
    <n v="-17866.099039810892"/>
    <n v="-17661.999008051982"/>
    <x v="11"/>
    <x v="3"/>
  </r>
  <r>
    <x v="688"/>
    <m/>
    <d v="1899-12-31T05:54:00"/>
    <n v="1.2458333333343035"/>
    <d v="1902-08-23T20:30:00"/>
    <n v="966.85416666666424"/>
    <n v="928.77083333333576"/>
    <n v="906.25138888888614"/>
    <n v="4647"/>
    <n v="8"/>
    <n v="0.2675585284278853"/>
    <n v="6.4214046822692472"/>
    <n v="2343.8127090282751"/>
    <n v="-175112"/>
    <n v="-7.5464672800534567"/>
    <n v="-181.11521472128297"/>
    <n v="-66107.053373268282"/>
    <n v="2341"/>
    <n v="2"/>
    <n v="6.6889632106971325E-2"/>
    <n v="1.6053511705673118"/>
    <n v="585.95317725706877"/>
    <n v="-117091"/>
    <n v="-5.0460471029326337"/>
    <n v="-121.1051304703832"/>
    <n v="-44203.372621689872"/>
    <n v="10"/>
    <n v="0.3344481605348566"/>
    <n v="8.0267558528365583"/>
    <n v="2929.7658862853436"/>
    <n v="-292203"/>
    <n v="-317.38076759157406"/>
    <n v="-327.03949879004114"/>
    <n v="-12.59251438298609"/>
    <n v="-302.22034519166618"/>
    <n v="-110310.42599495816"/>
    <n v="-47263.097399999999"/>
    <n v="-48.883377689672386"/>
    <n v="-51.344768040196364"/>
    <n v="-52.915848061535698"/>
    <n v="-46723.259699999995"/>
    <n v="-48.325033196147416"/>
    <n v="-17842.432856730422"/>
    <n v="-17638.637116593807"/>
    <x v="11"/>
    <x v="3"/>
  </r>
  <r>
    <x v="689"/>
    <m/>
    <d v="1899-12-30T18:53:00"/>
    <n v="0.78680555555911269"/>
    <d v="1902-08-24T15:23:00"/>
    <n v="967.64097222222335"/>
    <n v="929.55763888889487"/>
    <n v="907.03819444444525"/>
    <n v="4651"/>
    <n v="4"/>
    <n v="0.21182700794255513"/>
    <n v="5.0838481906213229"/>
    <n v="1855.6045895767829"/>
    <n v="-175108"/>
    <n v="-7.5401588772235941"/>
    <n v="-180.96381305336627"/>
    <n v="-66051.791764478694"/>
    <n v="2343"/>
    <n v="2"/>
    <n v="0.10591350397127756"/>
    <n v="2.5419240953106614"/>
    <n v="927.80229478839146"/>
    <n v="-117089"/>
    <n v="-5.0418579549491369"/>
    <n v="-121.00459091877927"/>
    <n v="-44166.675685354436"/>
    <n v="6"/>
    <n v="0.31774051191383268"/>
    <n v="7.6257722859319843"/>
    <n v="2783.4068843651744"/>
    <n v="-292197"/>
    <n v="-317.10567227690984"/>
    <n v="-326.74919514445264"/>
    <n v="-12.58201683217273"/>
    <n v="-301.96840397214555"/>
    <n v="-110218.46744983313"/>
    <n v="-47262.1086"/>
    <n v="-48.842607905968279"/>
    <n v="-51.300244551806351"/>
    <n v="-52.868856343333526"/>
    <n v="-46722.300299999995"/>
    <n v="-48.284747795146068"/>
    <n v="-17827.551885678426"/>
    <n v="-17623.932945228316"/>
    <x v="11"/>
    <x v="3"/>
  </r>
  <r>
    <x v="690"/>
    <m/>
    <d v="1899-12-31T00:43:00"/>
    <n v="1.0298611111065838"/>
    <d v="1902-08-25T16:06:00"/>
    <n v="968.67083333332994"/>
    <n v="930.58750000000146"/>
    <n v="908.06805555555184"/>
    <n v="4659"/>
    <n v="8"/>
    <n v="0.32366824005536754"/>
    <n v="7.768037761328821"/>
    <n v="2835.3337828850194"/>
    <n v="-175100"/>
    <n v="-7.5317982974953059"/>
    <n v="-180.76315913988734"/>
    <n v="-65978.553086058877"/>
    <n v="2346"/>
    <n v="3"/>
    <n v="0.12137559002076283"/>
    <n v="2.913014160498308"/>
    <n v="1063.2501685818825"/>
    <n v="-117086"/>
    <n v="-5.0363685634525153"/>
    <n v="-120.87284552286036"/>
    <n v="-44118.588615844033"/>
    <n v="11"/>
    <n v="0.44504383007613041"/>
    <n v="10.681051921827128"/>
    <n v="3898.5839514669019"/>
    <n v="-292186"/>
    <n v="-316.74291778043391"/>
    <n v="-326.36650764978896"/>
    <n v="-12.568166860947821"/>
    <n v="-301.63600466274767"/>
    <n v="-110097.1417019029"/>
    <n v="-47260.265599999999"/>
    <n v="-48.788777336642731"/>
    <n v="-51.241491208510674"/>
    <n v="-52.806866959616862"/>
    <n v="-46720.541399999995"/>
    <n v="-48.231597145573353"/>
    <n v="-17807.903727874596"/>
    <n v="-17604.532958134274"/>
    <x v="11"/>
    <x v="3"/>
  </r>
  <r>
    <x v="691"/>
    <m/>
    <d v="1899-12-31T00:14:00"/>
    <n v="1.0097222222248092"/>
    <d v="1902-08-26T16:20:00"/>
    <n v="969.68055555555475"/>
    <n v="931.59722222222626"/>
    <n v="909.07777777777665"/>
    <n v="4663"/>
    <n v="4"/>
    <n v="0.16506189821140654"/>
    <n v="3.9614855570737566"/>
    <n v="1445.9422283319211"/>
    <n v="-175096"/>
    <n v="-7.5237836057120822"/>
    <n v="-180.57080653708996"/>
    <n v="-65908.344386037832"/>
    <n v="2348"/>
    <n v="2"/>
    <n v="8.2530949105703272E-2"/>
    <n v="1.9807427785368783"/>
    <n v="722.97111416596056"/>
    <n v="-117084"/>
    <n v="-5.0310382858043212"/>
    <n v="-120.74491885930371"/>
    <n v="-44071.895383645853"/>
    <n v="6"/>
    <n v="0.24759284731710979"/>
    <n v="5.9422283356106353"/>
    <n v="2168.9133424978818"/>
    <n v="-292180"/>
    <n v="-316.39317182258526"/>
    <n v="-325.99740885146161"/>
    <n v="-12.554821891516402"/>
    <n v="-301.3157253963937"/>
    <n v="-109980.2397696837"/>
    <n v="-47259.2768"/>
    <n v="-48.736954174484765"/>
    <n v="-51.184891133805223"/>
    <n v="-52.747126122932954"/>
    <n v="-46719.581999999995"/>
    <n v="-48.180384490883341"/>
    <n v="-17788.98827368694"/>
    <n v="-17585.84033917242"/>
    <x v="11"/>
    <x v="3"/>
  </r>
  <r>
    <x v="692"/>
    <m/>
    <d v="1899-12-30T22:54:00"/>
    <n v="0.95416666666278616"/>
    <d v="1902-08-27T15:14:00"/>
    <n v="970.63472222221753"/>
    <n v="932.55138888888905"/>
    <n v="910.03194444443943"/>
    <n v="4669"/>
    <n v="6"/>
    <n v="0.26200873362551974"/>
    <n v="6.2882096070124733"/>
    <n v="2295.1965065595527"/>
    <n v="-175090"/>
    <n v="-7.5161299092661666"/>
    <n v="-180.38711782238801"/>
    <n v="-65841.298005171629"/>
    <n v="2350"/>
    <n v="2"/>
    <n v="8.73362445418399E-2"/>
    <n v="2.0960698690041579"/>
    <n v="765.06550218651762"/>
    <n v="-117082"/>
    <n v="-5.0260067510234814"/>
    <n v="-120.62416202456355"/>
    <n v="-44027.819138965693"/>
    <n v="8"/>
    <n v="0.3493449781673596"/>
    <n v="8.3842794760166317"/>
    <n v="3060.2620087460705"/>
    <n v="-292172"/>
    <n v="-316.06086646997403"/>
    <n v="-325.64681032259426"/>
    <n v="-12.542136660289648"/>
    <n v="-301.01127984695154"/>
    <n v="-109869.11714413732"/>
    <n v="-47257.928200000002"/>
    <n v="-48.687654704753854"/>
    <n v="-51.131073706096025"/>
    <n v="-52.690338941093628"/>
    <n v="-46718.302799999998"/>
    <n v="-48.131703647527551"/>
    <n v="-17770.993967235157"/>
    <n v="-17568.071831347555"/>
    <x v="11"/>
    <x v="3"/>
  </r>
  <r>
    <x v="693"/>
    <m/>
    <d v="1899-12-30T23:30:00"/>
    <n v="0.97916666667151731"/>
    <d v="1902-08-28T14:44:00"/>
    <n v="971.61388888888905"/>
    <n v="933.53055555556057"/>
    <n v="911.01111111111095"/>
    <n v="4672"/>
    <n v="3"/>
    <n v="0.12765957446745271"/>
    <n v="3.0638297872188649"/>
    <n v="1118.2978723348856"/>
    <n v="-175087"/>
    <n v="-7.5084267012787986"/>
    <n v="-180.20224083069118"/>
    <n v="-65773.817903202274"/>
    <n v="2353"/>
    <n v="3"/>
    <n v="0.12765957446745271"/>
    <n v="3.0638297872188649"/>
    <n v="1118.2978723348856"/>
    <n v="-117079"/>
    <n v="-5.0208130230058226"/>
    <n v="-120.49951255213975"/>
    <n v="-43982.322081531005"/>
    <n v="6"/>
    <n v="0.25531914893490543"/>
    <n v="6.1276595744377298"/>
    <n v="2236.5957446697712"/>
    <n v="-292166"/>
    <n v="-315.72292759565516"/>
    <n v="-325.29021477967098"/>
    <n v="-12.529239724284622"/>
    <n v="-300.70175338283093"/>
    <n v="-109756.13998473329"/>
    <n v="-47256.984700000001"/>
    <n v="-48.637617514959352"/>
    <n v="-51.076432384823171"/>
    <n v="-52.632671012672134"/>
    <n v="-46717.343399999998"/>
    <n v="-48.082210365914662"/>
    <n v="-17752.730392960162"/>
    <n v="-17550.006783558852"/>
    <x v="11"/>
    <x v="3"/>
  </r>
  <r>
    <x v="694"/>
    <m/>
    <d v="1899-12-31T00:00:00"/>
    <n v="1"/>
    <d v="1902-08-29T14:44:00"/>
    <n v="972.61388888888905"/>
    <n v="934.53055555556057"/>
    <n v="912.01111111111095"/>
    <n v="4681"/>
    <n v="9"/>
    <n v="0.375"/>
    <n v="9"/>
    <n v="3285"/>
    <n v="-175078"/>
    <n v="-7.500321299133776"/>
    <n v="-180.00771117921065"/>
    <n v="-65702.814580411883"/>
    <n v="2355"/>
    <n v="2"/>
    <n v="8.3333333333333329E-2"/>
    <n v="2"/>
    <n v="730"/>
    <n v="-117077"/>
    <n v="-5.015565158036333"/>
    <n v="-120.37356379287199"/>
    <n v="-43936.350784398273"/>
    <n v="11"/>
    <n v="0.45833333333333331"/>
    <n v="11"/>
    <n v="4015"/>
    <n v="-292155"/>
    <n v="-315.3733157764874"/>
    <n v="-324.92148000146204"/>
    <n v="-12.51588645717011"/>
    <n v="-300.38127497208262"/>
    <n v="-109639.16536481016"/>
    <n v="-47255.096400000002"/>
    <n v="-48.585668927660564"/>
    <n v="-51.019757156742124"/>
    <n v="-52.572889974537361"/>
    <n v="-46715.584499999997"/>
    <n v="-48.030965868036006"/>
    <n v="-17733.769158596104"/>
    <n v="-17531.302541833145"/>
    <x v="11"/>
    <x v="3"/>
  </r>
  <r>
    <x v="695"/>
    <m/>
    <d v="1899-12-31T00:42:00"/>
    <n v="1.0291666666671517"/>
    <d v="1902-08-30T15:26:00"/>
    <n v="973.6430555555562"/>
    <n v="935.55972222222772"/>
    <n v="913.0402777777781"/>
    <n v="4685"/>
    <n v="4"/>
    <n v="0.16194331983798035"/>
    <n v="3.8866396761115283"/>
    <n v="1418.6234817807078"/>
    <n v="-175074"/>
    <n v="-7.4922220811585305"/>
    <n v="-179.81332994780473"/>
    <n v="-65631.865430948732"/>
    <n v="2357"/>
    <n v="2"/>
    <n v="8.0971659918990177E-2"/>
    <n v="1.9433198380557641"/>
    <n v="709.31174089035392"/>
    <n v="-117075"/>
    <n v="-5.0101779827480666"/>
    <n v="-120.24427158595358"/>
    <n v="-43889.159128873056"/>
    <n v="6"/>
    <n v="0.24291497975697052"/>
    <n v="5.8299595141672924"/>
    <n v="2127.9352226710616"/>
    <n v="-292149"/>
    <n v="-315.01997467350765"/>
    <n v="-324.54866144702743"/>
    <n v="-12.502400063906597"/>
    <n v="-300.05760153375832"/>
    <n v="-109521.02455982179"/>
    <n v="-47254.107600000003"/>
    <n v="-48.533297013079427"/>
    <n v="-50.962575736746722"/>
    <n v="-52.512547547951044"/>
    <n v="-46714.625099999997"/>
    <n v="-47.979210485247954"/>
    <n v="-17714.65340977399"/>
    <n v="-17512.411827115502"/>
    <x v="11"/>
    <x v="3"/>
  </r>
  <r>
    <x v="696"/>
    <m/>
    <d v="1899-12-31T01:00:00"/>
    <n v="1.0416666666642413"/>
    <d v="1902-08-31T16:26:00"/>
    <n v="974.68472222222044"/>
    <n v="936.60138888889196"/>
    <n v="914.08194444444234"/>
    <n v="4691"/>
    <n v="6"/>
    <n v="0.24000000000055879"/>
    <n v="5.7600000000134113"/>
    <n v="2102.400000004895"/>
    <n v="-175068"/>
    <n v="-7.4839584880011198"/>
    <n v="-179.61500371202686"/>
    <n v="-65559.476354889804"/>
    <n v="2360"/>
    <n v="3"/>
    <n v="0.1200000000002794"/>
    <n v="2.8800000000067056"/>
    <n v="1051.2000000024475"/>
    <n v="-117072"/>
    <n v="-5.0046952504584903"/>
    <n v="-120.11268601100377"/>
    <n v="-43841.130394016378"/>
    <n v="9"/>
    <n v="0.36000000000083821"/>
    <n v="8.640000000020116"/>
    <n v="3153.6000000073423"/>
    <n v="-292140"/>
    <n v="-314.66000744417136"/>
    <n v="-324.16896734580462"/>
    <n v="-12.488653738459611"/>
    <n v="-299.72768972303066"/>
    <n v="-109400.6067489062"/>
    <n v="-47252.624400000001"/>
    <n v="-48.479906704874743"/>
    <n v="-50.904312726420571"/>
    <n v="-52.451082850279469"/>
    <n v="-46713.185999999994"/>
    <n v="-47.926457586712594"/>
    <n v="-17695.165947279282"/>
    <n v="-17493.157019150098"/>
    <x v="11"/>
    <x v="3"/>
  </r>
  <r>
    <x v="697"/>
    <m/>
    <d v="1899-12-30T23:31:00"/>
    <n v="0.97986111111094942"/>
    <d v="1902-09-01T15:57:00"/>
    <n v="975.66458333333139"/>
    <n v="937.58125000000291"/>
    <n v="915.06180555555329"/>
    <n v="4698"/>
    <n v="7"/>
    <n v="0.29766123316801507"/>
    <n v="7.1438695960323626"/>
    <n v="2607.5124025518126"/>
    <n v="-175061"/>
    <n v="-7.4761433979830132"/>
    <n v="-179.42744155159232"/>
    <n v="-65491.016166331196"/>
    <n v="2362"/>
    <n v="2"/>
    <n v="8.5046066619432883E-2"/>
    <n v="2.0411055988663893"/>
    <n v="745.00354358623213"/>
    <n v="-117070"/>
    <n v="-4.9995836171498587"/>
    <n v="-119.9900068115966"/>
    <n v="-43796.352486232761"/>
    <n v="9"/>
    <n v="0.382707299787448"/>
    <n v="9.184975194898751"/>
    <n v="3352.515946138044"/>
    <n v="-292131"/>
    <n v="-314.32155879823654"/>
    <n v="-323.81200723387769"/>
    <n v="-12.475727015132872"/>
    <n v="-299.41744836318895"/>
    <n v="-109287.36865256396"/>
    <n v="-47251.0959"/>
    <n v="-48.429651651972364"/>
    <n v="-50.849482644837295"/>
    <n v="-52.393247110661292"/>
    <n v="-46711.746899999998"/>
    <n v="-47.876849993273908"/>
    <n v="-17676.822852969912"/>
    <n v="-17475.050247544976"/>
    <x v="11"/>
    <x v="3"/>
  </r>
  <r>
    <x v="698"/>
    <m/>
    <d v="1899-12-30T22:55:00"/>
    <n v="0.95486111110949423"/>
    <d v="1902-09-02T14:52:00"/>
    <n v="976.61944444444089"/>
    <n v="938.5361111111124"/>
    <n v="916.01666666666279"/>
    <n v="4701"/>
    <n v="3"/>
    <n v="0.13090909090931258"/>
    <n v="3.1418181818235018"/>
    <n v="1146.7636363655781"/>
    <n v="-175058"/>
    <n v="-7.4687058247981541"/>
    <n v="-179.24893979515571"/>
    <n v="-65425.863025231833"/>
    <n v="2365"/>
    <n v="3"/>
    <n v="0.13090909090931258"/>
    <n v="3.1418181818235018"/>
    <n v="1146.7636363655781"/>
    <n v="-117067"/>
    <n v="-4.9945674278904448"/>
    <n v="-119.86961826937069"/>
    <n v="-43752.410668320299"/>
    <n v="6"/>
    <n v="0.26181818181862515"/>
    <n v="6.2836363636470036"/>
    <n v="2293.5272727311562"/>
    <n v="-292125"/>
    <n v="-313.99537696116545"/>
    <n v="-323.46791361147132"/>
    <n v="-12.4632732526886"/>
    <n v="-299.11855806452638"/>
    <n v="-109178.27369355212"/>
    <n v="-47250.152399999999"/>
    <n v="-48.381334888205807"/>
    <n v="-50.796743391747718"/>
    <n v="-52.337602081476177"/>
    <n v="-46710.787499999999"/>
    <n v="-47.829057434517772"/>
    <n v="-17659.18723419512"/>
    <n v="-17457.605963598984"/>
    <x v="11"/>
    <x v="3"/>
  </r>
  <r>
    <x v="699"/>
    <m/>
    <d v="1899-12-30T23:45:00"/>
    <n v="0.98958333333575865"/>
    <d v="1902-09-03T14:37:00"/>
    <n v="977.60902777777665"/>
    <n v="939.52569444444816"/>
    <n v="917.00624999999854"/>
    <n v="4706"/>
    <n v="5"/>
    <n v="0.21052631578895772"/>
    <n v="5.0526315789349852"/>
    <n v="1844.2105263112696"/>
    <n v="-175053"/>
    <n v="-7.4609325331005367"/>
    <n v="-179.06238079441289"/>
    <n v="-65357.768989960707"/>
    <n v="2367"/>
    <n v="2"/>
    <n v="8.4210526315583081E-2"/>
    <n v="2.0210526315739941"/>
    <n v="737.68421052450788"/>
    <n v="-117065"/>
    <n v="-4.989426442205585"/>
    <n v="-119.74623461293405"/>
    <n v="-43707.375633720927"/>
    <n v="7"/>
    <n v="0.29473684210454082"/>
    <n v="7.0736842105089792"/>
    <n v="2581.8947368357776"/>
    <n v="-292118"/>
    <n v="-313.65720143955491"/>
    <n v="-323.1112110740799"/>
    <n v="-12.450358975306122"/>
    <n v="-298.80861540734691"/>
    <n v="-109065.14462368163"/>
    <n v="-47248.983699999997"/>
    <n v="-48.331165483815795"/>
    <n v="-50.741996288020424"/>
    <n v="-52.279847710961704"/>
    <n v="-46709.668199999993"/>
    <n v="-47.779497603634766"/>
    <n v="-17640.87540159277"/>
    <n v="-17439.516625326691"/>
    <x v="11"/>
    <x v="3"/>
  </r>
  <r>
    <x v="700"/>
    <m/>
    <d v="1899-12-31T00:47:00"/>
    <n v="1.0326388888861402"/>
    <d v="1902-09-04T15:24:00"/>
    <n v="978.64166666666279"/>
    <n v="940.5583333333343"/>
    <n v="918.03888888888469"/>
    <n v="4711"/>
    <n v="5"/>
    <n v="0.20174848688688538"/>
    <n v="4.8419636852852488"/>
    <n v="1767.3167451291158"/>
    <n v="-175048"/>
    <n v="-7.4528470584228437"/>
    <n v="-178.86832940214825"/>
    <n v="-65286.940231784109"/>
    <n v="2370"/>
    <n v="3"/>
    <n v="0.12104909213213122"/>
    <n v="2.9051782111711493"/>
    <n v="1060.3900470774695"/>
    <n v="-117062"/>
    <n v="-4.9840339926939752"/>
    <n v="-119.61681582465539"/>
    <n v="-43660.137775999217"/>
    <n v="8"/>
    <n v="0.32279757901901657"/>
    <n v="7.7471418964563981"/>
    <n v="2827.7067922065853"/>
    <n v="-292110"/>
    <n v="-313.3043316469824"/>
    <n v="-322.7390512384506"/>
    <n v="-12.436881051116819"/>
    <n v="-298.48514522680364"/>
    <n v="-108947.07800778333"/>
    <n v="-47247.680399999997"/>
    <n v="-48.278835869445082"/>
    <n v="-50.684900989660342"/>
    <n v="-52.219622044575935"/>
    <n v="-46708.388999999996"/>
    <n v="-47.727774721765897"/>
    <n v="-17621.775092347456"/>
    <n v="-17420.637773444552"/>
    <x v="11"/>
    <x v="3"/>
  </r>
  <r>
    <x v="701"/>
    <m/>
    <d v="1899-12-30T23:46:00"/>
    <n v="0.99027777778246673"/>
    <d v="1902-09-05T15:10:00"/>
    <n v="979.63194444444525"/>
    <n v="941.54861111111677"/>
    <n v="919.02916666666715"/>
    <n v="4718"/>
    <n v="7"/>
    <n v="0.29453015427630524"/>
    <n v="7.0687237026313268"/>
    <n v="2580.0841514604344"/>
    <n v="-175041"/>
    <n v="-7.4450154890938283"/>
    <n v="-178.68037173825189"/>
    <n v="-65218.335684461941"/>
    <n v="2373"/>
    <n v="3"/>
    <n v="0.12622720897555939"/>
    <n v="3.0294530154134254"/>
    <n v="1105.7503506259002"/>
    <n v="-117059"/>
    <n v="-4.9788681973813818"/>
    <n v="-119.49283673715317"/>
    <n v="-43614.885409060909"/>
    <n v="10"/>
    <n v="0.42075736325186464"/>
    <n v="10.098176718044751"/>
    <n v="3685.8345020863344"/>
    <n v="-292100"/>
    <n v="-312.9641916759457"/>
    <n v="-322.38041048751609"/>
    <n v="-12.423883686475211"/>
    <n v="-298.17320847540503"/>
    <n v="-108833.22109352284"/>
    <n v="-47246.0173"/>
    <n v="-48.228334700532329"/>
    <n v="-50.629826582978389"/>
    <n v="-52.161544419609434"/>
    <n v="-46706.789999999994"/>
    <n v="-47.677896035217259"/>
    <n v="-17603.342165694303"/>
    <n v="-17402.432052854299"/>
    <x v="11"/>
    <x v="3"/>
  </r>
  <r>
    <x v="702"/>
    <m/>
    <d v="1899-12-30T23:59:00"/>
    <n v="0.99930555555329192"/>
    <d v="1902-09-06T15:09:00"/>
    <n v="980.63124999999854"/>
    <n v="942.54791666667006"/>
    <n v="920.02847222222044"/>
    <n v="4723"/>
    <n v="5"/>
    <n v="0.20847810979894341"/>
    <n v="5.0034746351746415"/>
    <n v="1826.2682418387442"/>
    <n v="-175036"/>
    <n v="-7.4372162488873137"/>
    <n v="-178.49318997329553"/>
    <n v="-65150.01434025287"/>
    <n v="2375"/>
    <n v="2"/>
    <n v="8.3391243919577362E-2"/>
    <n v="2.0013898540698567"/>
    <n v="730.50729673549768"/>
    <n v="-117057"/>
    <n v="-4.9737095365867718"/>
    <n v="-119.36902887808253"/>
    <n v="-43569.695540500121"/>
    <n v="7"/>
    <n v="0.29186935371852074"/>
    <n v="7.0048644892444987"/>
    <n v="2556.7755385742421"/>
    <n v="-292093"/>
    <n v="-312.62495496471109"/>
    <n v="-322.0226427171267"/>
    <n v="-12.410925785474086"/>
    <n v="-297.86221885137809"/>
    <n v="-108719.709880753"/>
    <n v="-47244.848599999998"/>
    <n v="-48.177996163185774"/>
    <n v="-50.574908030758642"/>
    <n v="-52.10361792849114"/>
    <n v="-46705.670699999995"/>
    <n v="-47.628168794335345"/>
    <n v="-17584.96859956281"/>
    <n v="-17384.281609932405"/>
    <x v="11"/>
    <x v="3"/>
  </r>
  <r>
    <x v="703"/>
    <m/>
    <d v="1899-12-30T23:41:00"/>
    <n v="0.98680555555620231"/>
    <d v="1902-09-07T14:50:00"/>
    <n v="981.61805555555475"/>
    <n v="943.53472222222626"/>
    <n v="921.01527777777665"/>
    <n v="4728"/>
    <n v="5"/>
    <n v="0.21111893033061463"/>
    <n v="5.0668543279347507"/>
    <n v="1849.401829696184"/>
    <n v="-175031"/>
    <n v="-7.4295274949948062"/>
    <n v="-178.30865987987536"/>
    <n v="-65082.660856154507"/>
    <n v="2378"/>
    <n v="3"/>
    <n v="0.12667135819836878"/>
    <n v="3.0401125967608507"/>
    <n v="1109.6410978177105"/>
    <n v="-117054"/>
    <n v="-4.9685822020049137"/>
    <n v="-119.24597284811793"/>
    <n v="-43524.780089563043"/>
    <n v="8"/>
    <n v="0.33779028852898341"/>
    <n v="8.1069669246956018"/>
    <n v="2959.0429275138945"/>
    <n v="-292085"/>
    <n v="-312.28951416437758"/>
    <n v="-321.66893117649494"/>
    <n v="-12.39810969699972"/>
    <n v="-297.55463272799329"/>
    <n v="-108607.44094571755"/>
    <n v="-47243.545299999998"/>
    <n v="-48.128235857746247"/>
    <n v="-50.520632444486751"/>
    <n v="-52.046377358319909"/>
    <n v="-46704.391499999998"/>
    <n v="-47.578985773206121"/>
    <n v="-17566.806088077381"/>
    <n v="-17366.329807220234"/>
    <x v="11"/>
    <x v="3"/>
  </r>
  <r>
    <x v="704"/>
    <m/>
    <d v="1899-12-31T23:55:00"/>
    <n v="1.9965277777737356"/>
    <d v="1902-09-09T14:45:00"/>
    <n v="983.61458333332848"/>
    <n v="945.53125"/>
    <n v="923.01180555555038"/>
    <n v="4735"/>
    <n v="7"/>
    <n v="0.14608695652203491"/>
    <n v="3.5060869565288377"/>
    <n v="1279.7217391330257"/>
    <n v="-175024"/>
    <n v="-7.4141506137016258"/>
    <n v="-177.93961472883902"/>
    <n v="-64947.959376026243"/>
    <n v="2382"/>
    <n v="4"/>
    <n v="8.3478260869734228E-2"/>
    <n v="2.0034782608736217"/>
    <n v="731.26956521887189"/>
    <n v="-117050"/>
    <n v="-4.9583275969797018"/>
    <n v="-118.99986232751284"/>
    <n v="-43434.949749542189"/>
    <n v="11"/>
    <n v="0.22956521739176913"/>
    <n v="5.509565217402459"/>
    <n v="2010.9913043518975"/>
    <n v="-292074"/>
    <n v="-311.61846845358099"/>
    <n v="-320.96122521606304"/>
    <n v="-12.372478210681328"/>
    <n v="-296.93947705635185"/>
    <n v="-108382.90912556842"/>
    <n v="-47241.747600000002"/>
    <n v="-48.028718159001372"/>
    <n v="-50.412054810457086"/>
    <n v="-51.931850396159604"/>
    <n v="-46702.632599999997"/>
    <n v="-47.48062238131066"/>
    <n v="-17530.482128035499"/>
    <n v="-17330.427169178387"/>
    <x v="11"/>
    <x v="3"/>
  </r>
  <r>
    <x v="705"/>
    <m/>
    <d v="1899-12-30T23:53:00"/>
    <n v="0.99513888889487134"/>
    <d v="1902-09-10T14:38:00"/>
    <n v="984.60972222222335"/>
    <n v="946.52638888889487"/>
    <n v="924.00694444444525"/>
    <n v="4740"/>
    <n v="5"/>
    <n v="0.20935101186196545"/>
    <n v="5.0244242846871705"/>
    <n v="1833.9148639108173"/>
    <n v="-175019"/>
    <n v="-7.4064455882829972"/>
    <n v="-177.75469411879192"/>
    <n v="-64880.463353359053"/>
    <n v="2384"/>
    <n v="2"/>
    <n v="8.3740404744786182E-2"/>
    <n v="2.0097697138748685"/>
    <n v="733.56594556432697"/>
    <n v="-117048"/>
    <n v="-4.953231610381434"/>
    <n v="-118.87755864915442"/>
    <n v="-43390.308906941362"/>
    <n v="7"/>
    <n v="0.29309141660675164"/>
    <n v="7.0341939985620394"/>
    <n v="2567.4808094751443"/>
    <n v="-292067"/>
    <n v="-311.28345015913254"/>
    <n v="-320.60798003862976"/>
    <n v="-12.359677198664432"/>
    <n v="-296.63225276794634"/>
    <n v="-108270.77226030041"/>
    <n v="-47240.5789"/>
    <n v="-47.978988866146857"/>
    <n v="-50.357818925632735"/>
    <n v="-51.874655908370052"/>
    <n v="-46701.513299999999"/>
    <n v="-47.431497217594618"/>
    <n v="-17512.3309361436"/>
    <n v="-17312.496484422034"/>
    <x v="11"/>
    <x v="3"/>
  </r>
  <r>
    <x v="706"/>
    <m/>
    <d v="1899-12-31T01:54:00"/>
    <n v="1.0791666666627862"/>
    <d v="1902-09-11T16:32:00"/>
    <n v="985.68888888888614"/>
    <n v="947.60555555555766"/>
    <n v="925.08611111110804"/>
    <n v="4746"/>
    <n v="6"/>
    <n v="0.23166023166106467"/>
    <n v="5.5598455598655523"/>
    <n v="2029.3436293509267"/>
    <n v="-175013"/>
    <n v="-7.3980831229146204"/>
    <n v="-177.55399494995089"/>
    <n v="-64807.208156732078"/>
    <n v="2386"/>
    <n v="2"/>
    <n v="7.7220077220354885E-2"/>
    <n v="1.8532818532885174"/>
    <n v="676.44787645030885"/>
    <n v="-117046"/>
    <n v="-4.9477240959509565"/>
    <n v="-118.74537830282294"/>
    <n v="-43342.063080530374"/>
    <n v="8"/>
    <n v="0.30888030888141954"/>
    <n v="7.4131274131540694"/>
    <n v="2705.7915058012354"/>
    <n v="-292059"/>
    <n v="-310.92050724340226"/>
    <n v="-320.22532436920392"/>
    <n v="-12.345807218865577"/>
    <n v="-296.29937325277382"/>
    <n v="-108149.27123726244"/>
    <n v="-47239.230299999996"/>
    <n v="-47.925091611056132"/>
    <n v="-50.299046497311828"/>
    <n v="-51.812683299753047"/>
    <n v="-46700.234099999994"/>
    <n v="-47.378269783118533"/>
    <n v="-17492.658438035491"/>
    <n v="-17293.068470838261"/>
    <x v="11"/>
    <x v="3"/>
  </r>
  <r>
    <x v="707"/>
    <m/>
    <d v="1899-12-30T23:13:00"/>
    <n v="0.96736111111385981"/>
    <d v="1902-09-12T15:45:00"/>
    <n v="986.65625"/>
    <n v="948.57291666667152"/>
    <n v="926.0534722222219"/>
    <n v="4751"/>
    <n v="5"/>
    <n v="0.21536252691970392"/>
    <n v="5.1687006460728941"/>
    <n v="1886.5757358166063"/>
    <n v="-175008"/>
    <n v="-7.3906185664966904"/>
    <n v="-177.37484559592056"/>
    <n v="-64741.818642511003"/>
    <n v="2388"/>
    <n v="2"/>
    <n v="8.6145010767881572E-2"/>
    <n v="2.0674802584291578"/>
    <n v="754.63029432664257"/>
    <n v="-117044"/>
    <n v="-4.9427886696438943"/>
    <n v="-118.62692807145346"/>
    <n v="-43298.828746080515"/>
    <n v="7"/>
    <n v="0.30150753768758548"/>
    <n v="7.236180904502052"/>
    <n v="2641.2060301432489"/>
    <n v="-292052"/>
    <n v="-310.59604888922894"/>
    <n v="-319.88325608147488"/>
    <n v="-12.333407236140584"/>
    <n v="-296.00177366737404"/>
    <n v="-108040.64738859152"/>
    <n v="-47238.061600000001"/>
    <n v="-47.876919241123744"/>
    <n v="-50.246519126318887"/>
    <n v="-51.757297432278726"/>
    <n v="-46699.114799999996"/>
    <n v="-47.3306836094131"/>
    <n v="-17475.075523010168"/>
    <n v="-17275.699517435783"/>
    <x v="11"/>
    <x v="3"/>
  </r>
  <r>
    <x v="708"/>
    <m/>
    <d v="1899-12-30T23:03:00"/>
    <n v="0.96041666666133096"/>
    <d v="1902-09-13T14:48:00"/>
    <n v="987.61666666666133"/>
    <n v="949.53333333333285"/>
    <n v="927.01388888888323"/>
    <n v="4755"/>
    <n v="4"/>
    <n v="0.17353579175801398"/>
    <n v="4.164859002192336"/>
    <n v="1520.1735358002027"/>
    <n v="-175004"/>
    <n v="-7.3832627368918837"/>
    <n v="-177.19830568540522"/>
    <n v="-64677.381575172905"/>
    <n v="2390"/>
    <n v="2"/>
    <n v="8.676789587900699E-2"/>
    <n v="2.082429501096168"/>
    <n v="760.08676790010134"/>
    <n v="-117042"/>
    <n v="-4.9378976323472603"/>
    <n v="-118.50954317633423"/>
    <n v="-43255.983259361994"/>
    <n v="6"/>
    <n v="0.260303687637021"/>
    <n v="6.2472885032885035"/>
    <n v="2280.2603037003037"/>
    <n v="-292046"/>
    <n v="-310.27557396615896"/>
    <n v="-319.5453741853342"/>
    <n v="-12.321160369239143"/>
    <n v="-295.70784886173948"/>
    <n v="-107933.36483453491"/>
    <n v="-47237.072800000002"/>
    <n v="-47.829359704338991"/>
    <n v="-50.194655339465029"/>
    <n v="-51.70260853097642"/>
    <n v="-46698.155399999996"/>
    <n v="-47.283685032992132"/>
    <n v="-17457.716292083729"/>
    <n v="-17258.545037042131"/>
    <x v="8"/>
    <x v="3"/>
  </r>
  <r>
    <x v="709"/>
    <m/>
    <d v="1899-12-31T02:45:00"/>
    <n v="1.1145833333357587"/>
    <d v="1902-09-14T17:33:00"/>
    <n v="988.73124999999709"/>
    <n v="950.64791666666861"/>
    <n v="928.12847222221899"/>
    <n v="4766"/>
    <n v="11"/>
    <n v="0.41121495327013324"/>
    <n v="9.8691588784831978"/>
    <n v="3602.2429906463672"/>
    <n v="-174993"/>
    <n v="-7.3744761278659103"/>
    <n v="-176.98742706878184"/>
    <n v="-64600.410880105374"/>
    <n v="2395"/>
    <n v="5"/>
    <n v="0.18691588785006055"/>
    <n v="4.4859813084014535"/>
    <n v="1637.3831775665305"/>
    <n v="-117037"/>
    <n v="-4.9321204995459391"/>
    <n v="-118.37089198910255"/>
    <n v="-43205.37557602243"/>
    <n v="16"/>
    <n v="0.59813084112019377"/>
    <n v="14.35514018688465"/>
    <n v="5239.626168212897"/>
    <n v="-292030"/>
    <n v="-309.8949619886431"/>
    <n v="-319.1443952697532"/>
    <n v="-12.306596627411849"/>
    <n v="-295.35831905788439"/>
    <n v="-107805.7864561278"/>
    <n v="-47234.420899999997"/>
    <n v="-47.772760191407052"/>
    <n v="-50.133015246180683"/>
    <n v="-51.637661955623237"/>
    <n v="-46695.596999999994"/>
    <n v="-47.227795217355705"/>
    <n v="-17437.057469863576"/>
    <n v="-17238.145254334831"/>
    <x v="8"/>
    <x v="3"/>
  </r>
  <r>
    <x v="710"/>
    <m/>
    <d v="1899-12-31T00:01:00"/>
    <n v="1.0006944444467081"/>
    <d v="1902-09-15T17:34:00"/>
    <n v="989.7319444444438"/>
    <n v="951.64861111111531"/>
    <n v="929.1291666666657"/>
    <n v="4772"/>
    <n v="6"/>
    <n v="0.24982650936792897"/>
    <n v="5.9958362248302954"/>
    <n v="2188.4802220630577"/>
    <n v="-174987"/>
    <n v="-7.3667673766886983"/>
    <n v="-176.80241704052875"/>
    <n v="-64532.882219792991"/>
    <n v="2398"/>
    <n v="3"/>
    <n v="0.12491325468396448"/>
    <n v="2.9979181124151477"/>
    <n v="1094.2401110315288"/>
    <n v="-117034"/>
    <n v="-4.9270074529158459"/>
    <n v="-118.24817886998031"/>
    <n v="-43160.58528754281"/>
    <n v="9"/>
    <n v="0.37473976405189346"/>
    <n v="8.9937543372454432"/>
    <n v="3282.7203330945867"/>
    <n v="-292021"/>
    <n v="-309.55963846365893"/>
    <n v="-318.79098259571049"/>
    <n v="-12.293774829604544"/>
    <n v="-295.05059591050906"/>
    <n v="-107693.46750733581"/>
    <n v="-47232.937699999995"/>
    <n v="-47.722959701490467"/>
    <n v="-50.078739929391311"/>
    <n v="-51.580450619083329"/>
    <n v="-46694.157899999998"/>
    <n v="-47.178590286090397"/>
    <n v="-17418.880291044021"/>
    <n v="-17220.185454422994"/>
    <x v="8"/>
    <x v="3"/>
  </r>
  <r>
    <x v="711"/>
    <m/>
    <d v="1899-12-31T00:03:00"/>
    <n v="1.0020833333328483"/>
    <d v="1902-09-16T17:37:00"/>
    <n v="990.73402777777665"/>
    <n v="952.65069444444816"/>
    <n v="930.13124999999854"/>
    <n v="4778"/>
    <n v="6"/>
    <n v="0.24948024948037023"/>
    <n v="5.987525987528886"/>
    <n v="2185.4469854480435"/>
    <n v="-174981"/>
    <n v="-7.359063881507617"/>
    <n v="-176.61753315618282"/>
    <n v="-64465.399602006728"/>
    <n v="2400"/>
    <n v="2"/>
    <n v="8.316008316012341E-2"/>
    <n v="1.9958419958429618"/>
    <n v="728.48232848268105"/>
    <n v="-117032"/>
    <n v="-4.9219398916488037"/>
    <n v="-118.1265573995713"/>
    <n v="-43116.193450843522"/>
    <n v="8"/>
    <n v="0.33264033264049364"/>
    <n v="7.9833679833718474"/>
    <n v="2913.9293139307242"/>
    <n v="-292013"/>
    <n v="-309.22561828581973"/>
    <n v="-318.43892998971967"/>
    <n v="-12.281003773156421"/>
    <n v="-294.7440905557541"/>
    <n v="-107581.59305285025"/>
    <n v="-47231.589099999997"/>
    <n v="-47.673328840779583"/>
    <n v="-50.024646995918353"/>
    <n v="-51.523430161066059"/>
    <n v="-46692.878699999994"/>
    <n v="-47.129580079865072"/>
    <n v="-17400.765026884546"/>
    <n v="-17202.296729150752"/>
    <x v="8"/>
    <x v="3"/>
  </r>
  <r>
    <x v="712"/>
    <m/>
    <d v="1899-12-30T21:00:00"/>
    <n v="0.875"/>
    <d v="1902-09-17T14:37:00"/>
    <n v="991.60902777777665"/>
    <n v="953.52569444444816"/>
    <n v="931.00624999999854"/>
    <n v="4783"/>
    <n v="5"/>
    <n v="0.23809523809523808"/>
    <n v="5.7142857142857144"/>
    <n v="2085.7142857142858"/>
    <n v="-174976"/>
    <n v="-7.3523601161692254"/>
    <n v="-176.4566427880614"/>
    <n v="-64406.674617642413"/>
    <n v="2402"/>
    <n v="2"/>
    <n v="9.5238095238095233E-2"/>
    <n v="2.2857142857142856"/>
    <n v="834.28571428571422"/>
    <n v="-117030"/>
    <n v="-4.917512712573636"/>
    <n v="-118.02030510176725"/>
    <n v="-43077.411362145045"/>
    <n v="7"/>
    <n v="0.33333333333333331"/>
    <n v="8"/>
    <n v="2920"/>
    <n v="-292006"/>
    <n v="-308.93451714652446"/>
    <n v="-318.13212854371329"/>
    <n v="-12.26987282874286"/>
    <n v="-294.47694788982869"/>
    <n v="-107484.08597978747"/>
    <n v="-47230.420400000003"/>
    <n v="-47.63008310427012"/>
    <n v="-49.977516366525506"/>
    <n v="-51.473750901242688"/>
    <n v="-46691.759399999995"/>
    <n v="-47.086863967583596"/>
    <n v="-17384.980333058593"/>
    <n v="-17186.705348168016"/>
    <x v="8"/>
    <x v="3"/>
  </r>
  <r>
    <x v="713"/>
    <m/>
    <d v="1899-12-31T00:53:00"/>
    <n v="1.0368055555518367"/>
    <d v="1902-09-18T15:30:00"/>
    <n v="992.64583333332848"/>
    <n v="954.5625"/>
    <n v="932.04305555555038"/>
    <n v="4787"/>
    <n v="4"/>
    <n v="0.16075016744866766"/>
    <n v="3.8580040187680242"/>
    <n v="1408.1714668503289"/>
    <n v="-174972"/>
    <n v="-7.3445127710034566"/>
    <n v="-176.26830650408297"/>
    <n v="-64337.931873990288"/>
    <n v="2404"/>
    <n v="2"/>
    <n v="8.0375083724333829E-2"/>
    <n v="1.9290020093840121"/>
    <n v="704.08573342516445"/>
    <n v="-117028"/>
    <n v="-4.9122924843117328"/>
    <n v="-117.89501962348159"/>
    <n v="-43031.682162570782"/>
    <n v="6"/>
    <n v="0.24112525117300151"/>
    <n v="5.7870060281520361"/>
    <n v="2112.2572002754932"/>
    <n v="-292000"/>
    <n v="-308.59267989262099"/>
    <n v="-317.77180059934221"/>
    <n v="-12.256805255315189"/>
    <n v="-294.16332612756457"/>
    <n v="-107369.61403656106"/>
    <n v="-47229.431600000004"/>
    <n v="-47.579337981405153"/>
    <n v="-49.922197027434038"/>
    <n v="-51.415430558018741"/>
    <n v="-46690.799999999996"/>
    <n v="-47.036715847797566"/>
    <n v="-17366.458363212882"/>
    <n v="-17168.401284446114"/>
    <x v="8"/>
    <x v="3"/>
  </r>
  <r>
    <x v="714"/>
    <m/>
    <d v="1899-12-30T23:39:00"/>
    <n v="0.98541666667006211"/>
    <d v="1902-09-19T15:09:00"/>
    <n v="993.63124999999854"/>
    <n v="955.54791666667006"/>
    <n v="933.02847222222044"/>
    <n v="4795"/>
    <n v="8"/>
    <n v="0.33826638477684712"/>
    <n v="8.1183932346443317"/>
    <n v="2963.213530645181"/>
    <n v="-174964"/>
    <n v="-7.3368935071905979"/>
    <n v="-176.08544417257434"/>
    <n v="-64271.187122989635"/>
    <n v="2407"/>
    <n v="3"/>
    <n v="0.12684989429131768"/>
    <n v="3.0443974629916242"/>
    <n v="1111.2050739919428"/>
    <n v="-117025"/>
    <n v="-4.9072950017088068"/>
    <n v="-117.77508004101136"/>
    <n v="-42987.904214969145"/>
    <n v="11"/>
    <n v="0.46511627906816477"/>
    <n v="11.162790697635955"/>
    <n v="4074.4186046371237"/>
    <n v="-291989"/>
    <n v="-308.26292942748705"/>
    <n v="-317.42439680818421"/>
    <n v="-12.244188508899404"/>
    <n v="-293.86052421358568"/>
    <n v="-107259.09133795877"/>
    <n v="-47227.588600000003"/>
    <n v="-47.530297180166258"/>
    <n v="-49.868785613838313"/>
    <n v="-51.359152937603973"/>
    <n v="-46689.041099999995"/>
    <n v="-46.988297821752347"/>
    <n v="-17348.558470760683"/>
    <n v="-17150.728704939607"/>
    <x v="8"/>
    <x v="3"/>
  </r>
  <r>
    <x v="715"/>
    <m/>
    <d v="1899-12-30T23:15:00"/>
    <n v="0.96875"/>
    <d v="1902-09-20T14:24:00"/>
    <n v="994.59999999999854"/>
    <n v="956.51666666667006"/>
    <n v="933.99722222222044"/>
    <n v="4799"/>
    <n v="4"/>
    <n v="0.17204301075268819"/>
    <n v="4.129032258064516"/>
    <n v="1507.0967741935483"/>
    <n v="-174960"/>
    <n v="-7.3295797305449533"/>
    <n v="-175.90991353307888"/>
    <n v="-64207.118439573787"/>
    <n v="2409"/>
    <n v="2"/>
    <n v="8.6021505376344093E-2"/>
    <n v="2.064516129032258"/>
    <n v="753.54838709677415"/>
    <n v="-117023"/>
    <n v="-4.9024314632348087"/>
    <n v="-117.65835511763541"/>
    <n v="-42945.299617936922"/>
    <n v="6"/>
    <n v="0.25806451612903225"/>
    <n v="6.193548387096774"/>
    <n v="2260.6451612903224"/>
    <n v="-291983"/>
    <n v="-307.94445122057357"/>
    <n v="-317.08873747542731"/>
    <n v="-12.232011193779762"/>
    <n v="-293.56826865071429"/>
    <n v="-107152.41805751072"/>
    <n v="-47226.599799999996"/>
    <n v="-47.483008043434616"/>
    <n v="-49.817245282361171"/>
    <n v="-51.304824104283057"/>
    <n v="-46688.081699999995"/>
    <n v="-46.941566157249213"/>
    <n v="-17331.297935853632"/>
    <n v="-17133.67164739596"/>
    <x v="8"/>
    <x v="3"/>
  </r>
  <r>
    <x v="716"/>
    <m/>
    <d v="1899-12-31T00:16:00"/>
    <n v="1.0111111111109494"/>
    <d v="1902-09-21T14:40:00"/>
    <n v="995.61111111110949"/>
    <n v="957.52777777778101"/>
    <n v="935.00833333333139"/>
    <n v="4804"/>
    <n v="5"/>
    <n v="0.20604395604398898"/>
    <n v="4.9450549450557357"/>
    <n v="1804.9450549453436"/>
    <n v="-174955"/>
    <n v="-7.3219267897996883"/>
    <n v="-175.7262429551925"/>
    <n v="-64140.078678645266"/>
    <n v="2411"/>
    <n v="2"/>
    <n v="8.24175824175956E-2"/>
    <n v="1.9780219780222943"/>
    <n v="721.97802197813746"/>
    <n v="-117021"/>
    <n v="-4.8973690084258772"/>
    <n v="-117.53685620222105"/>
    <n v="-42900.952513810684"/>
    <n v="7"/>
    <n v="0.28846153846158457"/>
    <n v="6.92307692307803"/>
    <n v="2526.9230769234809"/>
    <n v="-291976"/>
    <n v="-307.61196367961372"/>
    <n v="-316.73835349061125"/>
    <n v="-12.219295798225565"/>
    <n v="-293.26309915741359"/>
    <n v="-107041.03119245596"/>
    <n v="-47225.431100000002"/>
    <n v="-47.433611952458087"/>
    <n v="-49.763419720924674"/>
    <n v="-51.248093510753129"/>
    <n v="-46686.962399999997"/>
    <n v="-46.892769555270426"/>
    <n v="-17313.268362647199"/>
    <n v="-17115.860887673709"/>
    <x v="8"/>
    <x v="3"/>
  </r>
  <r>
    <x v="717"/>
    <m/>
    <d v="1899-12-30T23:48:00"/>
    <n v="0.99166666666860692"/>
    <d v="1902-09-22T14:28:00"/>
    <n v="996.6027777777781"/>
    <n v="958.51944444444962"/>
    <n v="936"/>
    <n v="4811"/>
    <n v="7"/>
    <n v="0.29411764705824806"/>
    <n v="7.0588235293979533"/>
    <n v="2576.4705882302528"/>
    <n v="-174948"/>
    <n v="-7.3143484671536889"/>
    <n v="-175.54436321168853"/>
    <n v="-64073.692572266315"/>
    <n v="2413"/>
    <n v="2"/>
    <n v="8.4033613445213734E-2"/>
    <n v="2.0168067226851298"/>
    <n v="736.13445378007236"/>
    <n v="-117019"/>
    <n v="-4.8924122783790471"/>
    <n v="-117.41789468109714"/>
    <n v="-42857.531558600458"/>
    <n v="9"/>
    <n v="0.37815126050346182"/>
    <n v="9.0756302520830836"/>
    <n v="3312.6050420103256"/>
    <n v="-291967"/>
    <n v="-307.28432449350248"/>
    <n v="-316.39316239316241"/>
    <n v="-12.206760745532737"/>
    <n v="-292.96225789278566"/>
    <n v="-106931.22413086676"/>
    <n v="-47223.902600000001"/>
    <n v="-47.384879565858441"/>
    <n v="-49.710340751216165"/>
    <n v="-51.192164529914535"/>
    <n v="-46685.523299999993"/>
    <n v="-46.844665037056423"/>
    <n v="-17295.481041538333"/>
    <n v="-17098.302738525592"/>
    <x v="8"/>
    <x v="3"/>
  </r>
  <r>
    <x v="718"/>
    <m/>
    <d v="1899-12-31T00:07:00"/>
    <n v="1.0048611111051287"/>
    <d v="1902-09-23T14:35:00"/>
    <n v="997.60763888888323"/>
    <n v="959.52430555555475"/>
    <n v="937.00486111110513"/>
    <n v="4819"/>
    <n v="8"/>
    <n v="0.33172080166057893"/>
    <n v="7.9612992398538935"/>
    <n v="2905.8742225466713"/>
    <n v="-174940"/>
    <n v="-7.3066468043340214"/>
    <n v="-175.35952330401651"/>
    <n v="-64006.226005966026"/>
    <n v="2415"/>
    <n v="2"/>
    <n v="8.2930200415144734E-2"/>
    <n v="1.9903248099634734"/>
    <n v="726.46855563666782"/>
    <n v="-117017"/>
    <n v="-4.8874007608480285"/>
    <n v="-117.29761826035269"/>
    <n v="-42813.63066502873"/>
    <n v="10"/>
    <n v="0.41465100207572364"/>
    <n v="9.9516240498173669"/>
    <n v="3632.3427781833389"/>
    <n v="-291957"/>
    <n v="-306.95209938373716"/>
    <n v="-316.04318428918589"/>
    <n v="-12.19404756518205"/>
    <n v="-292.65714156436917"/>
    <n v="-106819.85667099475"/>
    <n v="-47222.194199999998"/>
    <n v="-47.335437660236039"/>
    <n v="-49.656501168475451"/>
    <n v="-51.135441862257949"/>
    <n v="-46683.924299999999"/>
    <n v="-46.795876936142633"/>
    <n v="-17277.434745986156"/>
    <n v="-17080.495081692057"/>
    <x v="8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37">
  <r>
    <d v="2020-12-17T17:00:00"/>
    <x v="0"/>
    <n v="2020"/>
    <x v="0"/>
    <x v="0"/>
    <x v="0"/>
    <s v="12/2020"/>
    <s v="17/12/2020"/>
    <s v=""/>
    <s v=""/>
    <d v="1899-12-30T00:00:00"/>
    <n v="0"/>
    <m/>
    <m/>
    <n v="0"/>
    <n v="179759"/>
    <s v=""/>
    <e v="#VALUE!"/>
    <n v="0"/>
    <n v="119432"/>
    <s v=""/>
    <e v="#VALUE!"/>
    <n v="0"/>
    <e v="#VALUE!"/>
    <n v="0"/>
    <m/>
    <m/>
    <n v="0"/>
    <e v="#DIV/0!"/>
    <e v="#DIV/0!"/>
    <e v="#DIV/0!"/>
  </r>
  <r>
    <d v="2021-01-24T19:00:00"/>
    <x v="1"/>
    <s v=""/>
    <x v="1"/>
    <x v="1"/>
    <x v="1"/>
    <s v="1/2021"/>
    <s v="24/1/2021"/>
    <d v="1900-02-06T02:00:00"/>
    <n v="38.083333333328483"/>
    <d v="1900-02-06T02:00:00"/>
    <n v="38.083333333328483"/>
    <n v="-4.7"/>
    <n v="13.7"/>
    <n v="18.399999999999999"/>
    <n v="181489"/>
    <n v="1730"/>
    <n v="45.426695842456553"/>
    <n v="1730"/>
    <n v="120273"/>
    <n v="841"/>
    <n v="22.083150984685528"/>
    <n v="841"/>
    <n v="2571"/>
    <n v="2571"/>
    <n v="2.8129102844642531"/>
    <n v="67.509846827142084"/>
    <n v="24641.09409190686"/>
    <n v="2.8129102844642531"/>
    <n v="67.509846827142084"/>
    <n v="24641.09409190686"/>
  </r>
  <r>
    <d v="2021-01-25T08:23:00"/>
    <x v="1"/>
    <s v=""/>
    <x v="1"/>
    <x v="2"/>
    <x v="2"/>
    <s v="1/2021"/>
    <s v="25/1/2021"/>
    <d v="1899-12-30T13:23:00"/>
    <n v="0.55763888889487134"/>
    <d v="1900-02-06T15:23:00"/>
    <n v="38.640972222223354"/>
    <n v="0.6"/>
    <n v="4.7"/>
    <n v="4.1000000000000005"/>
    <n v="181504"/>
    <n v="15"/>
    <n v="26.899128268702704"/>
    <n v="1745"/>
    <n v="120295"/>
    <n v="22"/>
    <n v="39.4520547940973"/>
    <n v="863"/>
    <n v="37"/>
    <n v="2608"/>
    <n v="2.7646326276166668"/>
    <n v="66.351183062800004"/>
    <n v="24218.181817922003"/>
    <n v="2.8122135758315587"/>
    <n v="67.493125819957413"/>
    <n v="24634.990924284455"/>
  </r>
  <r>
    <d v="2021-01-25T13:20:00"/>
    <x v="1"/>
    <s v=""/>
    <x v="1"/>
    <x v="2"/>
    <x v="2"/>
    <s v="1/2021"/>
    <s v="25/1/2021"/>
    <d v="1899-12-30T04:57:00"/>
    <n v="0.20624999999563443"/>
    <d v="1900-02-06T20:20:00"/>
    <n v="38.847222222218988"/>
    <n v="1.2"/>
    <n v="5.9"/>
    <n v="4.7"/>
    <n v="181519"/>
    <n v="15"/>
    <n v="72.72727272881211"/>
    <n v="1760"/>
    <n v="120295"/>
    <n v="0"/>
    <n v="0"/>
    <n v="863"/>
    <n v="15"/>
    <n v="2623"/>
    <n v="3.030303030367171"/>
    <n v="72.72727272881211"/>
    <n v="26545.454546016419"/>
    <n v="2.8133714694317682"/>
    <n v="67.520915266362437"/>
    <n v="24645.134072222289"/>
  </r>
  <r>
    <d v="2021-01-25T19:20:00"/>
    <x v="1"/>
    <s v=""/>
    <x v="1"/>
    <x v="2"/>
    <x v="2"/>
    <s v="1/2021"/>
    <s v="25/1/2021"/>
    <d v="1899-12-30T06:00:00"/>
    <n v="0.25"/>
    <d v="1900-02-07T02:20:00"/>
    <n v="39.097222222218988"/>
    <n v="-0.6"/>
    <n v="6.3"/>
    <n v="6.8999999999999995"/>
    <n v="181535"/>
    <n v="16"/>
    <n v="64"/>
    <n v="1776"/>
    <n v="120295"/>
    <n v="0"/>
    <n v="0"/>
    <n v="863"/>
    <n v="16"/>
    <n v="2639"/>
    <n v="2.6666666666666665"/>
    <n v="64"/>
    <n v="23360"/>
    <n v="2.8124333925401972"/>
    <n v="67.498401420964726"/>
    <n v="24636.916518652124"/>
  </r>
  <r>
    <d v="2021-01-26T06:44:00"/>
    <x v="1"/>
    <s v=""/>
    <x v="1"/>
    <x v="3"/>
    <x v="3"/>
    <s v="1/2021"/>
    <s v="26/1/2021"/>
    <d v="1899-12-30T11:24:00"/>
    <n v="0.47499999999854481"/>
    <d v="1900-02-07T13:44:00"/>
    <n v="39.572222222217533"/>
    <n v="-4.8"/>
    <n v="0.3"/>
    <n v="5.0999999999999996"/>
    <n v="181548"/>
    <n v="13"/>
    <n v="27.368421052715423"/>
    <n v="1789"/>
    <n v="120319"/>
    <n v="24"/>
    <n v="50.526315789628477"/>
    <n v="887"/>
    <n v="37"/>
    <n v="2676"/>
    <n v="3.2456140350976623"/>
    <n v="77.894736842343903"/>
    <n v="28431.578947455524"/>
    <n v="2.8176330197953638"/>
    <n v="67.623192475088743"/>
    <n v="24682.46525340739"/>
  </r>
  <r>
    <d v="2021-01-26T13:29:00"/>
    <x v="1"/>
    <s v=""/>
    <x v="1"/>
    <x v="3"/>
    <x v="3"/>
    <s v="1/2021"/>
    <s v="26/1/2021"/>
    <d v="1899-12-30T06:45:00"/>
    <n v="0.28125"/>
    <d v="1900-02-07T20:29:00"/>
    <n v="39.853472222217533"/>
    <n v="-2.1"/>
    <n v="3.3"/>
    <n v="5.4"/>
    <n v="181571"/>
    <n v="23"/>
    <n v="81.777777777777771"/>
    <n v="1812"/>
    <n v="120319"/>
    <n v="0"/>
    <n v="0"/>
    <n v="887"/>
    <n v="23"/>
    <n v="2699"/>
    <n v="3.4074074074074074"/>
    <n v="81.777777777777771"/>
    <n v="29848.888888888887"/>
    <n v="2.8217951175315661"/>
    <n v="67.723082820757583"/>
    <n v="24718.925229576518"/>
  </r>
  <r>
    <d v="2021-01-26T19:36:00"/>
    <x v="1"/>
    <s v=""/>
    <x v="1"/>
    <x v="3"/>
    <x v="3"/>
    <s v="1/2021"/>
    <s v="26/1/2021"/>
    <d v="1899-12-30T06:07:00"/>
    <n v="0.25486111111240461"/>
    <d v="1900-02-08T02:36:00"/>
    <n v="40.108333333329938"/>
    <n v="3.4"/>
    <n v="4.2"/>
    <n v="0.80000000000000027"/>
    <n v="181591"/>
    <n v="20"/>
    <n v="78.474114441018614"/>
    <n v="1832"/>
    <n v="120319"/>
    <n v="0"/>
    <n v="0"/>
    <n v="887"/>
    <n v="20"/>
    <n v="2719"/>
    <n v="3.2697547683757753"/>
    <n v="78.474114441018614"/>
    <n v="28643.051770971793"/>
    <n v="2.8246415956786102"/>
    <n v="67.791398296286644"/>
    <n v="24743.860378144625"/>
  </r>
  <r>
    <d v="2021-01-27T06:30:00"/>
    <x v="1"/>
    <s v=""/>
    <x v="1"/>
    <x v="4"/>
    <x v="4"/>
    <s v="1/2021"/>
    <s v="27/1/2021"/>
    <d v="1899-12-30T10:54:00"/>
    <n v="0.45416666667006211"/>
    <d v="1900-02-08T13:30:00"/>
    <n v="40.5625"/>
    <n v="2.2999999999999998"/>
    <n v="4.8"/>
    <n v="2.5"/>
    <n v="181601"/>
    <n v="10"/>
    <n v="22.018348623688595"/>
    <n v="1842"/>
    <n v="120342"/>
    <n v="23"/>
    <n v="50.642201834483771"/>
    <n v="910"/>
    <n v="33"/>
    <n v="2752"/>
    <n v="3.0275229357571822"/>
    <n v="72.660550458172366"/>
    <n v="26521.100917232914"/>
    <n v="2.8269131997945558"/>
    <n v="67.845916795069343"/>
    <n v="24763.759630200311"/>
  </r>
  <r>
    <d v="2021-01-27T13:13:00"/>
    <x v="1"/>
    <s v=""/>
    <x v="1"/>
    <x v="4"/>
    <x v="4"/>
    <s v="1/2021"/>
    <s v="27/1/2021"/>
    <d v="1899-12-30T06:43:00"/>
    <n v="0.27986111110658385"/>
    <d v="1900-02-08T20:13:00"/>
    <n v="40.842361111106584"/>
    <n v="4.5999999999999996"/>
    <n v="9.8000000000000007"/>
    <n v="5.2000000000000011"/>
    <n v="181620"/>
    <n v="19"/>
    <n v="67.890818859659049"/>
    <n v="1861"/>
    <n v="120342"/>
    <n v="0"/>
    <n v="0"/>
    <n v="910"/>
    <n v="19"/>
    <n v="2771"/>
    <n v="2.8287841191524605"/>
    <n v="67.890818859659049"/>
    <n v="24780.148883775553"/>
    <n v="2.8269260197578499"/>
    <n v="67.846224474188404"/>
    <n v="24763.871933078768"/>
  </r>
  <r>
    <d v="2021-01-27T20:01:00"/>
    <x v="1"/>
    <s v=""/>
    <x v="1"/>
    <x v="4"/>
    <x v="4"/>
    <s v="1/2021"/>
    <s v="27/1/2021"/>
    <d v="1899-12-30T06:48:00"/>
    <n v="0.28333333333284827"/>
    <d v="1900-02-09T03:01:00"/>
    <n v="41.125694444439432"/>
    <n v="9.8000000000000007"/>
    <n v="10.6"/>
    <n v="0.79999999999999893"/>
    <n v="181643"/>
    <n v="23"/>
    <n v="81.176470588374272"/>
    <n v="1884"/>
    <n v="120342"/>
    <n v="0"/>
    <n v="0"/>
    <n v="910"/>
    <n v="23"/>
    <n v="2794"/>
    <n v="3.382352941182261"/>
    <n v="81.176470588374272"/>
    <n v="29629.411764756609"/>
    <n v="2.8307526046507223"/>
    <n v="67.938062511617332"/>
    <n v="24797.392816740325"/>
  </r>
  <r>
    <d v="2021-01-28T06:53:00"/>
    <x v="1"/>
    <s v=""/>
    <x v="1"/>
    <x v="5"/>
    <x v="0"/>
    <s v="1/2021"/>
    <s v="28/1/2021"/>
    <d v="1899-12-30T10:52:00"/>
    <n v="0.45277777778392192"/>
    <d v="1900-02-09T13:53:00"/>
    <n v="41.578472222223354"/>
    <n v="10.6"/>
    <n v="11.4"/>
    <n v="0.80000000000000071"/>
    <n v="181650"/>
    <n v="7"/>
    <n v="15.460122699176711"/>
    <n v="1891"/>
    <n v="120359"/>
    <n v="17"/>
    <n v="37.546012269429156"/>
    <n v="927"/>
    <n v="24"/>
    <n v="2818"/>
    <n v="2.2085889570252446"/>
    <n v="53.006134968605863"/>
    <n v="19347.239263541142"/>
    <n v="2.8239774188698643"/>
    <n v="67.775458052876743"/>
    <n v="24738.042189300013"/>
  </r>
  <r>
    <d v="2021-01-28T13:25:00"/>
    <x v="1"/>
    <s v=""/>
    <x v="1"/>
    <x v="5"/>
    <x v="0"/>
    <s v="1/2021"/>
    <s v="28/1/2021"/>
    <d v="1899-12-30T06:32:00"/>
    <n v="0.27222222222189885"/>
    <d v="1900-02-09T20:25:00"/>
    <n v="41.850694444445253"/>
    <n v="11.3"/>
    <n v="12.2"/>
    <n v="0.89999999999999858"/>
    <n v="181664"/>
    <n v="14"/>
    <n v="51.428571428632523"/>
    <n v="1905"/>
    <n v="120359"/>
    <n v="0"/>
    <n v="0"/>
    <n v="927"/>
    <n v="14"/>
    <n v="2832"/>
    <n v="2.1428571428596883"/>
    <n v="51.428571428632523"/>
    <n v="18771.42857145087"/>
    <n v="2.8195470007466477"/>
    <n v="67.669128017919547"/>
    <n v="24699.231726540635"/>
  </r>
  <r>
    <d v="2021-01-28T19:12:00"/>
    <x v="1"/>
    <s v=""/>
    <x v="1"/>
    <x v="5"/>
    <x v="0"/>
    <s v="1/2021"/>
    <s v="28/1/2021"/>
    <d v="1899-12-30T05:47:00"/>
    <n v="0.24097222222189885"/>
    <d v="1900-02-10T02:12:00"/>
    <n v="42.091666666667152"/>
    <n v="11.4"/>
    <n v="12.3"/>
    <n v="0.90000000000000036"/>
    <n v="181676"/>
    <n v="12"/>
    <n v="49.798270893438584"/>
    <n v="1917"/>
    <n v="120359"/>
    <n v="0"/>
    <n v="0"/>
    <n v="927"/>
    <n v="12"/>
    <n v="2844"/>
    <n v="2.0749279538932743"/>
    <n v="49.798270893438584"/>
    <n v="18176.368876105083"/>
    <n v="2.815284102157956"/>
    <n v="67.566818451790951"/>
    <n v="24661.888734903696"/>
  </r>
  <r>
    <d v="2021-01-29T06:52:00"/>
    <x v="1"/>
    <s v=""/>
    <x v="1"/>
    <x v="6"/>
    <x v="5"/>
    <s v="1/2021"/>
    <s v="29/1/2021"/>
    <d v="1899-12-30T11:40:00"/>
    <n v="0.48611111110949423"/>
    <d v="1900-02-10T13:52:00"/>
    <n v="42.577777777776646"/>
    <n v="10.199999999999999"/>
    <n v="11.7"/>
    <n v="1.5"/>
    <n v="181685"/>
    <n v="9"/>
    <n v="18.514285714347295"/>
    <n v="1926"/>
    <n v="120374"/>
    <n v="15"/>
    <n v="30.857142857245492"/>
    <n v="942"/>
    <n v="24"/>
    <n v="2868"/>
    <n v="2.0571428571496995"/>
    <n v="49.371428571592787"/>
    <n v="18020.571428631367"/>
    <n v="2.8066283924844169"/>
    <n v="67.359081419626008"/>
    <n v="24586.064718163492"/>
  </r>
  <r>
    <d v="2021-01-29T13:33:00"/>
    <x v="1"/>
    <s v=""/>
    <x v="1"/>
    <x v="6"/>
    <x v="5"/>
    <s v="1/2021"/>
    <s v="29/1/2021"/>
    <d v="1899-12-30T06:41:00"/>
    <n v="0.27847222222044365"/>
    <d v="1900-02-10T20:33:00"/>
    <n v="42.85624999999709"/>
    <n v="9.9"/>
    <n v="11.8"/>
    <n v="1.9000000000000004"/>
    <n v="181700"/>
    <n v="15"/>
    <n v="53.865336658698148"/>
    <n v="1941"/>
    <n v="120374"/>
    <n v="0"/>
    <n v="0"/>
    <n v="942"/>
    <n v="15"/>
    <n v="2883"/>
    <n v="2.2443890274457559"/>
    <n v="53.865336658698148"/>
    <n v="19660.847880424823"/>
    <n v="2.8029750619806482"/>
    <n v="67.271401487535556"/>
    <n v="24554.06154295048"/>
  </r>
  <r>
    <d v="2021-01-29T21:07:00"/>
    <x v="1"/>
    <s v=""/>
    <x v="1"/>
    <x v="6"/>
    <x v="5"/>
    <s v="1/2021"/>
    <s v="29/1/2021"/>
    <d v="1899-12-30T07:34:00"/>
    <n v="0.31527777777955635"/>
    <d v="1900-02-11T04:07:00"/>
    <n v="43.171527777776646"/>
    <n v="9.5"/>
    <n v="12.3"/>
    <n v="2.8000000000000007"/>
    <n v="181718"/>
    <n v="18"/>
    <n v="57.092511012893787"/>
    <n v="1959"/>
    <n v="120374"/>
    <n v="0"/>
    <n v="0"/>
    <n v="942"/>
    <n v="18"/>
    <n v="2901"/>
    <n v="2.3788546255372411"/>
    <n v="57.092511012893787"/>
    <n v="20838.766519706231"/>
    <n v="2.7998777486448527"/>
    <n v="67.197065967476462"/>
    <n v="24526.929078128909"/>
  </r>
  <r>
    <d v="2021-01-30T06:35:00"/>
    <x v="1"/>
    <s v=""/>
    <x v="1"/>
    <x v="7"/>
    <x v="6"/>
    <s v="1/2021"/>
    <s v="30/1/2021"/>
    <d v="1899-12-30T09:28:00"/>
    <n v="0.3944444444423425"/>
    <d v="1900-02-11T13:35:00"/>
    <n v="43.565972222218988"/>
    <n v="8.6999999999999993"/>
    <n v="11.3"/>
    <n v="2.6000000000000014"/>
    <n v="181722"/>
    <n v="4"/>
    <n v="10.140845070476574"/>
    <n v="1963"/>
    <n v="120389"/>
    <n v="15"/>
    <n v="38.028169014287151"/>
    <n v="957"/>
    <n v="19"/>
    <n v="2920"/>
    <n v="2.007042253531822"/>
    <n v="48.169014084763731"/>
    <n v="17581.690140938761"/>
    <n v="2.7926994500679525"/>
    <n v="67.024786801630867"/>
    <n v="24464.047182595266"/>
  </r>
  <r>
    <d v="2021-01-30T15:22:00"/>
    <x v="1"/>
    <s v=""/>
    <x v="1"/>
    <x v="7"/>
    <x v="6"/>
    <s v="1/2021"/>
    <s v="30/1/2021"/>
    <d v="1899-12-30T08:47:00"/>
    <n v="0.36597222222189885"/>
    <d v="1900-02-11T22:22:00"/>
    <n v="43.931944444440887"/>
    <n v="9.6999999999999993"/>
    <n v="11.1"/>
    <n v="1.4000000000000004"/>
    <n v="181743"/>
    <n v="21"/>
    <n v="57.381404174623761"/>
    <n v="1984"/>
    <n v="120389"/>
    <n v="0"/>
    <n v="0"/>
    <n v="957"/>
    <n v="21"/>
    <n v="2941"/>
    <n v="2.3908918406093234"/>
    <n v="57.381404174623761"/>
    <n v="20944.212523737671"/>
    <n v="2.7893522177612828"/>
    <n v="66.944453226270795"/>
    <n v="24434.725427588841"/>
  </r>
  <r>
    <d v="2021-01-31T08:17:00"/>
    <x v="1"/>
    <s v=""/>
    <x v="1"/>
    <x v="8"/>
    <x v="1"/>
    <s v="1/2021"/>
    <s v="31/1/2021"/>
    <d v="1899-12-30T16:55:00"/>
    <n v="0.70486111110949423"/>
    <d v="1900-02-12T15:17:00"/>
    <n v="44.636805555550382"/>
    <n v="8.6"/>
    <n v="9.9"/>
    <n v="1.3000000000000007"/>
    <n v="181769"/>
    <n v="26"/>
    <n v="36.886699507473779"/>
    <n v="2010"/>
    <n v="120403"/>
    <n v="14"/>
    <n v="19.862068965562802"/>
    <n v="971"/>
    <n v="40"/>
    <n v="2981"/>
    <n v="2.3645320197098574"/>
    <n v="56.748768473036577"/>
    <n v="20713.300492658349"/>
    <n v="2.7826438695026328"/>
    <n v="66.783452868063193"/>
    <n v="24375.960296843066"/>
  </r>
  <r>
    <d v="2021-01-31T10:56:00"/>
    <x v="1"/>
    <s v=""/>
    <x v="1"/>
    <x v="8"/>
    <x v="1"/>
    <s v="1/2021"/>
    <s v="31/1/2021"/>
    <d v="1899-12-30T02:39:00"/>
    <n v="0.11041666667006211"/>
    <d v="1900-02-12T17:56:00"/>
    <n v="44.747222222220444"/>
    <n v="8.6999999999999993"/>
    <n v="9.5"/>
    <n v="0.80000000000000071"/>
    <n v="181775"/>
    <n v="6"/>
    <n v="54.339622639838424"/>
    <n v="2016"/>
    <n v="120403"/>
    <n v="0"/>
    <n v="0"/>
    <n v="971"/>
    <n v="6"/>
    <n v="2987"/>
    <n v="2.2641509433266012"/>
    <n v="54.339622639838424"/>
    <n v="19833.962263541023"/>
    <n v="2.7813644546527891"/>
    <n v="66.752746911666947"/>
    <n v="24364.752622758435"/>
  </r>
  <r>
    <d v="2021-01-31T20:34:00"/>
    <x v="1"/>
    <s v=""/>
    <x v="1"/>
    <x v="8"/>
    <x v="1"/>
    <s v="1/2021"/>
    <s v="31/1/2021"/>
    <d v="1899-12-30T09:38:00"/>
    <n v="0.40138888888759539"/>
    <d v="1900-02-13T03:34:00"/>
    <n v="45.148611111108039"/>
    <n v="9.6"/>
    <n v="10.9"/>
    <n v="1.3000000000000007"/>
    <n v="181804"/>
    <n v="29"/>
    <n v="72.249134948329711"/>
    <n v="2045"/>
    <n v="120403"/>
    <n v="0"/>
    <n v="0"/>
    <n v="971"/>
    <n v="29"/>
    <n v="3016"/>
    <n v="3.0103806228470713"/>
    <n v="72.249134948329711"/>
    <n v="26370.934256140346"/>
    <n v="2.7834004983543901"/>
    <n v="66.801611960505355"/>
    <n v="24382.588365584455"/>
  </r>
  <r>
    <d v="2021-02-01T07:40:00"/>
    <x v="1"/>
    <s v=""/>
    <x v="2"/>
    <x v="9"/>
    <x v="2"/>
    <s v="2/2021"/>
    <s v="1/2/2021"/>
    <d v="1899-12-30T11:06:00"/>
    <n v="0.46250000000145519"/>
    <d v="1900-02-13T14:40:00"/>
    <n v="45.611111111109494"/>
    <n v="9.6"/>
    <n v="10.1"/>
    <n v="0.5"/>
    <n v="181813"/>
    <n v="9"/>
    <n v="19.459459459398232"/>
    <n v="2054"/>
    <n v="120418"/>
    <n v="15"/>
    <n v="32.432432432330387"/>
    <n v="986"/>
    <n v="24"/>
    <n v="3040"/>
    <n v="2.1621621621553593"/>
    <n v="51.891891891728619"/>
    <n v="18940.540540480946"/>
    <n v="2.7771010962242153"/>
    <n v="66.650426309381174"/>
    <n v="24327.405602924129"/>
  </r>
  <r>
    <d v="2021-02-01T13:23:00"/>
    <x v="1"/>
    <s v=""/>
    <x v="2"/>
    <x v="9"/>
    <x v="2"/>
    <s v="2/2021"/>
    <s v="1/2/2021"/>
    <d v="1899-12-30T05:43:00"/>
    <n v="0.2381944444423425"/>
    <d v="1900-02-13T20:23:00"/>
    <n v="45.849305555551837"/>
    <n v="9.8000000000000007"/>
    <n v="11.1"/>
    <n v="1.2999999999999989"/>
    <n v="181827"/>
    <n v="14"/>
    <n v="58.775510204600295"/>
    <n v="2068"/>
    <n v="120418"/>
    <n v="0"/>
    <n v="0"/>
    <n v="986"/>
    <n v="14"/>
    <n v="3054"/>
    <n v="2.4489795918583455"/>
    <n v="58.775510204600295"/>
    <n v="21453.061224679106"/>
    <n v="2.7753964527515391"/>
    <n v="66.609514866036932"/>
    <n v="24312.472926103481"/>
  </r>
  <r>
    <d v="2021-02-01T20:20:00"/>
    <x v="1"/>
    <s v=""/>
    <x v="2"/>
    <x v="9"/>
    <x v="2"/>
    <s v="2/2021"/>
    <s v="1/2/2021"/>
    <d v="1899-12-30T06:57:00"/>
    <n v="0.28958333333139308"/>
    <d v="1900-02-14T03:20:00"/>
    <n v="46.13888888888323"/>
    <n v="9.5"/>
    <n v="11.1"/>
    <n v="1.5999999999999996"/>
    <n v="181842"/>
    <n v="15"/>
    <n v="51.798561151426199"/>
    <n v="2083"/>
    <n v="120418"/>
    <n v="0"/>
    <n v="0"/>
    <n v="986"/>
    <n v="15"/>
    <n v="3069"/>
    <n v="2.1582733813094248"/>
    <n v="51.798561151426199"/>
    <n v="18906.474820270563"/>
    <n v="2.771523178808287"/>
    <n v="66.516556291398885"/>
    <n v="24278.543046360592"/>
  </r>
  <r>
    <d v="2021-02-02T06:58:00"/>
    <x v="1"/>
    <s v=""/>
    <x v="2"/>
    <x v="10"/>
    <x v="3"/>
    <s v="2/2021"/>
    <s v="2/2/2021"/>
    <d v="1899-12-30T10:38:00"/>
    <n v="0.44305555555911269"/>
    <d v="1900-02-14T13:58:00"/>
    <n v="46.581944444442343"/>
    <n v="9"/>
    <n v="11.8"/>
    <n v="2.8000000000000007"/>
    <n v="181849"/>
    <n v="7"/>
    <n v="15.799373040625504"/>
    <n v="2090"/>
    <n v="120433"/>
    <n v="15"/>
    <n v="33.855799372768935"/>
    <n v="1001"/>
    <n v="22"/>
    <n v="3091"/>
    <n v="2.0689655172247683"/>
    <n v="49.655172413394439"/>
    <n v="18124.13793088897"/>
    <n v="2.76484093145306"/>
    <n v="66.35618235487344"/>
    <n v="24220.006559528807"/>
  </r>
  <r>
    <d v="2021-02-02T13:38:00"/>
    <x v="1"/>
    <s v=""/>
    <x v="2"/>
    <x v="10"/>
    <x v="3"/>
    <s v="2/2021"/>
    <s v="2/2/2021"/>
    <d v="1899-12-30T06:40:00"/>
    <n v="0.27777777778101154"/>
    <d v="1900-02-14T20:38:00"/>
    <n v="46.859722222223354"/>
    <n v="11.7"/>
    <n v="12.9"/>
    <n v="1.2000000000000011"/>
    <n v="181864"/>
    <n v="15"/>
    <n v="53.999999999371354"/>
    <n v="2105"/>
    <n v="120433"/>
    <n v="0"/>
    <n v="0"/>
    <n v="1001"/>
    <n v="15"/>
    <n v="3106"/>
    <n v="2.2499999999738067"/>
    <n v="53.999999999371354"/>
    <n v="19709.999999770545"/>
    <n v="2.7617890275348334"/>
    <n v="66.282936660836"/>
    <n v="24193.271881205139"/>
  </r>
  <r>
    <d v="2021-02-02T23:28:00"/>
    <x v="1"/>
    <s v=""/>
    <x v="2"/>
    <x v="10"/>
    <x v="3"/>
    <s v="2/2021"/>
    <s v="2/2/2021"/>
    <d v="1899-12-30T09:50:00"/>
    <n v="0.40972222221898846"/>
    <d v="1900-02-15T06:28:00"/>
    <n v="47.269444444442343"/>
    <n v="11.2"/>
    <n v="13"/>
    <n v="1.8000000000000007"/>
    <n v="181883"/>
    <n v="19"/>
    <n v="46.372881356298201"/>
    <n v="2124"/>
    <n v="120435"/>
    <n v="2"/>
    <n v="4.8813559322419167"/>
    <n v="1003"/>
    <n v="21"/>
    <n v="3127"/>
    <n v="2.1355932203558385"/>
    <n v="51.254237288540118"/>
    <n v="18707.796610317142"/>
    <n v="2.7563612857731732"/>
    <n v="66.152670858556149"/>
    <n v="24145.724863372994"/>
  </r>
  <r>
    <d v="2021-02-03T13:29:00"/>
    <x v="1"/>
    <s v=""/>
    <x v="2"/>
    <x v="11"/>
    <x v="4"/>
    <s v="2/2021"/>
    <s v="3/2/2021"/>
    <d v="1899-12-30T14:01:00"/>
    <n v="0.58402777777519077"/>
    <d v="1900-02-15T20:29:00"/>
    <n v="47.853472222217533"/>
    <n v="9.8000000000000007"/>
    <n v="11.9"/>
    <n v="2.0999999999999996"/>
    <n v="181900"/>
    <n v="17"/>
    <n v="29.108204518559379"/>
    <n v="2141"/>
    <n v="120448"/>
    <n v="13"/>
    <n v="22.259215220074818"/>
    <n v="1016"/>
    <n v="30"/>
    <n v="3157"/>
    <n v="2.1403091557764249"/>
    <n v="51.367419738634197"/>
    <n v="18749.108204601482"/>
    <n v="2.7488426765737213"/>
    <n v="65.972224237769311"/>
    <n v="24079.8618467858"/>
  </r>
  <r>
    <d v="2021-02-03T22:37:00"/>
    <x v="1"/>
    <s v=""/>
    <x v="2"/>
    <x v="11"/>
    <x v="4"/>
    <s v="2/2021"/>
    <s v="3/2/2021"/>
    <d v="1899-12-30T09:08:00"/>
    <n v="0.38055555555911269"/>
    <d v="1900-02-16T05:37:00"/>
    <n v="48.234027777776646"/>
    <n v="7.7"/>
    <n v="12"/>
    <n v="4.3"/>
    <n v="181923"/>
    <n v="23"/>
    <n v="60.437956203814636"/>
    <n v="2164"/>
    <n v="120448"/>
    <n v="0"/>
    <n v="0"/>
    <n v="1016"/>
    <n v="23"/>
    <n v="3180"/>
    <n v="2.5182481751589432"/>
    <n v="60.437956203814636"/>
    <n v="22059.854014392342"/>
    <n v="2.7470233381805214"/>
    <n v="65.92856011633252"/>
    <n v="24063.924442461368"/>
  </r>
  <r>
    <d v="2021-02-04T08:26:00"/>
    <x v="1"/>
    <s v=""/>
    <x v="2"/>
    <x v="12"/>
    <x v="0"/>
    <s v="2/2021"/>
    <s v="4/2/2021"/>
    <d v="1899-12-30T09:49:00"/>
    <n v="0.40902777777955635"/>
    <d v="1900-02-16T15:26:00"/>
    <n v="48.643055555556202"/>
    <n v="7"/>
    <n v="8.6999999999999993"/>
    <n v="1.6999999999999993"/>
    <n v="181928"/>
    <n v="5"/>
    <n v="12.224108658690479"/>
    <n v="2169"/>
    <n v="120464"/>
    <n v="16"/>
    <n v="39.117147707809536"/>
    <n v="1032"/>
    <n v="21"/>
    <n v="3201"/>
    <n v="2.1392190152708337"/>
    <n v="51.341256366500012"/>
    <n v="18739.558573772505"/>
    <n v="2.7419124575278739"/>
    <n v="65.805898980668971"/>
    <n v="24019.153127944173"/>
  </r>
  <r>
    <d v="2021-02-04T17:39:00"/>
    <x v="1"/>
    <s v=""/>
    <x v="2"/>
    <x v="12"/>
    <x v="0"/>
    <s v="2/2021"/>
    <s v="4/2/2021"/>
    <d v="1899-12-30T09:13:00"/>
    <n v="0.38402777777810115"/>
    <d v="1900-02-17T00:39:00"/>
    <n v="49.027083333334303"/>
    <n v="8.4"/>
    <n v="12.9"/>
    <n v="4.5"/>
    <n v="181951"/>
    <n v="23"/>
    <n v="59.891500904108696"/>
    <n v="2192"/>
    <n v="120464"/>
    <n v="0"/>
    <n v="0"/>
    <n v="1032"/>
    <n v="23"/>
    <n v="3224"/>
    <n v="2.4954792043378626"/>
    <n v="59.891500904108696"/>
    <n v="21860.397829999674"/>
    <n v="2.7399821527216557"/>
    <n v="65.75957166531974"/>
    <n v="24002.243657841704"/>
  </r>
  <r>
    <d v="2021-02-05T08:49:00"/>
    <x v="1"/>
    <s v=""/>
    <x v="2"/>
    <x v="13"/>
    <x v="5"/>
    <s v="2/2021"/>
    <s v="5/2/2021"/>
    <d v="1899-12-30T15:10:00"/>
    <n v="0.63194444443797693"/>
    <d v="1900-02-17T15:49:00"/>
    <n v="49.65902777777228"/>
    <n v="6.9"/>
    <n v="10.7"/>
    <n v="3.7999999999999989"/>
    <n v="181968"/>
    <n v="17"/>
    <n v="26.901098901374215"/>
    <n v="2209"/>
    <n v="120482"/>
    <n v="18"/>
    <n v="28.483516483807993"/>
    <n v="1050"/>
    <n v="35"/>
    <n v="3259"/>
    <n v="2.3076923077159255"/>
    <n v="55.384615385182208"/>
    <n v="20215.384615591505"/>
    <n v="2.7344809744231027"/>
    <n v="65.627543386154457"/>
    <n v="23954.053335946377"/>
  </r>
  <r>
    <d v="2021-02-05T18:22:00"/>
    <x v="1"/>
    <s v=""/>
    <x v="2"/>
    <x v="13"/>
    <x v="5"/>
    <s v="2/2021"/>
    <s v="5/2/2021"/>
    <d v="1899-12-30T09:33:00"/>
    <n v="0.39791666666860692"/>
    <d v="1900-02-18T01:22:00"/>
    <n v="50.056944444440887"/>
    <m/>
    <m/>
    <n v="0"/>
    <n v="181989"/>
    <n v="21"/>
    <n v="52.774869109690314"/>
    <n v="2230"/>
    <n v="120482"/>
    <n v="0"/>
    <n v="0"/>
    <n v="1050"/>
    <n v="21"/>
    <n v="3280"/>
    <n v="2.1989528795704296"/>
    <n v="52.774869109690314"/>
    <n v="19262.827225036966"/>
    <n v="2.7302239116563634"/>
    <n v="65.525373879752721"/>
    <n v="23916.761466109743"/>
  </r>
  <r>
    <d v="2021-02-06T09:00:00"/>
    <x v="1"/>
    <s v=""/>
    <x v="2"/>
    <x v="14"/>
    <x v="6"/>
    <s v="2/2021"/>
    <s v="6/2/2021"/>
    <d v="1899-12-30T14:38:00"/>
    <n v="0.60972222222335404"/>
    <d v="1900-02-18T16:00:00"/>
    <n v="50.666666666664241"/>
    <m/>
    <m/>
    <n v="0"/>
    <n v="182006"/>
    <n v="17"/>
    <n v="27.881548974891295"/>
    <n v="2247"/>
    <n v="120501"/>
    <n v="19"/>
    <n v="31.161731207231448"/>
    <n v="1069"/>
    <n v="36"/>
    <n v="3316"/>
    <n v="2.4601366742551143"/>
    <n v="59.043280182122743"/>
    <n v="21550.797266474801"/>
    <n v="2.7269736842106567"/>
    <n v="65.447368421055771"/>
    <n v="23888.289473685356"/>
  </r>
  <r>
    <d v="2021-02-06T14:23:00"/>
    <x v="1"/>
    <s v=""/>
    <x v="2"/>
    <x v="14"/>
    <x v="6"/>
    <s v="2/2021"/>
    <s v="6/2/2021"/>
    <d v="1899-12-30T05:23:00"/>
    <n v="0.22430555555911269"/>
    <d v="1900-02-18T21:23:00"/>
    <n v="50.890972222223354"/>
    <m/>
    <m/>
    <n v="0"/>
    <n v="182021"/>
    <n v="15"/>
    <n v="66.873065014419367"/>
    <n v="2262"/>
    <n v="120501"/>
    <n v="0"/>
    <n v="0"/>
    <n v="1069"/>
    <n v="15"/>
    <n v="3331"/>
    <n v="2.7863777089341406"/>
    <n v="66.873065014419367"/>
    <n v="24408.668730263071"/>
    <n v="2.7272355116465694"/>
    <n v="65.453652279517669"/>
    <n v="23890.58308202395"/>
  </r>
  <r>
    <d v="2021-02-07T06:58:00"/>
    <x v="1"/>
    <s v=""/>
    <x v="2"/>
    <x v="15"/>
    <x v="1"/>
    <s v="2/2021"/>
    <s v="7/2/2021"/>
    <d v="1899-12-30T16:35:00"/>
    <n v="0.69097222221898846"/>
    <d v="1900-02-19T13:58:00"/>
    <n v="51.581944444442343"/>
    <m/>
    <m/>
    <n v="0"/>
    <n v="182048"/>
    <n v="27"/>
    <n v="39.075376884604985"/>
    <n v="2289"/>
    <n v="120523"/>
    <n v="22"/>
    <n v="31.839195980048505"/>
    <n v="1091"/>
    <n v="49"/>
    <n v="3380"/>
    <n v="2.9547738693605621"/>
    <n v="70.914572864653493"/>
    <n v="25883.819095598526"/>
    <n v="2.7302835294435535"/>
    <n v="65.526804706645279"/>
    <n v="23917.283717925526"/>
  </r>
  <r>
    <d v="2021-02-07T11:14:00"/>
    <x v="1"/>
    <s v=""/>
    <x v="2"/>
    <x v="15"/>
    <x v="1"/>
    <s v="2/2021"/>
    <s v="7/2/2021"/>
    <d v="1899-12-30T04:16:00"/>
    <n v="0.17777777777519077"/>
    <d v="1900-02-19T18:14:00"/>
    <n v="51.759722222217533"/>
    <m/>
    <m/>
    <n v="0"/>
    <n v="182062"/>
    <n v="14"/>
    <n v="78.750000001145963"/>
    <n v="2303"/>
    <n v="120523"/>
    <n v="0"/>
    <n v="0"/>
    <n v="1091"/>
    <n v="14"/>
    <n v="3394"/>
    <n v="3.2812500000477485"/>
    <n v="78.750000001145963"/>
    <n v="28743.750000418277"/>
    <n v="2.7321759197147402"/>
    <n v="65.572222073153767"/>
    <n v="23933.861056701124"/>
  </r>
  <r>
    <d v="2021-02-08T07:38:00"/>
    <x v="1"/>
    <s v=""/>
    <x v="2"/>
    <x v="16"/>
    <x v="2"/>
    <s v="2/2021"/>
    <s v="8/2/2021"/>
    <d v="1899-12-30T20:24:00"/>
    <n v="0.85000000000582077"/>
    <d v="1900-02-20T14:38:00"/>
    <n v="52.609722222223354"/>
    <m/>
    <m/>
    <n v="0"/>
    <n v="182098"/>
    <n v="36"/>
    <n v="42.352941176180558"/>
    <n v="2339"/>
    <n v="120545"/>
    <n v="22"/>
    <n v="25.88235294099923"/>
    <n v="1113"/>
    <n v="58"/>
    <n v="3452"/>
    <n v="2.8431372548824911"/>
    <n v="68.235294117179791"/>
    <n v="24905.882352770623"/>
    <n v="2.7339686897752786"/>
    <n v="65.61524855460668"/>
    <n v="23949.565722431438"/>
  </r>
  <r>
    <d v="2021-02-08T13:38:00"/>
    <x v="1"/>
    <s v=""/>
    <x v="2"/>
    <x v="16"/>
    <x v="2"/>
    <s v="2/2021"/>
    <s v="8/2/2021"/>
    <d v="1899-12-30T06:00:00"/>
    <n v="0.25"/>
    <d v="1900-02-20T20:38:00"/>
    <n v="52.859722222223354"/>
    <m/>
    <m/>
    <n v="0"/>
    <n v="182122"/>
    <n v="24"/>
    <n v="96"/>
    <n v="2363"/>
    <n v="120545"/>
    <n v="0"/>
    <n v="0"/>
    <n v="1113"/>
    <n v="24"/>
    <n v="3476"/>
    <n v="4"/>
    <n v="96"/>
    <n v="35040"/>
    <n v="2.7399563835097549"/>
    <n v="65.758953204234118"/>
    <n v="24002.017919545451"/>
  </r>
  <r>
    <d v="2021-02-08T20:43:00"/>
    <x v="1"/>
    <s v=""/>
    <x v="2"/>
    <x v="16"/>
    <x v="2"/>
    <s v="2/2021"/>
    <s v="8/2/2021"/>
    <d v="1899-12-30T07:05:00"/>
    <n v="0.29513888888322981"/>
    <d v="1900-02-21T03:43:00"/>
    <n v="53.154861111106584"/>
    <m/>
    <m/>
    <n v="0"/>
    <n v="182145"/>
    <n v="23"/>
    <n v="77.929411766200118"/>
    <n v="2386"/>
    <n v="120545"/>
    <n v="0"/>
    <n v="0"/>
    <n v="1113"/>
    <n v="23"/>
    <n v="3499"/>
    <n v="3.2470588235916718"/>
    <n v="77.929411766200118"/>
    <n v="28444.235294663042"/>
    <n v="2.7427720366332373"/>
    <n v="65.826528879197696"/>
    <n v="24026.683040907159"/>
  </r>
  <r>
    <d v="2021-02-09T06:30:00"/>
    <x v="1"/>
    <s v=""/>
    <x v="2"/>
    <x v="17"/>
    <x v="3"/>
    <s v="2/2021"/>
    <s v="9/2/2021"/>
    <d v="1899-12-30T09:47:00"/>
    <n v="0.40763888889341615"/>
    <d v="1900-02-21T13:30:00"/>
    <n v="53.5625"/>
    <m/>
    <m/>
    <n v="0"/>
    <n v="182151"/>
    <n v="6"/>
    <n v="14.718909710228354"/>
    <n v="2392"/>
    <n v="120567"/>
    <n v="22"/>
    <n v="53.969335604170631"/>
    <n v="1135"/>
    <n v="28"/>
    <n v="3527"/>
    <n v="2.862010221433291"/>
    <n v="68.688245314398984"/>
    <n v="25071.20953975563"/>
    <n v="2.7436795021392455"/>
    <n v="65.848308051341888"/>
    <n v="24034.632438739791"/>
  </r>
  <r>
    <d v="2021-02-09T13:26:00"/>
    <x v="1"/>
    <s v=""/>
    <x v="2"/>
    <x v="17"/>
    <x v="3"/>
    <s v="2/2021"/>
    <s v="9/2/2021"/>
    <d v="1899-12-30T06:56:00"/>
    <n v="0.288888888884685"/>
    <d v="1900-02-21T20:26:00"/>
    <n v="53.851388888884685"/>
    <m/>
    <m/>
    <n v="0"/>
    <n v="182187"/>
    <n v="36"/>
    <n v="124.615384617198"/>
    <n v="2428"/>
    <n v="120568"/>
    <n v="1"/>
    <n v="3.4615384615888334"/>
    <n v="1136"/>
    <n v="37"/>
    <n v="3564"/>
    <n v="5.3365384616161187"/>
    <n v="128.07692307878685"/>
    <n v="46748.076923757202"/>
    <n v="2.7575890439225326"/>
    <n v="66.182137054140782"/>
    <n v="24156.480024761386"/>
  </r>
  <r>
    <d v="2021-02-10T07:05:00"/>
    <x v="1"/>
    <s v=""/>
    <x v="2"/>
    <x v="18"/>
    <x v="4"/>
    <s v="2/2021"/>
    <s v="10/2/2021"/>
    <d v="1899-12-30T17:39:00"/>
    <n v="0.73541666667006211"/>
    <d v="1900-02-22T14:05:00"/>
    <n v="54.586805555554747"/>
    <m/>
    <m/>
    <n v="0"/>
    <n v="182222"/>
    <n v="35"/>
    <n v="47.592067988448818"/>
    <n v="2463"/>
    <n v="120590"/>
    <n v="22"/>
    <n v="29.915014164167829"/>
    <n v="1158"/>
    <n v="57"/>
    <n v="3621"/>
    <n v="3.2294617563590271"/>
    <n v="77.507082152616647"/>
    <n v="28290.084985705074"/>
    <n v="2.7639463138477605"/>
    <n v="66.334711532346248"/>
    <n v="24212.169709306381"/>
  </r>
  <r>
    <d v="2021-02-10T13:28:00"/>
    <x v="1"/>
    <s v=""/>
    <x v="2"/>
    <x v="18"/>
    <x v="4"/>
    <s v="2/2021"/>
    <s v="10/2/2021"/>
    <d v="1899-12-30T06:23:00"/>
    <n v="0.26597222222335404"/>
    <d v="1900-02-22T20:28:00"/>
    <n v="54.852777777778101"/>
    <m/>
    <m/>
    <n v="0"/>
    <n v="182247"/>
    <n v="25"/>
    <n v="93.994778067485129"/>
    <n v="2488"/>
    <n v="120590"/>
    <n v="0"/>
    <n v="0"/>
    <n v="1158"/>
    <n v="25"/>
    <n v="3646"/>
    <n v="3.9164490861452137"/>
    <n v="93.994778067485129"/>
    <n v="34308.093994632072"/>
    <n v="2.7695346128525689"/>
    <n v="66.468830708461653"/>
    <n v="24261.123208588502"/>
  </r>
  <r>
    <d v="2021-02-11T07:37:00"/>
    <x v="1"/>
    <s v=""/>
    <x v="2"/>
    <x v="19"/>
    <x v="0"/>
    <s v="2/2021"/>
    <s v="11/2/2021"/>
    <d v="1899-12-30T18:09:00"/>
    <n v="0.75624999999854481"/>
    <d v="1900-02-23T14:37:00"/>
    <n v="55.609027777776646"/>
    <m/>
    <m/>
    <n v="0"/>
    <n v="182295"/>
    <n v="48"/>
    <n v="63.471074380287419"/>
    <n v="2536"/>
    <n v="120620"/>
    <n v="30"/>
    <n v="39.669421487679635"/>
    <n v="1188"/>
    <n v="78"/>
    <n v="3724"/>
    <n v="4.2975206611652945"/>
    <n v="103.14049586796706"/>
    <n v="37646.28099180798"/>
    <n v="2.7903143224646847"/>
    <n v="66.967543739152433"/>
    <n v="24443.153464790637"/>
  </r>
  <r>
    <d v="2021-02-11T13:29:00"/>
    <x v="1"/>
    <s v=""/>
    <x v="2"/>
    <x v="19"/>
    <x v="0"/>
    <s v="2/2021"/>
    <s v="11/2/2021"/>
    <d v="1899-12-30T05:52:00"/>
    <n v="0.24444444444088731"/>
    <d v="1900-02-23T20:29:00"/>
    <n v="55.853472222217533"/>
    <m/>
    <m/>
    <n v="0"/>
    <n v="182324"/>
    <n v="29"/>
    <n v="118.63636363809002"/>
    <n v="2565"/>
    <n v="120620"/>
    <n v="0"/>
    <n v="0"/>
    <n v="1188"/>
    <n v="29"/>
    <n v="3753"/>
    <n v="4.943181818253751"/>
    <n v="118.63636363809002"/>
    <n v="43302.272727902855"/>
    <n v="2.7997364134829339"/>
    <n v="67.193673923590424"/>
    <n v="24525.690982110504"/>
  </r>
  <r>
    <d v="2021-02-12T07:19:00"/>
    <x v="1"/>
    <s v=""/>
    <x v="2"/>
    <x v="20"/>
    <x v="5"/>
    <s v="2/2021"/>
    <s v="12/2/2021"/>
    <d v="1899-12-30T17:50:00"/>
    <n v="0.74305555555474712"/>
    <d v="1900-02-24T14:19:00"/>
    <n v="56.59652777777228"/>
    <m/>
    <m/>
    <n v="0"/>
    <n v="182369"/>
    <n v="45"/>
    <n v="60.560747663617292"/>
    <n v="2610"/>
    <n v="120646"/>
    <n v="26"/>
    <n v="34.990654205645548"/>
    <n v="1214"/>
    <n v="71"/>
    <n v="3824"/>
    <n v="3.9813084112192847"/>
    <n v="95.551401869262833"/>
    <n v="34876.261682280936"/>
    <n v="2.8152492668624434"/>
    <n v="67.565982404698644"/>
    <n v="24661.583577715006"/>
  </r>
  <r>
    <d v="2021-02-13T08:22:00"/>
    <x v="1"/>
    <s v=""/>
    <x v="2"/>
    <x v="21"/>
    <x v="6"/>
    <s v="2/2021"/>
    <s v="13/2/2021"/>
    <d v="1899-12-31T01:03:00"/>
    <n v="1.0437500000043656"/>
    <d v="1900-02-25T15:22:00"/>
    <n v="57.640277777776646"/>
    <m/>
    <m/>
    <n v="0"/>
    <n v="182450"/>
    <n v="81"/>
    <n v="77.604790418837084"/>
    <n v="2691"/>
    <n v="120677"/>
    <n v="31"/>
    <n v="29.700598802270985"/>
    <n v="1245"/>
    <n v="112"/>
    <n v="3936"/>
    <n v="4.4710578842128363"/>
    <n v="107.30538922110807"/>
    <n v="39166.467065704448"/>
    <n v="2.8452326449965621"/>
    <n v="68.285583479917491"/>
    <n v="24924.237970169885"/>
  </r>
  <r>
    <d v="2021-02-13T17:12:00"/>
    <x v="1"/>
    <s v=""/>
    <x v="2"/>
    <x v="21"/>
    <x v="6"/>
    <s v="2/2021"/>
    <s v="13/2/2021"/>
    <d v="1899-12-30T08:50:00"/>
    <n v="0.36805555555474712"/>
    <d v="1900-02-26T00:12:00"/>
    <n v="58.008333333331393"/>
    <m/>
    <m/>
    <n v="0"/>
    <n v="182490"/>
    <n v="40"/>
    <n v="108.67924528325759"/>
    <n v="2731"/>
    <n v="120677"/>
    <n v="0"/>
    <n v="0"/>
    <n v="1245"/>
    <n v="40"/>
    <n v="3976"/>
    <n v="4.5283018868023994"/>
    <n v="108.67924528325759"/>
    <n v="39667.92452838902"/>
    <n v="2.8559115069674852"/>
    <n v="68.541876167219641"/>
    <n v="25017.78480103517"/>
  </r>
  <r>
    <d v="2021-02-14T08:33:00"/>
    <x v="1"/>
    <s v=""/>
    <x v="2"/>
    <x v="22"/>
    <x v="1"/>
    <s v="2/2021"/>
    <s v="14/2/2021"/>
    <d v="1899-12-30T15:21:00"/>
    <n v="0.63958333332993789"/>
    <d v="1900-02-26T15:33:00"/>
    <n v="58.647916666661331"/>
    <m/>
    <m/>
    <n v="0"/>
    <n v="182521"/>
    <n v="31"/>
    <n v="48.46905537485015"/>
    <n v="2762"/>
    <n v="120700"/>
    <n v="23"/>
    <n v="35.960912052308174"/>
    <n v="1268"/>
    <n v="54"/>
    <n v="4030"/>
    <n v="3.51791530946493"/>
    <n v="84.429967427158317"/>
    <n v="30816.938110912786"/>
    <n v="2.8631309722570188"/>
    <n v="68.715143334168445"/>
    <n v="25081.027316971482"/>
  </r>
  <r>
    <d v="2021-02-14T17:59:00"/>
    <x v="1"/>
    <s v=""/>
    <x v="2"/>
    <x v="22"/>
    <x v="1"/>
    <s v="2/2021"/>
    <s v="14/2/2021"/>
    <d v="1899-12-30T09:26:00"/>
    <n v="0.39305555555620231"/>
    <d v="1900-02-27T00:59:00"/>
    <n v="59.040972222217533"/>
    <m/>
    <m/>
    <n v="0"/>
    <n v="182560"/>
    <n v="39"/>
    <n v="99.222614840826139"/>
    <n v="2801"/>
    <n v="120700"/>
    <n v="0"/>
    <n v="0"/>
    <n v="1268"/>
    <n v="39"/>
    <n v="4069"/>
    <n v="4.1342756183677558"/>
    <n v="99.222614840826139"/>
    <n v="36216.254416901538"/>
    <n v="2.8715934085324384"/>
    <n v="68.918241804778518"/>
    <n v="25155.158258744159"/>
  </r>
  <r>
    <d v="2021-02-15T06:37:00"/>
    <x v="1"/>
    <s v=""/>
    <x v="2"/>
    <x v="23"/>
    <x v="2"/>
    <s v="2/2021"/>
    <s v="15/2/2021"/>
    <d v="1899-12-30T12:38:00"/>
    <n v="0.52638888888759539"/>
    <d v="1900-02-27T13:37:00"/>
    <n v="59.567361111105129"/>
    <m/>
    <m/>
    <n v="0"/>
    <n v="182574"/>
    <n v="14"/>
    <n v="26.596306068666937"/>
    <n v="2815"/>
    <n v="120725"/>
    <n v="25"/>
    <n v="47.493403694048105"/>
    <n v="1293"/>
    <n v="39"/>
    <n v="4108"/>
    <n v="3.0870712401131266"/>
    <n v="74.089709762715046"/>
    <n v="27042.74406339099"/>
    <n v="2.8734975576206296"/>
    <n v="68.963941382895115"/>
    <n v="25171.838604756718"/>
  </r>
  <r>
    <d v="2021-02-15T13:44:00"/>
    <x v="1"/>
    <s v=""/>
    <x v="2"/>
    <x v="23"/>
    <x v="2"/>
    <s v="2/2021"/>
    <s v="15/2/2021"/>
    <d v="1899-12-30T07:07:00"/>
    <n v="0.29652777778392192"/>
    <d v="1900-02-27T20:44:00"/>
    <n v="59.863888888889051"/>
    <m/>
    <m/>
    <n v="0"/>
    <n v="182599"/>
    <n v="25"/>
    <n v="84.309133487714448"/>
    <n v="2840"/>
    <n v="120725"/>
    <n v="0"/>
    <n v="0"/>
    <n v="1293"/>
    <n v="25"/>
    <n v="4133"/>
    <n v="3.5128805619881018"/>
    <n v="84.309133487714448"/>
    <n v="30772.833723015774"/>
    <n v="2.8766646559324314"/>
    <n v="69.039951742378364"/>
    <n v="25199.582385968104"/>
  </r>
  <r>
    <d v="2021-02-16T07:28:00"/>
    <x v="1"/>
    <s v=""/>
    <x v="2"/>
    <x v="24"/>
    <x v="3"/>
    <s v="2/2021"/>
    <s v="16/2/2021"/>
    <d v="1899-12-30T17:44:00"/>
    <n v="0.73888888888905058"/>
    <d v="1900-02-28T14:28:00"/>
    <n v="60.602777777778101"/>
    <m/>
    <m/>
    <n v="0"/>
    <n v="182623"/>
    <n v="24"/>
    <n v="32.481203007511688"/>
    <n v="2864"/>
    <n v="120745"/>
    <n v="20"/>
    <n v="27.067669172926408"/>
    <n v="1313"/>
    <n v="44"/>
    <n v="4177"/>
    <n v="2.4812030075182538"/>
    <n v="59.548872180438096"/>
    <n v="21735.338345859906"/>
    <n v="2.8718430581656351"/>
    <n v="68.92423339597525"/>
    <n v="25157.345189530966"/>
  </r>
  <r>
    <d v="2021-02-16T20:25:00"/>
    <x v="1"/>
    <s v=""/>
    <x v="2"/>
    <x v="24"/>
    <x v="3"/>
    <s v="2/2021"/>
    <s v="16/2/2021"/>
    <d v="1899-12-30T12:57:00"/>
    <n v="0.53958333333139308"/>
    <d v="1900-03-01T03:25:00"/>
    <n v="61.142361111109494"/>
    <m/>
    <m/>
    <n v="0"/>
    <n v="182658"/>
    <n v="35"/>
    <n v="64.864864865098113"/>
    <n v="2899"/>
    <n v="120745"/>
    <n v="0"/>
    <n v="0"/>
    <n v="1313"/>
    <n v="35"/>
    <n v="4212"/>
    <n v="2.7027027027124211"/>
    <n v="64.864864865098113"/>
    <n v="23675.675675760813"/>
    <n v="2.8703503890056981"/>
    <n v="68.888409336136746"/>
    <n v="25144.269407689913"/>
  </r>
  <r>
    <d v="2021-02-17T06:59:00"/>
    <x v="1"/>
    <s v=""/>
    <x v="2"/>
    <x v="0"/>
    <x v="4"/>
    <s v="2/2021"/>
    <s v="17/2/2021"/>
    <d v="1899-12-30T10:34:00"/>
    <n v="0.44027777777955635"/>
    <d v="1900-03-01T13:59:00"/>
    <n v="61.582638888889051"/>
    <m/>
    <m/>
    <n v="0"/>
    <n v="182663"/>
    <n v="5"/>
    <n v="11.356466876925733"/>
    <n v="2904"/>
    <n v="120761"/>
    <n v="16"/>
    <n v="36.340694006162344"/>
    <n v="1329"/>
    <n v="21"/>
    <n v="4233"/>
    <n v="1.9873817034620032"/>
    <n v="47.697160883088074"/>
    <n v="17409.463722327146"/>
    <n v="2.8640377090404643"/>
    <n v="68.73690501697115"/>
    <n v="25088.970331194469"/>
  </r>
  <r>
    <d v="2021-02-17T13:57:00"/>
    <x v="1"/>
    <s v=""/>
    <x v="2"/>
    <x v="0"/>
    <x v="4"/>
    <s v="2/2021"/>
    <s v="17/2/2021"/>
    <d v="1899-12-30T06:58:00"/>
    <n v="0.29027777777810115"/>
    <d v="1900-03-01T20:57:00"/>
    <n v="61.872916666667152"/>
    <m/>
    <m/>
    <n v="0"/>
    <n v="182681"/>
    <n v="18"/>
    <n v="62.009569377921352"/>
    <n v="2922"/>
    <n v="120761"/>
    <n v="0"/>
    <n v="0"/>
    <n v="1329"/>
    <n v="18"/>
    <n v="4251"/>
    <n v="2.5837320574133895"/>
    <n v="62.009569377921352"/>
    <n v="22633.492822941294"/>
    <n v="2.8627226505942738"/>
    <n v="68.705343614262574"/>
    <n v="25077.450419205841"/>
  </r>
  <r>
    <d v="2021-02-17T20:43:00"/>
    <x v="1"/>
    <s v=""/>
    <x v="2"/>
    <x v="0"/>
    <x v="4"/>
    <s v="2/2021"/>
    <s v="17/2/2021"/>
    <d v="1899-12-30T06:46:00"/>
    <n v="0.28194444443943212"/>
    <d v="1900-03-02T03:43:00"/>
    <n v="62.154861111106584"/>
    <m/>
    <m/>
    <n v="0"/>
    <n v="182693"/>
    <n v="12"/>
    <n v="42.561576355436451"/>
    <n v="2934"/>
    <n v="120761"/>
    <n v="0"/>
    <n v="0"/>
    <n v="1329"/>
    <n v="12"/>
    <n v="4263"/>
    <n v="1.7733990148098522"/>
    <n v="42.561576355436451"/>
    <n v="15534.975369734304"/>
    <n v="2.8577813034202051"/>
    <n v="68.586751282084933"/>
    <n v="25034.164217960999"/>
  </r>
  <r>
    <d v="2021-02-18T07:24:00"/>
    <x v="1"/>
    <s v=""/>
    <x v="2"/>
    <x v="25"/>
    <x v="0"/>
    <s v="2/2021"/>
    <s v="18/2/2021"/>
    <d v="1899-12-30T10:41:00"/>
    <n v="0.44513888889196096"/>
    <d v="1900-03-02T14:24:00"/>
    <n v="62.599999999998545"/>
    <m/>
    <m/>
    <n v="0"/>
    <n v="182700"/>
    <n v="7"/>
    <n v="15.725429017052159"/>
    <n v="2941"/>
    <n v="120775"/>
    <n v="14"/>
    <n v="31.450858034104318"/>
    <n v="1343"/>
    <n v="21"/>
    <n v="4284"/>
    <n v="1.9656786271315199"/>
    <n v="47.176287051156478"/>
    <n v="17219.344773672114"/>
    <n v="2.8514376996805773"/>
    <n v="68.434504792333854"/>
    <n v="24978.594249201858"/>
  </r>
  <r>
    <d v="2021-02-18T15:37:00"/>
    <x v="1"/>
    <s v=""/>
    <x v="2"/>
    <x v="25"/>
    <x v="0"/>
    <s v="2/2021"/>
    <s v="18/2/2021"/>
    <d v="1899-12-30T08:13:00"/>
    <n v="0.34236111110658385"/>
    <d v="1900-03-02T22:37:00"/>
    <n v="62.942361111105129"/>
    <m/>
    <m/>
    <n v="0"/>
    <n v="182723"/>
    <n v="23"/>
    <n v="67.180527384255512"/>
    <n v="2964"/>
    <n v="120775"/>
    <n v="0"/>
    <n v="0"/>
    <n v="1343"/>
    <n v="23"/>
    <n v="4307"/>
    <n v="2.7991886410106464"/>
    <n v="67.180527384255512"/>
    <n v="24520.892495253262"/>
    <n v="2.8511535024330521"/>
    <n v="68.427684058393254"/>
    <n v="24976.104681313536"/>
  </r>
  <r>
    <d v="2021-02-19T07:33:00"/>
    <x v="1"/>
    <s v=""/>
    <x v="2"/>
    <x v="26"/>
    <x v="5"/>
    <s v="2/2021"/>
    <s v="19/2/2021"/>
    <d v="1899-12-30T15:56:00"/>
    <n v="0.66388888889196096"/>
    <d v="1900-03-03T14:33:00"/>
    <n v="63.60624999999709"/>
    <m/>
    <m/>
    <n v="0"/>
    <n v="182741"/>
    <n v="18"/>
    <n v="27.112970711171609"/>
    <n v="2982"/>
    <n v="120793"/>
    <n v="18"/>
    <n v="27.112970711171609"/>
    <n v="1361"/>
    <n v="36"/>
    <n v="4343"/>
    <n v="2.2594142259309673"/>
    <n v="54.225941422343219"/>
    <n v="19792.468619155276"/>
    <n v="2.8449772362518089"/>
    <n v="68.279453670043409"/>
    <n v="24922.000589565843"/>
  </r>
  <r>
    <d v="2021-02-19T13:35:00"/>
    <x v="1"/>
    <s v=""/>
    <x v="2"/>
    <x v="26"/>
    <x v="5"/>
    <s v="2/2021"/>
    <s v="19/2/2021"/>
    <d v="1899-12-30T06:02:00"/>
    <n v="0.25138888888614019"/>
    <d v="1900-03-03T20:35:00"/>
    <n v="63.85763888888323"/>
    <m/>
    <m/>
    <n v="0"/>
    <n v="182751"/>
    <n v="10"/>
    <n v="39.779005525296824"/>
    <n v="2992"/>
    <n v="120793"/>
    <n v="0"/>
    <n v="0"/>
    <n v="1361"/>
    <n v="10"/>
    <n v="4353"/>
    <n v="1.6574585635540342"/>
    <n v="39.779005525296824"/>
    <n v="14519.337016733341"/>
    <n v="2.8403023217880827"/>
    <n v="68.167255722913978"/>
    <n v="24881.048338863602"/>
  </r>
  <r>
    <d v="2021-02-19T16:10:00"/>
    <x v="1"/>
    <s v=""/>
    <x v="2"/>
    <x v="26"/>
    <x v="5"/>
    <s v="2/2021"/>
    <s v="19/2/2021"/>
    <d v="1899-12-30T02:35:00"/>
    <n v="0.10763888889050577"/>
    <d v="1900-03-03T23:10:00"/>
    <n v="63.965277777773736"/>
    <m/>
    <m/>
    <n v="0"/>
    <n v="182752"/>
    <n v="1"/>
    <n v="9.2903225805056078"/>
    <n v="2993"/>
    <n v="120793"/>
    <n v="0"/>
    <n v="0"/>
    <n v="1361"/>
    <n v="1"/>
    <n v="4354"/>
    <n v="0.38709677418773369"/>
    <n v="9.2903225805056078"/>
    <n v="3390.9677418845467"/>
    <n v="2.836174139615856"/>
    <n v="68.068179350780554"/>
    <n v="24844.885463034901"/>
  </r>
  <r>
    <d v="2021-02-19T17:45:00"/>
    <x v="1"/>
    <s v=""/>
    <x v="2"/>
    <x v="26"/>
    <x v="5"/>
    <s v="2/2021"/>
    <s v="19/2/2021"/>
    <d v="1899-12-30T01:35:00"/>
    <n v="6.5972222226264421E-2"/>
    <d v="1900-03-04T00:45:00"/>
    <n v="64.03125"/>
    <m/>
    <m/>
    <n v="0"/>
    <n v="182755"/>
    <n v="3"/>
    <n v="45.473684207740085"/>
    <n v="2996"/>
    <n v="120793"/>
    <n v="0"/>
    <n v="0"/>
    <n v="1361"/>
    <n v="3"/>
    <n v="4357"/>
    <n v="1.8947368419891704"/>
    <n v="45.473684207740085"/>
    <n v="16597.894735825132"/>
    <n v="2.8352041646331543"/>
    <n v="68.044899951195703"/>
    <n v="24836.38848218643"/>
  </r>
  <r>
    <d v="2021-02-20T08:29:00"/>
    <x v="1"/>
    <s v=""/>
    <x v="2"/>
    <x v="27"/>
    <x v="6"/>
    <s v="2/2021"/>
    <s v="20/2/2021"/>
    <d v="1899-12-30T14:44:00"/>
    <n v="0.61388888888905058"/>
    <d v="1900-03-04T15:29:00"/>
    <n v="64.645138888889051"/>
    <m/>
    <m/>
    <n v="0"/>
    <n v="182768"/>
    <n v="13"/>
    <n v="21.176470588229716"/>
    <n v="3009"/>
    <n v="120809"/>
    <n v="16"/>
    <n v="26.063348416282729"/>
    <n v="1377"/>
    <n v="29"/>
    <n v="4386"/>
    <n v="1.9683257918546853"/>
    <n v="47.239819004512448"/>
    <n v="17242.533936647043"/>
    <n v="2.8269720375124812"/>
    <n v="67.847328900299544"/>
    <n v="24764.275048609335"/>
  </r>
  <r>
    <d v="2021-02-20T13:37:00"/>
    <x v="1"/>
    <s v=""/>
    <x v="2"/>
    <x v="27"/>
    <x v="6"/>
    <s v="2/2021"/>
    <s v="20/2/2021"/>
    <d v="1899-12-30T05:08:00"/>
    <n v="0.21388888888759539"/>
    <d v="1900-03-04T20:37:00"/>
    <n v="64.859027777776646"/>
    <m/>
    <m/>
    <n v="0"/>
    <n v="182781"/>
    <n v="13"/>
    <n v="60.779220779588343"/>
    <n v="3022"/>
    <n v="120809"/>
    <n v="0"/>
    <n v="0"/>
    <n v="1377"/>
    <n v="13"/>
    <n v="4399"/>
    <n v="2.5324675324828476"/>
    <n v="60.779220779588343"/>
    <n v="22184.415584549744"/>
    <n v="2.8260008351446473"/>
    <n v="67.824020043471535"/>
    <n v="24755.76731586711"/>
  </r>
  <r>
    <d v="2021-02-21T17:40:00"/>
    <x v="1"/>
    <s v=""/>
    <x v="2"/>
    <x v="28"/>
    <x v="1"/>
    <s v="2/2021"/>
    <s v="21/2/2021"/>
    <d v="1899-12-31T04:03:00"/>
    <n v="1.1687499999970896"/>
    <d v="1900-03-06T00:40:00"/>
    <n v="66.027777777773736"/>
    <m/>
    <m/>
    <n v="0"/>
    <n v="182786"/>
    <n v="5"/>
    <n v="4.2780748663208135"/>
    <n v="3027"/>
    <n v="120811"/>
    <n v="2"/>
    <n v="1.7112299465283254"/>
    <n v="1379"/>
    <n v="7"/>
    <n v="4406"/>
    <n v="0.24955436720204746"/>
    <n v="5.9893048128491388"/>
    <n v="2186.0962566899357"/>
    <n v="2.7803954564578901"/>
    <n v="66.729490954989359"/>
    <n v="24356.264198571116"/>
  </r>
  <r>
    <d v="2021-02-22T08:22:00"/>
    <x v="1"/>
    <s v=""/>
    <x v="2"/>
    <x v="29"/>
    <x v="2"/>
    <s v="2/2021"/>
    <s v="22/2/2021"/>
    <d v="1899-12-30T14:42:00"/>
    <n v="0.61250000000291038"/>
    <d v="1900-03-06T15:22:00"/>
    <n v="66.640277777776646"/>
    <m/>
    <m/>
    <n v="0"/>
    <n v="182806"/>
    <n v="20"/>
    <n v="32.653061224334643"/>
    <n v="3047"/>
    <n v="120826"/>
    <n v="15"/>
    <n v="24.48979591825098"/>
    <n v="1394"/>
    <n v="35"/>
    <n v="4441"/>
    <n v="2.3809523809410673"/>
    <n v="57.142857142585619"/>
    <n v="20857.142857043749"/>
    <n v="2.7767241199641997"/>
    <n v="66.641378879140788"/>
    <n v="24324.103290886389"/>
  </r>
  <r>
    <d v="2021-02-22T13:20:00"/>
    <x v="1"/>
    <s v=""/>
    <x v="2"/>
    <x v="29"/>
    <x v="2"/>
    <s v="2/2021"/>
    <s v="22/2/2021"/>
    <d v="1899-12-30T04:58:00"/>
    <n v="0.2069444444423425"/>
    <d v="1900-03-06T20:20:00"/>
    <n v="66.847222222218988"/>
    <m/>
    <m/>
    <n v="0"/>
    <n v="182817"/>
    <n v="11"/>
    <n v="53.154362416647274"/>
    <n v="3058"/>
    <n v="120826"/>
    <n v="0"/>
    <n v="0"/>
    <n v="1394"/>
    <n v="11"/>
    <n v="4452"/>
    <n v="2.2147651006936364"/>
    <n v="53.154362416647274"/>
    <n v="19401.342282076253"/>
    <n v="2.7749844172035418"/>
    <n v="66.599626012884997"/>
    <n v="24308.863494703022"/>
  </r>
  <r>
    <d v="2021-02-22T23:04:00"/>
    <x v="1"/>
    <s v=""/>
    <x v="2"/>
    <x v="29"/>
    <x v="2"/>
    <s v="2/2021"/>
    <s v="22/2/2021"/>
    <d v="1899-12-30T09:44:00"/>
    <n v="0.40555555555329192"/>
    <d v="1900-03-07T06:04:00"/>
    <n v="67.25277777777228"/>
    <m/>
    <m/>
    <n v="0"/>
    <n v="182834"/>
    <n v="17"/>
    <n v="41.917808219412052"/>
    <n v="3075"/>
    <n v="120827"/>
    <n v="1"/>
    <n v="2.4657534246712971"/>
    <n v="1395"/>
    <n v="18"/>
    <n v="4470"/>
    <n v="1.8493150685034727"/>
    <n v="44.383561644083343"/>
    <n v="16200.00000009042"/>
    <n v="2.7694023377805741"/>
    <n v="66.465656106733775"/>
    <n v="24259.964478957827"/>
  </r>
  <r>
    <d v="2021-02-23T06:30:00"/>
    <x v="1"/>
    <s v=""/>
    <x v="2"/>
    <x v="30"/>
    <x v="3"/>
    <s v="2/2021"/>
    <s v="23/2/2021"/>
    <d v="1899-12-30T07:26:00"/>
    <n v="0.30972222222771961"/>
    <d v="1900-03-07T13:30:00"/>
    <n v="67.5625"/>
    <m/>
    <m/>
    <n v="0"/>
    <n v="182834"/>
    <n v="0"/>
    <n v="0"/>
    <n v="3075"/>
    <n v="120841"/>
    <n v="14"/>
    <n v="45.201793721170787"/>
    <n v="1409"/>
    <n v="14"/>
    <n v="4484"/>
    <n v="1.8834080717154495"/>
    <n v="45.201793721170787"/>
    <n v="16498.654708227339"/>
    <n v="2.7653407338883751"/>
    <n v="66.368177613320995"/>
    <n v="24224.384828862163"/>
  </r>
  <r>
    <d v="2021-02-23T13:21:00"/>
    <x v="1"/>
    <s v=""/>
    <x v="2"/>
    <x v="30"/>
    <x v="3"/>
    <s v="2/2021"/>
    <s v="23/2/2021"/>
    <d v="1899-12-30T06:51:00"/>
    <n v="0.28541666666569654"/>
    <d v="1900-03-07T20:21:00"/>
    <n v="67.847916666665697"/>
    <m/>
    <m/>
    <n v="0"/>
    <n v="182845"/>
    <n v="11"/>
    <n v="38.540145985532455"/>
    <n v="3086"/>
    <n v="120841"/>
    <n v="0"/>
    <n v="0"/>
    <n v="1409"/>
    <n v="11"/>
    <n v="4495"/>
    <n v="1.6058394160638525"/>
    <n v="38.540145985532455"/>
    <n v="14067.153284719347"/>
    <n v="2.760463045414109"/>
    <n v="66.251113089938613"/>
    <n v="24181.656277827595"/>
  </r>
  <r>
    <d v="2021-02-23T23:06:00"/>
    <x v="1"/>
    <s v=""/>
    <x v="2"/>
    <x v="30"/>
    <x v="3"/>
    <s v="2/2021"/>
    <s v="23/2/2021"/>
    <d v="1899-12-30T09:45:00"/>
    <n v="0.40625"/>
    <d v="1900-03-08T06:06:00"/>
    <n v="68.254166666665697"/>
    <m/>
    <m/>
    <n v="0"/>
    <n v="182860"/>
    <n v="15"/>
    <n v="36.92307692307692"/>
    <n v="3101"/>
    <n v="120842"/>
    <n v="1"/>
    <n v="2.4615384615384617"/>
    <n v="1410"/>
    <n v="16"/>
    <n v="4511"/>
    <n v="1.641025641025641"/>
    <n v="39.384615384615387"/>
    <n v="14375.384615384617"/>
    <n v="2.7538001343019745"/>
    <n v="66.09120322324739"/>
    <n v="24123.289176485298"/>
  </r>
  <r>
    <d v="2021-02-24T06:54:00"/>
    <x v="1"/>
    <s v=""/>
    <x v="2"/>
    <x v="1"/>
    <x v="4"/>
    <s v="2/2021"/>
    <s v="24/2/2021"/>
    <d v="1899-12-30T07:48:00"/>
    <n v="0.32499999999708962"/>
    <d v="1900-03-08T13:54:00"/>
    <n v="68.579166666662786"/>
    <m/>
    <m/>
    <n v="0"/>
    <n v="182860"/>
    <n v="0"/>
    <n v="0"/>
    <n v="3101"/>
    <n v="120853"/>
    <n v="11"/>
    <n v="33.846153846456936"/>
    <n v="1421"/>
    <n v="11"/>
    <n v="4522"/>
    <n v="1.4102564102690391"/>
    <n v="33.846153846456936"/>
    <n v="12353.846153956782"/>
    <n v="2.7474330153716848"/>
    <n v="65.938392368920432"/>
    <n v="24067.513214655959"/>
  </r>
  <r>
    <d v="2021-02-24T13:51:00"/>
    <x v="1"/>
    <s v=""/>
    <x v="2"/>
    <x v="1"/>
    <x v="4"/>
    <s v="2/2021"/>
    <s v="24/2/2021"/>
    <d v="1899-12-30T06:57:00"/>
    <n v="0.28958333333139308"/>
    <d v="1900-03-08T20:51:00"/>
    <n v="68.868749999994179"/>
    <m/>
    <m/>
    <n v="0"/>
    <n v="182874"/>
    <n v="14"/>
    <n v="48.345323741331114"/>
    <n v="3115"/>
    <n v="120853"/>
    <n v="0"/>
    <n v="0"/>
    <n v="1421"/>
    <n v="14"/>
    <n v="4536"/>
    <n v="2.0143884892221298"/>
    <n v="48.345323741331114"/>
    <n v="17646.043165585856"/>
    <n v="2.744350667029908"/>
    <n v="65.864416008717797"/>
    <n v="24040.511843181997"/>
  </r>
  <r>
    <d v="2021-02-24T22:32:00"/>
    <x v="1"/>
    <s v=""/>
    <x v="2"/>
    <x v="1"/>
    <x v="4"/>
    <s v="2/2021"/>
    <s v="24/2/2021"/>
    <d v="1899-12-30T08:41:00"/>
    <n v="0.36180555555620231"/>
    <d v="1900-03-09T05:32:00"/>
    <n v="69.230555555550382"/>
    <m/>
    <m/>
    <n v="0"/>
    <n v="182883"/>
    <n v="9"/>
    <n v="24.875239923180104"/>
    <n v="3124"/>
    <n v="120853"/>
    <n v="0"/>
    <n v="0"/>
    <n v="1421"/>
    <n v="9"/>
    <n v="4545"/>
    <n v="1.0364683301325042"/>
    <n v="24.875239923180104"/>
    <n v="9079.4625719607375"/>
    <n v="2.7354251093369615"/>
    <n v="65.650202624087086"/>
    <n v="23962.323957791785"/>
  </r>
  <r>
    <d v="2021-02-25T06:11:00"/>
    <x v="1"/>
    <s v=""/>
    <x v="2"/>
    <x v="2"/>
    <x v="0"/>
    <s v="2/2021"/>
    <s v="25/2/2021"/>
    <d v="1899-12-30T07:39:00"/>
    <n v="0.31875000000582077"/>
    <d v="1900-03-09T13:11:00"/>
    <n v="69.549305555556202"/>
    <m/>
    <m/>
    <n v="0"/>
    <n v="182883"/>
    <n v="0"/>
    <n v="0"/>
    <n v="3124"/>
    <n v="120855"/>
    <n v="2"/>
    <n v="6.2745098038069882"/>
    <n v="1423"/>
    <n v="2"/>
    <n v="4547"/>
    <n v="0.26143790849195786"/>
    <n v="6.2745098038069882"/>
    <n v="2290.1960783895506"/>
    <n v="2.7240866291898977"/>
    <n v="65.378079100557542"/>
    <n v="23862.998871703501"/>
  </r>
  <r>
    <d v="2021-02-25T16:19:00"/>
    <x v="1"/>
    <s v=""/>
    <x v="2"/>
    <x v="2"/>
    <x v="0"/>
    <s v="2/2021"/>
    <s v="25/2/2021"/>
    <d v="1899-12-30T10:08:00"/>
    <n v="0.42222222221607808"/>
    <d v="1900-03-09T23:19:00"/>
    <n v="69.97152777777228"/>
    <m/>
    <m/>
    <n v="0"/>
    <n v="182899"/>
    <n v="16"/>
    <n v="37.894736842656705"/>
    <n v="3140"/>
    <n v="120856"/>
    <n v="1"/>
    <n v="2.3684210526660441"/>
    <n v="1424"/>
    <n v="17"/>
    <n v="4564"/>
    <n v="1.6776315789717813"/>
    <n v="40.263157895322749"/>
    <n v="14696.052631792803"/>
    <n v="2.7177721096876857"/>
    <n v="65.226530632504449"/>
    <n v="23807.683680864124"/>
  </r>
  <r>
    <d v="2021-02-25T22:56:00"/>
    <x v="1"/>
    <s v=""/>
    <x v="2"/>
    <x v="2"/>
    <x v="0"/>
    <s v="2/2021"/>
    <s v="25/2/2021"/>
    <d v="1899-12-30T06:37:00"/>
    <n v="0.27569444444816327"/>
    <d v="1900-03-10T05:56:00"/>
    <n v="70.247222222220444"/>
    <m/>
    <m/>
    <n v="0"/>
    <n v="182911"/>
    <n v="12"/>
    <n v="43.52644836213328"/>
    <n v="3152"/>
    <n v="120857"/>
    <n v="1"/>
    <n v="3.627204030177773"/>
    <n v="1425"/>
    <n v="13"/>
    <n v="4577"/>
    <n v="1.9647355163462938"/>
    <n v="47.153652392311052"/>
    <n v="17211.083123193534"/>
    <n v="2.7148167187315329"/>
    <n v="65.155601249556796"/>
    <n v="23781.794456088232"/>
  </r>
  <r>
    <d v="2021-02-26T06:43:00"/>
    <x v="1"/>
    <s v=""/>
    <x v="2"/>
    <x v="3"/>
    <x v="5"/>
    <s v="2/2021"/>
    <s v="26/2/2021"/>
    <d v="1899-12-30T07:47:00"/>
    <n v="0.3243055555576575"/>
    <d v="1900-03-10T13:43:00"/>
    <n v="70.571527777778101"/>
    <m/>
    <m/>
    <n v="0"/>
    <n v="182912"/>
    <n v="1"/>
    <n v="3.083511777281942"/>
    <n v="3153"/>
    <n v="120868"/>
    <n v="11"/>
    <n v="33.918629550101357"/>
    <n v="1436"/>
    <n v="12"/>
    <n v="4589"/>
    <n v="1.541755888640971"/>
    <n v="37.002141327383299"/>
    <n v="13505.781584494904"/>
    <n v="2.7094260157641354"/>
    <n v="65.026224378339251"/>
    <n v="23734.571898093825"/>
  </r>
  <r>
    <d v="2021-02-26T13:59:00"/>
    <x v="1"/>
    <s v=""/>
    <x v="2"/>
    <x v="3"/>
    <x v="5"/>
    <s v="2/2021"/>
    <s v="26/2/2021"/>
    <d v="1899-12-30T07:16:00"/>
    <n v="0.30277777777519077"/>
    <d v="1900-03-10T20:59:00"/>
    <n v="70.874305555553292"/>
    <m/>
    <m/>
    <n v="0"/>
    <n v="182926"/>
    <n v="14"/>
    <n v="46.238532110486815"/>
    <n v="3167"/>
    <n v="120868"/>
    <n v="0"/>
    <n v="0"/>
    <n v="1436"/>
    <n v="14"/>
    <n v="4603"/>
    <n v="1.9266055046036175"/>
    <n v="46.238532110486815"/>
    <n v="16877.064220327688"/>
    <n v="2.7060817762275629"/>
    <n v="64.945962629461505"/>
    <n v="23705.27635975345"/>
  </r>
  <r>
    <d v="2021-02-27T08:40:00"/>
    <x v="1"/>
    <s v=""/>
    <x v="2"/>
    <x v="4"/>
    <x v="6"/>
    <s v="2/2021"/>
    <s v="27/2/2021"/>
    <d v="1899-12-30T18:41:00"/>
    <n v="0.77847222222044365"/>
    <d v="1900-03-11T15:40:00"/>
    <n v="71.652777777773736"/>
    <m/>
    <m/>
    <n v="0"/>
    <n v="182948"/>
    <n v="22"/>
    <n v="28.260481712821033"/>
    <n v="3189"/>
    <n v="120888"/>
    <n v="20"/>
    <n v="25.691347011655484"/>
    <n v="1456"/>
    <n v="42"/>
    <n v="4645"/>
    <n v="2.2479928635198552"/>
    <n v="53.95182872447652"/>
    <n v="19692.417484433929"/>
    <n v="2.7011048652841221"/>
    <n v="64.826516766818926"/>
    <n v="23661.678619888909"/>
  </r>
  <r>
    <d v="2021-02-27T13:48:00"/>
    <x v="1"/>
    <s v=""/>
    <x v="2"/>
    <x v="4"/>
    <x v="6"/>
    <s v="2/2021"/>
    <s v="27/2/2021"/>
    <d v="1899-12-30T05:08:00"/>
    <n v="0.21388888888759539"/>
    <d v="1900-03-11T20:48:00"/>
    <n v="71.866666666661331"/>
    <m/>
    <m/>
    <n v="0"/>
    <n v="182962"/>
    <n v="14"/>
    <n v="65.454545454941297"/>
    <n v="3203"/>
    <n v="120888"/>
    <n v="0"/>
    <n v="0"/>
    <n v="1456"/>
    <n v="14"/>
    <n v="4659"/>
    <n v="2.7272727272892205"/>
    <n v="65.454545454941297"/>
    <n v="23890.909091053574"/>
    <n v="2.7011827458258035"/>
    <n v="64.828385899819281"/>
    <n v="23662.360853434038"/>
  </r>
  <r>
    <d v="2021-02-28T08:05:00"/>
    <x v="1"/>
    <s v=""/>
    <x v="2"/>
    <x v="5"/>
    <x v="1"/>
    <s v="2/2021"/>
    <s v="28/2/2021"/>
    <d v="1899-12-30T18:17:00"/>
    <n v="0.7618055555576575"/>
    <d v="1900-03-12T15:05:00"/>
    <n v="72.628472222218988"/>
    <m/>
    <m/>
    <n v="0"/>
    <n v="182988"/>
    <n v="26"/>
    <n v="34.129443937918595"/>
    <n v="3229"/>
    <n v="120909"/>
    <n v="21"/>
    <n v="27.566089334472711"/>
    <n v="1477"/>
    <n v="47"/>
    <n v="4706"/>
    <n v="2.5706472196829711"/>
    <n v="61.695533272391302"/>
    <n v="22518.869644422826"/>
    <n v="2.6998135487881871"/>
    <n v="64.795525170916491"/>
    <n v="23650.366687384518"/>
  </r>
  <r>
    <d v="2021-02-28T23:35:00"/>
    <x v="1"/>
    <s v=""/>
    <x v="2"/>
    <x v="5"/>
    <x v="1"/>
    <s v="2/2021"/>
    <s v="28/2/2021"/>
    <d v="1899-12-30T15:30:00"/>
    <n v="0.64583333333575865"/>
    <d v="1900-03-13T06:35:00"/>
    <n v="73.274305555554747"/>
    <m/>
    <m/>
    <n v="0"/>
    <n v="183028"/>
    <n v="40"/>
    <n v="61.935483870735155"/>
    <n v="3269"/>
    <n v="120911"/>
    <n v="2"/>
    <n v="3.0967741935367576"/>
    <n v="1479"/>
    <n v="42"/>
    <n v="4748"/>
    <n v="2.7096774193446631"/>
    <n v="65.032258064271915"/>
    <n v="23736.774193459249"/>
    <n v="2.6999004880822928"/>
    <n v="64.79761171397503"/>
    <n v="23651.128275600888"/>
  </r>
  <r>
    <d v="2021-03-01T07:19:00"/>
    <x v="1"/>
    <s v=""/>
    <x v="3"/>
    <x v="9"/>
    <x v="2"/>
    <s v="3/2021"/>
    <s v="1/3/2021"/>
    <d v="1899-12-30T07:44:00"/>
    <n v="0.32222222221753327"/>
    <d v="1900-03-13T14:19:00"/>
    <n v="73.59652777777228"/>
    <m/>
    <m/>
    <n v="0"/>
    <n v="183031"/>
    <n v="3"/>
    <n v="9.3103448277216909"/>
    <n v="3272"/>
    <n v="120929"/>
    <n v="18"/>
    <n v="55.862068966330142"/>
    <n v="1497"/>
    <n v="21"/>
    <n v="4769"/>
    <n v="2.7155172414188264"/>
    <n v="65.172413794051835"/>
    <n v="23787.931034828918"/>
    <n v="2.6999688617558326"/>
    <n v="64.799252682139979"/>
    <n v="23651.727228981094"/>
  </r>
  <r>
    <d v="2021-03-01T13:49:00"/>
    <x v="1"/>
    <s v=""/>
    <x v="3"/>
    <x v="9"/>
    <x v="2"/>
    <s v="3/2021"/>
    <s v="1/3/2021"/>
    <d v="1899-12-30T06:30:00"/>
    <n v="0.27083333333575865"/>
    <d v="1900-03-13T20:49:00"/>
    <n v="73.867361111108039"/>
    <m/>
    <m/>
    <n v="0"/>
    <n v="183048"/>
    <n v="17"/>
    <n v="62.76923076866867"/>
    <n v="3289"/>
    <n v="120929"/>
    <n v="0"/>
    <n v="0"/>
    <n v="1497"/>
    <n v="17"/>
    <n v="4786"/>
    <n v="2.6153846153611946"/>
    <n v="62.76923076866867"/>
    <n v="22910.769230564063"/>
    <n v="2.6996587351579122"/>
    <n v="64.79180964378989"/>
    <n v="23649.010519983309"/>
  </r>
  <r>
    <d v="2021-03-01T23:25:00"/>
    <x v="1"/>
    <s v=""/>
    <x v="3"/>
    <x v="9"/>
    <x v="2"/>
    <s v="3/2021"/>
    <s v="1/3/2021"/>
    <d v="1899-12-30T09:36:00"/>
    <n v="0.40000000000145519"/>
    <d v="1900-03-14T06:25:00"/>
    <n v="74.267361111109494"/>
    <m/>
    <m/>
    <n v="0"/>
    <n v="183065"/>
    <n v="17"/>
    <n v="42.499999999845386"/>
    <n v="3306"/>
    <n v="120931"/>
    <n v="2"/>
    <n v="4.9999999999818101"/>
    <n v="1499"/>
    <n v="19"/>
    <n v="4805"/>
    <n v="1.9791666666594665"/>
    <n v="47.499999999827196"/>
    <n v="17337.499999936925"/>
    <n v="2.6957782037496494"/>
    <n v="64.698676889991589"/>
    <n v="23615.017064846928"/>
  </r>
  <r>
    <d v="2021-03-02T07:22:00"/>
    <x v="1"/>
    <s v=""/>
    <x v="3"/>
    <x v="10"/>
    <x v="3"/>
    <s v="3/2021"/>
    <s v="2/3/2021"/>
    <d v="1899-12-30T07:57:00"/>
    <n v="0.33124999999563443"/>
    <d v="1900-03-14T14:22:00"/>
    <n v="74.598611111105129"/>
    <m/>
    <m/>
    <n v="0"/>
    <n v="183067"/>
    <n v="2"/>
    <n v="6.0377358491361752"/>
    <n v="3308"/>
    <n v="120945"/>
    <n v="14"/>
    <n v="42.264150943953233"/>
    <n v="1513"/>
    <n v="16"/>
    <n v="4821"/>
    <n v="2.0125786163787254"/>
    <n v="48.301886793089402"/>
    <n v="17630.188679477633"/>
    <n v="2.6927445029884307"/>
    <n v="64.625868071722337"/>
    <n v="23588.441846178652"/>
  </r>
  <r>
    <d v="2021-03-02T14:55:00"/>
    <x v="1"/>
    <s v=""/>
    <x v="3"/>
    <x v="10"/>
    <x v="3"/>
    <s v="3/2021"/>
    <s v="2/3/2021"/>
    <d v="1899-12-30T07:33:00"/>
    <n v="0.31458333334012423"/>
    <d v="1900-03-14T21:55:00"/>
    <n v="74.913194444445253"/>
    <m/>
    <m/>
    <n v="0"/>
    <n v="183084"/>
    <n v="17"/>
    <n v="54.039735098171192"/>
    <n v="3325"/>
    <n v="120945"/>
    <n v="0"/>
    <n v="0"/>
    <n v="1513"/>
    <n v="17"/>
    <n v="4838"/>
    <n v="2.2516556290904663"/>
    <n v="54.039735098171192"/>
    <n v="19724.503310832486"/>
    <n v="2.6908922363846757"/>
    <n v="64.581413673232205"/>
    <n v="23572.215990729754"/>
  </r>
  <r>
    <d v="2021-03-02T22:42:00"/>
    <x v="1"/>
    <s v=""/>
    <x v="3"/>
    <x v="10"/>
    <x v="3"/>
    <s v="3/2021"/>
    <s v="2/3/2021"/>
    <d v="1899-12-30T07:47:00"/>
    <n v="0.32430555555038154"/>
    <d v="1900-03-15T05:42:00"/>
    <n v="75.237499999995634"/>
    <m/>
    <m/>
    <n v="0"/>
    <n v="183097"/>
    <n v="13"/>
    <n v="40.085653105564589"/>
    <n v="3338"/>
    <n v="120945"/>
    <n v="0"/>
    <n v="0"/>
    <n v="1513"/>
    <n v="13"/>
    <n v="4851"/>
    <n v="1.670235546065191"/>
    <n v="40.085653105564589"/>
    <n v="14631.263383531075"/>
    <n v="2.6864927728860173"/>
    <n v="64.475826549264411"/>
    <n v="23533.676690481509"/>
  </r>
  <r>
    <d v="2021-03-03T07:02:00"/>
    <x v="1"/>
    <s v=""/>
    <x v="3"/>
    <x v="11"/>
    <x v="4"/>
    <s v="3/2021"/>
    <s v="3/3/2021"/>
    <d v="1899-12-30T08:20:00"/>
    <n v="0.34722222222626442"/>
    <d v="1900-03-15T14:02:00"/>
    <n v="75.584722222221899"/>
    <m/>
    <m/>
    <n v="0"/>
    <n v="183098"/>
    <n v="1"/>
    <n v="2.8799999999664725"/>
    <n v="3339"/>
    <n v="120960"/>
    <n v="15"/>
    <n v="43.199999999497088"/>
    <n v="1528"/>
    <n v="16"/>
    <n v="4867"/>
    <n v="1.9199999999776483"/>
    <n v="46.07999999946356"/>
    <n v="16819.199999804201"/>
    <n v="2.6829716469745248"/>
    <n v="64.391319527388603"/>
    <n v="23502.831627496842"/>
  </r>
  <r>
    <d v="2021-03-03T14:11:00"/>
    <x v="1"/>
    <s v=""/>
    <x v="3"/>
    <x v="11"/>
    <x v="4"/>
    <s v="3/2021"/>
    <s v="3/3/2021"/>
    <d v="1899-12-30T07:09:00"/>
    <n v="0.29791666666278616"/>
    <d v="1900-03-15T21:11:00"/>
    <n v="75.882638888884685"/>
    <m/>
    <m/>
    <n v="0"/>
    <n v="183113"/>
    <n v="15"/>
    <n v="50.349650350306177"/>
    <n v="3354"/>
    <n v="120960"/>
    <n v="0"/>
    <n v="0"/>
    <n v="1528"/>
    <n v="15"/>
    <n v="4882"/>
    <n v="2.0979020979294241"/>
    <n v="50.349650350306177"/>
    <n v="18377.622377861753"/>
    <n v="2.6806746529272747"/>
    <n v="64.336191670254593"/>
    <n v="23482.709959642925"/>
  </r>
  <r>
    <d v="2021-03-04T06:56:00"/>
    <x v="1"/>
    <s v=""/>
    <x v="3"/>
    <x v="12"/>
    <x v="0"/>
    <s v="3/2021"/>
    <s v="4/3/2021"/>
    <d v="1899-12-30T16:45:00"/>
    <n v="0.69791666667151731"/>
    <d v="1900-03-16T13:56:00"/>
    <n v="76.580555555556202"/>
    <m/>
    <m/>
    <n v="0"/>
    <n v="183126"/>
    <n v="13"/>
    <n v="18.626865671512331"/>
    <n v="3367"/>
    <n v="120977"/>
    <n v="17"/>
    <n v="24.358208955054586"/>
    <n v="1545"/>
    <n v="30"/>
    <n v="4912"/>
    <n v="1.791044776106955"/>
    <n v="42.98507462656692"/>
    <n v="15689.552238696926"/>
    <n v="2.6725670136747572"/>
    <n v="64.141608328194167"/>
    <n v="23411.687039790871"/>
  </r>
  <r>
    <d v="2021-03-04T13:37:00"/>
    <x v="1"/>
    <s v=""/>
    <x v="3"/>
    <x v="12"/>
    <x v="0"/>
    <s v="3/2021"/>
    <s v="4/3/2021"/>
    <d v="1899-12-30T06:41:00"/>
    <n v="0.27847222222044365"/>
    <d v="1900-03-16T20:37:00"/>
    <n v="76.859027777776646"/>
    <m/>
    <m/>
    <n v="0"/>
    <n v="183141"/>
    <n v="15"/>
    <n v="53.865336658698148"/>
    <n v="3382"/>
    <n v="120977"/>
    <n v="0"/>
    <n v="0"/>
    <n v="1545"/>
    <n v="15"/>
    <n v="4927"/>
    <n v="2.2443890274457559"/>
    <n v="53.865336658698148"/>
    <n v="19660.847880424823"/>
    <n v="2.6710156581765347"/>
    <n v="64.104375796236837"/>
    <n v="23398.097165626445"/>
  </r>
  <r>
    <d v="2021-03-04T22:56:00"/>
    <x v="1"/>
    <s v=""/>
    <x v="3"/>
    <x v="12"/>
    <x v="0"/>
    <s v="3/2021"/>
    <s v="4/3/2021"/>
    <d v="1899-12-30T09:19:00"/>
    <n v="0.38819444444379769"/>
    <d v="1900-03-17T05:56:00"/>
    <n v="77.247222222220444"/>
    <m/>
    <m/>
    <n v="0"/>
    <n v="183154"/>
    <n v="13"/>
    <n v="33.48837209307905"/>
    <n v="3395"/>
    <n v="120978"/>
    <n v="1"/>
    <n v="2.5760286225445421"/>
    <n v="1546"/>
    <n v="14"/>
    <n v="4941"/>
    <n v="1.5026833631509831"/>
    <n v="36.064400715623592"/>
    <n v="13163.50626120261"/>
    <n v="2.6651443777195047"/>
    <n v="63.96346506526811"/>
    <n v="23346.664748822859"/>
  </r>
  <r>
    <d v="2021-03-05T07:07:00"/>
    <x v="1"/>
    <s v=""/>
    <x v="3"/>
    <x v="13"/>
    <x v="5"/>
    <s v="3/2021"/>
    <s v="5/3/2021"/>
    <d v="1899-12-30T08:11:00"/>
    <n v="0.34097222222044365"/>
    <d v="1900-03-17T14:07:00"/>
    <n v="77.588194444440887"/>
    <m/>
    <m/>
    <n v="0"/>
    <n v="183155"/>
    <n v="1"/>
    <n v="2.9327902240478845"/>
    <n v="3396"/>
    <n v="120994"/>
    <n v="16"/>
    <n v="46.924643584766152"/>
    <n v="1562"/>
    <n v="17"/>
    <n v="4958"/>
    <n v="2.0773930753672514"/>
    <n v="49.857433808814037"/>
    <n v="18197.963340217124"/>
    <n v="2.6625614220377676"/>
    <n v="63.901474128906415"/>
    <n v="23324.038057050842"/>
  </r>
  <r>
    <d v="2021-03-06T07:45:00"/>
    <x v="1"/>
    <s v=""/>
    <x v="3"/>
    <x v="14"/>
    <x v="6"/>
    <s v="3/2021"/>
    <s v="6/3/2021"/>
    <d v="1899-12-31T00:38:00"/>
    <n v="1.0263888888875954"/>
    <d v="1900-03-18T14:45:00"/>
    <n v="78.614583333328483"/>
    <m/>
    <m/>
    <n v="0"/>
    <n v="183198"/>
    <n v="43"/>
    <n v="41.894451962163757"/>
    <n v="3439"/>
    <n v="121017"/>
    <n v="23"/>
    <n v="22.408660351855033"/>
    <n v="1585"/>
    <n v="66"/>
    <n v="5024"/>
    <n v="2.6792963464174497"/>
    <n v="64.30311231401879"/>
    <n v="23470.63599461686"/>
    <n v="2.6627799125481966"/>
    <n v="63.906717901156718"/>
    <n v="23325.952033922204"/>
  </r>
  <r>
    <d v="2021-03-06T15:53:00"/>
    <x v="1"/>
    <s v=""/>
    <x v="3"/>
    <x v="14"/>
    <x v="6"/>
    <s v="3/2021"/>
    <s v="6/3/2021"/>
    <d v="1899-12-30T08:08:00"/>
    <n v="0.33888888889487134"/>
    <d v="1900-03-18T22:53:00"/>
    <n v="78.953472222223354"/>
    <m/>
    <m/>
    <n v="0"/>
    <n v="183221"/>
    <n v="23"/>
    <n v="67.868852457818292"/>
    <n v="3462"/>
    <n v="121017"/>
    <n v="0"/>
    <n v="0"/>
    <n v="1585"/>
    <n v="23"/>
    <n v="5047"/>
    <n v="2.8278688524090958"/>
    <n v="67.868852457818292"/>
    <n v="24772.131147103675"/>
    <n v="2.6634885173229281"/>
    <n v="63.923724415750272"/>
    <n v="23332.159411748849"/>
  </r>
  <r>
    <d v="2021-03-07T07:32:00"/>
    <x v="1"/>
    <s v=""/>
    <x v="3"/>
    <x v="15"/>
    <x v="1"/>
    <s v="3/2021"/>
    <s v="7/3/2021"/>
    <d v="1899-12-30T15:39:00"/>
    <n v="0.6520833333270275"/>
    <d v="1900-03-19T14:32:00"/>
    <n v="79.605555555550382"/>
    <m/>
    <m/>
    <n v="0"/>
    <n v="183243"/>
    <n v="22"/>
    <n v="33.738019169655331"/>
    <n v="3484"/>
    <n v="121041"/>
    <n v="24"/>
    <n v="36.805111821442175"/>
    <n v="1609"/>
    <n v="46"/>
    <n v="5093"/>
    <n v="2.9392971246290629"/>
    <n v="70.543130991097513"/>
    <n v="25748.242811750591"/>
    <n v="2.6657477842140054"/>
    <n v="63.977946821136129"/>
    <n v="23351.950589714688"/>
  </r>
  <r>
    <d v="2021-03-08T06:53:00"/>
    <x v="1"/>
    <s v=""/>
    <x v="3"/>
    <x v="16"/>
    <x v="2"/>
    <s v="3/2021"/>
    <s v="8/3/2021"/>
    <d v="1899-12-30T23:21:00"/>
    <n v="0.9729166666729725"/>
    <d v="1900-03-20T13:53:00"/>
    <n v="80.578472222223354"/>
    <m/>
    <m/>
    <n v="0"/>
    <n v="183283"/>
    <n v="40"/>
    <n v="41.113490363759226"/>
    <n v="3524"/>
    <n v="121061"/>
    <n v="20"/>
    <n v="20.556745181879613"/>
    <n v="1629"/>
    <n v="60"/>
    <n v="5153"/>
    <n v="2.5695931477349516"/>
    <n v="61.670235545638839"/>
    <n v="22509.635974158176"/>
    <n v="2.6645867985831244"/>
    <n v="63.950083165994982"/>
    <n v="23341.780355588169"/>
  </r>
  <r>
    <d v="2021-03-08T13:57:00"/>
    <x v="1"/>
    <s v=""/>
    <x v="3"/>
    <x v="16"/>
    <x v="2"/>
    <s v="3/2021"/>
    <s v="8/3/2021"/>
    <d v="1899-12-30T07:04:00"/>
    <n v="0.29444444444379769"/>
    <d v="1900-03-20T20:57:00"/>
    <n v="80.872916666667152"/>
    <m/>
    <m/>
    <n v="0"/>
    <n v="183303"/>
    <n v="20"/>
    <n v="67.924528302035995"/>
    <n v="3544"/>
    <n v="121061"/>
    <n v="0"/>
    <n v="0"/>
    <n v="1629"/>
    <n v="20"/>
    <n v="5173"/>
    <n v="2.8301886792514996"/>
    <n v="67.924528302035995"/>
    <n v="24792.452830243139"/>
    <n v="2.665189726680218"/>
    <n v="63.964553440325233"/>
    <n v="23347.062005718712"/>
  </r>
  <r>
    <d v="2021-03-09T07:23:00"/>
    <x v="1"/>
    <s v=""/>
    <x v="3"/>
    <x v="17"/>
    <x v="3"/>
    <s v="3/2021"/>
    <s v="9/3/2021"/>
    <d v="1899-12-30T17:26:00"/>
    <n v="0.726388888884685"/>
    <d v="1900-03-21T14:23:00"/>
    <n v="81.599305555551837"/>
    <m/>
    <m/>
    <n v="0"/>
    <n v="183324"/>
    <n v="21"/>
    <n v="28.910133843379551"/>
    <n v="3565"/>
    <n v="121087"/>
    <n v="26"/>
    <n v="35.793499044184209"/>
    <n v="1655"/>
    <n v="47"/>
    <n v="5220"/>
    <n v="2.6959847036484899"/>
    <n v="64.703632887563757"/>
    <n v="23616.82600396077"/>
    <n v="2.6654638604973004"/>
    <n v="63.971132651935207"/>
    <n v="23349.463417956351"/>
  </r>
  <r>
    <d v="2021-03-09T13:46:00"/>
    <x v="1"/>
    <s v=""/>
    <x v="3"/>
    <x v="17"/>
    <x v="3"/>
    <s v="3/2021"/>
    <s v="9/3/2021"/>
    <d v="1899-12-30T06:23:00"/>
    <n v="0.26597222222335404"/>
    <d v="1900-03-21T20:46:00"/>
    <n v="81.865277777775191"/>
    <m/>
    <m/>
    <n v="0"/>
    <n v="183343"/>
    <n v="19"/>
    <n v="71.436031331288703"/>
    <n v="3584"/>
    <n v="121087"/>
    <n v="0"/>
    <n v="0"/>
    <n v="1655"/>
    <n v="19"/>
    <n v="5239"/>
    <n v="2.9765013054703626"/>
    <n v="71.436031331288703"/>
    <n v="26074.151435920376"/>
    <n v="2.6664743905129527"/>
    <n v="63.995385372310864"/>
    <n v="23358.315660893466"/>
  </r>
  <r>
    <d v="2021-03-10T07:37:00"/>
    <x v="1"/>
    <s v=""/>
    <x v="3"/>
    <x v="18"/>
    <x v="4"/>
    <s v="3/2021"/>
    <s v="10/3/2021"/>
    <d v="1899-12-30T17:51:00"/>
    <n v="0.74375000000145519"/>
    <d v="1900-03-22T14:37:00"/>
    <n v="82.609027777776646"/>
    <m/>
    <m/>
    <n v="0"/>
    <n v="183365"/>
    <n v="22"/>
    <n v="29.579831932715233"/>
    <n v="3606"/>
    <n v="121110"/>
    <n v="23"/>
    <n v="30.924369747838654"/>
    <n v="1678"/>
    <n v="45"/>
    <n v="5284"/>
    <n v="2.521008403356412"/>
    <n v="60.504201680553891"/>
    <n v="22084.033613402171"/>
    <n v="2.6651647233874791"/>
    <n v="63.963953361299495"/>
    <n v="23346.842976874315"/>
  </r>
  <r>
    <d v="2021-03-10T13:56:00"/>
    <x v="1"/>
    <s v=""/>
    <x v="3"/>
    <x v="18"/>
    <x v="4"/>
    <s v="3/2021"/>
    <s v="10/3/2021"/>
    <d v="1899-12-30T06:19:00"/>
    <n v="0.26319444444379769"/>
    <d v="1900-03-22T20:56:00"/>
    <n v="82.872222222220444"/>
    <m/>
    <m/>
    <n v="0"/>
    <n v="183379"/>
    <n v="14"/>
    <n v="53.192612137333875"/>
    <n v="3620"/>
    <n v="121110"/>
    <n v="0"/>
    <n v="0"/>
    <n v="1678"/>
    <n v="14"/>
    <n v="5298"/>
    <n v="2.2163588390555784"/>
    <n v="53.192612137333875"/>
    <n v="19415.303430126864"/>
    <n v="2.6637393577797717"/>
    <n v="63.92974458671452"/>
    <n v="23334.356774150801"/>
  </r>
  <r>
    <d v="2021-03-11T07:24:00"/>
    <x v="1"/>
    <s v=""/>
    <x v="3"/>
    <x v="19"/>
    <x v="0"/>
    <s v="3/2021"/>
    <s v="11/3/2021"/>
    <d v="1899-12-30T17:28:00"/>
    <n v="0.72777777777810115"/>
    <d v="1900-03-23T14:24:00"/>
    <n v="83.599999999998545"/>
    <m/>
    <m/>
    <n v="0"/>
    <n v="183405"/>
    <n v="26"/>
    <n v="35.725190839678781"/>
    <n v="3646"/>
    <n v="121127"/>
    <n v="17"/>
    <n v="23.35877862594382"/>
    <n v="1695"/>
    <n v="43"/>
    <n v="5341"/>
    <n v="2.4618320610676085"/>
    <n v="59.083969465622602"/>
    <n v="21565.648854952251"/>
    <n v="2.6619816586922314"/>
    <n v="63.887559808613553"/>
    <n v="23318.959330143945"/>
  </r>
  <r>
    <d v="2021-03-11T13:38:00"/>
    <x v="1"/>
    <s v=""/>
    <x v="3"/>
    <x v="19"/>
    <x v="0"/>
    <s v="3/2021"/>
    <s v="11/3/2021"/>
    <d v="1899-12-30T06:14:00"/>
    <n v="0.25972222222480923"/>
    <d v="1900-03-23T20:38:00"/>
    <n v="83.859722222223354"/>
    <m/>
    <m/>
    <n v="0"/>
    <n v="183419"/>
    <n v="14"/>
    <n v="53.903743314971102"/>
    <n v="3660"/>
    <n v="121127"/>
    <n v="0"/>
    <n v="0"/>
    <n v="1695"/>
    <n v="14"/>
    <n v="5355"/>
    <n v="2.2459893047904629"/>
    <n v="53.903743314971102"/>
    <n v="19674.866309964451"/>
    <n v="2.6606932874012128"/>
    <n v="63.856638897629111"/>
    <n v="23307.673197634624"/>
  </r>
  <r>
    <d v="2021-03-12T07:26:00"/>
    <x v="1"/>
    <s v=""/>
    <x v="3"/>
    <x v="20"/>
    <x v="5"/>
    <s v="3/2021"/>
    <s v="12/3/2021"/>
    <d v="1899-12-30T17:48:00"/>
    <n v="0.74166666666133096"/>
    <d v="1900-03-24T14:26:00"/>
    <n v="84.601388888884685"/>
    <m/>
    <m/>
    <n v="0"/>
    <n v="183441"/>
    <n v="22"/>
    <n v="29.662921348528009"/>
    <n v="3682"/>
    <n v="121145"/>
    <n v="18"/>
    <n v="24.269662921522915"/>
    <n v="1713"/>
    <n v="40"/>
    <n v="5395"/>
    <n v="2.2471910112521218"/>
    <n v="53.932584270050924"/>
    <n v="19685.393258568587"/>
    <n v="2.6570682777076819"/>
    <n v="63.76963866498437"/>
    <n v="23275.918112719297"/>
  </r>
  <r>
    <d v="2021-03-12T13:32:00"/>
    <x v="1"/>
    <s v=""/>
    <x v="3"/>
    <x v="20"/>
    <x v="5"/>
    <s v="3/2021"/>
    <s v="12/3/2021"/>
    <d v="1899-12-30T06:06:00"/>
    <n v="0.25416666666569654"/>
    <d v="1900-03-24T20:32:00"/>
    <n v="84.855555555550382"/>
    <m/>
    <m/>
    <n v="0"/>
    <n v="183455"/>
    <n v="14"/>
    <n v="55.081967213324994"/>
    <n v="3696"/>
    <n v="121145"/>
    <n v="0"/>
    <n v="0"/>
    <n v="1713"/>
    <n v="14"/>
    <n v="5409"/>
    <n v="2.2950819672218747"/>
    <n v="55.081967213324994"/>
    <n v="20104.918032863621"/>
    <n v="2.6559840251409241"/>
    <n v="63.743616603382179"/>
    <n v="23266.420060234494"/>
  </r>
  <r>
    <d v="2021-03-13T08:23:00"/>
    <x v="1"/>
    <s v=""/>
    <x v="3"/>
    <x v="21"/>
    <x v="6"/>
    <s v="3/2021"/>
    <s v="13/3/2021"/>
    <d v="1899-12-30T18:51:00"/>
    <n v="0.7854166666729725"/>
    <d v="1900-03-25T15:23:00"/>
    <n v="85.640972222223354"/>
    <m/>
    <m/>
    <n v="0"/>
    <n v="183478"/>
    <n v="23"/>
    <n v="29.283819628412104"/>
    <n v="3719"/>
    <n v="121160"/>
    <n v="15"/>
    <n v="19.09814323592094"/>
    <n v="1728"/>
    <n v="38"/>
    <n v="5447"/>
    <n v="2.01591511934721"/>
    <n v="48.38196286433304"/>
    <n v="17659.416445481558"/>
    <n v="2.6501139284642417"/>
    <n v="63.6027342831418"/>
    <n v="23214.998013346758"/>
  </r>
  <r>
    <d v="2021-03-14T08:05:00"/>
    <x v="1"/>
    <s v=""/>
    <x v="3"/>
    <x v="22"/>
    <x v="1"/>
    <s v="3/2021"/>
    <s v="14/3/2021"/>
    <d v="1899-12-30T23:42:00"/>
    <n v="0.98749999999563443"/>
    <d v="1900-03-26T15:05:00"/>
    <n v="86.628472222218988"/>
    <m/>
    <m/>
    <n v="0"/>
    <n v="183514"/>
    <n v="36"/>
    <n v="36.455696202692813"/>
    <n v="3755"/>
    <n v="121180"/>
    <n v="20"/>
    <n v="20.253164557051562"/>
    <n v="1748"/>
    <n v="56"/>
    <n v="5503"/>
    <n v="2.3628691983226822"/>
    <n v="56.708860759744368"/>
    <n v="20698.734177306695"/>
    <n v="2.6468395526875814"/>
    <n v="63.524149264501951"/>
    <n v="23186.314481543213"/>
  </r>
  <r>
    <d v="2021-03-14T14:14:00"/>
    <x v="1"/>
    <s v=""/>
    <x v="3"/>
    <x v="22"/>
    <x v="1"/>
    <s v="3/2021"/>
    <s v="14/3/2021"/>
    <d v="1899-12-30T06:09:00"/>
    <n v="0.25624999999854481"/>
    <d v="1900-03-26T21:14:00"/>
    <n v="86.884722222217533"/>
    <m/>
    <m/>
    <n v="0"/>
    <n v="183531"/>
    <n v="17"/>
    <n v="66.341463415010892"/>
    <n v="3772"/>
    <n v="121180"/>
    <n v="0"/>
    <n v="0"/>
    <n v="1748"/>
    <n v="17"/>
    <n v="5520"/>
    <n v="2.7642276422921204"/>
    <n v="66.341463415010892"/>
    <n v="24214.634146478977"/>
    <n v="2.6471857665810212"/>
    <n v="63.532458397944509"/>
    <n v="23189.347315249746"/>
  </r>
  <r>
    <d v="2021-03-15T07:57:00"/>
    <x v="1"/>
    <s v=""/>
    <x v="3"/>
    <x v="23"/>
    <x v="2"/>
    <s v="3/2021"/>
    <s v="15/3/2021"/>
    <d v="1899-12-30T17:43:00"/>
    <n v="0.73819444444961846"/>
    <d v="1900-03-27T14:57:00"/>
    <n v="87.622916666667152"/>
    <m/>
    <m/>
    <n v="0"/>
    <n v="183549"/>
    <n v="18"/>
    <n v="24.383819378944803"/>
    <n v="3790"/>
    <n v="121197"/>
    <n v="17"/>
    <n v="23.029162746781203"/>
    <n v="1765"/>
    <n v="35"/>
    <n v="5555"/>
    <n v="1.9755409219052502"/>
    <n v="47.41298212572601"/>
    <n v="17305.738475889993"/>
    <n v="2.6415273782067903"/>
    <n v="63.39665707696296"/>
    <n v="23139.779833091481"/>
  </r>
  <r>
    <d v="2021-03-15T13:31:00"/>
    <x v="1"/>
    <s v=""/>
    <x v="3"/>
    <x v="23"/>
    <x v="2"/>
    <s v="3/2021"/>
    <s v="15/3/2021"/>
    <d v="1899-12-30T05:34:00"/>
    <n v="0.23194444444379769"/>
    <d v="1900-03-27T20:31:00"/>
    <n v="87.854861111110949"/>
    <m/>
    <m/>
    <n v="0"/>
    <n v="183560"/>
    <n v="11"/>
    <n v="47.425149700731041"/>
    <n v="3801"/>
    <n v="121197"/>
    <n v="0"/>
    <n v="0"/>
    <n v="1765"/>
    <n v="11"/>
    <n v="5566"/>
    <n v="1.9760479041971268"/>
    <n v="47.425149700731041"/>
    <n v="17310.17964076683"/>
    <n v="2.6397704547430707"/>
    <n v="63.354490913833693"/>
    <n v="23124.389183549298"/>
  </r>
  <r>
    <d v="2021-03-16T08:48:00"/>
    <x v="1"/>
    <s v=""/>
    <x v="3"/>
    <x v="24"/>
    <x v="3"/>
    <s v="3/2021"/>
    <s v="16/3/2021"/>
    <d v="1899-12-30T19:17:00"/>
    <n v="0.80347222222189885"/>
    <d v="1900-03-28T15:48:00"/>
    <n v="88.658333333332848"/>
    <m/>
    <m/>
    <n v="0"/>
    <n v="183583"/>
    <n v="23"/>
    <n v="28.625756266217227"/>
    <n v="3824"/>
    <n v="121213"/>
    <n v="16"/>
    <n v="19.91356957649894"/>
    <n v="1781"/>
    <n v="39"/>
    <n v="5605"/>
    <n v="2.0224719101131736"/>
    <n v="48.539325842716167"/>
    <n v="17716.853932591403"/>
    <n v="2.6341761443744858"/>
    <n v="63.220227464987659"/>
    <n v="23075.383024720497"/>
  </r>
  <r>
    <d v="2021-03-16T14:12:00"/>
    <x v="1"/>
    <s v=""/>
    <x v="3"/>
    <x v="24"/>
    <x v="3"/>
    <s v="3/2021"/>
    <s v="16/3/2021"/>
    <d v="1899-12-30T05:24:00"/>
    <n v="0.22499999999854481"/>
    <d v="1900-03-28T21:12:00"/>
    <n v="88.883333333331393"/>
    <m/>
    <m/>
    <n v="0"/>
    <n v="183592"/>
    <n v="9"/>
    <n v="40.000000000258702"/>
    <n v="3833"/>
    <n v="121213"/>
    <n v="0"/>
    <n v="0"/>
    <n v="1781"/>
    <n v="9"/>
    <n v="5614"/>
    <n v="1.6666666666774459"/>
    <n v="40.000000000258702"/>
    <n v="14600.000000094426"/>
    <n v="2.6317269829364909"/>
    <n v="63.161447590475781"/>
    <n v="23053.928370523659"/>
  </r>
  <r>
    <d v="2021-03-16T16:19:00"/>
    <x v="1"/>
    <s v=""/>
    <x v="3"/>
    <x v="24"/>
    <x v="3"/>
    <s v="3/2021"/>
    <s v="16/3/2021"/>
    <d v="1899-12-30T02:07:00"/>
    <n v="8.819444444088731E-2"/>
    <d v="1900-03-28T23:19:00"/>
    <n v="88.97152777777228"/>
    <m/>
    <m/>
    <n v="0"/>
    <n v="183593"/>
    <n v="1"/>
    <n v="11.338582677622671"/>
    <n v="3834"/>
    <n v="121213"/>
    <n v="0"/>
    <n v="0"/>
    <n v="1781"/>
    <n v="1"/>
    <n v="5615"/>
    <n v="0.47244094490094468"/>
    <n v="11.338582677622671"/>
    <n v="4138.5826773322751"/>
    <n v="2.62958655624865"/>
    <n v="63.110077349967604"/>
    <n v="23035.178232738177"/>
  </r>
  <r>
    <d v="2021-03-17T06:57:00"/>
    <x v="1"/>
    <s v=""/>
    <x v="3"/>
    <x v="0"/>
    <x v="4"/>
    <s v="3/2021"/>
    <s v="17/3/2021"/>
    <d v="1899-12-30T14:38:00"/>
    <n v="0.60972222222335404"/>
    <d v="1900-03-29T13:57:00"/>
    <n v="89.581249999995634"/>
    <m/>
    <m/>
    <n v="0"/>
    <n v="183604"/>
    <n v="11"/>
    <n v="18.041002277870838"/>
    <n v="3845"/>
    <n v="121224"/>
    <n v="11"/>
    <n v="18.041002277870838"/>
    <n v="1792"/>
    <n v="22"/>
    <n v="5637"/>
    <n v="1.5034168564892365"/>
    <n v="36.082004555741676"/>
    <n v="13169.931662845713"/>
    <n v="2.621921440033617"/>
    <n v="62.926114560806809"/>
    <n v="22968.031814694485"/>
  </r>
  <r>
    <d v="2021-03-18T07:21:00"/>
    <x v="1"/>
    <s v=""/>
    <x v="3"/>
    <x v="25"/>
    <x v="0"/>
    <s v="3/2021"/>
    <s v="18/3/2021"/>
    <d v="1899-12-31T00:24:00"/>
    <n v="1.0166666666700621"/>
    <d v="1900-03-30T14:21:00"/>
    <n v="90.597916666665697"/>
    <m/>
    <m/>
    <n v="0"/>
    <n v="183638"/>
    <n v="34"/>
    <n v="33.442622950707978"/>
    <n v="3879"/>
    <n v="121243"/>
    <n v="19"/>
    <n v="18.688524590101519"/>
    <n v="1811"/>
    <n v="53"/>
    <n v="5690"/>
    <n v="2.172131147533729"/>
    <n v="52.131147540809501"/>
    <n v="19027.868852395466"/>
    <n v="2.6168740083243547"/>
    <n v="62.80497619978452"/>
    <n v="22923.81631292135"/>
  </r>
  <r>
    <d v="2021-03-18T13:24:00"/>
    <x v="1"/>
    <s v=""/>
    <x v="3"/>
    <x v="25"/>
    <x v="0"/>
    <s v="3/2021"/>
    <s v="18/3/2021"/>
    <d v="1899-12-30T06:03:00"/>
    <n v="0.25208333333284827"/>
    <d v="1900-03-30T20:24:00"/>
    <n v="90.849999999998545"/>
    <m/>
    <m/>
    <n v="0"/>
    <n v="183652"/>
    <n v="14"/>
    <n v="55.537190082751493"/>
    <n v="3893"/>
    <n v="121243"/>
    <n v="0"/>
    <n v="0"/>
    <n v="1811"/>
    <n v="14"/>
    <n v="5704"/>
    <n v="2.3140495867813122"/>
    <n v="55.537190082751493"/>
    <n v="20271.074380204296"/>
    <n v="2.6160337552743034"/>
    <n v="62.784810126583281"/>
    <n v="22916.455696202898"/>
  </r>
  <r>
    <d v="2021-03-19T07:07:00"/>
    <x v="1"/>
    <s v=""/>
    <x v="3"/>
    <x v="26"/>
    <x v="5"/>
    <s v="3/2021"/>
    <s v="19/3/2021"/>
    <d v="1899-12-30T17:43:00"/>
    <n v="0.7381944444423425"/>
    <d v="1900-03-31T14:07:00"/>
    <n v="91.588194444440887"/>
    <m/>
    <m/>
    <n v="0"/>
    <n v="183674"/>
    <n v="22"/>
    <n v="29.802445907892949"/>
    <n v="3915"/>
    <n v="121261"/>
    <n v="18"/>
    <n v="24.383819379185141"/>
    <n v="1829"/>
    <n v="40"/>
    <n v="5744"/>
    <n v="2.2577610536282537"/>
    <n v="54.186265287078093"/>
    <n v="19777.986829783506"/>
    <n v="2.6131461023452909"/>
    <n v="62.715506456286981"/>
    <n v="22891.159856544749"/>
  </r>
  <r>
    <d v="2021-03-20T08:59:00"/>
    <x v="1"/>
    <s v=""/>
    <x v="3"/>
    <x v="27"/>
    <x v="6"/>
    <s v="3/2021"/>
    <s v="20/3/2021"/>
    <d v="1899-12-31T01:52:00"/>
    <n v="1.077777777776646"/>
    <d v="1900-04-01T15:59:00"/>
    <n v="92.665972222217533"/>
    <m/>
    <m/>
    <n v="0"/>
    <n v="183717"/>
    <n v="43"/>
    <n v="39.896907216536739"/>
    <n v="3958"/>
    <n v="121282"/>
    <n v="21"/>
    <n v="19.484536082494689"/>
    <n v="1850"/>
    <n v="64"/>
    <n v="5808"/>
    <n v="2.4742268041263098"/>
    <n v="59.381443299031432"/>
    <n v="21674.226804146474"/>
    <n v="2.6115303621880983"/>
    <n v="62.676728692514359"/>
    <n v="22877.00597276774"/>
  </r>
  <r>
    <d v="2021-03-21T08:44:00"/>
    <x v="1"/>
    <s v=""/>
    <x v="3"/>
    <x v="28"/>
    <x v="1"/>
    <s v="3/2021"/>
    <s v="21/3/2021"/>
    <d v="1899-12-30T23:45:00"/>
    <n v="0.98958333333575865"/>
    <d v="1900-04-02T15:44:00"/>
    <n v="93.655555555553292"/>
    <m/>
    <m/>
    <n v="0"/>
    <n v="183750"/>
    <n v="33"/>
    <n v="33.347368420970902"/>
    <n v="3991"/>
    <n v="121302"/>
    <n v="20"/>
    <n v="20.210526315739941"/>
    <n v="1870"/>
    <n v="53"/>
    <n v="5861"/>
    <n v="2.2315789473629519"/>
    <n v="53.557894736710843"/>
    <n v="19548.631578899458"/>
    <n v="2.6075157195397476"/>
    <n v="62.580377268953939"/>
    <n v="22841.837703168188"/>
  </r>
  <r>
    <d v="2021-03-22T07:22:00"/>
    <x v="1"/>
    <s v=""/>
    <x v="3"/>
    <x v="29"/>
    <x v="2"/>
    <s v="3/2021"/>
    <s v="22/3/2021"/>
    <d v="1899-12-30T22:38:00"/>
    <n v="0.94305555555183673"/>
    <d v="1900-04-03T14:22:00"/>
    <n v="94.598611111105129"/>
    <m/>
    <m/>
    <n v="0"/>
    <n v="183787"/>
    <n v="37"/>
    <n v="39.234167894116425"/>
    <n v="4028"/>
    <n v="121322"/>
    <n v="20"/>
    <n v="21.207658321144013"/>
    <n v="1890"/>
    <n v="57"/>
    <n v="5918"/>
    <n v="2.5184094256358516"/>
    <n v="60.441826215260434"/>
    <n v="22061.266568570059"/>
    <n v="2.6066274170106332"/>
    <n v="62.559058008255192"/>
    <n v="22834.056173013145"/>
  </r>
  <r>
    <d v="2021-03-22T13:43:00"/>
    <x v="1"/>
    <s v=""/>
    <x v="3"/>
    <x v="29"/>
    <x v="2"/>
    <s v="3/2021"/>
    <s v="22/3/2021"/>
    <d v="1899-12-30T06:21:00"/>
    <n v="0.26458333333721384"/>
    <d v="1900-04-03T20:43:00"/>
    <n v="94.863194444442343"/>
    <m/>
    <m/>
    <n v="0"/>
    <n v="183802"/>
    <n v="15"/>
    <n v="56.692913384995286"/>
    <n v="4043"/>
    <n v="121322"/>
    <n v="0"/>
    <n v="0"/>
    <n v="1890"/>
    <n v="15"/>
    <n v="5933"/>
    <n v="2.3622047243748034"/>
    <n v="56.692913384995286"/>
    <n v="20692.913385523279"/>
    <n v="2.6059456966538646"/>
    <n v="62.542696719692756"/>
    <n v="22828.084302687857"/>
  </r>
  <r>
    <d v="2021-03-23T08:56:00"/>
    <x v="1"/>
    <s v=""/>
    <x v="3"/>
    <x v="30"/>
    <x v="3"/>
    <s v="3/2021"/>
    <s v="23/3/2021"/>
    <d v="1899-12-30T19:13:00"/>
    <n v="0.8006944444423425"/>
    <d v="1900-04-04T15:56:00"/>
    <n v="95.663888888884685"/>
    <m/>
    <m/>
    <n v="0"/>
    <n v="183823"/>
    <n v="21"/>
    <n v="26.227233304492096"/>
    <n v="4064"/>
    <n v="121343"/>
    <n v="21"/>
    <n v="26.227233304492096"/>
    <n v="1911"/>
    <n v="42"/>
    <n v="5975"/>
    <n v="2.185602775374341"/>
    <n v="52.454466608984191"/>
    <n v="19145.880312279231"/>
    <n v="2.6024274804728345"/>
    <n v="62.45825953134802"/>
    <n v="22797.264728942027"/>
  </r>
  <r>
    <d v="2021-03-24T13:59:00"/>
    <x v="1"/>
    <s v=""/>
    <x v="3"/>
    <x v="1"/>
    <x v="4"/>
    <s v="3/2021"/>
    <s v="24/3/2021"/>
    <d v="1899-12-31T05:03:00"/>
    <n v="1.2104166666686069"/>
    <d v="1900-04-05T20:59:00"/>
    <n v="96.874305555553292"/>
    <m/>
    <m/>
    <n v="0"/>
    <n v="183854"/>
    <n v="31"/>
    <n v="25.611015490492509"/>
    <n v="4095"/>
    <n v="121360"/>
    <n v="17"/>
    <n v="14.044750430270085"/>
    <n v="1928"/>
    <n v="48"/>
    <n v="6023"/>
    <n v="1.6523235800317748"/>
    <n v="39.655765920762597"/>
    <n v="14474.354561078348"/>
    <n v="2.5905562047040367"/>
    <n v="62.173348912896884"/>
    <n v="22693.272353207361"/>
  </r>
  <r>
    <d v="2021-03-25T08:47:00"/>
    <x v="1"/>
    <s v=""/>
    <x v="3"/>
    <x v="2"/>
    <x v="0"/>
    <s v="3/2021"/>
    <s v="25/3/2021"/>
    <d v="1899-12-30T18:48:00"/>
    <n v="0.78333333333284827"/>
    <d v="1900-04-06T15:47:00"/>
    <n v="97.65763888888614"/>
    <m/>
    <m/>
    <n v="0"/>
    <n v="183868"/>
    <n v="14"/>
    <n v="17.872340425542983"/>
    <n v="4109"/>
    <n v="121373"/>
    <n v="13"/>
    <n v="16.59574468086134"/>
    <n v="1941"/>
    <n v="27"/>
    <n v="6050"/>
    <n v="1.4361702127668468"/>
    <n v="34.468085106404324"/>
    <n v="12580.851063837577"/>
    <n v="2.5812966215592326"/>
    <n v="61.951118917421582"/>
    <n v="22612.158404858877"/>
  </r>
  <r>
    <d v="2021-03-26T09:03:00"/>
    <x v="1"/>
    <s v=""/>
    <x v="3"/>
    <x v="3"/>
    <x v="5"/>
    <s v="3/2021"/>
    <s v="26/3/2021"/>
    <d v="1899-12-31T00:16:00"/>
    <n v="1.0111111111109494"/>
    <d v="1900-04-07T16:03:00"/>
    <n v="98.66874999999709"/>
    <m/>
    <m/>
    <n v="0"/>
    <n v="183888"/>
    <n v="20"/>
    <n v="19.780219780222943"/>
    <n v="4129"/>
    <n v="121387"/>
    <n v="14"/>
    <n v="13.84615384615606"/>
    <n v="1955"/>
    <n v="34"/>
    <n v="6084"/>
    <n v="1.401098901099125"/>
    <n v="33.626373626379007"/>
    <n v="12273.626373628338"/>
    <n v="2.5692025083930572"/>
    <n v="61.66086020143338"/>
    <n v="22506.213973523183"/>
  </r>
  <r>
    <d v="2021-03-26T13:59:00"/>
    <x v="1"/>
    <s v=""/>
    <x v="3"/>
    <x v="3"/>
    <x v="5"/>
    <s v="3/2021"/>
    <s v="26/3/2021"/>
    <d v="1899-12-30T04:56:00"/>
    <n v="0.20555555555620231"/>
    <d v="1900-04-07T20:59:00"/>
    <n v="98.874305555553292"/>
    <m/>
    <m/>
    <n v="0"/>
    <n v="183897"/>
    <n v="9"/>
    <n v="43.783783783646022"/>
    <n v="4138"/>
    <n v="121387"/>
    <n v="0"/>
    <n v="0"/>
    <n v="1955"/>
    <n v="9"/>
    <n v="6093"/>
    <n v="1.8243243243185843"/>
    <n v="43.783783783646022"/>
    <n v="15981.081081030798"/>
    <n v="2.5676539377296397"/>
    <n v="61.623694505511352"/>
    <n v="22492.648494511643"/>
  </r>
  <r>
    <d v="2021-03-27T10:58:00"/>
    <x v="1"/>
    <s v=""/>
    <x v="3"/>
    <x v="4"/>
    <x v="6"/>
    <s v="3/2021"/>
    <s v="27/3/2021"/>
    <d v="1899-12-30T20:59:00"/>
    <n v="0.87430555555329192"/>
    <d v="1900-04-08T17:58:00"/>
    <n v="99.748611111106584"/>
    <m/>
    <m/>
    <n v="0"/>
    <n v="183920"/>
    <n v="23"/>
    <n v="26.306592533825061"/>
    <n v="4161"/>
    <n v="121405"/>
    <n v="18"/>
    <n v="20.587768069950048"/>
    <n v="1973"/>
    <n v="41"/>
    <n v="6134"/>
    <n v="1.9539316918239626"/>
    <n v="46.894360603775105"/>
    <n v="17116.441620377915"/>
    <n v="2.5622746069982645"/>
    <n v="61.494590567958348"/>
    <n v="22445.525557304798"/>
  </r>
  <r>
    <d v="2021-03-28T10:31:00"/>
    <x v="1"/>
    <s v=""/>
    <x v="3"/>
    <x v="5"/>
    <x v="1"/>
    <s v="3/2021"/>
    <s v="28/3/2021"/>
    <d v="1899-12-30T23:33:00"/>
    <n v="0.98125000000436557"/>
    <d v="1900-04-09T17:31:00"/>
    <n v="100.72986111111095"/>
    <m/>
    <m/>
    <n v="0"/>
    <n v="183952"/>
    <n v="32"/>
    <n v="32.61146496800778"/>
    <n v="4193"/>
    <n v="121423"/>
    <n v="18"/>
    <n v="18.343949044504374"/>
    <n v="1991"/>
    <n v="50"/>
    <n v="6184"/>
    <n v="2.1231422505213398"/>
    <n v="50.955414012512151"/>
    <n v="18598.726114566936"/>
    <n v="2.5579968424898869"/>
    <n v="61.391924219757286"/>
    <n v="22408.052340211409"/>
  </r>
  <r>
    <d v="2021-03-29T09:30:00"/>
    <x v="1"/>
    <s v=""/>
    <x v="3"/>
    <x v="6"/>
    <x v="2"/>
    <s v="3/2021"/>
    <s v="29/3/2021"/>
    <d v="1899-12-30T22:59:00"/>
    <n v="0.95763888888905058"/>
    <d v="1900-04-10T16:30:00"/>
    <n v="101.6875"/>
    <m/>
    <m/>
    <n v="0"/>
    <n v="183970"/>
    <n v="18"/>
    <n v="18.796229151555927"/>
    <n v="4211"/>
    <n v="121427"/>
    <n v="4"/>
    <n v="4.1769398114568723"/>
    <n v="1995"/>
    <n v="22"/>
    <n v="6206"/>
    <n v="0.95721537345886665"/>
    <n v="22.9731689630128"/>
    <n v="8385.2066714996727"/>
    <n v="2.542921532472854"/>
    <n v="61.030116779348496"/>
    <n v="22275.9926244622"/>
  </r>
  <r>
    <d v="2021-03-30T08:41:00"/>
    <x v="1"/>
    <s v=""/>
    <x v="3"/>
    <x v="7"/>
    <x v="3"/>
    <s v="3/2021"/>
    <s v="30/3/2021"/>
    <d v="1899-12-30T23:11:00"/>
    <n v="0.96597222222044365"/>
    <d v="1900-04-11T15:41:00"/>
    <n v="102.65347222222044"/>
    <m/>
    <m/>
    <n v="0"/>
    <n v="183982"/>
    <n v="12"/>
    <n v="12.422717469469314"/>
    <n v="4223"/>
    <n v="121431"/>
    <n v="4"/>
    <n v="4.1409058231564382"/>
    <n v="1999"/>
    <n v="16"/>
    <n v="6222"/>
    <n v="0.69015097052607299"/>
    <n v="16.563623292625753"/>
    <n v="6045.7225018084"/>
    <n v="2.5254869064612366"/>
    <n v="60.611685755069679"/>
    <n v="22123.265300600433"/>
  </r>
  <r>
    <d v="2021-03-31T08:27:00"/>
    <x v="1"/>
    <s v=""/>
    <x v="3"/>
    <x v="8"/>
    <x v="4"/>
    <s v="3/2021"/>
    <s v="31/3/2021"/>
    <d v="1899-12-30T23:46:00"/>
    <n v="0.99027777777519077"/>
    <d v="1900-04-12T15:27:00"/>
    <n v="103.64374999999563"/>
    <m/>
    <m/>
    <n v="0"/>
    <n v="183991"/>
    <n v="9"/>
    <n v="9.0883590463070529"/>
    <n v="4232"/>
    <n v="121433"/>
    <n v="2"/>
    <n v="2.0196353436237895"/>
    <n v="2001"/>
    <n v="11"/>
    <n v="6233"/>
    <n v="0.46283309958045177"/>
    <n v="11.107994389930841"/>
    <n v="4054.4179523247572"/>
    <n v="2.5057790106334852"/>
    <n v="60.138696255203641"/>
    <n v="21950.624133149329"/>
  </r>
  <r>
    <d v="2021-04-01T09:00:00"/>
    <x v="1"/>
    <s v=""/>
    <x v="4"/>
    <x v="9"/>
    <x v="0"/>
    <s v="4/2021"/>
    <s v="1/4/2021"/>
    <d v="1899-12-31T00:33:00"/>
    <n v="1.0229166666686069"/>
    <d v="1900-04-13T16:00:00"/>
    <n v="104.66666666666424"/>
    <m/>
    <m/>
    <n v="0"/>
    <n v="183998"/>
    <n v="7"/>
    <n v="6.8431771893963882"/>
    <n v="4239"/>
    <n v="121436"/>
    <n v="3"/>
    <n v="2.9327902240270238"/>
    <n v="2004"/>
    <n v="10"/>
    <n v="6243"/>
    <n v="0.40733197555930883"/>
    <n v="9.7759674134234125"/>
    <n v="3568.2281058995454"/>
    <n v="2.4852707006370003"/>
    <n v="59.646496815288003"/>
    <n v="21770.971337580122"/>
  </r>
  <r>
    <d v="2021-04-02T13:44:00"/>
    <x v="1"/>
    <s v=""/>
    <x v="4"/>
    <x v="10"/>
    <x v="5"/>
    <s v="4/2021"/>
    <s v="2/4/2021"/>
    <d v="1899-12-31T04:44:00"/>
    <n v="1.1972222222248092"/>
    <d v="1900-04-14T20:44:00"/>
    <n v="105.86388888888905"/>
    <m/>
    <m/>
    <n v="0"/>
    <n v="184008"/>
    <n v="10"/>
    <n v="8.3526682134390278"/>
    <n v="4249"/>
    <n v="121438"/>
    <n v="2"/>
    <n v="1.6705336426878055"/>
    <n v="2006"/>
    <n v="12"/>
    <n v="6255"/>
    <n v="0.41763341067195137"/>
    <n v="10.023201856126834"/>
    <n v="3658.4686774862944"/>
    <n v="2.4618876439872963"/>
    <n v="59.085303455695119"/>
    <n v="21566.135761328718"/>
  </r>
  <r>
    <d v="2021-04-03T08:31:00"/>
    <x v="1"/>
    <s v=""/>
    <x v="4"/>
    <x v="11"/>
    <x v="6"/>
    <s v="4/2021"/>
    <s v="3/4/2021"/>
    <d v="1899-12-30T18:47:00"/>
    <n v="0.78263888888614019"/>
    <d v="1900-04-15T15:31:00"/>
    <n v="106.64652777777519"/>
    <m/>
    <m/>
    <n v="0"/>
    <n v="184017"/>
    <n v="9"/>
    <n v="11.499556344317229"/>
    <n v="4258"/>
    <n v="121451"/>
    <n v="13"/>
    <n v="16.610470275124886"/>
    <n v="2019"/>
    <n v="22"/>
    <n v="6277"/>
    <n v="1.1712511091434215"/>
    <n v="28.110026619442113"/>
    <n v="10260.159716096372"/>
    <n v="2.452416146277677"/>
    <n v="58.857987510664245"/>
    <n v="21483.165441392448"/>
  </r>
  <r>
    <d v="2021-04-04T10:18:00"/>
    <x v="1"/>
    <s v=""/>
    <x v="4"/>
    <x v="12"/>
    <x v="1"/>
    <s v="4/2021"/>
    <s v="4/4/2021"/>
    <d v="1899-12-31T01:47:00"/>
    <n v="1.0743055555576575"/>
    <d v="1900-04-16T17:18:00"/>
    <n v="107.72083333333285"/>
    <m/>
    <m/>
    <n v="0"/>
    <n v="184051"/>
    <n v="34"/>
    <n v="31.648351648289726"/>
    <n v="4292"/>
    <n v="121467"/>
    <n v="16"/>
    <n v="14.893341952136343"/>
    <n v="2035"/>
    <n v="50"/>
    <n v="6327"/>
    <n v="1.9392372333510861"/>
    <n v="46.541693600426065"/>
    <n v="16987.718164155514"/>
    <n v="2.4472981858971989"/>
    <n v="58.735156461532775"/>
    <n v="21438.332108459465"/>
  </r>
  <r>
    <d v="2021-04-05T09:39:00"/>
    <x v="1"/>
    <s v=""/>
    <x v="4"/>
    <x v="13"/>
    <x v="2"/>
    <s v="4/2021"/>
    <s v="5/4/2021"/>
    <d v="1899-12-30T23:21:00"/>
    <n v="0.97291666666569654"/>
    <d v="1900-04-17T16:39:00"/>
    <n v="108.69374999999854"/>
    <m/>
    <m/>
    <n v="0"/>
    <n v="184064"/>
    <n v="13"/>
    <n v="13.361884368321675"/>
    <n v="4305"/>
    <n v="121482"/>
    <n v="15"/>
    <n v="15.417558886525009"/>
    <n v="2050"/>
    <n v="28"/>
    <n v="6355"/>
    <n v="1.1991434689519451"/>
    <n v="28.779443254846683"/>
    <n v="10504.49678801904"/>
    <n v="2.4361259655377627"/>
    <n v="58.467023172906309"/>
    <n v="21340.463458110804"/>
  </r>
  <r>
    <d v="2021-04-06T07:30:00"/>
    <x v="1"/>
    <s v=""/>
    <x v="4"/>
    <x v="14"/>
    <x v="3"/>
    <s v="4/2021"/>
    <s v="6/4/2021"/>
    <d v="1899-12-30T21:51:00"/>
    <n v="0.91041666666569654"/>
    <d v="1900-04-18T14:30:00"/>
    <n v="109.60416666666424"/>
    <m/>
    <m/>
    <n v="0"/>
    <n v="184087"/>
    <n v="23"/>
    <n v="25.263157894763761"/>
    <n v="4328"/>
    <n v="121499"/>
    <n v="17"/>
    <n v="18.672768878738434"/>
    <n v="2067"/>
    <n v="40"/>
    <n v="6395"/>
    <n v="1.8306636155625915"/>
    <n v="43.935926773502196"/>
    <n v="16036.613272328301"/>
    <n v="2.4310967496674176"/>
    <n v="58.346321992018019"/>
    <n v="21296.407527086576"/>
  </r>
  <r>
    <d v="2021-04-06T13:50:00"/>
    <x v="1"/>
    <s v=""/>
    <x v="4"/>
    <x v="14"/>
    <x v="3"/>
    <s v="4/2021"/>
    <s v="6/4/2021"/>
    <d v="1899-12-30T06:20:00"/>
    <n v="0.26388888889050577"/>
    <d v="1900-04-18T20:50:00"/>
    <n v="109.86805555555475"/>
    <m/>
    <m/>
    <n v="0"/>
    <n v="184102"/>
    <n v="15"/>
    <n v="56.842105262809618"/>
    <n v="4343"/>
    <n v="121499"/>
    <n v="0"/>
    <n v="0"/>
    <n v="2067"/>
    <n v="15"/>
    <n v="6410"/>
    <n v="2.3684210526170673"/>
    <n v="56.842105262809618"/>
    <n v="20747.368420925512"/>
    <n v="2.4309462107325883"/>
    <n v="58.342709057582127"/>
    <n v="21295.088806017477"/>
  </r>
  <r>
    <d v="2021-04-07T09:05:00"/>
    <x v="1"/>
    <s v=""/>
    <x v="4"/>
    <x v="15"/>
    <x v="4"/>
    <s v="4/2021"/>
    <s v="7/4/2021"/>
    <d v="1899-12-30T19:15:00"/>
    <n v="0.80208333332848269"/>
    <d v="1900-04-19T16:05:00"/>
    <n v="110.67013888888323"/>
    <m/>
    <m/>
    <n v="0"/>
    <n v="184127"/>
    <n v="25"/>
    <n v="31.168831169019665"/>
    <n v="4368"/>
    <n v="121519"/>
    <n v="20"/>
    <n v="24.935064935215731"/>
    <n v="2087"/>
    <n v="45"/>
    <n v="6455"/>
    <n v="2.3376623376764747"/>
    <n v="56.103896104235396"/>
    <n v="20477.922078045918"/>
    <n v="2.430270134596805"/>
    <n v="58.326483230323319"/>
    <n v="21289.16637906801"/>
  </r>
  <r>
    <d v="2021-04-08T09:29:00"/>
    <x v="1"/>
    <s v=""/>
    <x v="4"/>
    <x v="16"/>
    <x v="0"/>
    <s v="4/2021"/>
    <s v="8/4/2021"/>
    <d v="1899-12-31T00:24:00"/>
    <n v="1.0166666666700621"/>
    <d v="1900-04-20T16:29:00"/>
    <n v="111.68680555555329"/>
    <m/>
    <m/>
    <n v="0"/>
    <n v="184158"/>
    <n v="31"/>
    <n v="30.491803278586687"/>
    <n v="4399"/>
    <n v="121538"/>
    <n v="19"/>
    <n v="18.688524590101519"/>
    <n v="2106"/>
    <n v="50"/>
    <n v="6505"/>
    <n v="2.0491803278620084"/>
    <n v="49.180327868688209"/>
    <n v="17950.819672071197"/>
    <n v="2.4268011366109836"/>
    <n v="58.24322727866361"/>
    <n v="21258.777956712216"/>
  </r>
  <r>
    <d v="2021-04-09T08:53:00"/>
    <x v="1"/>
    <s v=""/>
    <x v="4"/>
    <x v="17"/>
    <x v="5"/>
    <s v="4/2021"/>
    <s v="9/4/2021"/>
    <d v="1899-12-30T23:24:00"/>
    <n v="0.97499999999854481"/>
    <d v="1900-04-21T15:53:00"/>
    <n v="112.66180555555184"/>
    <m/>
    <m/>
    <n v="0"/>
    <n v="184180"/>
    <n v="22"/>
    <n v="22.564102564136242"/>
    <n v="4421"/>
    <n v="121553"/>
    <n v="15"/>
    <n v="15.384615384638346"/>
    <n v="2121"/>
    <n v="37"/>
    <n v="6542"/>
    <n v="1.5811965811989412"/>
    <n v="37.948717948774586"/>
    <n v="13851.282051302724"/>
    <n v="2.4194830891373083"/>
    <n v="58.067594139295402"/>
    <n v="21194.67186084282"/>
  </r>
  <r>
    <d v="2021-04-11T08:32:00"/>
    <x v="1"/>
    <s v=""/>
    <x v="4"/>
    <x v="19"/>
    <x v="1"/>
    <s v="4/2021"/>
    <s v="11/4/2021"/>
    <d v="1899-12-31T23:39:00"/>
    <n v="1.9854166666700621"/>
    <d v="1900-04-23T15:32:00"/>
    <n v="114.6472222222219"/>
    <m/>
    <m/>
    <n v="0"/>
    <n v="184220"/>
    <n v="40"/>
    <n v="20.146904512032702"/>
    <n v="4461"/>
    <n v="121578"/>
    <n v="25"/>
    <n v="12.591815320020439"/>
    <n v="2146"/>
    <n v="65"/>
    <n v="6607"/>
    <n v="1.3641133263355474"/>
    <n v="32.738719832053143"/>
    <n v="11949.632738699396"/>
    <n v="2.4012065999563945"/>
    <n v="57.628958398953472"/>
    <n v="21034.569815618019"/>
  </r>
  <r>
    <d v="2021-04-12T07:29:00"/>
    <x v="1"/>
    <s v=""/>
    <x v="4"/>
    <x v="20"/>
    <x v="2"/>
    <s v="4/2021"/>
    <s v="12/4/2021"/>
    <d v="1899-12-30T22:57:00"/>
    <n v="0.95624999999563443"/>
    <d v="1900-04-24T14:29:00"/>
    <n v="115.60347222221753"/>
    <m/>
    <m/>
    <n v="0"/>
    <n v="184247"/>
    <n v="27"/>
    <n v="28.235294117775961"/>
    <n v="4488"/>
    <n v="121596"/>
    <n v="18"/>
    <n v="18.82352941185064"/>
    <n v="2164"/>
    <n v="45"/>
    <n v="6652"/>
    <n v="1.9607843137344418"/>
    <n v="47.058823529626601"/>
    <n v="17176.47058831371"/>
    <n v="2.3975635103233408"/>
    <n v="57.541524247760172"/>
    <n v="21002.656350432462"/>
  </r>
  <r>
    <d v="2021-04-13T08:00:00"/>
    <x v="1"/>
    <s v=""/>
    <x v="4"/>
    <x v="21"/>
    <x v="3"/>
    <s v="4/2021"/>
    <s v="13/4/2021"/>
    <d v="1899-12-31T00:31:00"/>
    <n v="1.0215277777824667"/>
    <d v="1900-04-25T15:00:00"/>
    <n v="116.625"/>
    <m/>
    <m/>
    <n v="0"/>
    <n v="184275"/>
    <n v="28"/>
    <n v="27.409925220812323"/>
    <n v="4516"/>
    <n v="121613"/>
    <n v="17"/>
    <n v="16.641740312636053"/>
    <n v="2181"/>
    <n v="45"/>
    <n v="6697"/>
    <n v="1.8354860638936823"/>
    <n v="44.051665533448372"/>
    <n v="16078.857919708656"/>
    <n v="2.3926402286530903"/>
    <n v="57.423365487674168"/>
    <n v="20959.52840300107"/>
  </r>
  <r>
    <d v="2021-04-13T12:34:00"/>
    <x v="1"/>
    <s v=""/>
    <x v="4"/>
    <x v="21"/>
    <x v="3"/>
    <s v="4/2021"/>
    <s v="13/4/2021"/>
    <d v="1899-12-30T04:34:00"/>
    <n v="0.19027777777228039"/>
    <d v="1900-04-25T19:34:00"/>
    <n v="116.81527777777228"/>
    <m/>
    <m/>
    <n v="0"/>
    <n v="184285"/>
    <n v="10"/>
    <n v="52.554744527065822"/>
    <n v="4526"/>
    <n v="121613"/>
    <n v="0"/>
    <n v="0"/>
    <n v="2181"/>
    <n v="10"/>
    <n v="6707"/>
    <n v="2.189781021961076"/>
    <n v="52.554744527065822"/>
    <n v="19182.481752379026"/>
    <n v="2.3923097958553923"/>
    <n v="57.415435100529415"/>
    <n v="20956.633811693235"/>
  </r>
  <r>
    <d v="2021-04-13T13:42:00"/>
    <x v="1"/>
    <s v=""/>
    <x v="4"/>
    <x v="21"/>
    <x v="3"/>
    <s v="4/2021"/>
    <s v="13/4/2021"/>
    <d v="1899-12-30T01:08:00"/>
    <n v="4.7222222223354038E-2"/>
    <d v="1900-04-25T20:42:00"/>
    <n v="116.86249999999563"/>
    <m/>
    <m/>
    <n v="0"/>
    <n v="184287"/>
    <n v="2"/>
    <n v="42.352941175455477"/>
    <n v="4528"/>
    <n v="121613"/>
    <n v="0"/>
    <n v="0"/>
    <n v="2181"/>
    <n v="2"/>
    <n v="6709"/>
    <n v="1.764705882310645"/>
    <n v="42.352941175455477"/>
    <n v="15458.823529041249"/>
    <n v="2.3920561913931082"/>
    <n v="57.409348593434601"/>
    <n v="20954.412236603628"/>
  </r>
  <r>
    <d v="2021-04-13T16:01:00"/>
    <x v="1"/>
    <s v=""/>
    <x v="4"/>
    <x v="21"/>
    <x v="3"/>
    <s v="4/2021"/>
    <s v="13/4/2021"/>
    <d v="1899-12-30T02:19:00"/>
    <n v="9.6527777779556345E-2"/>
    <d v="1900-04-25T23:01:00"/>
    <n v="116.95902777777519"/>
    <m/>
    <m/>
    <n v="0"/>
    <n v="184289"/>
    <n v="2"/>
    <n v="20.71942446004989"/>
    <n v="4530"/>
    <n v="121613"/>
    <n v="0"/>
    <n v="0"/>
    <n v="2181"/>
    <n v="2"/>
    <n v="6711"/>
    <n v="0.86330935250207874"/>
    <n v="20.71942446004989"/>
    <n v="7562.5899279182095"/>
    <n v="2.3907944971233333"/>
    <n v="57.379067930959998"/>
    <n v="20943.359794800399"/>
  </r>
  <r>
    <d v="2021-04-13T19:03:00"/>
    <x v="1"/>
    <s v=""/>
    <x v="4"/>
    <x v="21"/>
    <x v="3"/>
    <s v="4/2021"/>
    <s v="13/4/2021"/>
    <d v="1899-12-30T03:02:00"/>
    <n v="0.12638888888614019"/>
    <d v="1900-04-26T02:03:00"/>
    <n v="117.08541666666133"/>
    <m/>
    <m/>
    <n v="0"/>
    <n v="184290"/>
    <n v="1"/>
    <n v="7.9120879122599836"/>
    <n v="4531"/>
    <n v="121613"/>
    <n v="0"/>
    <n v="0"/>
    <n v="2181"/>
    <n v="1"/>
    <n v="6712"/>
    <n v="0.32967032967749932"/>
    <n v="7.9120879122599836"/>
    <n v="2887.9120879748939"/>
    <n v="2.3885695984058311"/>
    <n v="57.325670361739945"/>
    <n v="20923.869682035081"/>
  </r>
  <r>
    <d v="2021-04-15T19:04:00"/>
    <x v="1"/>
    <s v=""/>
    <x v="4"/>
    <x v="23"/>
    <x v="0"/>
    <s v="4/2021"/>
    <s v="15/4/2021"/>
    <d v="1900-01-01T00:01:00"/>
    <n v="2.0006944444467081"/>
    <d v="1900-04-28T02:04:00"/>
    <n v="119.08611111110804"/>
    <m/>
    <m/>
    <n v="0"/>
    <n v="184351"/>
    <n v="61"/>
    <n v="30.489413398091155"/>
    <n v="4592"/>
    <n v="121649"/>
    <n v="36"/>
    <n v="17.993752169365273"/>
    <n v="2217"/>
    <n v="97"/>
    <n v="6809"/>
    <n v="2.0201318986440175"/>
    <n v="48.483165567456425"/>
    <n v="17696.355432121596"/>
    <n v="2.3823796972312898"/>
    <n v="57.177112733550963"/>
    <n v="20869.646147746102"/>
  </r>
  <r>
    <d v="2021-04-16T08:54:00"/>
    <x v="1"/>
    <s v=""/>
    <x v="4"/>
    <x v="24"/>
    <x v="5"/>
    <s v="4/2021"/>
    <s v="16/4/2021"/>
    <d v="1899-12-30T13:50:00"/>
    <n v="0.57638888889050577"/>
    <d v="1900-04-28T15:54:00"/>
    <n v="119.66249999999854"/>
    <m/>
    <m/>
    <n v="0"/>
    <n v="184364"/>
    <n v="13"/>
    <n v="22.554216867406609"/>
    <n v="4605"/>
    <n v="121668"/>
    <n v="19"/>
    <n v="32.963855421594275"/>
    <n v="2236"/>
    <n v="32"/>
    <n v="6841"/>
    <n v="2.3132530120417036"/>
    <n v="55.518072289000891"/>
    <n v="20264.096385485325"/>
    <n v="2.3820467286465696"/>
    <n v="57.169121487517671"/>
    <n v="20866.729342943949"/>
  </r>
  <r>
    <d v="2021-04-20T09:07:00"/>
    <x v="1"/>
    <s v=""/>
    <x v="4"/>
    <x v="27"/>
    <x v="3"/>
    <s v="4/2021"/>
    <s v="20/4/2021"/>
    <d v="1900-01-03T00:13:00"/>
    <n v="4.0090277777781012"/>
    <d v="1900-05-02T16:07:00"/>
    <n v="123.67152777777665"/>
    <m/>
    <m/>
    <n v="0"/>
    <n v="184441"/>
    <n v="77"/>
    <n v="19.206651654251004"/>
    <n v="4682"/>
    <n v="121734"/>
    <n v="66"/>
    <n v="16.462844275072289"/>
    <n v="2302"/>
    <n v="143"/>
    <n v="6984"/>
    <n v="1.4862289970551374"/>
    <n v="35.669495929323297"/>
    <n v="13019.366014203004"/>
    <n v="2.3530072380353637"/>
    <n v="56.472173712848729"/>
    <n v="20612.343405189786"/>
  </r>
  <r>
    <d v="2021-04-24T07:51:00"/>
    <x v="1"/>
    <s v=""/>
    <x v="4"/>
    <x v="1"/>
    <x v="6"/>
    <s v="4/2021"/>
    <s v="24/4/2021"/>
    <d v="1900-01-02T22:44:00"/>
    <n v="3.9472222222175333"/>
    <d v="1900-05-06T14:51:00"/>
    <n v="127.61874999999418"/>
    <m/>
    <m/>
    <n v="0"/>
    <n v="184494"/>
    <n v="53"/>
    <n v="13.42716396905184"/>
    <n v="4735"/>
    <n v="121748"/>
    <n v="14"/>
    <n v="3.5467980295608634"/>
    <n v="2316"/>
    <n v="67"/>
    <n v="7051"/>
    <n v="0.70724841660886262"/>
    <n v="16.973961998612705"/>
    <n v="6195.4961294936375"/>
    <n v="2.3021042493103878"/>
    <n v="55.250501983449311"/>
    <n v="20166.433223959"/>
  </r>
  <r>
    <d v="2021-04-25T06:36:00"/>
    <x v="1"/>
    <s v=""/>
    <x v="4"/>
    <x v="2"/>
    <x v="1"/>
    <s v="4/2021"/>
    <s v="25/4/2021"/>
    <d v="1899-12-30T22:45:00"/>
    <n v="0.94791666667151731"/>
    <d v="1900-05-07T13:36:00"/>
    <n v="128.5666666666657"/>
    <m/>
    <m/>
    <n v="0"/>
    <n v="184505"/>
    <n v="11"/>
    <n v="11.604395604336222"/>
    <n v="4746"/>
    <n v="121751"/>
    <n v="3"/>
    <n v="3.1648351648189701"/>
    <n v="2319"/>
    <n v="14"/>
    <n v="7065"/>
    <n v="0.61538461538146638"/>
    <n v="14.769230769155193"/>
    <n v="5390.7692307416455"/>
    <n v="2.2896681358569007"/>
    <n v="54.952035260565623"/>
    <n v="20057.492870106453"/>
  </r>
  <r>
    <d v="2021-04-26T07:42:00"/>
    <x v="1"/>
    <s v=""/>
    <x v="4"/>
    <x v="3"/>
    <x v="2"/>
    <s v="4/2021"/>
    <s v="26/4/2021"/>
    <d v="1899-12-31T01:06:00"/>
    <n v="1.0458333333299379"/>
    <d v="1900-05-08T14:42:00"/>
    <n v="129.61249999999563"/>
    <m/>
    <m/>
    <n v="0"/>
    <n v="184517"/>
    <n v="12"/>
    <n v="11.474103585694623"/>
    <n v="4758"/>
    <n v="121754"/>
    <n v="3"/>
    <n v="2.8685258964236557"/>
    <n v="2322"/>
    <n v="15"/>
    <n v="7080"/>
    <n v="0.5976095617549283"/>
    <n v="14.342629482118278"/>
    <n v="5235.0597609731713"/>
    <n v="2.2760150448452885"/>
    <n v="54.624361076286924"/>
    <n v="19937.891792844726"/>
  </r>
  <r>
    <d v="2021-04-28T19:29:00"/>
    <x v="1"/>
    <s v=""/>
    <x v="4"/>
    <x v="5"/>
    <x v="4"/>
    <s v="4/2021"/>
    <s v="28/4/2021"/>
    <d v="1900-01-01T11:47:00"/>
    <n v="2.4909722222218988"/>
    <d v="1900-05-11T02:29:00"/>
    <n v="132.10347222221753"/>
    <m/>
    <m/>
    <n v="0"/>
    <n v="184547"/>
    <n v="30"/>
    <n v="12.043490381936328"/>
    <n v="4788"/>
    <n v="121761"/>
    <n v="7"/>
    <n v="2.8101477557851431"/>
    <n v="2329"/>
    <n v="37"/>
    <n v="7117"/>
    <n v="0.61890158907172799"/>
    <n v="14.853638137721472"/>
    <n v="5421.577920268337"/>
    <n v="2.2447681478639701"/>
    <n v="53.874435548735278"/>
    <n v="19664.168975288376"/>
  </r>
  <r>
    <d v="2021-05-03T08:53:00"/>
    <x v="1"/>
    <s v=""/>
    <x v="5"/>
    <x v="11"/>
    <x v="2"/>
    <s v="5/2021"/>
    <s v="3/5/2021"/>
    <d v="1900-01-03T13:24:00"/>
    <n v="4.5583333333343035"/>
    <d v="1900-05-15T15:53:00"/>
    <n v="136.66180555555184"/>
    <m/>
    <m/>
    <n v="0"/>
    <n v="184624"/>
    <n v="77"/>
    <n v="16.892138939667337"/>
    <n v="4865"/>
    <n v="121801"/>
    <n v="40"/>
    <n v="8.7751371115154999"/>
    <n v="2369"/>
    <n v="117"/>
    <n v="7234"/>
    <n v="1.0694698354659515"/>
    <n v="25.667276051182839"/>
    <n v="9368.5557586817358"/>
    <n v="2.205566254897338"/>
    <n v="52.933590117536106"/>
    <n v="19320.76039290068"/>
  </r>
  <r>
    <d v="2021-05-04T07:11:00"/>
    <x v="1"/>
    <s v=""/>
    <x v="5"/>
    <x v="12"/>
    <x v="3"/>
    <s v="5/2021"/>
    <s v="4/5/2021"/>
    <d v="1899-12-30T22:18:00"/>
    <n v="0.92916666666860692"/>
    <d v="1900-05-16T14:11:00"/>
    <n v="137.59097222222044"/>
    <m/>
    <m/>
    <n v="0"/>
    <n v="184635"/>
    <n v="11"/>
    <n v="11.838565022396804"/>
    <n v="4876"/>
    <n v="121816"/>
    <n v="15"/>
    <n v="16.143497757813822"/>
    <n v="2384"/>
    <n v="26"/>
    <n v="7260"/>
    <n v="1.1659192825087761"/>
    <n v="27.982062780210626"/>
    <n v="10213.452914776879"/>
    <n v="2.1985454068268249"/>
    <n v="52.765089763843797"/>
    <n v="19259.257763802987"/>
  </r>
  <r>
    <d v="2021-05-06T21:51:00"/>
    <x v="1"/>
    <s v=""/>
    <x v="5"/>
    <x v="14"/>
    <x v="0"/>
    <s v="5/2021"/>
    <s v="6/5/2021"/>
    <d v="1900-01-01T14:40:00"/>
    <n v="2.6111111111094942"/>
    <d v="1900-05-19T04:51:00"/>
    <n v="140.20208333332994"/>
    <m/>
    <m/>
    <n v="0"/>
    <n v="184709"/>
    <n v="74"/>
    <n v="28.340425531932443"/>
    <n v="4950"/>
    <n v="121843"/>
    <n v="27"/>
    <n v="10.340425531921296"/>
    <n v="2411"/>
    <n v="101"/>
    <n v="7361"/>
    <n v="1.6117021276605725"/>
    <n v="38.680851063853737"/>
    <n v="14118.510638306614"/>
    <n v="2.1876160898703296"/>
    <n v="52.502786156887908"/>
    <n v="19163.516947264085"/>
  </r>
  <r>
    <d v="2021-06-15T06:33:00"/>
    <x v="1"/>
    <s v=""/>
    <x v="6"/>
    <x v="23"/>
    <x v="3"/>
    <s v="6/2021"/>
    <s v="15/6/2021"/>
    <d v="1900-02-07T08:42:00"/>
    <n v="39.36250000000291"/>
    <d v="1900-06-27T13:33:00"/>
    <n v="179.56458333333285"/>
    <m/>
    <m/>
    <n v="0"/>
    <n v="185206"/>
    <n v="497"/>
    <n v="12.626230549379823"/>
    <n v="5447"/>
    <n v="122063"/>
    <n v="220"/>
    <n v="5.5890758971097805"/>
    <n v="2631"/>
    <n v="717"/>
    <n v="8078"/>
    <n v="0.75897110193706674"/>
    <n v="18.215306446489603"/>
    <n v="6648.586852968705"/>
    <n v="1.8744416470397192"/>
    <n v="44.986599528953263"/>
    <n v="16420.10882806794"/>
  </r>
  <r>
    <d v="2021-07-03T16:15:00"/>
    <x v="1"/>
    <s v=""/>
    <x v="7"/>
    <x v="11"/>
    <x v="6"/>
    <s v="7/2021"/>
    <s v="3/7/2021"/>
    <d v="1900-01-17T09:42:00"/>
    <n v="18.404166666667152"/>
    <d v="1900-07-15T23:15:00"/>
    <n v="197.96875"/>
    <m/>
    <m/>
    <n v="0"/>
    <n v="185377"/>
    <n v="171"/>
    <n v="9.2913742359064795"/>
    <n v="5618"/>
    <n v="122107"/>
    <n v="44"/>
    <n v="2.3907629612858776"/>
    <n v="2675"/>
    <n v="215"/>
    <n v="8293"/>
    <n v="0.48675571654968153"/>
    <n v="11.682137197192358"/>
    <n v="4263.9800769752101"/>
    <n v="1.7454354117337543"/>
    <n v="41.890449881610103"/>
    <n v="15290.014206787688"/>
  </r>
  <r>
    <d v="2021-09-12T17:57:00"/>
    <x v="1"/>
    <s v=""/>
    <x v="8"/>
    <x v="20"/>
    <x v="1"/>
    <s v="9/2021"/>
    <s v="12/9/2021"/>
    <d v="1900-03-11T01:42:00"/>
    <n v="71.070833333331393"/>
    <d v="1900-09-25T00:57:00"/>
    <n v="269.03958333333139"/>
    <m/>
    <m/>
    <n v="0"/>
    <n v="186019"/>
    <n v="642"/>
    <n v="9.0332414844347895"/>
    <n v="6260"/>
    <n v="122283"/>
    <n v="176"/>
    <n v="2.4764026499385094"/>
    <n v="2851"/>
    <n v="818"/>
    <n v="9111"/>
    <n v="0.47956850559888747"/>
    <n v="11.509644134373298"/>
    <n v="4201.0201090462542"/>
    <n v="1.4110377190469285"/>
    <n v="33.864905257126289"/>
    <n v="12360.690418851096"/>
  </r>
  <r>
    <d v="2021-09-30T05:59:00"/>
    <x v="1"/>
    <s v=""/>
    <x v="8"/>
    <x v="7"/>
    <x v="0"/>
    <s v="9/2021"/>
    <s v="30/9/2021"/>
    <d v="1900-01-16T12:02:00"/>
    <n v="17.50138888888614"/>
    <d v="1900-10-12T12:59:00"/>
    <n v="286.54097222221753"/>
    <m/>
    <m/>
    <n v="0"/>
    <n v="186182"/>
    <n v="163"/>
    <n v="9.3135465439265488"/>
    <n v="6423"/>
    <n v="122332"/>
    <n v="49"/>
    <n v="2.7997777954135024"/>
    <n v="2900"/>
    <n v="212"/>
    <n v="9323"/>
    <n v="0.50472184747250204"/>
    <n v="12.11332433934005"/>
    <n v="4421.3633838591186"/>
    <n v="1.3556816336620687"/>
    <n v="32.536359207889653"/>
    <n v="11875.771110879723"/>
  </r>
  <r>
    <d v="2021-10-15T12:00:00"/>
    <x v="1"/>
    <s v=""/>
    <x v="9"/>
    <x v="23"/>
    <x v="5"/>
    <s v="10/2021"/>
    <s v="15/10/2021"/>
    <d v="1900-01-14T06:01:00"/>
    <n v="15.250694444446708"/>
    <d v="1900-10-27T19:00:00"/>
    <n v="301.79166666666424"/>
    <m/>
    <m/>
    <n v="0"/>
    <n v="186426"/>
    <n v="244"/>
    <n v="15.999271435724596"/>
    <n v="6667"/>
    <n v="122389"/>
    <n v="57"/>
    <n v="3.737534720640582"/>
    <n v="2957"/>
    <n v="301"/>
    <n v="9624"/>
    <n v="0.82236692318188243"/>
    <n v="19.736806156365176"/>
    <n v="7203.934247073289"/>
    <n v="1.3287311887339608"/>
    <n v="31.889548529615055"/>
    <n v="11639.685213309494"/>
  </r>
  <r>
    <d v="2021-11-02T18:23:00"/>
    <x v="1"/>
    <s v=""/>
    <x v="10"/>
    <x v="10"/>
    <x v="3"/>
    <s v="11/2021"/>
    <s v="2/11/2021"/>
    <d v="1900-01-17T06:23:00"/>
    <n v="18.265972222223354"/>
    <d v="1900-11-15T01:23:00"/>
    <n v="320.0576388888876"/>
    <m/>
    <m/>
    <n v="0"/>
    <n v="186810"/>
    <n v="384"/>
    <n v="21.022697030755644"/>
    <n v="7051"/>
    <n v="122479"/>
    <n v="90"/>
    <n v="4.9271946165833542"/>
    <n v="3047"/>
    <n v="474"/>
    <n v="10098"/>
    <n v="1.0812454853057916"/>
    <n v="25.949891647339001"/>
    <n v="9471.7104512787355"/>
    <n v="1.3146069609857653"/>
    <n v="31.550567063658367"/>
    <n v="11515.956978235305"/>
  </r>
  <r>
    <d v="2021-11-11T11:55:00"/>
    <x v="1"/>
    <s v=""/>
    <x v="10"/>
    <x v="19"/>
    <x v="0"/>
    <s v="11/2021"/>
    <s v="11/11/2021"/>
    <d v="1900-01-07T17:32:00"/>
    <n v="8.7305555555576575"/>
    <d v="1900-11-23T18:55:00"/>
    <n v="328.78819444444525"/>
    <m/>
    <m/>
    <n v="0"/>
    <n v="187090"/>
    <n v="280"/>
    <n v="32.071269487742832"/>
    <n v="7331"/>
    <n v="122555"/>
    <n v="76"/>
    <n v="8.7050588609587702"/>
    <n v="3123"/>
    <n v="356"/>
    <n v="10454"/>
    <n v="1.6990136811959002"/>
    <n v="40.776328348701604"/>
    <n v="14883.359847276086"/>
    <n v="1.3248143962995396"/>
    <n v="31.795545511188948"/>
    <n v="11605.374111583966"/>
  </r>
  <r>
    <d v="2021-11-20T11:05:00"/>
    <x v="1"/>
    <s v=""/>
    <x v="10"/>
    <x v="27"/>
    <x v="6"/>
    <s v="11/2021"/>
    <s v="20/11/2021"/>
    <d v="1900-01-07T23:10:00"/>
    <n v="8.9652777777737356"/>
    <d v="1900-12-02T18:05:00"/>
    <n v="337.75347222221899"/>
    <m/>
    <m/>
    <n v="0"/>
    <n v="187397"/>
    <n v="307"/>
    <n v="34.243222308303586"/>
    <n v="7638"/>
    <n v="122594"/>
    <n v="39"/>
    <n v="4.350116189002736"/>
    <n v="3162"/>
    <n v="346"/>
    <n v="10800"/>
    <n v="1.6080557707210967"/>
    <n v="38.593338497306327"/>
    <n v="14086.56855151681"/>
    <n v="1.332332713085864"/>
    <n v="31.975985114060734"/>
    <n v="11671.234566632167"/>
  </r>
  <r>
    <d v="2021-11-28T12:26:00"/>
    <x v="1"/>
    <s v=""/>
    <x v="10"/>
    <x v="5"/>
    <x v="1"/>
    <s v="11/2021"/>
    <s v="28/11/2021"/>
    <d v="1900-01-07T01:21:00"/>
    <n v="8.0562500000014552"/>
    <d v="1900-12-10T19:26:00"/>
    <n v="345.80972222222044"/>
    <m/>
    <m/>
    <n v="0"/>
    <n v="187800"/>
    <n v="403"/>
    <n v="50.023273855693056"/>
    <n v="8041"/>
    <n v="122648"/>
    <n v="54"/>
    <n v="6.7028704422020473"/>
    <n v="3216"/>
    <n v="457"/>
    <n v="11257"/>
    <n v="2.3635893457456296"/>
    <n v="56.726144297895104"/>
    <n v="20705.042668731712"/>
    <n v="1.356357662972981"/>
    <n v="32.552583911351547"/>
    <n v="11881.693127643315"/>
  </r>
  <r>
    <d v="2021-12-07T21:09:00"/>
    <x v="1"/>
    <s v=""/>
    <x v="0"/>
    <x v="15"/>
    <x v="3"/>
    <s v="12/2021"/>
    <s v="7/12/2021"/>
    <d v="1900-01-08T08:43:00"/>
    <n v="9.3631944444423425"/>
    <d v="1900-12-20T04:09:00"/>
    <n v="355.17291666666279"/>
    <m/>
    <m/>
    <n v="0"/>
    <n v="188205"/>
    <n v="405"/>
    <n v="43.254468590086105"/>
    <n v="8446"/>
    <n v="122809"/>
    <n v="161"/>
    <n v="17.194986279021883"/>
    <n v="3377"/>
    <n v="566"/>
    <n v="11823"/>
    <n v="2.5187272862128327"/>
    <n v="60.449454869107988"/>
    <n v="22064.051027224417"/>
    <n v="1.3870004633893267"/>
    <n v="33.288011121343843"/>
    <n v="12150.124059290503"/>
  </r>
  <r>
    <d v="2021-12-19T12:07:00"/>
    <x v="1"/>
    <s v=""/>
    <x v="0"/>
    <x v="26"/>
    <x v="1"/>
    <s v="12/2021"/>
    <s v="19/12/2021"/>
    <d v="1900-01-10T14:58:00"/>
    <n v="11.62361111111386"/>
    <d v="1900-12-31T19:07:00"/>
    <n v="366.79652777777665"/>
    <m/>
    <m/>
    <n v="0"/>
    <n v="188716"/>
    <n v="511"/>
    <n v="43.96224160591624"/>
    <n v="8957"/>
    <n v="123033"/>
    <n v="224"/>
    <n v="19.271119608072873"/>
    <n v="3601"/>
    <n v="735"/>
    <n v="12558"/>
    <n v="2.6347233839162127"/>
    <n v="63.233361213989113"/>
    <n v="23080.176843106026"/>
    <n v="1.4265402215503264"/>
    <n v="34.23696531720784"/>
    <n v="12496.492340780862"/>
  </r>
  <r>
    <d v="2021-12-20T17:20:00"/>
    <x v="1"/>
    <s v=""/>
    <x v="0"/>
    <x v="27"/>
    <x v="2"/>
    <s v="12/2021"/>
    <s v="20/12/2021"/>
    <d v="1899-12-31T05:13:00"/>
    <n v="1.2173611111065838"/>
    <d v="1901-01-02T00:20:00"/>
    <n v="368.01388888888323"/>
    <m/>
    <m/>
    <n v="0"/>
    <n v="188797"/>
    <n v="81"/>
    <n v="66.537364518216648"/>
    <n v="9038"/>
    <n v="123058"/>
    <n v="25"/>
    <n v="20.536223616733533"/>
    <n v="3626"/>
    <n v="106"/>
    <n v="12664"/>
    <n v="3.6280661722895906"/>
    <n v="87.073588134950171"/>
    <n v="31781.859669256814"/>
    <n v="1.4338226969091061"/>
    <n v="34.411744725818544"/>
    <n v="12560.286824923769"/>
  </r>
  <r>
    <d v="2021-12-22T17:23:00"/>
    <x v="1"/>
    <s v=""/>
    <x v="0"/>
    <x v="29"/>
    <x v="4"/>
    <s v="12/2021"/>
    <s v="22/12/2021"/>
    <d v="1900-01-01T00:03:00"/>
    <n v="2.0020833333401242"/>
    <d v="1901-01-04T00:23:00"/>
    <n v="370.01597222222335"/>
    <m/>
    <m/>
    <n v="0"/>
    <n v="188917"/>
    <n v="120"/>
    <n v="59.937565036217094"/>
    <n v="9158"/>
    <n v="123108"/>
    <n v="50"/>
    <n v="24.973985431757121"/>
    <n v="3676"/>
    <n v="170"/>
    <n v="12834"/>
    <n v="3.5379812694989257"/>
    <n v="84.911550467974209"/>
    <n v="30992.715920810588"/>
    <n v="1.4452078832933219"/>
    <n v="34.684989199039727"/>
    <n v="12660.021057649501"/>
  </r>
  <r>
    <d v="2021-12-24T15:48:00"/>
    <x v="1"/>
    <s v=""/>
    <x v="0"/>
    <x v="1"/>
    <x v="5"/>
    <s v="12/2021"/>
    <s v="24/12/2021"/>
    <d v="1899-12-31T22:25:00"/>
    <n v="1.9340277777737356"/>
    <d v="1901-01-05T22:48:00"/>
    <n v="371.94999999999709"/>
    <m/>
    <m/>
    <n v="0"/>
    <n v="189001"/>
    <n v="84"/>
    <n v="43.432675044974083"/>
    <n v="9242"/>
    <n v="123141"/>
    <n v="33"/>
    <n v="17.062836624811247"/>
    <n v="3709"/>
    <n v="117"/>
    <n v="12951"/>
    <n v="2.5206463195743884"/>
    <n v="60.495511669785323"/>
    <n v="22080.861759471642"/>
    <n v="1.450799838688007"/>
    <n v="34.819196128512168"/>
    <n v="12709.00658690694"/>
  </r>
  <r>
    <d v="2021-12-26T19:17:00"/>
    <x v="1"/>
    <n v="2021"/>
    <x v="0"/>
    <x v="3"/>
    <x v="1"/>
    <s v="12/2021"/>
    <s v="26/12/2021"/>
    <d v="1900-01-01T03:29:00"/>
    <n v="2.1451388888890506"/>
    <d v="1901-01-08T02:17:00"/>
    <n v="374.09513888888614"/>
    <m/>
    <m/>
    <n v="0"/>
    <n v="189020"/>
    <n v="19"/>
    <n v="8.8572353512456896"/>
    <n v="9261"/>
    <n v="123146"/>
    <n v="5"/>
    <n v="2.33085140822255"/>
    <n v="3714"/>
    <n v="24"/>
    <n v="12975"/>
    <n v="0.46617028164451002"/>
    <n v="11.188086759468241"/>
    <n v="4083.6516672059083"/>
    <n v="1.4451537691875131"/>
    <n v="34.683690460500316"/>
    <n v="12659.547018082616"/>
  </r>
  <r>
    <d v="2022-01-17T18:58:00"/>
    <x v="2"/>
    <s v=""/>
    <x v="1"/>
    <x v="0"/>
    <x v="2"/>
    <s v="1/2022"/>
    <s v="17/1/2022"/>
    <d v="1900-01-20T23:41:00"/>
    <n v="21.986805555556202"/>
    <d v="1901-01-30T01:58:00"/>
    <n v="396.08194444444234"/>
    <m/>
    <m/>
    <n v="0"/>
    <n v="189901"/>
    <n v="881"/>
    <n v="40.069486118567404"/>
    <n v="10142"/>
    <n v="123525"/>
    <n v="379"/>
    <n v="17.237610940904709"/>
    <n v="4093"/>
    <n v="1260"/>
    <n v="14235"/>
    <n v="2.3877957108113379"/>
    <n v="57.307097059472113"/>
    <n v="20917.09042670732"/>
    <n v="1.4974805297725369"/>
    <n v="35.939532714540881"/>
    <n v="13117.929440807422"/>
  </r>
  <r>
    <d v="2022-01-19T07:30:00"/>
    <x v="2"/>
    <s v=""/>
    <x v="1"/>
    <x v="26"/>
    <x v="4"/>
    <s v="1/2022"/>
    <s v="19/1/2022"/>
    <d v="1899-12-31T12:32:00"/>
    <n v="1.5222222222218988"/>
    <d v="1901-01-31T14:30:00"/>
    <n v="397.60416666666424"/>
    <m/>
    <m/>
    <n v="0"/>
    <n v="189960"/>
    <n v="59"/>
    <n v="38.759124087599474"/>
    <n v="10201"/>
    <n v="123565"/>
    <n v="40"/>
    <n v="26.277372262779306"/>
    <n v="4133"/>
    <n v="99"/>
    <n v="14334"/>
    <n v="2.7098540145991157"/>
    <n v="65.036496350378783"/>
    <n v="23738.321167888254"/>
    <n v="1.5021220854073971"/>
    <n v="36.050930049777534"/>
    <n v="13158.589468168801"/>
  </r>
  <r>
    <d v="2022-01-20T07:22:00"/>
    <x v="2"/>
    <s v=""/>
    <x v="1"/>
    <x v="27"/>
    <x v="0"/>
    <s v="1/2022"/>
    <s v="20/1/2022"/>
    <d v="1899-12-30T23:52:00"/>
    <n v="0.99444444444088731"/>
    <d v="1901-02-01T14:22:00"/>
    <n v="398.59861111110513"/>
    <m/>
    <m/>
    <n v="0"/>
    <n v="190008"/>
    <n v="48"/>
    <n v="48.268156424753663"/>
    <n v="10249"/>
    <n v="123583"/>
    <n v="18"/>
    <n v="18.100558659282623"/>
    <n v="4151"/>
    <n v="66"/>
    <n v="14400"/>
    <n v="2.7653631285015119"/>
    <n v="66.368715084036282"/>
    <n v="24224.581005673244"/>
    <n v="1.5052736845406527"/>
    <n v="36.126568428975666"/>
    <n v="13186.197476576119"/>
  </r>
  <r>
    <d v="2022-01-21T07:49:00"/>
    <x v="2"/>
    <s v=""/>
    <x v="1"/>
    <x v="28"/>
    <x v="5"/>
    <s v="1/2022"/>
    <s v="21/1/2022"/>
    <d v="1899-12-31T00:27:00"/>
    <n v="1.0187500000029104"/>
    <d v="1901-02-02T14:49:00"/>
    <n v="399.61736111110804"/>
    <m/>
    <m/>
    <n v="0"/>
    <n v="190052"/>
    <n v="44"/>
    <n v="43.190184048956368"/>
    <n v="10293"/>
    <n v="123606"/>
    <n v="23"/>
    <n v="22.576687116499919"/>
    <n v="4174"/>
    <n v="67"/>
    <n v="14467"/>
    <n v="2.7402862985606786"/>
    <n v="65.766871165456294"/>
    <n v="24004.907975391547"/>
    <n v="1.5084221190757245"/>
    <n v="36.202130857817394"/>
    <n v="13213.77776310335"/>
  </r>
  <r>
    <d v="2022-01-22T08:08:00"/>
    <x v="2"/>
    <s v=""/>
    <x v="1"/>
    <x v="29"/>
    <x v="6"/>
    <s v="1/2022"/>
    <s v="22/1/2022"/>
    <d v="1899-12-31T00:19:00"/>
    <n v="1.0131944444437977"/>
    <d v="1901-02-03T15:08:00"/>
    <n v="400.63055555555184"/>
    <m/>
    <m/>
    <n v="0"/>
    <n v="190102"/>
    <n v="50"/>
    <n v="49.348869088448225"/>
    <n v="10343"/>
    <n v="123631"/>
    <n v="25"/>
    <n v="24.674434544224113"/>
    <n v="4199"/>
    <n v="75"/>
    <n v="14542"/>
    <n v="3.0843043180280141"/>
    <n v="74.023303632672338"/>
    <n v="27018.505825925404"/>
    <n v="1.512407524249981"/>
    <n v="36.297780581999547"/>
    <n v="13248.689912429834"/>
  </r>
  <r>
    <d v="2022-01-23T08:14:00"/>
    <x v="2"/>
    <s v=""/>
    <x v="1"/>
    <x v="30"/>
    <x v="1"/>
    <s v="1/2022"/>
    <s v="23/1/2022"/>
    <d v="1899-12-31T00:06:00"/>
    <n v="1.0041666666656965"/>
    <d v="1901-02-04T15:14:00"/>
    <n v="401.63472222221753"/>
    <m/>
    <m/>
    <n v="0"/>
    <n v="190159"/>
    <n v="57"/>
    <n v="56.76348547723326"/>
    <n v="10400"/>
    <n v="123655"/>
    <n v="24"/>
    <n v="23.900414937782426"/>
    <n v="4223"/>
    <n v="81"/>
    <n v="14623"/>
    <n v="3.3609958506256539"/>
    <n v="80.663900415015689"/>
    <n v="29442.323651480725"/>
    <n v="1.5170293626395084"/>
    <n v="36.408704703348199"/>
    <n v="13289.177216722093"/>
  </r>
  <r>
    <d v="2022-01-24T07:58:00"/>
    <x v="2"/>
    <s v=""/>
    <x v="1"/>
    <x v="1"/>
    <x v="2"/>
    <s v="1/2022"/>
    <s v="24/1/2022"/>
    <d v="1899-12-30T23:44:00"/>
    <n v="0.98888888888905058"/>
    <d v="1901-02-05T14:58:00"/>
    <n v="402.62361111110658"/>
    <m/>
    <m/>
    <n v="0"/>
    <n v="190210"/>
    <n v="51"/>
    <n v="51.573033707856737"/>
    <n v="10451"/>
    <n v="123679"/>
    <n v="24"/>
    <n v="24.269662921344345"/>
    <n v="4247"/>
    <n v="75"/>
    <n v="14698"/>
    <n v="3.1601123595500451"/>
    <n v="75.842696629201086"/>
    <n v="27682.584269658397"/>
    <n v="1.5210649593465255"/>
    <n v="36.505559024316611"/>
    <n v="13324.529043875564"/>
  </r>
  <r>
    <d v="2022-01-25T07:41:00"/>
    <x v="2"/>
    <s v=""/>
    <x v="1"/>
    <x v="2"/>
    <x v="3"/>
    <s v="1/2022"/>
    <s v="25/1/2022"/>
    <d v="1899-12-30T23:43:00"/>
    <n v="0.98819444444961846"/>
    <d v="1901-02-06T14:41:00"/>
    <n v="403.6118055555562"/>
    <n v="-3.4"/>
    <n v="2.7"/>
    <n v="6.1"/>
    <n v="190263"/>
    <n v="53"/>
    <n v="53.63316936022516"/>
    <n v="10504"/>
    <n v="123706"/>
    <n v="27"/>
    <n v="27.322557975963761"/>
    <n v="4274"/>
    <n v="80"/>
    <n v="14778"/>
    <n v="3.3731553056745383"/>
    <n v="80.955727336188914"/>
    <n v="29548.840477708953"/>
    <n v="1.5255995774267397"/>
    <n v="36.614389858241758"/>
    <n v="13364.252298258241"/>
  </r>
  <r>
    <d v="2022-01-26T07:45:00"/>
    <x v="2"/>
    <s v=""/>
    <x v="1"/>
    <x v="3"/>
    <x v="4"/>
    <s v="1/2022"/>
    <s v="26/1/2022"/>
    <d v="1899-12-31T00:04:00"/>
    <n v="1.0027777777722804"/>
    <d v="1901-02-07T14:45:00"/>
    <n v="404.61458333332848"/>
    <n v="-3.9"/>
    <n v="7"/>
    <n v="10.9"/>
    <n v="190316"/>
    <n v="53"/>
    <n v="52.853185595857617"/>
    <n v="10557"/>
    <n v="123731"/>
    <n v="25"/>
    <n v="24.930747922574348"/>
    <n v="4299"/>
    <n v="78"/>
    <n v="14856"/>
    <n v="3.2409972299346652"/>
    <n v="77.783933518431965"/>
    <n v="28391.135734227668"/>
    <n v="1.5298509383930363"/>
    <n v="36.716422521432875"/>
    <n v="13401.494220323"/>
  </r>
  <r>
    <d v="2022-01-27T07:22:00"/>
    <x v="2"/>
    <s v=""/>
    <x v="1"/>
    <x v="4"/>
    <x v="0"/>
    <s v="1/2022"/>
    <s v="27/1/2022"/>
    <d v="1899-12-30T23:37:00"/>
    <n v="0.98402777777664596"/>
    <d v="1901-02-08T14:22:00"/>
    <n v="405.59861111110513"/>
    <n v="-2.2999999999999998"/>
    <n v="-0.4"/>
    <n v="1.9"/>
    <n v="190377"/>
    <n v="61"/>
    <n v="61.990119971842645"/>
    <n v="10618"/>
    <n v="123760"/>
    <n v="29"/>
    <n v="29.470712773498963"/>
    <n v="4328"/>
    <n v="90"/>
    <n v="14946"/>
    <n v="3.8108680310559007"/>
    <n v="91.460832745341605"/>
    <n v="33383.203952049684"/>
    <n v="1.5353849420096037"/>
    <n v="36.849238608230493"/>
    <n v="13449.972092004131"/>
  </r>
  <r>
    <d v="2022-01-28T08:31:00"/>
    <x v="2"/>
    <s v=""/>
    <x v="1"/>
    <x v="5"/>
    <x v="5"/>
    <s v="1/2022"/>
    <s v="28/1/2022"/>
    <d v="1899-12-31T01:09:00"/>
    <n v="1.0479166666700621"/>
    <d v="1901-02-09T15:31:00"/>
    <n v="406.64652777777519"/>
    <n v="-1.9"/>
    <n v="5.5"/>
    <n v="7.4"/>
    <n v="190435"/>
    <n v="58"/>
    <n v="55.347912524671557"/>
    <n v="10676"/>
    <n v="123781"/>
    <n v="21"/>
    <n v="20.039761431346598"/>
    <n v="4349"/>
    <n v="79"/>
    <n v="15025"/>
    <n v="3.1411530815007564"/>
    <n v="75.387673956018162"/>
    <n v="27516.500993946629"/>
    <n v="1.539522961348847"/>
    <n v="36.948551072372332"/>
    <n v="13486.221141415901"/>
  </r>
  <r>
    <d v="2022-01-29T07:36:00"/>
    <x v="2"/>
    <s v=""/>
    <x v="1"/>
    <x v="6"/>
    <x v="6"/>
    <s v="1/2022"/>
    <s v="29/1/2022"/>
    <d v="1899-12-30T23:05:00"/>
    <n v="0.96180555555474712"/>
    <d v="1901-02-10T14:36:00"/>
    <n v="407.60833333332994"/>
    <n v="5.2"/>
    <n v="7.2"/>
    <n v="2"/>
    <n v="190474"/>
    <n v="39"/>
    <n v="40.548736462127948"/>
    <n v="10715"/>
    <n v="123799"/>
    <n v="18"/>
    <n v="18.714801444059052"/>
    <n v="4367"/>
    <n v="57"/>
    <n v="15082"/>
    <n v="2.4693140794244584"/>
    <n v="59.263537906186997"/>
    <n v="21631.191335758253"/>
    <n v="1.5417169259706136"/>
    <n v="37.00120622329473"/>
    <n v="13505.440271502577"/>
  </r>
  <r>
    <d v="2022-01-30T08:52:00"/>
    <x v="2"/>
    <s v=""/>
    <x v="1"/>
    <x v="7"/>
    <x v="1"/>
    <s v="1/2022"/>
    <s v="30/1/2022"/>
    <d v="1899-12-31T01:16:00"/>
    <n v="1.0527777777751908"/>
    <d v="1901-02-11T15:52:00"/>
    <n v="408.66111111110513"/>
    <n v="5.3"/>
    <n v="7.2"/>
    <n v="1.9000000000000004"/>
    <n v="190516"/>
    <n v="42"/>
    <n v="39.894459103000408"/>
    <n v="10757"/>
    <n v="123814"/>
    <n v="15"/>
    <n v="14.248021108214431"/>
    <n v="4382"/>
    <n v="57"/>
    <n v="15139"/>
    <n v="2.2559366754672849"/>
    <n v="54.142480211214838"/>
    <n v="19762.005277093416"/>
    <n v="1.5435568727144424"/>
    <n v="37.045364945146616"/>
    <n v="13521.558204978515"/>
  </r>
  <r>
    <d v="2022-01-31T07:27:00"/>
    <x v="2"/>
    <s v=""/>
    <x v="1"/>
    <x v="8"/>
    <x v="2"/>
    <s v="1/2022"/>
    <s v="31/1/2022"/>
    <d v="1899-12-30T22:35:00"/>
    <n v="0.94097222222626442"/>
    <d v="1901-02-12T14:27:00"/>
    <n v="409.60208333333139"/>
    <n v="3.2"/>
    <n v="9.6999999999999993"/>
    <n v="6.4999999999999991"/>
    <n v="190548"/>
    <n v="32"/>
    <n v="34.007380073654652"/>
    <n v="10789"/>
    <n v="123831"/>
    <n v="17"/>
    <n v="18.066420664129033"/>
    <n v="4399"/>
    <n v="49"/>
    <n v="15188"/>
    <n v="2.1697416974076535"/>
    <n v="52.073800737783685"/>
    <n v="19006.937269291044"/>
    <n v="1.5449953969553858"/>
    <n v="37.079889526929257"/>
    <n v="13534.159677329179"/>
  </r>
  <r>
    <d v="2022-02-01T07:24:00"/>
    <x v="2"/>
    <s v=""/>
    <x v="2"/>
    <x v="9"/>
    <x v="3"/>
    <s v="2/2022"/>
    <s v="1/2/2022"/>
    <d v="1899-12-30T23:57:00"/>
    <n v="0.99791666666715173"/>
    <d v="1901-02-13T14:24:00"/>
    <n v="410.59999999999854"/>
    <n v="2.8"/>
    <n v="9.6999999999999993"/>
    <n v="6.8999999999999995"/>
    <n v="190589"/>
    <n v="41"/>
    <n v="41.085594989541619"/>
    <n v="10830"/>
    <n v="123851"/>
    <n v="20"/>
    <n v="20.041753653434935"/>
    <n v="4419"/>
    <n v="61"/>
    <n v="15249"/>
    <n v="2.5469728601240229"/>
    <n v="61.12734864297655"/>
    <n v="22311.482254686442"/>
    <n v="1.5474305893813987"/>
    <n v="37.138334145153564"/>
    <n v="13555.49196298105"/>
  </r>
  <r>
    <d v="2022-02-02T07:52:00"/>
    <x v="2"/>
    <s v=""/>
    <x v="2"/>
    <x v="10"/>
    <x v="4"/>
    <s v="2/2022"/>
    <s v="2/2/2022"/>
    <d v="1899-12-31T00:28:00"/>
    <n v="1.0194444444423425"/>
    <d v="1901-02-14T14:52:00"/>
    <n v="411.61944444444089"/>
    <n v="4"/>
    <n v="9.6"/>
    <n v="5.6"/>
    <n v="190628"/>
    <n v="39"/>
    <n v="38.256130790269616"/>
    <n v="10869"/>
    <n v="123866"/>
    <n v="15"/>
    <n v="14.713896457796006"/>
    <n v="4434"/>
    <n v="54"/>
    <n v="15303"/>
    <n v="2.2070844686694007"/>
    <n v="52.97002724806562"/>
    <n v="19334.059945543951"/>
    <n v="1.5490643326157656"/>
    <n v="37.177543982778374"/>
    <n v="13569.803553714106"/>
  </r>
  <r>
    <d v="2022-02-03T08:20:00"/>
    <x v="2"/>
    <s v=""/>
    <x v="2"/>
    <x v="11"/>
    <x v="0"/>
    <s v="2/2022"/>
    <s v="3/2/2022"/>
    <d v="1899-12-31T00:28:00"/>
    <n v="1.0194444444423425"/>
    <d v="1901-02-15T15:20:00"/>
    <n v="412.63888888888323"/>
    <n v="3.7"/>
    <n v="9.5"/>
    <n v="5.8"/>
    <n v="190665"/>
    <n v="37"/>
    <n v="36.294277929230148"/>
    <n v="10906"/>
    <n v="123883"/>
    <n v="17"/>
    <n v="16.675749318835472"/>
    <n v="4451"/>
    <n v="54"/>
    <n v="15357"/>
    <n v="2.2070844686694007"/>
    <n v="52.97002724806562"/>
    <n v="19334.059945543951"/>
    <n v="1.5506900033658912"/>
    <n v="37.216560080781392"/>
    <n v="13584.044429485208"/>
  </r>
  <r>
    <d v="2022-02-04T08:23:00"/>
    <x v="2"/>
    <s v=""/>
    <x v="2"/>
    <x v="12"/>
    <x v="5"/>
    <s v="2/2022"/>
    <s v="4/2/2022"/>
    <d v="1899-12-31T00:03:00"/>
    <n v="1.0020833333401242"/>
    <d v="1901-02-16T15:23:00"/>
    <n v="413.64097222222335"/>
    <n v="3.6"/>
    <n v="7.4"/>
    <n v="3.8000000000000003"/>
    <n v="190705"/>
    <n v="40"/>
    <n v="39.916839916569408"/>
    <n v="10946"/>
    <n v="123899"/>
    <n v="16"/>
    <n v="15.966735966627764"/>
    <n v="4467"/>
    <n v="56"/>
    <n v="15413"/>
    <n v="2.3284823284665488"/>
    <n v="55.883575883197175"/>
    <n v="20397.505197366969"/>
    <n v="1.552574276873895"/>
    <n v="37.261782644973479"/>
    <n v="13600.55066541532"/>
  </r>
  <r>
    <d v="2022-02-05T08:47:00"/>
    <x v="2"/>
    <s v=""/>
    <x v="2"/>
    <x v="13"/>
    <x v="6"/>
    <s v="2/2022"/>
    <s v="5/2/2022"/>
    <d v="1899-12-31T00:24:00"/>
    <n v="1.0166666666627862"/>
    <d v="1901-02-17T15:47:00"/>
    <n v="414.65763888888614"/>
    <n v="-1.4"/>
    <n v="11.7"/>
    <n v="13.1"/>
    <n v="190743"/>
    <n v="38"/>
    <n v="37.377049180470536"/>
    <n v="10984"/>
    <n v="123919"/>
    <n v="20"/>
    <n v="19.672131147616071"/>
    <n v="4487"/>
    <n v="58"/>
    <n v="15471"/>
    <n v="2.3770491803369418"/>
    <n v="57.049180328086607"/>
    <n v="20822.950819751612"/>
    <n v="1.5545957424716277"/>
    <n v="37.310297819319061"/>
    <n v="13618.258704051457"/>
  </r>
  <r>
    <d v="2022-02-06T10:22:00"/>
    <x v="2"/>
    <s v=""/>
    <x v="2"/>
    <x v="14"/>
    <x v="1"/>
    <s v="2/2022"/>
    <s v="6/2/2022"/>
    <d v="1899-12-31T01:35:00"/>
    <n v="1.0659722222189885"/>
    <d v="1901-02-18T17:22:00"/>
    <n v="415.72361111110513"/>
    <n v="-0.1"/>
    <n v="11.3"/>
    <n v="11.4"/>
    <n v="190784"/>
    <n v="41"/>
    <n v="38.462540716729059"/>
    <n v="11025"/>
    <n v="123938"/>
    <n v="19"/>
    <n v="17.82410423458176"/>
    <n v="4506"/>
    <n v="60"/>
    <n v="15531"/>
    <n v="2.3452768729712843"/>
    <n v="56.286644951310819"/>
    <n v="20544.62540722845"/>
    <n v="1.5566231570788776"/>
    <n v="37.358955769893058"/>
    <n v="13636.018856010965"/>
  </r>
  <r>
    <d v="2022-02-07T07:40:00"/>
    <x v="2"/>
    <s v=""/>
    <x v="2"/>
    <x v="15"/>
    <x v="2"/>
    <s v="2/2022"/>
    <s v="7/2/2022"/>
    <d v="1899-12-30T21:18:00"/>
    <n v="0.88750000000436557"/>
    <d v="1901-02-19T14:40:00"/>
    <n v="416.61111111110949"/>
    <n v="7.6"/>
    <n v="10.4"/>
    <n v="2.8000000000000007"/>
    <n v="190816"/>
    <n v="32"/>
    <n v="36.056338027991657"/>
    <n v="11057"/>
    <n v="123952"/>
    <n v="14"/>
    <n v="15.774647887246349"/>
    <n v="4520"/>
    <n v="46"/>
    <n v="15577"/>
    <n v="2.1596244131349169"/>
    <n v="51.830985915238003"/>
    <n v="18918.309859061872"/>
    <n v="1.5579077210294767"/>
    <n v="37.389785304707438"/>
    <n v="13647.271636218215"/>
  </r>
  <r>
    <d v="2022-02-08T07:28:00"/>
    <x v="2"/>
    <s v=""/>
    <x v="2"/>
    <x v="16"/>
    <x v="3"/>
    <s v="2/2022"/>
    <s v="8/2/2022"/>
    <d v="1899-12-30T23:48:00"/>
    <n v="0.99166666666860692"/>
    <d v="1901-02-20T14:28:00"/>
    <n v="417.6027777777781"/>
    <n v="-0.5"/>
    <n v="11.6"/>
    <n v="12.1"/>
    <n v="190847"/>
    <n v="31"/>
    <n v="31.260504201619508"/>
    <n v="11088"/>
    <n v="123970"/>
    <n v="18"/>
    <n v="18.151260504166167"/>
    <n v="4538"/>
    <n v="49"/>
    <n v="15626"/>
    <n v="2.0588235294077366"/>
    <n v="49.411764705785679"/>
    <n v="18035.294117611771"/>
    <n v="1.5590972282272482"/>
    <n v="37.418333477453956"/>
    <n v="13657.691719270693"/>
  </r>
  <r>
    <d v="2022-02-09T08:33:00"/>
    <x v="2"/>
    <s v=""/>
    <x v="2"/>
    <x v="17"/>
    <x v="4"/>
    <s v="2/2022"/>
    <s v="9/2/2022"/>
    <d v="1899-12-31T01:05:00"/>
    <n v="1.0451388888832298"/>
    <d v="1901-02-21T15:33:00"/>
    <n v="418.64791666666133"/>
    <n v="-1"/>
    <n v="14.1"/>
    <n v="15.1"/>
    <n v="190879"/>
    <n v="32"/>
    <n v="30.617940199501334"/>
    <n v="11120"/>
    <n v="123990"/>
    <n v="20"/>
    <n v="19.136212624688334"/>
    <n v="4558"/>
    <n v="52"/>
    <n v="15678"/>
    <n v="2.0730897010079028"/>
    <n v="49.754152824189667"/>
    <n v="18160.265780829228"/>
    <n v="1.5603803912396754"/>
    <n v="37.449129389752208"/>
    <n v="13668.932227259556"/>
  </r>
  <r>
    <d v="2022-02-10T08:36:00"/>
    <x v="2"/>
    <s v=""/>
    <x v="2"/>
    <x v="18"/>
    <x v="0"/>
    <s v="2/2022"/>
    <s v="10/2/2022"/>
    <d v="1899-12-31T00:03:00"/>
    <n v="1.0020833333328483"/>
    <d v="1901-02-22T15:36:00"/>
    <n v="419.64999999999418"/>
    <n v="0.4"/>
    <n v="10.199999999999999"/>
    <n v="9.7999999999999989"/>
    <n v="190916"/>
    <n v="37"/>
    <n v="36.923076923094797"/>
    <n v="11157"/>
    <n v="124008"/>
    <n v="18"/>
    <n v="17.962577962586657"/>
    <n v="4576"/>
    <n v="55"/>
    <n v="15733"/>
    <n v="2.2869022869033939"/>
    <n v="54.885654885681454"/>
    <n v="20033.264033273732"/>
    <n v="1.5621152547758268"/>
    <n v="37.490766114619845"/>
    <n v="13684.129631836244"/>
  </r>
  <r>
    <d v="2022-02-11T08:17:00"/>
    <x v="2"/>
    <s v=""/>
    <x v="2"/>
    <x v="19"/>
    <x v="5"/>
    <s v="2/2022"/>
    <s v="11/2/2022"/>
    <d v="1899-12-30T23:41:00"/>
    <n v="0.98680555555620231"/>
    <d v="1901-02-23T15:17:00"/>
    <n v="420.63680555555038"/>
    <n v="-0.6"/>
    <n v="10.1"/>
    <n v="10.7"/>
    <n v="190953"/>
    <n v="37"/>
    <n v="37.494722026717156"/>
    <n v="11194"/>
    <n v="124028"/>
    <n v="20"/>
    <n v="20.267417311739003"/>
    <n v="4596"/>
    <n v="57"/>
    <n v="15790"/>
    <n v="2.4067558057690066"/>
    <n v="57.762139338456159"/>
    <n v="21083.180858536496"/>
    <n v="1.5640967646607435"/>
    <n v="37.53832235185785"/>
    <n v="13701.487658428116"/>
  </r>
  <r>
    <d v="2022-02-12T07:22:00"/>
    <x v="2"/>
    <s v=""/>
    <x v="2"/>
    <x v="20"/>
    <x v="6"/>
    <s v="2/2022"/>
    <s v="12/2/2022"/>
    <d v="1899-12-30T23:05:00"/>
    <n v="0.96180555555474712"/>
    <d v="1901-02-24T14:22:00"/>
    <n v="421.59861111110513"/>
    <n v="-0.9"/>
    <n v="9.1999999999999993"/>
    <n v="10.1"/>
    <n v="190988"/>
    <n v="35"/>
    <n v="36.38989169678149"/>
    <n v="11229"/>
    <n v="124049"/>
    <n v="21"/>
    <n v="21.833935018068892"/>
    <n v="4617"/>
    <n v="56"/>
    <n v="15846"/>
    <n v="2.4259927797854326"/>
    <n v="58.223826714850382"/>
    <n v="21251.69675092039"/>
    <n v="1.566063033888891"/>
    <n v="37.585512813333381"/>
    <n v="13718.712176866684"/>
  </r>
  <r>
    <d v="2022-02-14T07:37:00"/>
    <x v="2"/>
    <s v=""/>
    <x v="2"/>
    <x v="22"/>
    <x v="2"/>
    <s v="2/2022"/>
    <s v="14/2/2022"/>
    <d v="1900-01-01T00:15:00"/>
    <n v="2.0104166666715173"/>
    <d v="1901-02-26T14:37:00"/>
    <n v="423.60902777777665"/>
    <n v="-2.5"/>
    <n v="12.8"/>
    <n v="15.3"/>
    <n v="191066"/>
    <n v="78"/>
    <n v="38.797927461046285"/>
    <n v="11307"/>
    <n v="124087"/>
    <n v="38"/>
    <n v="18.901554404099471"/>
    <n v="4655"/>
    <n v="116"/>
    <n v="15962"/>
    <n v="2.4041450777144067"/>
    <n v="57.699481865145756"/>
    <n v="21060.310880778201"/>
    <n v="1.5700405083959472"/>
    <n v="37.680972201502733"/>
    <n v="13753.554853548498"/>
  </r>
  <r>
    <d v="2022-02-15T07:19:00"/>
    <x v="2"/>
    <s v=""/>
    <x v="2"/>
    <x v="23"/>
    <x v="3"/>
    <s v="2/2022"/>
    <s v="15/2/2022"/>
    <d v="1899-12-30T23:42:00"/>
    <n v="0.98749999999563443"/>
    <d v="1901-02-27T14:19:00"/>
    <n v="424.59652777777228"/>
    <n v="2.2000000000000002"/>
    <n v="12.2"/>
    <n v="10"/>
    <n v="191102"/>
    <n v="36"/>
    <n v="36.455696202692813"/>
    <n v="11343"/>
    <n v="124107"/>
    <n v="20"/>
    <n v="20.253164557051562"/>
    <n v="4675"/>
    <n v="56"/>
    <n v="16018"/>
    <n v="2.3628691983226822"/>
    <n v="56.708860759744368"/>
    <n v="20698.734177306695"/>
    <n v="1.5718844196860295"/>
    <n v="37.725226072464707"/>
    <n v="13769.707516449618"/>
  </r>
  <r>
    <d v="2022-02-16T07:48:00"/>
    <x v="2"/>
    <s v=""/>
    <x v="2"/>
    <x v="24"/>
    <x v="4"/>
    <s v="2/2022"/>
    <s v="16/2/2022"/>
    <d v="1899-12-31T00:29:00"/>
    <n v="1.0201388888890506"/>
    <d v="1901-02-28T14:48:00"/>
    <n v="425.61666666666133"/>
    <n v="2.5"/>
    <n v="11.2"/>
    <n v="8.6999999999999993"/>
    <n v="191138"/>
    <n v="36"/>
    <n v="35.28931245744846"/>
    <n v="11379"/>
    <n v="124123"/>
    <n v="16"/>
    <n v="15.684138869977092"/>
    <n v="4691"/>
    <n v="52"/>
    <n v="16070"/>
    <n v="2.1238938053093981"/>
    <n v="50.973451327425551"/>
    <n v="18605.309734510327"/>
    <n v="1.5732075028390375"/>
    <n v="37.756980068136905"/>
    <n v="13781.29772486997"/>
  </r>
  <r>
    <d v="2022-02-17T08:52:00"/>
    <x v="2"/>
    <s v=""/>
    <x v="2"/>
    <x v="0"/>
    <x v="0"/>
    <s v="2/2022"/>
    <s v="17/2/2022"/>
    <d v="1899-12-31T01:04:00"/>
    <n v="1.0444444444437977"/>
    <d v="1901-03-01T15:52:00"/>
    <n v="426.66111111110513"/>
    <n v="10.7"/>
    <n v="12.8"/>
    <n v="2.1000000000000014"/>
    <n v="191171"/>
    <n v="33"/>
    <n v="31.595744680870627"/>
    <n v="11412"/>
    <n v="124137"/>
    <n v="14"/>
    <n v="13.404255319157237"/>
    <n v="4705"/>
    <n v="47"/>
    <n v="16117"/>
    <n v="1.8750000000011611"/>
    <n v="45.000000000027867"/>
    <n v="16425.000000010172"/>
    <n v="1.5739462753421489"/>
    <n v="37.774710608211571"/>
    <n v="13787.769371997223"/>
  </r>
  <r>
    <d v="2022-02-20T12:02:00"/>
    <x v="2"/>
    <s v=""/>
    <x v="2"/>
    <x v="27"/>
    <x v="1"/>
    <s v="2/2022"/>
    <s v="20/2/2022"/>
    <d v="1900-01-02T03:10:00"/>
    <n v="3.1319444444452529"/>
    <d v="1901-03-04T19:02:00"/>
    <n v="429.79305555555038"/>
    <n v="0"/>
    <n v="14.3"/>
    <n v="14.3"/>
    <n v="191274"/>
    <n v="103"/>
    <n v="32.886917960080204"/>
    <n v="11515"/>
    <n v="124188"/>
    <n v="51"/>
    <n v="16.28381374722418"/>
    <n v="4756"/>
    <n v="154"/>
    <n v="16271"/>
    <n v="2.0487804878043492"/>
    <n v="49.170731707304384"/>
    <n v="17947.317073166101"/>
    <n v="1.5774064391454734"/>
    <n v="37.85775453949136"/>
    <n v="13818.080406914347"/>
  </r>
  <r>
    <d v="2022-02-21T08:22:00"/>
    <x v="2"/>
    <s v=""/>
    <x v="2"/>
    <x v="28"/>
    <x v="2"/>
    <s v="2/2022"/>
    <s v="21/2/2022"/>
    <d v="1899-12-30T20:20:00"/>
    <n v="0.84722222222626442"/>
    <d v="1901-03-05T15:22:00"/>
    <n v="430.64027777777665"/>
    <n v="5.7"/>
    <n v="12.5"/>
    <n v="6.8"/>
    <n v="191298"/>
    <n v="24"/>
    <n v="28.32786885232386"/>
    <n v="11539"/>
    <n v="124203"/>
    <n v="15"/>
    <n v="17.704918032702412"/>
    <n v="4771"/>
    <n v="39"/>
    <n v="16310"/>
    <n v="1.9180327868760947"/>
    <n v="46.032786885026276"/>
    <n v="16801.96721303459"/>
    <n v="1.578076572029379"/>
    <n v="37.873837728705098"/>
    <n v="13823.950770977361"/>
  </r>
  <r>
    <d v="2022-02-22T09:33:00"/>
    <x v="2"/>
    <s v=""/>
    <x v="2"/>
    <x v="29"/>
    <x v="3"/>
    <s v="2/2022"/>
    <s v="22/2/2022"/>
    <d v="1899-12-31T01:11:00"/>
    <n v="1.0493055555562023"/>
    <d v="1901-03-06T16:33:00"/>
    <n v="431.68958333333285"/>
    <n v="3"/>
    <n v="11.9"/>
    <n v="8.9"/>
    <n v="191335"/>
    <n v="37"/>
    <n v="35.261416280587135"/>
    <n v="11576"/>
    <n v="124222"/>
    <n v="19"/>
    <n v="18.107213765706906"/>
    <n v="4790"/>
    <n v="56"/>
    <n v="16366"/>
    <n v="2.2236929185955852"/>
    <n v="53.368630046294044"/>
    <n v="19479.549966897324"/>
    <n v="1.5796458682212835"/>
    <n v="37.911500837310804"/>
    <n v="13837.697805618443"/>
  </r>
  <r>
    <d v="2022-02-24T08:35:00"/>
    <x v="2"/>
    <s v=""/>
    <x v="2"/>
    <x v="1"/>
    <x v="0"/>
    <s v="2/2022"/>
    <s v="24/2/2022"/>
    <d v="1899-12-31T23:02:00"/>
    <n v="1.9597222222218988"/>
    <d v="1901-03-08T15:35:00"/>
    <n v="433.64930555555475"/>
    <n v="3.1"/>
    <n v="13.1"/>
    <n v="10"/>
    <n v="191391"/>
    <n v="56"/>
    <n v="28.57547838412945"/>
    <n v="11632"/>
    <n v="124252"/>
    <n v="30"/>
    <n v="15.308291991497919"/>
    <n v="4820"/>
    <n v="86"/>
    <n v="16452"/>
    <n v="1.8284904323178071"/>
    <n v="43.883770375627371"/>
    <n v="16017.57618710399"/>
    <n v="1.580770431816547"/>
    <n v="37.938490363597126"/>
    <n v="13847.548982712951"/>
  </r>
  <r>
    <d v="2022-02-25T09:55:00"/>
    <x v="2"/>
    <s v=""/>
    <x v="2"/>
    <x v="2"/>
    <x v="5"/>
    <s v="2/2022"/>
    <s v="25/2/2022"/>
    <d v="1899-12-31T01:20:00"/>
    <n v="1.0555555555547471"/>
    <d v="1901-03-09T16:55:00"/>
    <n v="434.70486111110949"/>
    <n v="-0.4"/>
    <n v="11.8"/>
    <n v="12.200000000000001"/>
    <n v="191430"/>
    <n v="39"/>
    <n v="36.947368421080931"/>
    <n v="11671"/>
    <n v="124275"/>
    <n v="23"/>
    <n v="21.789473684227215"/>
    <n v="4843"/>
    <n v="62"/>
    <n v="16514"/>
    <n v="2.4473684210545059"/>
    <n v="58.736842105308142"/>
    <n v="21438.947368437472"/>
    <n v="1.5828747154439133"/>
    <n v="37.98899317065392"/>
    <n v="13865.982507288682"/>
  </r>
  <r>
    <d v="2022-02-28T07:35:00"/>
    <x v="2"/>
    <s v=""/>
    <x v="2"/>
    <x v="5"/>
    <x v="2"/>
    <s v="2/2022"/>
    <s v="28/2/2022"/>
    <d v="1900-01-01T21:40:00"/>
    <n v="2.9027777777737356"/>
    <d v="1901-03-12T14:35:00"/>
    <n v="437.60763888888323"/>
    <n v="-0.5"/>
    <n v="14.4"/>
    <n v="14.9"/>
    <n v="191530"/>
    <n v="100"/>
    <n v="34.449760765598214"/>
    <n v="11771"/>
    <n v="124345"/>
    <n v="70"/>
    <n v="24.114832535918747"/>
    <n v="4913"/>
    <n v="170"/>
    <n v="16684"/>
    <n v="2.4401913875632069"/>
    <n v="58.564593301516958"/>
    <n v="21376.076555053689"/>
    <n v="1.5885615443819583"/>
    <n v="38.125477065166997"/>
    <n v="13915.799128785953"/>
  </r>
  <r>
    <d v="2022-03-01T07:32:00"/>
    <x v="2"/>
    <s v=""/>
    <x v="3"/>
    <x v="9"/>
    <x v="3"/>
    <s v="3/2022"/>
    <s v="1/3/2022"/>
    <d v="1899-12-30T23:57:00"/>
    <n v="0.99791666666715173"/>
    <d v="1901-03-13T14:32:00"/>
    <n v="438.60555555555038"/>
    <n v="0.1"/>
    <n v="17.899999999999999"/>
    <n v="17.799999999999997"/>
    <n v="191555"/>
    <n v="25"/>
    <n v="25.052192066793669"/>
    <n v="11796"/>
    <n v="124359"/>
    <n v="14"/>
    <n v="14.029227557404454"/>
    <n v="4927"/>
    <n v="39"/>
    <n v="16723"/>
    <n v="1.6283924843415885"/>
    <n v="39.081419624198119"/>
    <n v="14264.718162832314"/>
    <n v="1.5886521678552163"/>
    <n v="38.127652028525191"/>
    <n v="13916.592990411695"/>
  </r>
  <r>
    <d v="2022-03-02T08:30:00"/>
    <x v="2"/>
    <s v=""/>
    <x v="3"/>
    <x v="10"/>
    <x v="4"/>
    <s v="3/2022"/>
    <s v="2/3/2022"/>
    <d v="1899-12-31T00:58:00"/>
    <n v="1.0402777777781012"/>
    <d v="1901-03-14T15:30:00"/>
    <n v="439.64583333332848"/>
    <n v="7.8"/>
    <n v="16.399999999999999"/>
    <n v="8.5999999999999979"/>
    <n v="191577"/>
    <n v="22"/>
    <n v="21.148197596789153"/>
    <n v="11818"/>
    <n v="124373"/>
    <n v="14"/>
    <n v="13.457943925229461"/>
    <n v="4941"/>
    <n v="36"/>
    <n v="16759"/>
    <n v="1.4419225634174422"/>
    <n v="34.606141522018618"/>
    <n v="12631.241655536796"/>
    <n v="1.588304980334567"/>
    <n v="38.119319528029614"/>
    <n v="13913.551627730809"/>
  </r>
  <r>
    <d v="2022-03-03T08:27:00"/>
    <x v="2"/>
    <s v=""/>
    <x v="3"/>
    <x v="11"/>
    <x v="0"/>
    <s v="3/2022"/>
    <s v="3/3/2022"/>
    <d v="1899-12-30T23:57:00"/>
    <n v="0.99791666666715173"/>
    <d v="1901-03-15T15:27:00"/>
    <n v="440.64374999999563"/>
    <n v="6.9"/>
    <n v="12.9"/>
    <n v="6"/>
    <n v="191605"/>
    <n v="28"/>
    <n v="28.058455114808908"/>
    <n v="11846"/>
    <n v="124388"/>
    <n v="15"/>
    <n v="15.031315240076202"/>
    <n v="4956"/>
    <n v="43"/>
    <n v="16802"/>
    <n v="1.7954070981202128"/>
    <n v="43.089770354885111"/>
    <n v="15727.766179533066"/>
    <n v="1.5887740001607653"/>
    <n v="38.130576003858373"/>
    <n v="13917.660241408306"/>
  </r>
  <r>
    <d v="2022-03-04T08:25:00"/>
    <x v="2"/>
    <s v=""/>
    <x v="3"/>
    <x v="12"/>
    <x v="5"/>
    <s v="3/2022"/>
    <s v="4/3/2022"/>
    <d v="1899-12-30T23:58:00"/>
    <n v="0.99861111111385981"/>
    <d v="1901-03-16T15:25:00"/>
    <n v="441.64236111110949"/>
    <n v="6.9"/>
    <n v="11.9"/>
    <n v="5"/>
    <n v="191630"/>
    <n v="25"/>
    <n v="25.034770514534706"/>
    <n v="11871"/>
    <n v="124403"/>
    <n v="15"/>
    <n v="15.020862308720824"/>
    <n v="4971"/>
    <n v="40"/>
    <n v="16842"/>
    <n v="1.6689847009689804"/>
    <n v="40.055632823255529"/>
    <n v="14620.305980488269"/>
    <n v="1.5889553670406449"/>
    <n v="38.134928808975474"/>
    <n v="13919.249015276047"/>
  </r>
  <r>
    <d v="2022-03-05T08:28:00"/>
    <x v="2"/>
    <s v=""/>
    <x v="3"/>
    <x v="13"/>
    <x v="6"/>
    <s v="3/2022"/>
    <s v="5/3/2022"/>
    <d v="1899-12-31T00:03:00"/>
    <n v="1.0020833333328483"/>
    <d v="1901-03-17T15:28:00"/>
    <n v="442.64444444444234"/>
    <n v="2.2000000000000002"/>
    <n v="10.1"/>
    <n v="7.8999999999999995"/>
    <n v="191664"/>
    <n v="34"/>
    <n v="33.929313929330355"/>
    <n v="11905"/>
    <n v="124424"/>
    <n v="21"/>
    <n v="20.956340956351099"/>
    <n v="4992"/>
    <n v="55"/>
    <n v="16897"/>
    <n v="2.2869022869033939"/>
    <n v="54.885654885681454"/>
    <n v="20033.264033273732"/>
    <n v="1.5905354184447087"/>
    <n v="38.172850042673005"/>
    <n v="13933.090265575647"/>
  </r>
  <r>
    <d v="2022-03-07T07:46:00"/>
    <x v="2"/>
    <s v=""/>
    <x v="3"/>
    <x v="15"/>
    <x v="2"/>
    <s v="3/2022"/>
    <s v="7/3/2022"/>
    <d v="1899-12-31T23:18:00"/>
    <n v="1.9708333333328483"/>
    <d v="1901-03-19T14:46:00"/>
    <n v="444.61527777777519"/>
    <n v="-3"/>
    <n v="11.1"/>
    <n v="14.1"/>
    <n v="191729"/>
    <n v="65"/>
    <n v="32.980972515864352"/>
    <n v="11970"/>
    <n v="124463"/>
    <n v="39"/>
    <n v="19.788583509518613"/>
    <n v="5031"/>
    <n v="104"/>
    <n v="17001"/>
    <n v="2.1987315010576238"/>
    <n v="52.769556025382968"/>
    <n v="19260.887949264783"/>
    <n v="1.5932313516991998"/>
    <n v="38.237552440780796"/>
    <n v="13956.70664088499"/>
  </r>
  <r>
    <d v="2022-03-08T07:39:00"/>
    <x v="2"/>
    <s v=""/>
    <x v="3"/>
    <x v="16"/>
    <x v="3"/>
    <s v="3/2022"/>
    <s v="8/3/2022"/>
    <d v="1899-12-30T23:53:00"/>
    <n v="0.99513888888759539"/>
    <d v="1901-03-20T14:39:00"/>
    <n v="445.61041666666279"/>
    <n v="-2.9"/>
    <n v="9.1"/>
    <n v="12"/>
    <n v="191766"/>
    <n v="37"/>
    <n v="37.180739706956913"/>
    <n v="12007"/>
    <n v="124483"/>
    <n v="20"/>
    <n v="20.097697138895629"/>
    <n v="5051"/>
    <n v="57"/>
    <n v="17058"/>
    <n v="2.3866015352438557"/>
    <n v="57.278436845852539"/>
    <n v="20906.629448736177"/>
    <n v="1.5950031090311649"/>
    <n v="38.28007461674796"/>
    <n v="13972.227235113005"/>
  </r>
  <r>
    <d v="2022-03-09T07:51:00"/>
    <x v="2"/>
    <s v=""/>
    <x v="3"/>
    <x v="17"/>
    <x v="4"/>
    <s v="3/2022"/>
    <s v="9/3/2022"/>
    <d v="1899-12-31T00:12:00"/>
    <n v="1.0083333333313931"/>
    <d v="1901-03-21T14:51:00"/>
    <n v="446.61874999999418"/>
    <n v="5.8"/>
    <n v="11.1"/>
    <n v="5.3"/>
    <n v="191799"/>
    <n v="33"/>
    <n v="32.727272727335702"/>
    <n v="12040"/>
    <n v="124498"/>
    <n v="15"/>
    <n v="14.876033057879864"/>
    <n v="5066"/>
    <n v="48"/>
    <n v="17106"/>
    <n v="1.9834710743839818"/>
    <n v="47.603305785215568"/>
    <n v="17375.206611603684"/>
    <n v="1.5958801550539679"/>
    <n v="38.301123721295227"/>
    <n v="13979.910158272758"/>
  </r>
  <r>
    <d v="2022-03-10T08:25:00"/>
    <x v="2"/>
    <s v=""/>
    <x v="3"/>
    <x v="18"/>
    <x v="0"/>
    <s v="3/2022"/>
    <s v="10/3/2022"/>
    <d v="1899-12-31T00:34:00"/>
    <n v="1.023611111115315"/>
    <d v="1901-03-22T15:25:00"/>
    <n v="447.64236111110949"/>
    <n v="5.8"/>
    <n v="15"/>
    <n v="9.1999999999999993"/>
    <n v="191826"/>
    <n v="27"/>
    <n v="26.377204884559241"/>
    <n v="12067"/>
    <n v="124510"/>
    <n v="12"/>
    <n v="11.723202170915219"/>
    <n v="5078"/>
    <n v="39"/>
    <n v="17145"/>
    <n v="1.5875169606447692"/>
    <n v="38.100407055474463"/>
    <n v="13906.648575248179"/>
    <n v="1.5958610311741357"/>
    <n v="38.300664748179258"/>
    <n v="13979.742633085429"/>
  </r>
  <r>
    <d v="2022-03-11T09:03:00"/>
    <x v="2"/>
    <s v=""/>
    <x v="3"/>
    <x v="19"/>
    <x v="5"/>
    <s v="3/2022"/>
    <s v="11/3/2022"/>
    <d v="1899-12-31T00:38:00"/>
    <n v="1.0263888888875954"/>
    <d v="1901-03-23T16:03:00"/>
    <n v="448.66874999999709"/>
    <n v="7.6"/>
    <n v="11.8"/>
    <n v="4.2000000000000011"/>
    <n v="191853"/>
    <n v="27"/>
    <n v="26.305818673916779"/>
    <n v="12094"/>
    <n v="124525"/>
    <n v="15"/>
    <n v="14.614343707731544"/>
    <n v="5093"/>
    <n v="42"/>
    <n v="17187"/>
    <n v="1.7050067659020134"/>
    <n v="40.920162381648325"/>
    <n v="14935.859269301638"/>
    <n v="1.5961107164249899"/>
    <n v="38.306657194199758"/>
    <n v="13981.929875882912"/>
  </r>
  <r>
    <d v="2022-03-12T07:38:00"/>
    <x v="2"/>
    <s v=""/>
    <x v="3"/>
    <x v="20"/>
    <x v="6"/>
    <s v="3/2022"/>
    <s v="12/3/2022"/>
    <d v="1899-12-30T22:35:00"/>
    <n v="0.94097222222626442"/>
    <d v="1901-03-24T14:38:00"/>
    <n v="449.60972222222335"/>
    <n v="6.6"/>
    <n v="13.1"/>
    <n v="6.5"/>
    <n v="191879"/>
    <n v="26"/>
    <n v="27.630996309844402"/>
    <n v="12120"/>
    <n v="124538"/>
    <n v="13"/>
    <n v="13.815498154922201"/>
    <n v="5106"/>
    <n v="39"/>
    <n v="17226"/>
    <n v="1.7269372693652751"/>
    <n v="41.446494464766602"/>
    <n v="15127.970479639809"/>
    <n v="1.5963845186720542"/>
    <n v="38.313228448129301"/>
    <n v="13984.328383567195"/>
  </r>
  <r>
    <d v="2022-03-13T09:36:00"/>
    <x v="2"/>
    <s v=""/>
    <x v="3"/>
    <x v="21"/>
    <x v="1"/>
    <s v="3/2022"/>
    <s v="13/3/2022"/>
    <d v="1899-12-31T01:58:00"/>
    <n v="1.0819444444423425"/>
    <d v="1901-03-25T16:36:00"/>
    <n v="450.6916666666657"/>
    <m/>
    <m/>
    <n v="0"/>
    <n v="191910"/>
    <n v="31"/>
    <n v="28.652118100184033"/>
    <n v="12151"/>
    <n v="124553"/>
    <n v="15"/>
    <n v="13.863928112992275"/>
    <n v="5121"/>
    <n v="46"/>
    <n v="17272"/>
    <n v="1.7715019255490128"/>
    <n v="42.51604621317631"/>
    <n v="15518.356867809352"/>
    <n v="1.596804910970179"/>
    <n v="38.323317863284295"/>
    <n v="13988.011020098767"/>
  </r>
  <r>
    <d v="2022-03-14T07:49:00"/>
    <x v="2"/>
    <s v=""/>
    <x v="3"/>
    <x v="22"/>
    <x v="2"/>
    <s v="3/2022"/>
    <s v="14/3/2022"/>
    <d v="1899-12-30T22:13:00"/>
    <n v="0.9256944444423425"/>
    <d v="1901-03-26T14:49:00"/>
    <n v="451.61736111110804"/>
    <m/>
    <m/>
    <n v="0"/>
    <n v="191941"/>
    <n v="31"/>
    <n v="33.488372093099294"/>
    <n v="12182"/>
    <n v="124573"/>
    <n v="20"/>
    <n v="21.605401350386643"/>
    <n v="5141"/>
    <n v="51"/>
    <n v="17323"/>
    <n v="2.295573893478581"/>
    <n v="55.093773443485937"/>
    <n v="20109.227306872366"/>
    <n v="1.5982371999403489"/>
    <n v="38.357692798568372"/>
    <n v="14000.557871477457"/>
  </r>
  <r>
    <d v="2022-03-15T07:36:00"/>
    <x v="2"/>
    <s v=""/>
    <x v="3"/>
    <x v="23"/>
    <x v="3"/>
    <s v="3/2022"/>
    <s v="15/3/2022"/>
    <d v="1899-12-30T23:47:00"/>
    <n v="0.99097222222189885"/>
    <d v="1901-03-27T14:36:00"/>
    <n v="452.60833333332994"/>
    <m/>
    <m/>
    <n v="0"/>
    <n v="191968"/>
    <n v="27"/>
    <n v="27.245970567633279"/>
    <n v="12209"/>
    <n v="124587"/>
    <n v="14"/>
    <n v="14.127540294328366"/>
    <n v="5155"/>
    <n v="41"/>
    <n v="17364"/>
    <n v="1.7238962859150686"/>
    <n v="41.373510861961641"/>
    <n v="15101.331464616"/>
    <n v="1.5985123266989607"/>
    <n v="38.364295840775057"/>
    <n v="14002.967981882895"/>
  </r>
  <r>
    <d v="2022-03-16T07:40:00"/>
    <x v="2"/>
    <s v=""/>
    <x v="3"/>
    <x v="24"/>
    <x v="4"/>
    <s v="3/2022"/>
    <s v="16/3/2022"/>
    <d v="1899-12-31T00:04:00"/>
    <n v="1.0027777777795563"/>
    <d v="1901-03-28T14:40:00"/>
    <n v="453.61111111110949"/>
    <m/>
    <m/>
    <n v="0"/>
    <n v="191988"/>
    <n v="20"/>
    <n v="19.944598337914766"/>
    <n v="12229"/>
    <n v="124600"/>
    <n v="13"/>
    <n v="12.963988919644597"/>
    <n v="5168"/>
    <n v="33"/>
    <n v="17397"/>
    <n v="1.37119113573164"/>
    <n v="32.908587257559361"/>
    <n v="12011.634349009168"/>
    <n v="1.5980097979179482"/>
    <n v="38.352235150030758"/>
    <n v="13998.565829761226"/>
  </r>
  <r>
    <d v="2022-03-17T10:24:00"/>
    <x v="2"/>
    <s v=""/>
    <x v="3"/>
    <x v="0"/>
    <x v="0"/>
    <s v="3/2022"/>
    <s v="17/3/2022"/>
    <d v="1899-12-31T02:44:00"/>
    <n v="1.1138888888890506"/>
    <d v="1901-03-29T17:24:00"/>
    <n v="454.72499999999854"/>
    <m/>
    <m/>
    <n v="0"/>
    <n v="192020"/>
    <n v="32"/>
    <n v="28.728179551118025"/>
    <n v="12261"/>
    <n v="124615"/>
    <n v="15"/>
    <n v="13.466334164586574"/>
    <n v="5183"/>
    <n v="47"/>
    <n v="17444"/>
    <n v="1.7581047381543582"/>
    <n v="42.194513715704595"/>
    <n v="15400.997506232177"/>
    <n v="1.5984019645573384"/>
    <n v="38.361647149376118"/>
    <n v="14002.001209522283"/>
  </r>
  <r>
    <d v="2022-03-18T08:23:00"/>
    <x v="2"/>
    <s v=""/>
    <x v="3"/>
    <x v="25"/>
    <x v="5"/>
    <s v="3/2022"/>
    <s v="18/3/2022"/>
    <d v="1899-12-30T21:59:00"/>
    <n v="0.91597222222480923"/>
    <d v="1901-03-30T15:23:00"/>
    <n v="455.64097222222335"/>
    <m/>
    <m/>
    <n v="0"/>
    <n v="192049"/>
    <n v="29"/>
    <n v="31.660348748962893"/>
    <n v="12290"/>
    <n v="124635"/>
    <n v="20"/>
    <n v="21.834723275146821"/>
    <n v="5203"/>
    <n v="49"/>
    <n v="17493"/>
    <n v="2.2289613343379049"/>
    <n v="53.495072024109717"/>
    <n v="19525.701288800046"/>
    <n v="1.5996695741499649"/>
    <n v="38.392069779599154"/>
    <n v="14013.105469553691"/>
  </r>
  <r>
    <d v="2022-03-19T07:55:00"/>
    <x v="2"/>
    <s v=""/>
    <x v="3"/>
    <x v="26"/>
    <x v="6"/>
    <s v="3/2022"/>
    <s v="19/3/2022"/>
    <d v="1899-12-30T23:32:00"/>
    <n v="0.98055555555038154"/>
    <d v="1901-03-31T14:55:00"/>
    <n v="456.62152777777374"/>
    <m/>
    <m/>
    <n v="0"/>
    <n v="192080"/>
    <n v="31"/>
    <n v="31.614730878353786"/>
    <n v="12321"/>
    <n v="124652"/>
    <n v="17"/>
    <n v="17.337110481677882"/>
    <n v="5220"/>
    <n v="48"/>
    <n v="17541"/>
    <n v="2.0396600566679863"/>
    <n v="48.951841360031672"/>
    <n v="17867.422096411559"/>
    <n v="1.6006144159626625"/>
    <n v="38.414745983103899"/>
    <n v="14021.382283832923"/>
  </r>
  <r>
    <d v="2022-03-20T09:13:00"/>
    <x v="2"/>
    <s v=""/>
    <x v="3"/>
    <x v="27"/>
    <x v="1"/>
    <s v="3/2022"/>
    <s v="20/3/2022"/>
    <d v="1899-12-31T01:18:00"/>
    <n v="1.0541666666686069"/>
    <d v="1901-04-01T16:13:00"/>
    <n v="457.67569444444234"/>
    <m/>
    <m/>
    <n v="0"/>
    <n v="192104"/>
    <n v="24"/>
    <n v="22.766798418930428"/>
    <n v="12345"/>
    <n v="124666"/>
    <n v="14"/>
    <n v="13.280632411042751"/>
    <n v="5234"/>
    <n v="38"/>
    <n v="17579"/>
    <n v="1.5019762845822158"/>
    <n v="36.04743082997318"/>
    <n v="13157.312252940212"/>
    <n v="1.6003872222719642"/>
    <n v="38.409293334527142"/>
    <n v="14019.392067102406"/>
  </r>
  <r>
    <d v="2022-03-21T07:53:00"/>
    <x v="2"/>
    <s v=""/>
    <x v="3"/>
    <x v="28"/>
    <x v="2"/>
    <s v="3/2022"/>
    <s v="21/3/2022"/>
    <d v="1899-12-30T22:40:00"/>
    <n v="0.94444444444525288"/>
    <d v="1901-04-02T14:53:00"/>
    <n v="458.6201388888876"/>
    <m/>
    <m/>
    <n v="0"/>
    <n v="192121"/>
    <n v="17"/>
    <n v="17.999999999984592"/>
    <n v="12362"/>
    <n v="124678"/>
    <n v="12"/>
    <n v="12.705882352930301"/>
    <n v="5246"/>
    <n v="29"/>
    <n v="17608"/>
    <n v="1.2794117647047871"/>
    <n v="30.705882352914891"/>
    <n v="11207.647058813935"/>
    <n v="1.5997262319185162"/>
    <n v="38.393429566044389"/>
    <n v="14013.601791606203"/>
  </r>
  <r>
    <d v="2022-03-22T07:21:00"/>
    <x v="2"/>
    <s v=""/>
    <x v="3"/>
    <x v="29"/>
    <x v="3"/>
    <s v="3/2022"/>
    <s v="22/3/2022"/>
    <d v="1899-12-30T23:28:00"/>
    <n v="0.97777777777810115"/>
    <d v="1901-04-03T14:21:00"/>
    <n v="459.5979166666657"/>
    <m/>
    <m/>
    <n v="0"/>
    <n v="192136"/>
    <n v="15"/>
    <n v="15.340909090904017"/>
    <n v="12377"/>
    <n v="124691"/>
    <n v="13"/>
    <n v="13.295454545450148"/>
    <n v="5259"/>
    <n v="28"/>
    <n v="17636"/>
    <n v="1.1931818181814235"/>
    <n v="28.636363636354165"/>
    <n v="10452.27272726927"/>
    <n v="1.5988613235300817"/>
    <n v="38.372671764721964"/>
    <n v="14006.025194123516"/>
  </r>
  <r>
    <d v="2022-03-23T08:56:00"/>
    <x v="2"/>
    <s v=""/>
    <x v="3"/>
    <x v="30"/>
    <x v="4"/>
    <s v="3/2022"/>
    <s v="23/3/2022"/>
    <d v="1899-12-31T01:35:00"/>
    <n v="1.0659722222189885"/>
    <d v="1901-04-04T15:56:00"/>
    <n v="460.66388888888469"/>
    <m/>
    <m/>
    <n v="0"/>
    <n v="192159"/>
    <n v="23"/>
    <n v="21.576547231335812"/>
    <n v="12400"/>
    <n v="124704"/>
    <n v="13"/>
    <n v="12.195439739450677"/>
    <n v="5272"/>
    <n v="36"/>
    <n v="17672"/>
    <n v="1.4071661237827704"/>
    <n v="33.771986970786493"/>
    <n v="12326.77524433707"/>
    <n v="1.5984177425093158"/>
    <n v="38.362025820223579"/>
    <n v="14002.139424381607"/>
  </r>
  <r>
    <d v="2022-03-24T07:45:00"/>
    <x v="2"/>
    <s v=""/>
    <x v="3"/>
    <x v="1"/>
    <x v="0"/>
    <s v="3/2022"/>
    <s v="24/3/2022"/>
    <d v="1899-12-30T22:49:00"/>
    <n v="0.95069444444379769"/>
    <d v="1901-04-05T14:45:00"/>
    <n v="461.61458333332848"/>
    <m/>
    <m/>
    <n v="0"/>
    <n v="192182"/>
    <n v="23"/>
    <n v="24.192841490155246"/>
    <n v="12423"/>
    <n v="124721"/>
    <n v="17"/>
    <n v="17.881665449245183"/>
    <n v="5289"/>
    <n v="40"/>
    <n v="17712"/>
    <n v="1.7531044558083511"/>
    <n v="42.074506939400429"/>
    <n v="15357.195032881156"/>
    <n v="1.5987363195306499"/>
    <n v="38.369671668735592"/>
    <n v="14004.930159088492"/>
  </r>
  <r>
    <d v="2022-03-25T08:15:00"/>
    <x v="2"/>
    <s v=""/>
    <x v="3"/>
    <x v="2"/>
    <x v="5"/>
    <s v="3/2022"/>
    <s v="25/3/2022"/>
    <d v="1899-12-31T00:30:00"/>
    <n v="1.0208333333357587"/>
    <d v="1901-04-06T15:15:00"/>
    <n v="462.63541666666424"/>
    <m/>
    <m/>
    <n v="0"/>
    <n v="192201"/>
    <n v="19"/>
    <n v="18.612244897914966"/>
    <n v="12442"/>
    <n v="124735"/>
    <n v="14"/>
    <n v="13.714285714253132"/>
    <n v="5303"/>
    <n v="33"/>
    <n v="17745"/>
    <n v="1.3469387755070039"/>
    <n v="32.326530612168099"/>
    <n v="11799.183673441355"/>
    <n v="1.5981807128543528"/>
    <n v="38.356337108504469"/>
    <n v="14000.06304460413"/>
  </r>
  <r>
    <d v="2022-03-26T07:27:00"/>
    <x v="2"/>
    <s v=""/>
    <x v="3"/>
    <x v="3"/>
    <x v="6"/>
    <s v="3/2022"/>
    <s v="26/3/2022"/>
    <d v="1899-12-30T23:12:00"/>
    <n v="0.96666666666715173"/>
    <d v="1901-04-07T14:27:00"/>
    <n v="463.60208333333139"/>
    <m/>
    <m/>
    <n v="0"/>
    <n v="192213"/>
    <n v="12"/>
    <n v="12.413793103442046"/>
    <n v="12454"/>
    <n v="124749"/>
    <n v="14"/>
    <n v="14.482758620682388"/>
    <n v="5317"/>
    <n v="26"/>
    <n v="17771"/>
    <n v="1.1206896551718515"/>
    <n v="26.896551724124436"/>
    <n v="9817.2413793054184"/>
    <n v="1.597185085988799"/>
    <n v="38.332442063731179"/>
    <n v="13991.34135326188"/>
  </r>
  <r>
    <d v="2022-03-27T09:58:00"/>
    <x v="2"/>
    <s v=""/>
    <x v="3"/>
    <x v="4"/>
    <x v="1"/>
    <s v="3/2022"/>
    <s v="27/3/2022"/>
    <d v="1899-12-31T02:31:00"/>
    <n v="1.1048611111109494"/>
    <d v="1901-04-08T16:58:00"/>
    <n v="464.70694444444234"/>
    <m/>
    <m/>
    <n v="0"/>
    <n v="192233"/>
    <n v="20"/>
    <n v="18.101822752988191"/>
    <n v="12474"/>
    <n v="124759"/>
    <n v="10"/>
    <n v="9.0509113764940956"/>
    <n v="5327"/>
    <n v="30"/>
    <n v="17801"/>
    <n v="1.131363922061762"/>
    <n v="27.15273412948229"/>
    <n v="9910.7479572610355"/>
    <n v="1.5960775757720738"/>
    <n v="38.30586181852977"/>
    <n v="13981.639563763367"/>
  </r>
  <r>
    <d v="2022-03-28T07:56:00"/>
    <x v="2"/>
    <s v=""/>
    <x v="3"/>
    <x v="5"/>
    <x v="2"/>
    <s v="3/2022"/>
    <s v="28/3/2022"/>
    <d v="1899-12-30T21:58:00"/>
    <n v="0.91527777777810115"/>
    <d v="1901-04-09T14:56:00"/>
    <n v="465.62222222222044"/>
    <m/>
    <m/>
    <n v="0"/>
    <n v="192247"/>
    <n v="14"/>
    <n v="15.295902883150893"/>
    <n v="12488"/>
    <n v="124769"/>
    <n v="10"/>
    <n v="10.925644916536353"/>
    <n v="5337"/>
    <n v="24"/>
    <n v="17825"/>
    <n v="1.0925644916536352"/>
    <n v="26.221547799687247"/>
    <n v="9570.8649468858457"/>
    <n v="1.5950878155872728"/>
    <n v="38.282107574094546"/>
    <n v="13972.969264544508"/>
  </r>
  <r>
    <d v="2022-03-29T07:23:00"/>
    <x v="2"/>
    <s v=""/>
    <x v="3"/>
    <x v="6"/>
    <x v="3"/>
    <s v="3/2022"/>
    <s v="29/3/2022"/>
    <d v="1899-12-30T23:27:00"/>
    <n v="0.97708333333139308"/>
    <d v="1901-04-10T14:23:00"/>
    <n v="466.59930555555184"/>
    <m/>
    <m/>
    <n v="0"/>
    <n v="192254"/>
    <n v="7"/>
    <n v="7.1641791044918381"/>
    <n v="12495"/>
    <n v="124774"/>
    <n v="5"/>
    <n v="5.1172707889227418"/>
    <n v="5342"/>
    <n v="12"/>
    <n v="17837"/>
    <n v="0.5117270788922742"/>
    <n v="12.28144989341458"/>
    <n v="4482.7292110963217"/>
    <n v="1.5928192015811933"/>
    <n v="38.22766083794864"/>
    <n v="13953.096205851254"/>
  </r>
  <r>
    <d v="2022-03-30T07:15:00"/>
    <x v="2"/>
    <s v=""/>
    <x v="3"/>
    <x v="7"/>
    <x v="4"/>
    <s v="3/2022"/>
    <s v="30/3/2022"/>
    <d v="1899-12-30T23:52:00"/>
    <n v="0.99444444444816327"/>
    <d v="1901-04-11T14:15:00"/>
    <n v="467.59375"/>
    <m/>
    <m/>
    <n v="0"/>
    <n v="192269"/>
    <n v="15"/>
    <n v="15.083798882625157"/>
    <n v="12510"/>
    <n v="124786"/>
    <n v="12"/>
    <n v="12.067039106100125"/>
    <n v="5354"/>
    <n v="27"/>
    <n v="17864"/>
    <n v="1.1312849161968868"/>
    <n v="27.150837988725282"/>
    <n v="9910.0558658847276"/>
    <n v="1.5918376439662278"/>
    <n v="38.204103455189468"/>
    <n v="13944.497761144155"/>
  </r>
  <r>
    <d v="2022-03-31T08:30:00"/>
    <x v="2"/>
    <s v=""/>
    <x v="3"/>
    <x v="8"/>
    <x v="0"/>
    <s v="3/2022"/>
    <s v="31/3/2022"/>
    <d v="1899-12-31T01:15:00"/>
    <n v="1.0520833333284827"/>
    <d v="1901-04-12T15:30:00"/>
    <n v="468.64583333332848"/>
    <m/>
    <m/>
    <n v="0"/>
    <n v="192295"/>
    <n v="26"/>
    <n v="24.712871287242653"/>
    <n v="12536"/>
    <n v="124802"/>
    <n v="16"/>
    <n v="15.207920792149324"/>
    <n v="5370"/>
    <n v="42"/>
    <n v="17906"/>
    <n v="1.6633663366413323"/>
    <n v="39.920792079391973"/>
    <n v="14571.089108978071"/>
    <n v="1.5919982218270892"/>
    <n v="38.207957323850138"/>
    <n v="13945.9044232053"/>
  </r>
  <r>
    <d v="2022-04-01T07:40:00"/>
    <x v="2"/>
    <s v=""/>
    <x v="4"/>
    <x v="9"/>
    <x v="5"/>
    <s v="4/2022"/>
    <s v="1/4/2022"/>
    <d v="1899-12-30T23:10:00"/>
    <n v="0.96527777778101154"/>
    <d v="1901-04-13T14:40:00"/>
    <n v="469.61111111110949"/>
    <m/>
    <m/>
    <n v="0"/>
    <n v="192329"/>
    <n v="34"/>
    <n v="35.223021582615814"/>
    <n v="12570"/>
    <n v="124826"/>
    <n v="24"/>
    <n v="24.86330935243469"/>
    <n v="5394"/>
    <n v="58"/>
    <n v="17964"/>
    <n v="2.5035971222937712"/>
    <n v="60.086330935050505"/>
    <n v="21931.510791293433"/>
    <n v="1.5938719981071863"/>
    <n v="38.252927954572471"/>
    <n v="13962.318703418952"/>
  </r>
  <r>
    <d v="2022-04-02T08:06:00"/>
    <x v="2"/>
    <s v=""/>
    <x v="4"/>
    <x v="10"/>
    <x v="6"/>
    <s v="4/2022"/>
    <s v="2/4/2022"/>
    <d v="1899-12-31T00:26:00"/>
    <n v="1.0180555555562023"/>
    <d v="1901-04-14T15:06:00"/>
    <n v="470.6291666666657"/>
    <m/>
    <m/>
    <n v="0"/>
    <n v="192380"/>
    <n v="51"/>
    <n v="50.095497953583454"/>
    <n v="12621"/>
    <n v="124849"/>
    <n v="23"/>
    <n v="22.59208731240038"/>
    <n v="5417"/>
    <n v="74"/>
    <n v="18038"/>
    <n v="3.0286493860826598"/>
    <n v="72.687585265983842"/>
    <n v="26530.968622084103"/>
    <n v="1.5969756797195276"/>
    <n v="38.327416313268664"/>
    <n v="13989.506954343062"/>
  </r>
  <r>
    <d v="2022-04-04T07:53:00"/>
    <x v="2"/>
    <s v=""/>
    <x v="4"/>
    <x v="12"/>
    <x v="2"/>
    <s v="4/2022"/>
    <s v="4/4/2022"/>
    <d v="1899-12-31T23:47:00"/>
    <n v="1.9909722222218988"/>
    <d v="1901-04-16T14:53:00"/>
    <n v="472.6201388888876"/>
    <m/>
    <m/>
    <n v="0"/>
    <n v="192470"/>
    <n v="90"/>
    <n v="45.204046041165348"/>
    <n v="12711"/>
    <n v="124895"/>
    <n v="46"/>
    <n v="23.104290198817843"/>
    <n v="5463"/>
    <n v="136"/>
    <n v="18174"/>
    <n v="2.8461806766659663"/>
    <n v="68.308336239983191"/>
    <n v="24932.542727593864"/>
    <n v="1.6022381140597746"/>
    <n v="38.453714737434588"/>
    <n v="14035.605879163624"/>
  </r>
  <r>
    <d v="2022-04-05T07:28:00"/>
    <x v="2"/>
    <s v=""/>
    <x v="4"/>
    <x v="13"/>
    <x v="3"/>
    <s v="4/2022"/>
    <s v="5/4/2022"/>
    <d v="1899-12-30T23:35:00"/>
    <n v="0.98263888889050577"/>
    <d v="1901-04-17T14:28:00"/>
    <n v="473.6027777777781"/>
    <m/>
    <m/>
    <n v="0"/>
    <n v="192499"/>
    <n v="29"/>
    <n v="29.512367491117516"/>
    <n v="12740"/>
    <n v="124912"/>
    <n v="17"/>
    <n v="17.300353356861994"/>
    <n v="5480"/>
    <n v="46"/>
    <n v="18220"/>
    <n v="1.9505300353324795"/>
    <n v="46.812720847979506"/>
    <n v="17086.643109512519"/>
    <n v="1.6029607559077275"/>
    <n v="38.471058141785463"/>
    <n v="14041.936221751694"/>
  </r>
  <r>
    <d v="2022-04-06T07:48:00"/>
    <x v="2"/>
    <s v=""/>
    <x v="4"/>
    <x v="14"/>
    <x v="4"/>
    <s v="4/2022"/>
    <s v="6/4/2022"/>
    <d v="1899-12-31T00:20:00"/>
    <n v="1.0138888888832298"/>
    <d v="1901-04-18T14:48:00"/>
    <n v="474.61666666666133"/>
    <m/>
    <m/>
    <n v="0"/>
    <n v="192525"/>
    <n v="26"/>
    <n v="25.643835616581487"/>
    <n v="12766"/>
    <n v="124925"/>
    <n v="13"/>
    <n v="12.821917808290744"/>
    <n v="5493"/>
    <n v="39"/>
    <n v="18259"/>
    <n v="1.602739726036343"/>
    <n v="38.465753424872233"/>
    <n v="14040.000000078366"/>
    <n v="1.6029602837377712"/>
    <n v="38.471046809706515"/>
    <n v="14041.932085542878"/>
  </r>
  <r>
    <d v="2022-04-07T08:01:00"/>
    <x v="2"/>
    <s v=""/>
    <x v="4"/>
    <x v="15"/>
    <x v="0"/>
    <s v="4/2022"/>
    <s v="7/4/2022"/>
    <d v="1899-12-31T00:13:00"/>
    <n v="1.0090277777781012"/>
    <d v="1901-04-19T15:01:00"/>
    <n v="475.62569444443943"/>
    <m/>
    <m/>
    <n v="0"/>
    <n v="192553"/>
    <n v="28"/>
    <n v="27.749483826556833"/>
    <n v="12794"/>
    <n v="124939"/>
    <n v="14"/>
    <n v="13.874741913278417"/>
    <n v="5507"/>
    <n v="42"/>
    <n v="18301"/>
    <n v="1.7343427391598021"/>
    <n v="41.624225739835246"/>
    <n v="15192.842395039865"/>
    <n v="1.6032390082654451"/>
    <n v="38.477736198370678"/>
    <n v="14044.373712405297"/>
  </r>
  <r>
    <d v="2022-04-08T08:25:00"/>
    <x v="2"/>
    <s v=""/>
    <x v="4"/>
    <x v="16"/>
    <x v="5"/>
    <s v="4/2022"/>
    <s v="8/4/2022"/>
    <d v="1899-12-31T00:24:00"/>
    <n v="1.0166666666700621"/>
    <d v="1901-04-20T15:25:00"/>
    <n v="476.64236111110949"/>
    <m/>
    <m/>
    <n v="0"/>
    <n v="192583"/>
    <n v="30"/>
    <n v="29.508196721212926"/>
    <n v="12824"/>
    <n v="124952"/>
    <n v="13"/>
    <n v="12.786885245858933"/>
    <n v="5520"/>
    <n v="43"/>
    <n v="18344"/>
    <n v="1.7622950819613274"/>
    <n v="42.295081967071859"/>
    <n v="15437.704917981229"/>
    <n v="1.6035782710365531"/>
    <n v="38.48587850487727"/>
    <n v="14047.345654280203"/>
  </r>
  <r>
    <d v="2022-04-09T08:33:00"/>
    <x v="2"/>
    <s v=""/>
    <x v="4"/>
    <x v="17"/>
    <x v="6"/>
    <s v="4/2022"/>
    <s v="9/4/2022"/>
    <d v="1899-12-31T00:08:00"/>
    <n v="1.0055555555518367"/>
    <d v="1901-04-21T15:33:00"/>
    <n v="477.64791666666133"/>
    <m/>
    <m/>
    <n v="0"/>
    <n v="192611"/>
    <n v="28"/>
    <n v="27.845303867506296"/>
    <n v="12852"/>
    <n v="124972"/>
    <n v="20"/>
    <n v="19.889502762504495"/>
    <n v="5540"/>
    <n v="48"/>
    <n v="18392"/>
    <n v="1.9889502762504496"/>
    <n v="47.734806630010787"/>
    <n v="17423.204419953938"/>
    <n v="1.6043895651870672"/>
    <n v="38.505349564489613"/>
    <n v="14054.452591038709"/>
  </r>
  <r>
    <d v="2022-04-10T07:39:00"/>
    <x v="2"/>
    <s v=""/>
    <x v="4"/>
    <x v="18"/>
    <x v="1"/>
    <s v="4/2022"/>
    <s v="10/4/2022"/>
    <d v="1899-12-30T23:06:00"/>
    <n v="0.96250000000145519"/>
    <d v="1901-04-22T14:39:00"/>
    <n v="478.61041666666279"/>
    <m/>
    <m/>
    <n v="0"/>
    <n v="192637"/>
    <n v="26"/>
    <n v="27.012987012946173"/>
    <n v="12878"/>
    <n v="124991"/>
    <n v="19"/>
    <n v="19.740259740229895"/>
    <n v="5559"/>
    <n v="45"/>
    <n v="18437"/>
    <n v="1.9480519480490028"/>
    <n v="46.753246753176064"/>
    <n v="17064.935064909263"/>
    <n v="1.6050806806162066"/>
    <n v="38.521936334788961"/>
    <n v="14060.506762197971"/>
  </r>
  <r>
    <d v="2022-04-11T07:46:00"/>
    <x v="2"/>
    <s v=""/>
    <x v="4"/>
    <x v="19"/>
    <x v="2"/>
    <s v="4/2022"/>
    <s v="11/4/2022"/>
    <d v="1899-12-31T00:07:00"/>
    <n v="1.0048611111124046"/>
    <d v="1901-04-23T14:46:00"/>
    <n v="479.61527777777519"/>
    <m/>
    <m/>
    <n v="0"/>
    <n v="192658"/>
    <n v="21"/>
    <n v="20.898410504465151"/>
    <n v="12899"/>
    <n v="125005"/>
    <n v="14"/>
    <n v="13.932273669643434"/>
    <n v="5573"/>
    <n v="35"/>
    <n v="18472"/>
    <n v="1.4512785072545245"/>
    <n v="34.830684174108583"/>
    <n v="12713.199723549633"/>
    <n v="1.6047584435441689"/>
    <n v="38.514202645060053"/>
    <n v="14057.683965446919"/>
  </r>
  <r>
    <d v="2022-04-12T07:38:00"/>
    <x v="2"/>
    <s v=""/>
    <x v="4"/>
    <x v="20"/>
    <x v="3"/>
    <s v="4/2022"/>
    <s v="12/4/2022"/>
    <d v="1899-12-30T23:52:00"/>
    <n v="0.99444444444816327"/>
    <d v="1901-04-24T14:38:00"/>
    <n v="480.60972222222335"/>
    <m/>
    <m/>
    <n v="0"/>
    <n v="192669"/>
    <n v="11"/>
    <n v="11.061452513925115"/>
    <n v="12910"/>
    <n v="125009"/>
    <n v="4"/>
    <n v="4.0223463687000418"/>
    <n v="5577"/>
    <n v="15"/>
    <n v="18487"/>
    <n v="0.62849162010938153"/>
    <n v="15.083798882625157"/>
    <n v="5505.5865921581826"/>
    <n v="1.602738419657896"/>
    <n v="38.465722071789507"/>
    <n v="14039.98855620317"/>
  </r>
  <r>
    <d v="2022-04-13T07:36:00"/>
    <x v="2"/>
    <s v=""/>
    <x v="4"/>
    <x v="21"/>
    <x v="4"/>
    <s v="4/2022"/>
    <s v="13/4/2022"/>
    <d v="1899-12-30T23:58:00"/>
    <n v="0.99861111110658385"/>
    <d v="1901-04-25T14:36:00"/>
    <n v="481.60833333332994"/>
    <m/>
    <m/>
    <n v="0"/>
    <n v="192681"/>
    <n v="12"/>
    <n v="12.016689847064214"/>
    <n v="12922"/>
    <n v="125023"/>
    <n v="14"/>
    <n v="14.019471488241583"/>
    <n v="5591"/>
    <n v="26"/>
    <n v="18513"/>
    <n v="1.0848400556377416"/>
    <n v="26.036161335305799"/>
    <n v="9503.1988873866158"/>
    <n v="1.6016645614520904"/>
    <n v="38.439949474850167"/>
    <n v="14030.581558320311"/>
  </r>
  <r>
    <d v="2022-04-14T08:13:00"/>
    <x v="2"/>
    <s v=""/>
    <x v="4"/>
    <x v="22"/>
    <x v="0"/>
    <s v="4/2022"/>
    <s v="14/4/2022"/>
    <d v="1899-12-31T00:37:00"/>
    <n v="1.0256944444481633"/>
    <d v="1901-04-26T15:13:00"/>
    <n v="482.6340277777781"/>
    <m/>
    <m/>
    <n v="0"/>
    <n v="192698"/>
    <n v="17"/>
    <n v="16.574136763650131"/>
    <n v="12939"/>
    <n v="125028"/>
    <n v="5"/>
    <n v="4.8747461069559206"/>
    <n v="5596"/>
    <n v="22"/>
    <n v="18535"/>
    <n v="0.89370345294191889"/>
    <n v="21.448882870606052"/>
    <n v="7828.8422477712093"/>
    <n v="1.6001600016115261"/>
    <n v="38.40384003867662"/>
    <n v="14017.401614116967"/>
  </r>
  <r>
    <d v="2022-04-15T09:14:00"/>
    <x v="2"/>
    <s v=""/>
    <x v="4"/>
    <x v="23"/>
    <x v="5"/>
    <s v="4/2022"/>
    <s v="15/4/2022"/>
    <d v="1899-12-31T01:01:00"/>
    <n v="1.0423611111109494"/>
    <d v="1901-04-27T16:14:00"/>
    <n v="483.67638888888905"/>
    <m/>
    <m/>
    <n v="0"/>
    <n v="192708"/>
    <n v="10"/>
    <n v="9.5936042638256058"/>
    <n v="12949"/>
    <n v="125031"/>
    <n v="3"/>
    <n v="2.8780812791476817"/>
    <n v="5599"/>
    <n v="13"/>
    <n v="18548"/>
    <n v="0.51965356429055365"/>
    <n v="12.471685542973287"/>
    <n v="4552.1652231852495"/>
    <n v="1.5978314242477316"/>
    <n v="38.34795418194556"/>
    <n v="13997.003276410129"/>
  </r>
  <r>
    <d v="2022-04-16T07:34:00"/>
    <x v="2"/>
    <s v=""/>
    <x v="4"/>
    <x v="24"/>
    <x v="6"/>
    <s v="4/2022"/>
    <s v="16/4/2022"/>
    <d v="1899-12-30T22:20:00"/>
    <n v="0.93055555555474712"/>
    <d v="1901-04-28T14:34:00"/>
    <n v="484.6069444444438"/>
    <m/>
    <m/>
    <n v="0"/>
    <n v="192715"/>
    <n v="7"/>
    <n v="7.5223880597080282"/>
    <n v="12956"/>
    <n v="125035"/>
    <n v="4"/>
    <n v="4.2985074626903019"/>
    <n v="5603"/>
    <n v="11"/>
    <n v="18559"/>
    <n v="0.49253731343326373"/>
    <n v="11.820895522398329"/>
    <n v="4314.62686567539"/>
    <n v="1.5957090081595358"/>
    <n v="38.29701619582886"/>
    <n v="13978.410911477535"/>
  </r>
  <r>
    <d v="2022-04-17T08:21:00"/>
    <x v="2"/>
    <s v=""/>
    <x v="4"/>
    <x v="0"/>
    <x v="1"/>
    <s v="4/2022"/>
    <s v="17/4/2022"/>
    <d v="1899-12-31T00:47:00"/>
    <n v="1.0326388888861402"/>
    <d v="1901-04-29T15:21:00"/>
    <n v="485.63958333332994"/>
    <m/>
    <m/>
    <n v="0"/>
    <n v="192725"/>
    <n v="10"/>
    <n v="9.6839273705704976"/>
    <n v="12966"/>
    <n v="125038"/>
    <n v="3"/>
    <n v="2.9051782111711493"/>
    <n v="5606"/>
    <n v="13"/>
    <n v="18572"/>
    <n v="0.52454606590590191"/>
    <n v="12.589105581741647"/>
    <n v="4595.0235373357009"/>
    <n v="1.5934313426881328"/>
    <n v="38.242352224515187"/>
    <n v="13958.458561948044"/>
  </r>
  <r>
    <d v="2022-04-19T07:44:00"/>
    <x v="2"/>
    <s v=""/>
    <x v="4"/>
    <x v="26"/>
    <x v="3"/>
    <s v="4/2022"/>
    <s v="19/4/2022"/>
    <d v="1899-12-31T23:23:00"/>
    <n v="1.9743055555591127"/>
    <d v="1901-05-01T14:44:00"/>
    <n v="487.61388888888905"/>
    <m/>
    <m/>
    <n v="0"/>
    <n v="192738"/>
    <n v="13"/>
    <n v="6.5845937389962268"/>
    <n v="12979"/>
    <n v="125044"/>
    <n v="6"/>
    <n v="3.0390432641521046"/>
    <n v="5612"/>
    <n v="19"/>
    <n v="18591"/>
    <n v="0.40098487513118047"/>
    <n v="9.6236370031483318"/>
    <n v="3512.627506149141"/>
    <n v="1.5886032322933099"/>
    <n v="38.126477575039438"/>
    <n v="13916.164314889395"/>
  </r>
  <r>
    <d v="2022-04-20T07:25:00"/>
    <x v="2"/>
    <s v=""/>
    <x v="4"/>
    <x v="27"/>
    <x v="4"/>
    <s v="4/2022"/>
    <s v="20/4/2022"/>
    <d v="1899-12-30T23:41:00"/>
    <n v="0.98680555555620231"/>
    <d v="1901-05-02T14:25:00"/>
    <n v="488.60069444444525"/>
    <m/>
    <m/>
    <n v="0"/>
    <n v="192759"/>
    <n v="21"/>
    <n v="21.280788177325952"/>
    <n v="13000"/>
    <n v="125057"/>
    <n v="13"/>
    <n v="13.173821252630352"/>
    <n v="5625"/>
    <n v="34"/>
    <n v="18625"/>
    <n v="1.4356087262481794"/>
    <n v="34.454609429956307"/>
    <n v="12575.932441934052"/>
    <n v="1.5882942359487455"/>
    <n v="38.119061662769894"/>
    <n v="13913.457506911011"/>
  </r>
  <r>
    <d v="2022-04-21T07:33:00"/>
    <x v="2"/>
    <s v=""/>
    <x v="4"/>
    <x v="28"/>
    <x v="0"/>
    <s v="4/2022"/>
    <s v="21/4/2022"/>
    <d v="1899-12-31T00:08:00"/>
    <n v="1.0055555555518367"/>
    <d v="1901-05-03T14:33:00"/>
    <n v="489.60624999999709"/>
    <m/>
    <m/>
    <n v="0"/>
    <n v="192776"/>
    <n v="17"/>
    <n v="16.906077348128822"/>
    <n v="13017"/>
    <n v="125066"/>
    <n v="9"/>
    <n v="8.9502762431270231"/>
    <n v="5634"/>
    <n v="26"/>
    <n v="18651"/>
    <n v="1.0773480663023269"/>
    <n v="25.856353591255846"/>
    <n v="9437.5690608083842"/>
    <n v="1.587244852368622"/>
    <n v="38.093876456846928"/>
    <n v="13904.264906749129"/>
  </r>
  <r>
    <d v="2022-04-22T08:20:00"/>
    <x v="2"/>
    <s v=""/>
    <x v="4"/>
    <x v="29"/>
    <x v="5"/>
    <s v="4/2022"/>
    <s v="22/4/2022"/>
    <d v="1899-12-31T00:47:00"/>
    <n v="1.0326388888861402"/>
    <d v="1901-05-04T15:20:00"/>
    <n v="490.63888888888323"/>
    <m/>
    <m/>
    <n v="0"/>
    <n v="192787"/>
    <n v="11"/>
    <n v="10.652320107627547"/>
    <n v="13028"/>
    <n v="125068"/>
    <n v="2"/>
    <n v="1.9367854741140995"/>
    <n v="5636"/>
    <n v="13"/>
    <n v="18664"/>
    <n v="0.52454606590590191"/>
    <n v="12.589105581741647"/>
    <n v="4595.0235373357009"/>
    <n v="1.5850082092509949"/>
    <n v="38.040197022023875"/>
    <n v="13884.671913038714"/>
  </r>
  <r>
    <d v="2022-04-23T11:04:00"/>
    <x v="2"/>
    <s v=""/>
    <x v="4"/>
    <x v="30"/>
    <x v="6"/>
    <s v="4/2022"/>
    <s v="23/4/2022"/>
    <d v="1899-12-31T02:44:00"/>
    <n v="1.1138888888890506"/>
    <d v="1901-05-05T18:04:00"/>
    <n v="491.75277777777228"/>
    <m/>
    <m/>
    <n v="0"/>
    <n v="192796"/>
    <n v="9"/>
    <n v="8.0798004987519452"/>
    <n v="13037"/>
    <n v="125070"/>
    <n v="2"/>
    <n v="1.7955112219448766"/>
    <n v="5638"/>
    <n v="11"/>
    <n v="18675"/>
    <n v="0.41147132169570089"/>
    <n v="9.8753117206968213"/>
    <n v="3604.4887780543399"/>
    <n v="1.5823499839011423"/>
    <n v="37.976399613627414"/>
    <n v="13861.385858974007"/>
  </r>
  <r>
    <d v="2022-04-24T08:33:00"/>
    <x v="2"/>
    <s v=""/>
    <x v="4"/>
    <x v="1"/>
    <x v="1"/>
    <s v="4/2022"/>
    <s v="24/4/2022"/>
    <d v="1899-12-30T21:29:00"/>
    <n v="0.89513888888905058"/>
    <d v="1901-05-06T15:33:00"/>
    <n v="492.64791666666133"/>
    <m/>
    <m/>
    <n v="0"/>
    <n v="192809"/>
    <n v="13"/>
    <n v="14.522885958104437"/>
    <n v="13050"/>
    <n v="125073"/>
    <n v="3"/>
    <n v="3.3514352211010237"/>
    <n v="5641"/>
    <n v="16"/>
    <n v="18691"/>
    <n v="0.74476338246689422"/>
    <n v="17.874321179205459"/>
    <n v="6524.127230409993"/>
    <n v="1.5808280930854273"/>
    <n v="37.939874234050251"/>
    <n v="13848.054095428342"/>
  </r>
  <r>
    <d v="2022-04-26T08:35:00"/>
    <x v="2"/>
    <s v=""/>
    <x v="4"/>
    <x v="3"/>
    <x v="3"/>
    <s v="4/2022"/>
    <s v="26/4/2022"/>
    <d v="1900-01-01T00:02:00"/>
    <n v="2.0013888888934162"/>
    <d v="1901-05-08T15:35:00"/>
    <n v="494.64930555555475"/>
    <m/>
    <m/>
    <n v="0"/>
    <n v="192845"/>
    <n v="36"/>
    <n v="17.987508674490886"/>
    <n v="13086"/>
    <n v="125080"/>
    <n v="7"/>
    <n v="3.4975711311510058"/>
    <n v="5648"/>
    <n v="43"/>
    <n v="18734"/>
    <n v="0.89521165856841223"/>
    <n v="21.485079805641892"/>
    <n v="7842.0541290592901"/>
    <n v="1.5780540366000069"/>
    <n v="37.873296878400161"/>
    <n v="13823.75336061606"/>
  </r>
  <r>
    <d v="2022-04-27T09:20:00"/>
    <x v="2"/>
    <s v=""/>
    <x v="4"/>
    <x v="4"/>
    <x v="4"/>
    <s v="4/2022"/>
    <s v="27/4/2022"/>
    <d v="1899-12-31T00:45:00"/>
    <n v="1.03125"/>
    <d v="1901-05-09T16:20:00"/>
    <n v="495.68055555555475"/>
    <m/>
    <m/>
    <n v="0"/>
    <n v="192867"/>
    <n v="22"/>
    <n v="21.333333333333332"/>
    <n v="13108"/>
    <n v="125085"/>
    <n v="5"/>
    <n v="4.8484848484848486"/>
    <n v="5653"/>
    <n v="27"/>
    <n v="18761"/>
    <n v="1.0909090909090908"/>
    <n v="26.181818181818183"/>
    <n v="9556.3636363636379"/>
    <n v="1.5770405447056541"/>
    <n v="37.848973072935699"/>
    <n v="13814.87517162153"/>
  </r>
  <r>
    <d v="2022-04-28T07:32:00"/>
    <x v="2"/>
    <s v=""/>
    <x v="4"/>
    <x v="5"/>
    <x v="0"/>
    <s v="4/2022"/>
    <s v="28/4/2022"/>
    <d v="1899-12-30T22:12:00"/>
    <n v="0.92499999999563443"/>
    <d v="1901-05-10T14:32:00"/>
    <n v="496.60555555555038"/>
    <m/>
    <m/>
    <n v="0"/>
    <n v="192878"/>
    <n v="11"/>
    <n v="11.891891891948017"/>
    <n v="13119"/>
    <n v="125087"/>
    <n v="2"/>
    <n v="2.1621621621723666"/>
    <n v="5655"/>
    <n v="13"/>
    <n v="18774"/>
    <n v="0.58558558558834928"/>
    <n v="14.054054054120384"/>
    <n v="5129.7297297539399"/>
    <n v="1.575193815793906"/>
    <n v="37.804651579053747"/>
    <n v="13798.697826354617"/>
  </r>
  <r>
    <d v="2022-04-29T08:04:00"/>
    <x v="2"/>
    <s v=""/>
    <x v="4"/>
    <x v="6"/>
    <x v="5"/>
    <s v="4/2022"/>
    <s v="29/4/2022"/>
    <d v="1899-12-31T00:32:00"/>
    <n v="1.0222222222218988"/>
    <d v="1901-05-11T15:04:00"/>
    <n v="497.62777777777228"/>
    <m/>
    <m/>
    <n v="0"/>
    <n v="192886"/>
    <n v="8"/>
    <n v="7.8260869565242146"/>
    <n v="13127"/>
    <n v="125090"/>
    <n v="3"/>
    <n v="2.9347826086965805"/>
    <n v="5658"/>
    <n v="11"/>
    <n v="18785"/>
    <n v="0.44836956521753313"/>
    <n v="10.760869565220796"/>
    <n v="3927.7173913055904"/>
    <n v="1.5728791041943617"/>
    <n v="37.74909850066468"/>
    <n v="13778.420952742608"/>
  </r>
  <r>
    <d v="2022-04-30T08:38:00"/>
    <x v="2"/>
    <s v=""/>
    <x v="4"/>
    <x v="7"/>
    <x v="6"/>
    <s v="4/2022"/>
    <s v="30/4/2022"/>
    <d v="1899-12-31T00:34:00"/>
    <n v="1.023611111115315"/>
    <d v="1901-05-12T15:38:00"/>
    <n v="498.6513888888876"/>
    <m/>
    <m/>
    <n v="0"/>
    <n v="192893"/>
    <n v="7"/>
    <n v="6.8385345997005444"/>
    <n v="13134"/>
    <n v="125092"/>
    <n v="2"/>
    <n v="1.9538670284858697"/>
    <n v="5660"/>
    <n v="9"/>
    <n v="18794"/>
    <n v="0.36635006784110058"/>
    <n v="8.7924016281864148"/>
    <n v="3209.2265942880413"/>
    <n v="1.5704023908932188"/>
    <n v="37.68965738143725"/>
    <n v="13756.724944224596"/>
  </r>
  <r>
    <d v="2022-05-01T08:05:00"/>
    <x v="2"/>
    <s v=""/>
    <x v="5"/>
    <x v="9"/>
    <x v="1"/>
    <s v="5/2022"/>
    <s v="1/5/2022"/>
    <d v="1899-12-30T23:27:00"/>
    <n v="0.97708333333139308"/>
    <d v="1901-05-13T15:05:00"/>
    <n v="499.62847222221899"/>
    <m/>
    <m/>
    <n v="0"/>
    <n v="192901"/>
    <n v="8"/>
    <n v="8.1876332622763872"/>
    <n v="13142"/>
    <n v="125094"/>
    <n v="2"/>
    <n v="2.0469083155690968"/>
    <n v="5662"/>
    <n v="10"/>
    <n v="18804"/>
    <n v="0.42643923241022846"/>
    <n v="10.234541577845484"/>
    <n v="3735.6076759136017"/>
    <n v="1.5681652338890806"/>
    <n v="37.63596561333793"/>
    <n v="13737.127448868345"/>
  </r>
  <r>
    <d v="2022-05-02T07:38:00"/>
    <x v="2"/>
    <s v=""/>
    <x v="5"/>
    <x v="10"/>
    <x v="2"/>
    <s v="5/2022"/>
    <s v="2/5/2022"/>
    <d v="1899-12-30T23:33:00"/>
    <n v="0.98125000000436557"/>
    <d v="1901-05-14T14:38:00"/>
    <n v="500.60972222222335"/>
    <m/>
    <m/>
    <n v="0"/>
    <n v="192916"/>
    <n v="15"/>
    <n v="15.286624203753647"/>
    <n v="13157"/>
    <n v="125097"/>
    <n v="3"/>
    <n v="3.0573248407507294"/>
    <n v="5665"/>
    <n v="18"/>
    <n v="18822"/>
    <n v="0.76433121018768235"/>
    <n v="18.343949044504374"/>
    <n v="6695.5414012440961"/>
    <n v="1.5665896309777763"/>
    <n v="37.59815114346663"/>
    <n v="13723.325167365319"/>
  </r>
  <r>
    <d v="2022-05-03T07:28:00"/>
    <x v="2"/>
    <s v=""/>
    <x v="5"/>
    <x v="11"/>
    <x v="3"/>
    <s v="5/2022"/>
    <s v="3/5/2022"/>
    <d v="1899-12-30T23:50:00"/>
    <n v="0.99305555555474712"/>
    <d v="1901-05-15T14:28:00"/>
    <n v="501.6027777777781"/>
    <m/>
    <m/>
    <n v="0"/>
    <n v="192924"/>
    <n v="8"/>
    <n v="8.055944055950615"/>
    <n v="13165"/>
    <n v="125100"/>
    <n v="3"/>
    <n v="3.0209790209814802"/>
    <n v="5668"/>
    <n v="11"/>
    <n v="18833"/>
    <n v="0.46153846153883726"/>
    <n v="11.076923076932095"/>
    <n v="4043.0769230802148"/>
    <n v="1.5644018894986615"/>
    <n v="37.545645347967877"/>
    <n v="13704.160552008276"/>
  </r>
  <r>
    <d v="2022-05-04T08:12:00"/>
    <x v="2"/>
    <s v=""/>
    <x v="5"/>
    <x v="12"/>
    <x v="4"/>
    <s v="5/2022"/>
    <s v="4/5/2022"/>
    <d v="1899-12-31T00:44:00"/>
    <n v="1.0305555555532919"/>
    <d v="1901-05-16T15:12:00"/>
    <n v="502.63333333333139"/>
    <m/>
    <m/>
    <n v="0"/>
    <n v="192933"/>
    <n v="9"/>
    <n v="8.7331536388331994"/>
    <n v="13174"/>
    <n v="125102"/>
    <n v="2"/>
    <n v="1.9407008086295998"/>
    <n v="5670"/>
    <n v="11"/>
    <n v="18844"/>
    <n v="0.44474393531094991"/>
    <n v="10.673854447462798"/>
    <n v="3895.9568733239212"/>
    <n v="1.5621062404668804"/>
    <n v="37.490549771205131"/>
    <n v="13684.050666489873"/>
  </r>
  <r>
    <d v="2022-05-05T07:22:00"/>
    <x v="2"/>
    <s v=""/>
    <x v="5"/>
    <x v="13"/>
    <x v="0"/>
    <s v="5/2022"/>
    <s v="5/5/2022"/>
    <d v="1899-12-30T23:10:00"/>
    <n v="0.96527777777373558"/>
    <d v="1901-05-17T14:22:00"/>
    <n v="503.59861111110513"/>
    <m/>
    <m/>
    <n v="0"/>
    <n v="192942"/>
    <n v="9"/>
    <n v="9.3237410072332896"/>
    <n v="13183"/>
    <n v="125106"/>
    <n v="4"/>
    <n v="4.1438848921036842"/>
    <n v="5674"/>
    <n v="13"/>
    <n v="18857"/>
    <n v="0.5611510791390405"/>
    <n v="13.467625899336973"/>
    <n v="4915.6834532579951"/>
    <n v="1.5601876494452613"/>
    <n v="37.444503586686267"/>
    <n v="13667.243809140487"/>
  </r>
  <r>
    <d v="2022-05-06T07:45:00"/>
    <x v="2"/>
    <s v=""/>
    <x v="5"/>
    <x v="14"/>
    <x v="5"/>
    <s v="5/2022"/>
    <s v="6/5/2022"/>
    <d v="1899-12-31T00:23:00"/>
    <n v="1.015972222223354"/>
    <d v="1901-05-18T14:45:00"/>
    <n v="504.61458333332848"/>
    <m/>
    <m/>
    <n v="0"/>
    <n v="192951"/>
    <n v="9"/>
    <n v="8.8585099111316215"/>
    <n v="13192"/>
    <n v="125110"/>
    <n v="4"/>
    <n v="3.9371155160584985"/>
    <n v="5678"/>
    <n v="13"/>
    <n v="18870"/>
    <n v="0.53315105946625496"/>
    <n v="12.795625427190119"/>
    <n v="4670.4032809243936"/>
    <n v="1.5581198521974429"/>
    <n v="37.394876452738629"/>
    <n v="13649.1299052496"/>
  </r>
  <r>
    <d v="2022-05-07T08:26:00"/>
    <x v="2"/>
    <s v=""/>
    <x v="5"/>
    <x v="15"/>
    <x v="6"/>
    <s v="5/2022"/>
    <s v="7/5/2022"/>
    <d v="1899-12-31T00:41:00"/>
    <n v="1.0284722222277196"/>
    <d v="1901-05-19T15:26:00"/>
    <n v="505.6430555555562"/>
    <m/>
    <m/>
    <n v="0"/>
    <n v="192960"/>
    <n v="9"/>
    <n v="8.7508440242611254"/>
    <n v="13201"/>
    <n v="125112"/>
    <n v="2"/>
    <n v="1.9446320053913611"/>
    <n v="5680"/>
    <n v="11"/>
    <n v="18881"/>
    <n v="0.44564483456885357"/>
    <n v="10.695476029652486"/>
    <n v="3903.8487508231574"/>
    <n v="1.5558570906683713"/>
    <n v="37.340570176040913"/>
    <n v="13629.308114254933"/>
  </r>
  <r>
    <d v="2022-05-08T11:36:00"/>
    <x v="2"/>
    <s v=""/>
    <x v="5"/>
    <x v="16"/>
    <x v="1"/>
    <s v="5/2022"/>
    <s v="8/5/2022"/>
    <d v="1899-12-31T03:10:00"/>
    <n v="1.1319444444379769"/>
    <d v="1901-05-20T18:36:00"/>
    <n v="506.77499999999418"/>
    <m/>
    <m/>
    <n v="0"/>
    <n v="192968"/>
    <n v="8"/>
    <n v="7.0674846626170682"/>
    <n v="13209"/>
    <n v="125115"/>
    <n v="3"/>
    <n v="2.6503067484814005"/>
    <n v="5683"/>
    <n v="11"/>
    <n v="18892"/>
    <n v="0.40490797546243618"/>
    <n v="9.7177914110984691"/>
    <n v="3546.9938650509412"/>
    <n v="1.5532863039152991"/>
    <n v="37.278871293967178"/>
    <n v="13606.78802229802"/>
  </r>
  <r>
    <d v="2022-05-09T07:45:00"/>
    <x v="2"/>
    <s v=""/>
    <x v="5"/>
    <x v="17"/>
    <x v="2"/>
    <s v="5/2022"/>
    <s v="9/5/2022"/>
    <d v="1899-12-30T20:09:00"/>
    <n v="0.83958333333430346"/>
    <d v="1901-05-21T14:45:00"/>
    <n v="507.61458333332848"/>
    <m/>
    <m/>
    <n v="0"/>
    <n v="192975"/>
    <n v="7"/>
    <n v="8.3374689826206385"/>
    <n v="13216"/>
    <n v="125117"/>
    <n v="2"/>
    <n v="2.3821339950344682"/>
    <n v="5685"/>
    <n v="9"/>
    <n v="18901"/>
    <n v="0.44665012406896282"/>
    <n v="10.719602977655107"/>
    <n v="3912.6550868441141"/>
    <n v="1.551455952063383"/>
    <n v="37.234942849521197"/>
    <n v="13590.754140075236"/>
  </r>
  <r>
    <d v="2022-05-10T07:30:00"/>
    <x v="2"/>
    <s v=""/>
    <x v="5"/>
    <x v="18"/>
    <x v="3"/>
    <s v="5/2022"/>
    <s v="10/5/2022"/>
    <d v="1899-12-30T23:45:00"/>
    <n v="0.98958333333575865"/>
    <d v="1901-05-22T14:30:00"/>
    <n v="508.60416666666424"/>
    <m/>
    <m/>
    <n v="0"/>
    <n v="192980"/>
    <n v="5"/>
    <n v="5.0526315789349852"/>
    <n v="13221"/>
    <n v="125120"/>
    <n v="3"/>
    <n v="3.0315789473609911"/>
    <n v="5688"/>
    <n v="8"/>
    <n v="18909"/>
    <n v="0.33684210526233233"/>
    <n v="8.0842105262959763"/>
    <n v="2950.7368420980315"/>
    <n v="1.5490926965141596"/>
    <n v="37.178224716339834"/>
    <n v="13570.05202146404"/>
  </r>
  <r>
    <d v="2022-05-11T08:39:00"/>
    <x v="2"/>
    <s v=""/>
    <x v="5"/>
    <x v="19"/>
    <x v="4"/>
    <s v="5/2022"/>
    <s v="11/5/2022"/>
    <d v="1899-12-31T01:09:00"/>
    <n v="1.0479166666700621"/>
    <d v="1901-05-23T15:39:00"/>
    <n v="509.6520833333343"/>
    <m/>
    <m/>
    <n v="0"/>
    <n v="192988"/>
    <n v="8"/>
    <n v="7.6341948309891805"/>
    <n v="13229"/>
    <n v="125122"/>
    <n v="2"/>
    <n v="1.9085487077472951"/>
    <n v="5690"/>
    <n v="10"/>
    <n v="18919"/>
    <n v="0.39761431411401982"/>
    <n v="9.5427435387364756"/>
    <n v="3483.1013916388138"/>
    <n v="1.5467250943249655"/>
    <n v="37.121402263799169"/>
    <n v="13549.311826286697"/>
  </r>
  <r>
    <d v="2022-05-12T07:15:00"/>
    <x v="2"/>
    <s v=""/>
    <x v="5"/>
    <x v="20"/>
    <x v="0"/>
    <s v="5/2022"/>
    <s v="12/5/2022"/>
    <d v="1899-12-30T22:36:00"/>
    <n v="0.94166666666569654"/>
    <d v="1901-05-24T14:15:00"/>
    <n v="510.59375"/>
    <m/>
    <m/>
    <n v="0"/>
    <n v="192996"/>
    <n v="8"/>
    <n v="8.4955752212476909"/>
    <n v="13237"/>
    <n v="125124"/>
    <n v="2"/>
    <n v="2.1238938053119227"/>
    <n v="5692"/>
    <n v="10"/>
    <n v="18929"/>
    <n v="0.44247787610665051"/>
    <n v="10.619469026559614"/>
    <n v="3876.1061946942591"/>
    <n v="1.5446885774323194"/>
    <n v="37.072525858375663"/>
    <n v="13531.471938307117"/>
  </r>
  <r>
    <d v="2022-05-13T08:22:00"/>
    <x v="2"/>
    <s v=""/>
    <x v="5"/>
    <x v="21"/>
    <x v="5"/>
    <s v="5/2022"/>
    <s v="13/5/2022"/>
    <d v="1899-12-31T01:07:00"/>
    <n v="1.046527777776646"/>
    <d v="1901-05-25T15:22:00"/>
    <n v="511.64027777777665"/>
    <m/>
    <m/>
    <n v="0"/>
    <n v="193003"/>
    <n v="7"/>
    <n v="6.6887856668950905"/>
    <n v="13244"/>
    <n v="125126"/>
    <n v="2"/>
    <n v="1.911081619112883"/>
    <n v="5694"/>
    <n v="9"/>
    <n v="18938"/>
    <n v="0.35832780358366556"/>
    <n v="8.5998672860079743"/>
    <n v="3138.9515593929104"/>
    <n v="1.5422619516207439"/>
    <n v="37.014286838897853"/>
    <n v="13510.214696197716"/>
  </r>
  <r>
    <d v="2022-05-14T08:03:00"/>
    <x v="2"/>
    <s v=""/>
    <x v="5"/>
    <x v="22"/>
    <x v="6"/>
    <s v="5/2022"/>
    <s v="14/5/2022"/>
    <d v="1899-12-30T23:41:00"/>
    <n v="0.98680555555620231"/>
    <d v="1901-05-26T15:03:00"/>
    <n v="512.62708333333285"/>
    <m/>
    <m/>
    <n v="0"/>
    <n v="193011"/>
    <n v="8"/>
    <n v="8.1069669246956018"/>
    <n v="13252"/>
    <n v="125128"/>
    <n v="2"/>
    <n v="2.0267417311739004"/>
    <n v="5696"/>
    <n v="10"/>
    <n v="18948"/>
    <n v="0.42223786066122926"/>
    <n v="10.133708655869501"/>
    <n v="3698.803659392368"/>
    <n v="1.5401059086974382"/>
    <n v="36.962541808738521"/>
    <n v="13491.327760189561"/>
  </r>
  <r>
    <d v="2022-05-15T08:59:00"/>
    <x v="2"/>
    <s v=""/>
    <x v="5"/>
    <x v="23"/>
    <x v="1"/>
    <s v="5/2022"/>
    <s v="15/5/2022"/>
    <d v="1899-12-31T00:56:00"/>
    <n v="1.038888888884685"/>
    <d v="1901-05-27T15:59:00"/>
    <n v="513.66597222221753"/>
    <m/>
    <m/>
    <n v="0"/>
    <n v="193021"/>
    <n v="10"/>
    <n v="9.6256684492368123"/>
    <n v="13262"/>
    <n v="125131"/>
    <n v="3"/>
    <n v="2.8877005347710436"/>
    <n v="5699"/>
    <n v="13"/>
    <n v="18961"/>
    <n v="0.52139037433366064"/>
    <n v="12.513368984007855"/>
    <n v="4567.3796791628665"/>
    <n v="1.5380455576000001"/>
    <n v="36.9130933824"/>
    <n v="13473.279084575999"/>
  </r>
  <r>
    <d v="2022-05-16T07:33:00"/>
    <x v="2"/>
    <s v=""/>
    <x v="5"/>
    <x v="24"/>
    <x v="2"/>
    <s v="5/2022"/>
    <s v="16/5/2022"/>
    <d v="1899-12-30T22:34:00"/>
    <n v="0.94027777777955635"/>
    <d v="1901-05-28T14:33:00"/>
    <n v="514.60624999999709"/>
    <m/>
    <m/>
    <n v="0"/>
    <n v="193028"/>
    <n v="7"/>
    <n v="7.44460856719419"/>
    <n v="13269"/>
    <n v="125134"/>
    <n v="3"/>
    <n v="3.1905465287975101"/>
    <n v="5702"/>
    <n v="10"/>
    <n v="18971"/>
    <n v="0.4431314623329875"/>
    <n v="10.635155095991701"/>
    <n v="3881.8316100369707"/>
    <n v="1.5360449534636196"/>
    <n v="36.86507888312687"/>
    <n v="13455.753792341307"/>
  </r>
  <r>
    <d v="2022-05-17T07:31:00"/>
    <x v="2"/>
    <s v=""/>
    <x v="5"/>
    <x v="0"/>
    <x v="3"/>
    <s v="5/2022"/>
    <s v="17/5/2022"/>
    <d v="1899-12-30T23:58:00"/>
    <n v="0.99861111111385981"/>
    <d v="1901-05-29T14:31:00"/>
    <n v="515.60486111111095"/>
    <m/>
    <m/>
    <n v="0"/>
    <n v="193034"/>
    <n v="6"/>
    <n v="6.0083449234883295"/>
    <n v="13275"/>
    <n v="125138"/>
    <n v="4"/>
    <n v="4.0055632823255536"/>
    <n v="5706"/>
    <n v="10"/>
    <n v="18981"/>
    <n v="0.41724617524224511"/>
    <n v="10.013908205813882"/>
    <n v="3655.0764951220672"/>
    <n v="1.5338780908614618"/>
    <n v="36.813074180675081"/>
    <n v="13436.772075946405"/>
  </r>
  <r>
    <d v="2022-05-18T08:28:00"/>
    <x v="2"/>
    <s v=""/>
    <x v="5"/>
    <x v="25"/>
    <x v="4"/>
    <s v="5/2022"/>
    <s v="18/5/2022"/>
    <d v="1899-12-31T00:57:00"/>
    <n v="1.0395833333313931"/>
    <d v="1901-05-30T15:28:00"/>
    <n v="516.64444444444234"/>
    <m/>
    <m/>
    <n v="0"/>
    <n v="193040"/>
    <n v="6"/>
    <n v="5.771543086183117"/>
    <n v="13281"/>
    <n v="125142"/>
    <n v="4"/>
    <n v="3.8476953907887443"/>
    <n v="5710"/>
    <n v="10"/>
    <n v="18991"/>
    <n v="0.40080160320716085"/>
    <n v="9.6192384769718604"/>
    <n v="3511.0220440947292"/>
    <n v="1.5315981332530493"/>
    <n v="36.758355198073183"/>
    <n v="13416.799647296712"/>
  </r>
  <r>
    <d v="2022-05-19T07:22:00"/>
    <x v="2"/>
    <s v=""/>
    <x v="5"/>
    <x v="26"/>
    <x v="0"/>
    <s v="5/2022"/>
    <s v="19/5/2022"/>
    <d v="1899-12-30T22:54:00"/>
    <n v="0.95416666666278616"/>
    <d v="1901-05-31T14:22:00"/>
    <n v="517.59861111110513"/>
    <m/>
    <m/>
    <n v="0"/>
    <n v="193048"/>
    <n v="8"/>
    <n v="8.3842794760166317"/>
    <n v="13289"/>
    <n v="125145"/>
    <n v="3"/>
    <n v="3.1441048035062367"/>
    <n v="5713"/>
    <n v="11"/>
    <n v="19002"/>
    <n v="0.4803493449801195"/>
    <n v="11.528384279522868"/>
    <n v="4207.8602620258471"/>
    <n v="1.529660209675576"/>
    <n v="36.711845032213823"/>
    <n v="13399.823436758046"/>
  </r>
  <r>
    <d v="2022-05-20T08:16:00"/>
    <x v="2"/>
    <s v=""/>
    <x v="5"/>
    <x v="27"/>
    <x v="5"/>
    <s v="5/2022"/>
    <s v="20/5/2022"/>
    <d v="1899-12-31T00:54:00"/>
    <n v="1.0375000000058208"/>
    <d v="1901-06-01T15:16:00"/>
    <n v="518.63611111111095"/>
    <m/>
    <m/>
    <n v="0"/>
    <n v="193054"/>
    <n v="6"/>
    <n v="5.7831325300880367"/>
    <n v="13295"/>
    <n v="125148"/>
    <n v="3"/>
    <n v="2.8915662650440184"/>
    <n v="5716"/>
    <n v="9"/>
    <n v="19011"/>
    <n v="0.3614457831305023"/>
    <n v="8.6746987951320538"/>
    <n v="3166.2650602231997"/>
    <n v="1.5273232677589195"/>
    <n v="36.655758426214064"/>
    <n v="13379.351825568134"/>
  </r>
  <r>
    <d v="2022-05-21T06:50:00"/>
    <x v="2"/>
    <s v=""/>
    <x v="5"/>
    <x v="28"/>
    <x v="6"/>
    <s v="5/2022"/>
    <s v="21/5/2022"/>
    <d v="1899-12-30T22:34:00"/>
    <n v="0.94027777777228039"/>
    <d v="1901-06-02T13:50:00"/>
    <n v="519.57638888888323"/>
    <m/>
    <m/>
    <n v="0"/>
    <n v="193059"/>
    <n v="5"/>
    <n v="5.317577548036998"/>
    <n v="13300"/>
    <n v="125152"/>
    <n v="4"/>
    <n v="4.2540620384295984"/>
    <n v="5720"/>
    <n v="9"/>
    <n v="19020"/>
    <n v="0.39881831610277485"/>
    <n v="9.5716395864665955"/>
    <n v="3493.6484490603075"/>
    <n v="1.5252810115077886"/>
    <n v="36.60674427618693"/>
    <n v="13361.461660808229"/>
  </r>
  <r>
    <d v="2022-05-23T07:43:00"/>
    <x v="2"/>
    <s v=""/>
    <x v="5"/>
    <x v="30"/>
    <x v="2"/>
    <s v="5/2022"/>
    <s v="23/5/2022"/>
    <d v="1900-01-01T00:53:00"/>
    <n v="2.0368055555591127"/>
    <d v="1901-06-04T14:43:00"/>
    <n v="521.61319444444234"/>
    <m/>
    <m/>
    <n v="0"/>
    <n v="193069"/>
    <n v="10"/>
    <n v="4.9096488237213949"/>
    <n v="13310"/>
    <n v="125157"/>
    <n v="5"/>
    <n v="2.4548244118606974"/>
    <n v="5725"/>
    <n v="15"/>
    <n v="19035"/>
    <n v="0.30685305148258718"/>
    <n v="7.3644732355820928"/>
    <n v="2688.0327309874638"/>
    <n v="1.5205232698239897"/>
    <n v="36.492558475775752"/>
    <n v="13319.78384365815"/>
  </r>
  <r>
    <d v="2022-05-24T07:41:00"/>
    <x v="2"/>
    <s v=""/>
    <x v="5"/>
    <x v="1"/>
    <x v="3"/>
    <s v="5/2022"/>
    <s v="24/5/2022"/>
    <d v="1899-12-30T23:58:00"/>
    <n v="0.99861111111385981"/>
    <d v="1901-06-05T14:41:00"/>
    <n v="522.6118055555562"/>
    <m/>
    <m/>
    <n v="0"/>
    <n v="193077"/>
    <n v="8"/>
    <n v="8.0111265646511072"/>
    <n v="13318"/>
    <n v="125161"/>
    <n v="4"/>
    <n v="4.0055632823255536"/>
    <n v="5729"/>
    <n v="12"/>
    <n v="19047"/>
    <n v="0.5006954102906942"/>
    <n v="12.016689846976659"/>
    <n v="4386.0917941464804"/>
    <n v="1.5185745740212402"/>
    <n v="36.445789776509763"/>
    <n v="13302.713268426063"/>
  </r>
  <r>
    <d v="2022-05-25T08:20:00"/>
    <x v="2"/>
    <s v=""/>
    <x v="5"/>
    <x v="2"/>
    <x v="4"/>
    <s v="5/2022"/>
    <s v="25/5/2022"/>
    <d v="1899-12-31T00:39:00"/>
    <n v="1.0270833333270275"/>
    <d v="1901-06-06T15:20:00"/>
    <n v="523.63888888888323"/>
    <m/>
    <m/>
    <n v="0"/>
    <n v="193082"/>
    <n v="5"/>
    <n v="4.8681541582448986"/>
    <n v="13323"/>
    <n v="125164"/>
    <n v="3"/>
    <n v="2.9208924949469393"/>
    <n v="5732"/>
    <n v="8"/>
    <n v="19055"/>
    <n v="0.32454361054965991"/>
    <n v="7.7890466531918374"/>
    <n v="2843.0020284150205"/>
    <n v="1.5162325606068807"/>
    <n v="36.389581454565139"/>
    <n v="13282.197230916276"/>
  </r>
  <r>
    <d v="2022-05-26T09:22:00"/>
    <x v="2"/>
    <s v=""/>
    <x v="5"/>
    <x v="3"/>
    <x v="0"/>
    <s v="5/2022"/>
    <s v="26/5/2022"/>
    <d v="1899-12-31T01:02:00"/>
    <n v="1.0430555555576575"/>
    <d v="1901-06-07T16:22:00"/>
    <n v="524.68194444444089"/>
    <m/>
    <m/>
    <n v="0"/>
    <n v="193092"/>
    <n v="10"/>
    <n v="9.5872170439220916"/>
    <n v="13333"/>
    <n v="125166"/>
    <n v="2"/>
    <n v="1.9174434087844183"/>
    <n v="5734"/>
    <n v="12"/>
    <n v="19067"/>
    <n v="0.47936085219610458"/>
    <n v="11.50466045270651"/>
    <n v="4199.2010652378758"/>
    <n v="1.514171283661276"/>
    <n v="36.340110807870623"/>
    <n v="13264.140444872777"/>
  </r>
  <r>
    <d v="2022-05-27T08:06:00"/>
    <x v="2"/>
    <s v=""/>
    <x v="5"/>
    <x v="4"/>
    <x v="5"/>
    <s v="5/2022"/>
    <s v="27/5/2022"/>
    <d v="1899-12-30T22:44:00"/>
    <n v="0.94722222222480923"/>
    <d v="1901-06-08T15:06:00"/>
    <n v="525.6291666666657"/>
    <m/>
    <m/>
    <n v="0"/>
    <n v="193098"/>
    <n v="6"/>
    <n v="6.3343108504225825"/>
    <n v="13339"/>
    <n v="125168"/>
    <n v="2"/>
    <n v="2.111436950140861"/>
    <n v="5736"/>
    <n v="8"/>
    <n v="19075"/>
    <n v="0.35190615835681016"/>
    <n v="8.4457478005634439"/>
    <n v="3082.6979472056569"/>
    <n v="1.5120767968545659"/>
    <n v="36.289843124509581"/>
    <n v="13245.792740445997"/>
  </r>
  <r>
    <d v="2022-05-28T07:21:00"/>
    <x v="2"/>
    <s v=""/>
    <x v="5"/>
    <x v="5"/>
    <x v="6"/>
    <s v="5/2022"/>
    <s v="28/5/2022"/>
    <d v="1899-12-30T23:15:00"/>
    <n v="0.96875"/>
    <d v="1901-06-09T14:21:00"/>
    <n v="526.5979166666657"/>
    <m/>
    <m/>
    <n v="0"/>
    <n v="193106"/>
    <n v="8"/>
    <n v="8.258064516129032"/>
    <n v="13347"/>
    <n v="125171"/>
    <n v="3"/>
    <n v="3.096774193548387"/>
    <n v="5739"/>
    <n v="11"/>
    <n v="19086"/>
    <n v="0.4731182795698925"/>
    <n v="11.35483870967742"/>
    <n v="4144.5161290322585"/>
    <n v="1.510165488374672"/>
    <n v="36.243971720992128"/>
    <n v="13229.049678162128"/>
  </r>
  <r>
    <d v="2022-05-29T08:34:00"/>
    <x v="2"/>
    <s v=""/>
    <x v="5"/>
    <x v="6"/>
    <x v="1"/>
    <s v="5/2022"/>
    <s v="29/5/2022"/>
    <d v="1899-12-31T01:13:00"/>
    <n v="1.0506944444423425"/>
    <d v="1901-06-10T15:34:00"/>
    <n v="527.64861111110804"/>
    <m/>
    <m/>
    <n v="0"/>
    <n v="193115"/>
    <n v="9"/>
    <n v="8.5657633840224232"/>
    <n v="13356"/>
    <n v="125174"/>
    <n v="3"/>
    <n v="2.8552544613408077"/>
    <n v="5742"/>
    <n v="12"/>
    <n v="19098"/>
    <n v="0.47587574355680129"/>
    <n v="11.421017845363231"/>
    <n v="4168.6715135575796"/>
    <n v="1.5081059311884313"/>
    <n v="36.194542348522347"/>
    <n v="13211.007957210657"/>
  </r>
  <r>
    <d v="2022-05-30T07:42:00"/>
    <x v="2"/>
    <s v=""/>
    <x v="5"/>
    <x v="7"/>
    <x v="2"/>
    <s v="5/2022"/>
    <s v="30/5/2022"/>
    <d v="1899-12-30T23:08:00"/>
    <n v="0.96388888888759539"/>
    <d v="1901-06-11T14:42:00"/>
    <n v="528.61249999999563"/>
    <m/>
    <m/>
    <n v="0"/>
    <n v="193124"/>
    <n v="9"/>
    <n v="9.3371757925197354"/>
    <n v="13365"/>
    <n v="125176"/>
    <n v="2"/>
    <n v="2.0749279538932743"/>
    <n v="5744"/>
    <n v="11"/>
    <n v="19109"/>
    <n v="0.47550432276720872"/>
    <n v="11.41210374641301"/>
    <n v="4165.4178674407485"/>
    <n v="1.5062230524880511"/>
    <n v="36.149353259713223"/>
    <n v="13194.513939795326"/>
  </r>
  <r>
    <d v="2022-05-31T07:45:00"/>
    <x v="2"/>
    <s v=""/>
    <x v="5"/>
    <x v="8"/>
    <x v="3"/>
    <s v="5/2022"/>
    <s v="31/5/2022"/>
    <d v="1899-12-31T00:03:00"/>
    <n v="1.0020833333328483"/>
    <d v="1901-06-12T14:45:00"/>
    <n v="529.61458333332848"/>
    <m/>
    <m/>
    <n v="0"/>
    <n v="193129"/>
    <n v="5"/>
    <n v="4.9896049896074048"/>
    <n v="13370"/>
    <n v="125178"/>
    <n v="2"/>
    <n v="1.9958419958429618"/>
    <n v="5746"/>
    <n v="7"/>
    <n v="19116"/>
    <n v="0.29106029106043196"/>
    <n v="6.9854469854503671"/>
    <n v="2549.6881496893839"/>
    <n v="1.5039238439903369"/>
    <n v="36.094172255768086"/>
    <n v="13174.372873355351"/>
  </r>
  <r>
    <d v="2022-06-01T07:45:00"/>
    <x v="2"/>
    <s v=""/>
    <x v="6"/>
    <x v="9"/>
    <x v="4"/>
    <s v="6/2022"/>
    <s v="1/6/2022"/>
    <d v="1899-12-31T00:00:00"/>
    <n v="1"/>
    <d v="1901-06-13T14:45:00"/>
    <n v="530.61458333332848"/>
    <m/>
    <m/>
    <n v="0"/>
    <n v="193134"/>
    <n v="5"/>
    <n v="5"/>
    <n v="13375"/>
    <n v="125180"/>
    <n v="2"/>
    <n v="2"/>
    <n v="5748"/>
    <n v="7"/>
    <n v="19123"/>
    <n v="0.29166666666666669"/>
    <n v="7"/>
    <n v="2555"/>
    <n v="1.5016392155323171"/>
    <n v="36.039341172775607"/>
    <n v="13154.359528063096"/>
  </r>
  <r>
    <d v="2022-06-02T07:18:00"/>
    <x v="2"/>
    <s v=""/>
    <x v="6"/>
    <x v="10"/>
    <x v="0"/>
    <s v="6/2022"/>
    <s v="2/6/2022"/>
    <d v="1899-12-30T23:33:00"/>
    <n v="0.98125000000436557"/>
    <d v="1901-06-14T14:18:00"/>
    <n v="531.59583333333285"/>
    <m/>
    <m/>
    <n v="0"/>
    <n v="193142"/>
    <n v="8"/>
    <n v="8.1528662420019451"/>
    <n v="13383"/>
    <n v="125182"/>
    <n v="2"/>
    <n v="2.0382165605004863"/>
    <n v="5750"/>
    <n v="10"/>
    <n v="19133"/>
    <n v="0.42462845010426792"/>
    <n v="10.19108280250243"/>
    <n v="3719.7452229133874"/>
    <n v="1.4996512074492696"/>
    <n v="35.991628978782472"/>
    <n v="13136.944577255603"/>
  </r>
  <r>
    <d v="2022-06-03T07:25:00"/>
    <x v="2"/>
    <s v=""/>
    <x v="6"/>
    <x v="11"/>
    <x v="5"/>
    <s v="6/2022"/>
    <s v="3/6/2022"/>
    <d v="1899-12-31T00:07:00"/>
    <n v="1.0048611111124046"/>
    <d v="1901-06-15T14:25:00"/>
    <n v="532.60069444444525"/>
    <m/>
    <m/>
    <n v="0"/>
    <n v="193149"/>
    <n v="7"/>
    <n v="6.9661368348217172"/>
    <n v="13390"/>
    <n v="125187"/>
    <n v="5"/>
    <n v="4.9758120248726554"/>
    <n v="5755"/>
    <n v="12"/>
    <n v="19145"/>
    <n v="0.49758120248726551"/>
    <n v="11.941948859694373"/>
    <n v="4358.8113337884461"/>
    <n v="1.4977605956098523"/>
    <n v="35.946254294636461"/>
    <n v="13120.382817542308"/>
  </r>
  <r>
    <d v="2022-06-04T08:20:00"/>
    <x v="2"/>
    <s v=""/>
    <x v="6"/>
    <x v="12"/>
    <x v="6"/>
    <s v="6/2022"/>
    <s v="4/6/2022"/>
    <d v="1899-12-31T00:55:00"/>
    <n v="1.0381944444379769"/>
    <d v="1901-06-16T15:20:00"/>
    <n v="533.63888888888323"/>
    <m/>
    <m/>
    <n v="0"/>
    <n v="193160"/>
    <n v="11"/>
    <n v="10.595317725818512"/>
    <n v="13401"/>
    <n v="125190"/>
    <n v="3"/>
    <n v="2.8896321070414124"/>
    <n v="5758"/>
    <n v="14"/>
    <n v="19159"/>
    <n v="0.56187290970249693"/>
    <n v="13.484949832859925"/>
    <n v="4922.0066889938726"/>
    <n v="1.4959398261412891"/>
    <n v="35.902555827390941"/>
    <n v="13104.432876997693"/>
  </r>
  <r>
    <d v="2022-06-05T08:20:00"/>
    <x v="2"/>
    <s v=""/>
    <x v="6"/>
    <x v="13"/>
    <x v="1"/>
    <s v="6/2022"/>
    <s v="5/6/2022"/>
    <d v="1899-12-31T00:00:00"/>
    <n v="1"/>
    <d v="1901-06-17T15:20:00"/>
    <n v="534.63888888888323"/>
    <m/>
    <m/>
    <n v="0"/>
    <n v="193170"/>
    <n v="10"/>
    <n v="10"/>
    <n v="13411"/>
    <n v="125195"/>
    <n v="5"/>
    <n v="5"/>
    <n v="5763"/>
    <n v="15"/>
    <n v="19174"/>
    <n v="0.625"/>
    <n v="15"/>
    <n v="5475"/>
    <n v="1.494310801683395"/>
    <n v="35.863459240401482"/>
    <n v="13090.16262274654"/>
  </r>
  <r>
    <d v="2022-06-07T07:38:00"/>
    <x v="2"/>
    <s v=""/>
    <x v="6"/>
    <x v="15"/>
    <x v="3"/>
    <s v="6/2022"/>
    <s v="7/6/2022"/>
    <d v="1899-12-31T23:18:00"/>
    <n v="1.9708333333401242"/>
    <d v="1901-06-19T14:38:00"/>
    <n v="536.60972222222335"/>
    <m/>
    <m/>
    <n v="0"/>
    <n v="193180"/>
    <n v="10"/>
    <n v="5.0739957716527071"/>
    <n v="13421"/>
    <n v="125201"/>
    <n v="6"/>
    <n v="3.0443974629916242"/>
    <n v="5769"/>
    <n v="16"/>
    <n v="19190"/>
    <n v="0.33826638477684712"/>
    <n v="8.1183932346443317"/>
    <n v="2963.213530645181"/>
    <n v="1.4900649396028014"/>
    <n v="35.761558550467235"/>
    <n v="13052.96887092054"/>
  </r>
  <r>
    <d v="2022-06-08T08:45:00"/>
    <x v="2"/>
    <s v=""/>
    <x v="6"/>
    <x v="16"/>
    <x v="4"/>
    <s v="6/2022"/>
    <s v="8/6/2022"/>
    <d v="1899-12-31T01:07:00"/>
    <n v="1.046527777776646"/>
    <d v="1901-06-20T15:45:00"/>
    <n v="537.65625"/>
    <m/>
    <m/>
    <n v="0"/>
    <n v="193188"/>
    <n v="8"/>
    <n v="7.644326476451532"/>
    <n v="13429"/>
    <n v="125205"/>
    <n v="4"/>
    <n v="3.822163238225766"/>
    <n v="5773"/>
    <n v="12"/>
    <n v="19202"/>
    <n v="0.47777040477822075"/>
    <n v="11.466489714677298"/>
    <n v="4185.2687458572136"/>
    <n v="1.4880945461590622"/>
    <n v="35.714269107817493"/>
    <n v="13035.708224353386"/>
  </r>
  <r>
    <d v="2022-06-09T07:40:00"/>
    <x v="2"/>
    <s v=""/>
    <x v="6"/>
    <x v="17"/>
    <x v="0"/>
    <s v="6/2022"/>
    <s v="9/6/2022"/>
    <d v="1899-12-30T22:55:00"/>
    <n v="0.95486111110949423"/>
    <d v="1901-06-21T14:40:00"/>
    <n v="538.61111111110949"/>
    <m/>
    <m/>
    <n v="0"/>
    <n v="193197"/>
    <n v="9"/>
    <n v="9.4254545454705063"/>
    <n v="13438"/>
    <n v="125208"/>
    <n v="3"/>
    <n v="3.1418181818235018"/>
    <n v="5776"/>
    <n v="12"/>
    <n v="19214"/>
    <n v="0.5236363636372503"/>
    <n v="12.567272727294007"/>
    <n v="4587.0545454623125"/>
    <n v="1.4863847343991794"/>
    <n v="35.673233625580302"/>
    <n v="13020.730273336811"/>
  </r>
  <r>
    <d v="2022-06-10T08:01:00"/>
    <x v="2"/>
    <s v=""/>
    <x v="6"/>
    <x v="18"/>
    <x v="5"/>
    <s v="6/2022"/>
    <s v="10/6/2022"/>
    <d v="1899-12-31T00:21:00"/>
    <n v="1.0145833333299379"/>
    <d v="1901-06-22T15:01:00"/>
    <n v="539.62569444443943"/>
    <m/>
    <m/>
    <n v="0"/>
    <n v="193204"/>
    <n v="7"/>
    <n v="6.8993839835959854"/>
    <n v="13445"/>
    <n v="125212"/>
    <n v="4"/>
    <n v="3.94250513348342"/>
    <n v="5780"/>
    <n v="11"/>
    <n v="19225"/>
    <n v="0.45174537987830854"/>
    <n v="10.841889117079406"/>
    <n v="3957.289527733983"/>
    <n v="1.4844394455519074"/>
    <n v="35.626546693245778"/>
    <n v="13003.689543034709"/>
  </r>
  <r>
    <d v="2022-06-11T07:42:00"/>
    <x v="2"/>
    <s v=""/>
    <x v="6"/>
    <x v="19"/>
    <x v="6"/>
    <s v="6/2022"/>
    <s v="11/6/2022"/>
    <d v="1899-12-30T23:41:00"/>
    <n v="0.98680555555620231"/>
    <d v="1901-06-23T14:42:00"/>
    <n v="540.61249999999563"/>
    <m/>
    <m/>
    <n v="0"/>
    <n v="193211"/>
    <n v="7"/>
    <n v="7.0935960591086511"/>
    <n v="13452"/>
    <n v="125215"/>
    <n v="3"/>
    <n v="3.0401125967608507"/>
    <n v="5783"/>
    <n v="10"/>
    <n v="19235"/>
    <n v="0.42223786066122926"/>
    <n v="10.133708655869501"/>
    <n v="3698.803659392368"/>
    <n v="1.482500558779791"/>
    <n v="35.580013410714983"/>
    <n v="12986.704894910969"/>
  </r>
  <r>
    <d v="2022-06-12T08:29:00"/>
    <x v="2"/>
    <s v=""/>
    <x v="6"/>
    <x v="20"/>
    <x v="1"/>
    <s v="6/2022"/>
    <s v="12/6/2022"/>
    <d v="1899-12-31T00:47:00"/>
    <n v="1.0326388888934162"/>
    <d v="1901-06-24T15:29:00"/>
    <n v="541.64513888888905"/>
    <m/>
    <m/>
    <n v="0"/>
    <n v="193217"/>
    <n v="6"/>
    <n v="5.8103564223013588"/>
    <n v="13458"/>
    <n v="125218"/>
    <n v="3"/>
    <n v="2.9051782111506794"/>
    <n v="5786"/>
    <n v="9"/>
    <n v="19244"/>
    <n v="0.36314727639383493"/>
    <n v="8.7155346334520392"/>
    <n v="3181.1701412099942"/>
    <n v="1.4803665273876265"/>
    <n v="35.528796657303033"/>
    <n v="12968.010779915607"/>
  </r>
  <r>
    <d v="2022-06-13T08:03:00"/>
    <x v="2"/>
    <s v=""/>
    <x v="6"/>
    <x v="21"/>
    <x v="2"/>
    <s v="6/2022"/>
    <s v="13/6/2022"/>
    <d v="1899-12-30T23:34:00"/>
    <n v="0.98194444444379769"/>
    <d v="1901-06-25T15:03:00"/>
    <n v="542.62708333333285"/>
    <m/>
    <m/>
    <n v="0"/>
    <n v="193223"/>
    <n v="6"/>
    <n v="6.1103253182501351"/>
    <n v="13464"/>
    <n v="125221"/>
    <n v="3"/>
    <n v="3.0551626591250676"/>
    <n v="5789"/>
    <n v="9"/>
    <n v="19253"/>
    <n v="0.38189533239063345"/>
    <n v="9.1654879773752018"/>
    <n v="3345.4031117419486"/>
    <n v="1.4783787208065713"/>
    <n v="35.481089299357706"/>
    <n v="12950.597594265562"/>
  </r>
  <r>
    <d v="2022-06-14T07:43:00"/>
    <x v="2"/>
    <s v=""/>
    <x v="6"/>
    <x v="22"/>
    <x v="3"/>
    <s v="6/2022"/>
    <s v="14/6/2022"/>
    <d v="1899-12-30T23:40:00"/>
    <n v="0.98611111110949423"/>
    <d v="1901-06-26T14:43:00"/>
    <n v="543.61319444444234"/>
    <m/>
    <m/>
    <n v="0"/>
    <n v="193228"/>
    <n v="5"/>
    <n v="5.0704225352195813"/>
    <n v="13469"/>
    <n v="125224"/>
    <n v="3"/>
    <n v="3.042253521131749"/>
    <n v="5792"/>
    <n v="8"/>
    <n v="19261"/>
    <n v="0.33802816901463878"/>
    <n v="8.1126760563513294"/>
    <n v="2961.1267605682351"/>
    <n v="1.4763101316678711"/>
    <n v="35.431443160028905"/>
    <n v="12932.47675341055"/>
  </r>
  <r>
    <d v="2022-06-15T07:07:00"/>
    <x v="2"/>
    <s v=""/>
    <x v="6"/>
    <x v="23"/>
    <x v="4"/>
    <s v="6/2022"/>
    <s v="15/6/2022"/>
    <d v="1899-12-30T23:24:00"/>
    <n v="0.97499999999854481"/>
    <d v="1901-06-27T14:07:00"/>
    <n v="544.58819444444089"/>
    <m/>
    <m/>
    <n v="0"/>
    <n v="193235"/>
    <n v="7"/>
    <n v="7.1794871794978947"/>
    <n v="13476"/>
    <n v="125228"/>
    <n v="4"/>
    <n v="4.1025641025702253"/>
    <n v="5796"/>
    <n v="11"/>
    <n v="19272"/>
    <n v="0.47008547008617169"/>
    <n v="11.282051282068121"/>
    <n v="4117.9487179548642"/>
    <n v="1.4745086437637098"/>
    <n v="35.388207450329034"/>
    <n v="12916.695719370098"/>
  </r>
  <r>
    <d v="2022-06-16T07:44:00"/>
    <x v="2"/>
    <s v=""/>
    <x v="6"/>
    <x v="24"/>
    <x v="0"/>
    <s v="6/2022"/>
    <s v="16/6/2022"/>
    <d v="1899-12-31T00:37:00"/>
    <n v="1.0256944444481633"/>
    <d v="1901-06-28T14:44:00"/>
    <n v="545.61388888888905"/>
    <m/>
    <m/>
    <n v="0"/>
    <n v="193247"/>
    <n v="12"/>
    <n v="11.699390656694209"/>
    <n v="13488"/>
    <n v="125232"/>
    <n v="4"/>
    <n v="3.8997968855647369"/>
    <n v="5800"/>
    <n v="16"/>
    <n v="19288"/>
    <n v="0.64996614759412275"/>
    <n v="15.599187542258948"/>
    <n v="5693.7034529245157"/>
    <n v="1.4729585940403516"/>
    <n v="35.351006256968439"/>
    <n v="12903.117283793481"/>
  </r>
  <r>
    <d v="2022-06-17T07:34:00"/>
    <x v="2"/>
    <s v=""/>
    <x v="6"/>
    <x v="0"/>
    <x v="5"/>
    <s v="6/2022"/>
    <s v="17/6/2022"/>
    <d v="1899-12-30T23:50:00"/>
    <n v="0.99305555555474712"/>
    <d v="1901-06-29T14:34:00"/>
    <n v="546.6069444444438"/>
    <m/>
    <m/>
    <n v="0"/>
    <n v="193257"/>
    <n v="10"/>
    <n v="10.069930069938268"/>
    <n v="13498"/>
    <n v="125237"/>
    <n v="5"/>
    <n v="5.0349650349691339"/>
    <n v="5805"/>
    <n v="15"/>
    <n v="19303"/>
    <n v="0.62937062937114174"/>
    <n v="15.104895104907401"/>
    <n v="5513.2867132912015"/>
    <n v="1.4714259942016041"/>
    <n v="35.314223860838496"/>
    <n v="12889.69170920605"/>
  </r>
  <r>
    <d v="2022-06-18T08:39:00"/>
    <x v="2"/>
    <s v=""/>
    <x v="6"/>
    <x v="25"/>
    <x v="6"/>
    <s v="6/2022"/>
    <s v="18/6/2022"/>
    <d v="1899-12-31T01:05:00"/>
    <n v="1.0451388888905058"/>
    <d v="1901-06-30T15:39:00"/>
    <n v="547.6520833333343"/>
    <m/>
    <m/>
    <n v="0"/>
    <n v="193268"/>
    <n v="11"/>
    <n v="10.524916943505312"/>
    <n v="13509"/>
    <n v="125240"/>
    <n v="3"/>
    <n v="2.8704318936832669"/>
    <n v="5808"/>
    <n v="14"/>
    <n v="19317"/>
    <n v="0.5581395348828575"/>
    <n v="13.395348837188578"/>
    <n v="4889.3023255738308"/>
    <n v="1.4696830789012159"/>
    <n v="35.272393893629179"/>
    <n v="12874.42377117465"/>
  </r>
  <r>
    <d v="2022-06-19T09:01:00"/>
    <x v="2"/>
    <s v=""/>
    <x v="6"/>
    <x v="26"/>
    <x v="1"/>
    <s v="6/2022"/>
    <s v="19/6/2022"/>
    <d v="1899-12-31T00:22:00"/>
    <n v="1.015277777776646"/>
    <d v="1901-07-01T16:01:00"/>
    <n v="548.66736111111095"/>
    <m/>
    <m/>
    <n v="0"/>
    <n v="193274"/>
    <n v="6"/>
    <n v="5.9097127223048096"/>
    <n v="13515"/>
    <n v="125244"/>
    <n v="4"/>
    <n v="3.9398084815365397"/>
    <n v="5812"/>
    <n v="10"/>
    <n v="19327"/>
    <n v="0.41039671682672291"/>
    <n v="9.8495212038413502"/>
    <n v="3595.0752394020928"/>
    <n v="1.4677229296742997"/>
    <n v="35.225350312183188"/>
    <n v="12857.252863946864"/>
  </r>
  <r>
    <d v="2022-06-20T07:32:00"/>
    <x v="2"/>
    <s v=""/>
    <x v="6"/>
    <x v="27"/>
    <x v="2"/>
    <s v="6/2022"/>
    <s v="20/6/2022"/>
    <d v="1899-12-30T22:31:00"/>
    <n v="0.93819444443943212"/>
    <d v="1901-07-02T14:32:00"/>
    <n v="549.60555555555038"/>
    <m/>
    <m/>
    <n v="0"/>
    <n v="193281"/>
    <n v="7"/>
    <n v="7.4611398964129183"/>
    <n v="13522"/>
    <n v="125247"/>
    <n v="3"/>
    <n v="3.1976313841769648"/>
    <n v="5815"/>
    <n v="10"/>
    <n v="19337"/>
    <n v="0.44411547002457846"/>
    <n v="10.658771280589884"/>
    <n v="3890.4515174153075"/>
    <n v="1.4659755986616803"/>
    <n v="35.183414367880324"/>
    <n v="12841.946244276318"/>
  </r>
  <r>
    <d v="2022-06-21T07:23:00"/>
    <x v="2"/>
    <s v=""/>
    <x v="6"/>
    <x v="28"/>
    <x v="3"/>
    <s v="6/2022"/>
    <s v="21/6/2022"/>
    <d v="1899-12-30T23:51:00"/>
    <n v="0.99375000000145519"/>
    <d v="1901-07-03T14:23:00"/>
    <n v="550.59930555555184"/>
    <m/>
    <m/>
    <n v="0"/>
    <n v="193287"/>
    <n v="6"/>
    <n v="6.0377358490477624"/>
    <n v="13528"/>
    <n v="125250"/>
    <n v="3"/>
    <n v="3.0188679245238812"/>
    <n v="5818"/>
    <n v="9"/>
    <n v="19346"/>
    <n v="0.37735849056548515"/>
    <n v="9.0566037735716431"/>
    <n v="3305.6603773536499"/>
    <n v="1.4640108064066653"/>
    <n v="35.136259353759968"/>
    <n v="12824.734664122388"/>
  </r>
  <r>
    <d v="2022-06-22T07:29:00"/>
    <x v="2"/>
    <s v=""/>
    <x v="6"/>
    <x v="29"/>
    <x v="4"/>
    <s v="6/2022"/>
    <s v="22/6/2022"/>
    <d v="1899-12-31T00:06:00"/>
    <n v="1.0041666666656965"/>
    <d v="1901-07-04T14:29:00"/>
    <n v="551.60347222221753"/>
    <m/>
    <m/>
    <n v="0"/>
    <n v="193293"/>
    <n v="6"/>
    <n v="5.9751037344456064"/>
    <n v="13534"/>
    <n v="125253"/>
    <n v="3"/>
    <n v="2.9875518672228032"/>
    <n v="5821"/>
    <n v="9"/>
    <n v="19355"/>
    <n v="0.3734439834028504"/>
    <n v="8.9626556016684091"/>
    <n v="3271.3692946089695"/>
    <n v="1.46202548378529"/>
    <n v="35.088611610846961"/>
    <n v="12807.343237959141"/>
  </r>
  <r>
    <d v="2022-06-23T07:31:00"/>
    <x v="2"/>
    <s v=""/>
    <x v="6"/>
    <x v="30"/>
    <x v="0"/>
    <s v="6/2022"/>
    <s v="23/6/2022"/>
    <d v="1899-12-31T00:02:00"/>
    <n v="1.0013888888934162"/>
    <d v="1901-07-05T14:31:00"/>
    <n v="552.60486111111095"/>
    <m/>
    <m/>
    <n v="0"/>
    <n v="193302"/>
    <n v="9"/>
    <n v="8.9875173369912673"/>
    <n v="13543"/>
    <n v="125257"/>
    <n v="4"/>
    <n v="3.9944521497738967"/>
    <n v="5825"/>
    <n v="13"/>
    <n v="19368"/>
    <n v="0.54091539528188182"/>
    <n v="12.981969486765164"/>
    <n v="4738.4188626692849"/>
    <n v="1.4603563174912759"/>
    <n v="35.048551619790622"/>
    <n v="12792.721341223578"/>
  </r>
  <r>
    <d v="2022-06-24T07:44:00"/>
    <x v="2"/>
    <s v=""/>
    <x v="6"/>
    <x v="1"/>
    <x v="5"/>
    <s v="6/2022"/>
    <s v="24/6/2022"/>
    <d v="1899-12-31T00:13:00"/>
    <n v="1.0090277777781012"/>
    <d v="1901-07-06T14:44:00"/>
    <n v="553.61388888888905"/>
    <m/>
    <m/>
    <n v="0"/>
    <n v="193308"/>
    <n v="6"/>
    <n v="5.9463179628336071"/>
    <n v="13549"/>
    <n v="125260"/>
    <n v="3"/>
    <n v="2.9731589814168036"/>
    <n v="5828"/>
    <n v="9"/>
    <n v="19377"/>
    <n v="0.37164487267710045"/>
    <n v="8.9194769442504107"/>
    <n v="3255.6090846513998"/>
    <n v="1.4583720101755631"/>
    <n v="35.000928244213519"/>
    <n v="12775.338809137935"/>
  </r>
  <r>
    <d v="2022-06-25T09:21:00"/>
    <x v="2"/>
    <s v=""/>
    <x v="6"/>
    <x v="2"/>
    <x v="6"/>
    <s v="6/2022"/>
    <s v="25/6/2022"/>
    <d v="1899-12-31T01:37:00"/>
    <n v="1.0673611111051287"/>
    <d v="1901-07-07T16:21:00"/>
    <n v="554.68124999999418"/>
    <m/>
    <m/>
    <n v="0"/>
    <n v="193314"/>
    <n v="6"/>
    <n v="5.6213402732911035"/>
    <n v="13555"/>
    <n v="125262"/>
    <n v="2"/>
    <n v="1.8737800910970346"/>
    <n v="5830"/>
    <n v="8"/>
    <n v="19385"/>
    <n v="0.31229668184950576"/>
    <n v="7.4951203643881383"/>
    <n v="2735.7189330016704"/>
    <n v="1.4561666422532613"/>
    <n v="34.947999414078275"/>
    <n v="12756.01978613857"/>
  </r>
  <r>
    <d v="2022-06-26T09:48:00"/>
    <x v="2"/>
    <s v=""/>
    <x v="6"/>
    <x v="3"/>
    <x v="1"/>
    <s v="6/2022"/>
    <s v="26/6/2022"/>
    <d v="1899-12-31T00:27:00"/>
    <n v="1.0187500000029104"/>
    <d v="1901-07-08T16:48:00"/>
    <n v="555.69999999999709"/>
    <m/>
    <m/>
    <n v="0"/>
    <n v="193322"/>
    <n v="8"/>
    <n v="7.8527607361738854"/>
    <n v="13563"/>
    <n v="125265"/>
    <n v="3"/>
    <n v="2.9447852760652071"/>
    <n v="5833"/>
    <n v="11"/>
    <n v="19396"/>
    <n v="0.44989775050996217"/>
    <n v="10.797546012239092"/>
    <n v="3941.1042944672686"/>
    <n v="1.4543218763121664"/>
    <n v="34.903725031491994"/>
    <n v="12739.859636494579"/>
  </r>
  <r>
    <d v="2022-06-27T07:42:00"/>
    <x v="2"/>
    <s v=""/>
    <x v="6"/>
    <x v="4"/>
    <x v="2"/>
    <s v="6/2022"/>
    <s v="27/6/2022"/>
    <d v="1899-12-30T21:54:00"/>
    <n v="0.91249999999854481"/>
    <d v="1901-07-09T14:42:00"/>
    <n v="556.61249999999563"/>
    <m/>
    <m/>
    <n v="0"/>
    <n v="193329"/>
    <n v="7"/>
    <n v="7.6712328767245621"/>
    <n v="13570"/>
    <n v="125267"/>
    <n v="2"/>
    <n v="2.1917808219213035"/>
    <n v="5835"/>
    <n v="9"/>
    <n v="19405"/>
    <n v="0.41095890411024438"/>
    <n v="9.8630136986458652"/>
    <n v="3600.0000000057407"/>
    <n v="1.4526114067985771"/>
    <n v="34.862673763165851"/>
    <n v="12724.875923555535"/>
  </r>
  <r>
    <d v="2022-06-28T07:31:00"/>
    <x v="2"/>
    <s v=""/>
    <x v="6"/>
    <x v="5"/>
    <x v="3"/>
    <s v="6/2022"/>
    <s v="28/6/2022"/>
    <d v="1899-12-30T23:49:00"/>
    <n v="0.992361111115315"/>
    <d v="1901-07-10T14:31:00"/>
    <n v="557.60486111111095"/>
    <m/>
    <m/>
    <n v="0"/>
    <n v="193336"/>
    <n v="7"/>
    <n v="7.0538838348196631"/>
    <n v="13577"/>
    <n v="125269"/>
    <n v="2"/>
    <n v="2.0153953813770467"/>
    <n v="5837"/>
    <n v="9"/>
    <n v="19414"/>
    <n v="0.37788663400819622"/>
    <n v="9.0692792161967102"/>
    <n v="3310.2869139117993"/>
    <n v="1.4506987350411176"/>
    <n v="34.81676964098682"/>
    <n v="12708.120918960189"/>
  </r>
  <r>
    <d v="2022-06-29T08:25:00"/>
    <x v="2"/>
    <s v=""/>
    <x v="6"/>
    <x v="6"/>
    <x v="4"/>
    <s v="6/2022"/>
    <s v="29/6/2022"/>
    <d v="1899-12-31T00:54:00"/>
    <n v="1.0374999999985448"/>
    <d v="1901-07-11T15:25:00"/>
    <n v="558.64236111110949"/>
    <m/>
    <m/>
    <n v="0"/>
    <n v="193341"/>
    <n v="5"/>
    <n v="4.8192771084404944"/>
    <n v="13582"/>
    <n v="125271"/>
    <n v="2"/>
    <n v="1.9277108433761978"/>
    <n v="5839"/>
    <n v="7"/>
    <n v="19421"/>
    <n v="0.28112449799236217"/>
    <n v="6.746987951816692"/>
    <n v="2462.6506024130927"/>
    <n v="1.448526623945706"/>
    <n v="34.764638974696943"/>
    <n v="12689.093225764384"/>
  </r>
  <r>
    <d v="2022-06-30T07:46:00"/>
    <x v="2"/>
    <s v=""/>
    <x v="6"/>
    <x v="7"/>
    <x v="0"/>
    <s v="6/2022"/>
    <s v="30/6/2022"/>
    <d v="1899-12-30T23:21:00"/>
    <n v="0.97291666666569654"/>
    <d v="1901-07-12T14:46:00"/>
    <n v="559.61527777777519"/>
    <m/>
    <m/>
    <n v="0"/>
    <n v="193351"/>
    <n v="10"/>
    <n v="10.278372591016673"/>
    <n v="13592"/>
    <n v="125272"/>
    <n v="1"/>
    <n v="1.0278372591016673"/>
    <n v="5840"/>
    <n v="11"/>
    <n v="19432"/>
    <n v="0.47109207708826417"/>
    <n v="11.306209850118341"/>
    <n v="4126.7665952931948"/>
    <n v="1.4468273094363009"/>
    <n v="34.723855426471225"/>
    <n v="12674.207230661998"/>
  </r>
  <r>
    <d v="2022-07-01T08:04:00"/>
    <x v="2"/>
    <s v=""/>
    <x v="7"/>
    <x v="9"/>
    <x v="5"/>
    <s v="7/2022"/>
    <s v="1/7/2022"/>
    <d v="1899-12-31T00:18:00"/>
    <n v="1.0124999999970896"/>
    <d v="1901-07-13T15:04:00"/>
    <n v="560.62777777777228"/>
    <m/>
    <m/>
    <n v="0"/>
    <n v="193358"/>
    <n v="7"/>
    <n v="6.9135802469334529"/>
    <n v="13599"/>
    <n v="125274"/>
    <n v="2"/>
    <n v="1.9753086419809867"/>
    <n v="5842"/>
    <n v="9"/>
    <n v="19441"/>
    <n v="0.370370370371435"/>
    <n v="8.8888888889144404"/>
    <n v="3244.4444444537708"/>
    <n v="1.4448832162357816"/>
    <n v="34.677197189658756"/>
    <n v="12657.176974225446"/>
  </r>
  <r>
    <d v="2022-07-03T09:14:00"/>
    <x v="2"/>
    <s v=""/>
    <x v="7"/>
    <x v="11"/>
    <x v="1"/>
    <s v="7/2022"/>
    <s v="3/7/2022"/>
    <d v="1900-01-01T01:10:00"/>
    <n v="2.0486111111167702"/>
    <d v="1901-07-15T16:14:00"/>
    <n v="562.67638888888905"/>
    <m/>
    <m/>
    <n v="0"/>
    <n v="193373"/>
    <n v="15"/>
    <n v="7.3220338982848583"/>
    <n v="13614"/>
    <n v="125278"/>
    <n v="4"/>
    <n v="1.9525423728759623"/>
    <n v="5846"/>
    <n v="19"/>
    <n v="19460"/>
    <n v="0.38644067796503417"/>
    <n v="9.2745762711608197"/>
    <n v="3385.2203389736992"/>
    <n v="1.441029603062743"/>
    <n v="34.584710473505829"/>
    <n v="12623.419322829628"/>
  </r>
  <r>
    <d v="2022-07-04T07:39:00"/>
    <x v="2"/>
    <s v=""/>
    <x v="7"/>
    <x v="12"/>
    <x v="2"/>
    <s v="7/2022"/>
    <s v="4/7/2022"/>
    <d v="1899-12-30T22:25:00"/>
    <n v="0.93402777777373558"/>
    <d v="1901-07-16T14:39:00"/>
    <n v="563.61041666666279"/>
    <m/>
    <m/>
    <n v="0"/>
    <n v="193379"/>
    <n v="6"/>
    <n v="6.4237918215891385"/>
    <n v="13620"/>
    <n v="125280"/>
    <n v="2"/>
    <n v="2.1412639405297127"/>
    <n v="5848"/>
    <n v="8"/>
    <n v="19468"/>
    <n v="0.35687732342161882"/>
    <n v="8.5650557621188508"/>
    <n v="3126.2453531733804"/>
    <n v="1.4392329216768478"/>
    <n v="34.541590120244351"/>
    <n v="12607.680393889188"/>
  </r>
  <r>
    <d v="2022-07-05T07:11:00"/>
    <x v="2"/>
    <s v=""/>
    <x v="7"/>
    <x v="13"/>
    <x v="3"/>
    <s v="7/2022"/>
    <s v="5/7/2022"/>
    <d v="1899-12-30T23:32:00"/>
    <n v="0.9805555555576575"/>
    <d v="1901-07-17T14:11:00"/>
    <n v="564.59097222222044"/>
    <m/>
    <m/>
    <n v="0"/>
    <n v="193385"/>
    <n v="6"/>
    <n v="6.1189801699585544"/>
    <n v="13626"/>
    <n v="125282"/>
    <n v="2"/>
    <n v="2.0396600566528513"/>
    <n v="5850"/>
    <n v="8"/>
    <n v="19476"/>
    <n v="0.33994334277547528"/>
    <n v="8.1586402266114053"/>
    <n v="2977.9036827131631"/>
    <n v="1.4373237262472509"/>
    <n v="34.495769429934022"/>
    <n v="12590.955841925917"/>
  </r>
  <r>
    <d v="2022-07-06T08:13:00"/>
    <x v="2"/>
    <s v=""/>
    <x v="7"/>
    <x v="14"/>
    <x v="4"/>
    <s v="7/2022"/>
    <s v="6/7/2022"/>
    <d v="1899-12-31T01:02:00"/>
    <n v="1.0430555555576575"/>
    <d v="1901-07-18T15:13:00"/>
    <n v="565.6340277777781"/>
    <m/>
    <m/>
    <n v="0"/>
    <n v="193391"/>
    <n v="6"/>
    <n v="5.752330226353255"/>
    <n v="13632"/>
    <n v="125284"/>
    <n v="2"/>
    <n v="1.9174434087844183"/>
    <n v="5852"/>
    <n v="8"/>
    <n v="19484"/>
    <n v="0.31957390146406972"/>
    <n v="7.6697736351376733"/>
    <n v="2799.4673768252505"/>
    <n v="1.4352625433848194"/>
    <n v="34.446301041235664"/>
    <n v="12572.899880051018"/>
  </r>
  <r>
    <d v="2022-07-07T07:33:00"/>
    <x v="2"/>
    <s v=""/>
    <x v="7"/>
    <x v="15"/>
    <x v="0"/>
    <s v="7/2022"/>
    <s v="7/7/2022"/>
    <d v="1899-12-30T23:20:00"/>
    <n v="0.97222222221898846"/>
    <d v="1901-07-19T14:33:00"/>
    <n v="566.60624999999709"/>
    <m/>
    <m/>
    <n v="0"/>
    <n v="193400"/>
    <n v="9"/>
    <n v="9.2571428571736476"/>
    <n v="13641"/>
    <n v="125286"/>
    <n v="2"/>
    <n v="2.0571428571496995"/>
    <n v="5854"/>
    <n v="11"/>
    <n v="19495"/>
    <n v="0.4714285714301395"/>
    <n v="11.314285714323347"/>
    <n v="4129.7142857280214"/>
    <n v="1.4336087303425806"/>
    <n v="34.406609528221935"/>
    <n v="12558.412477801006"/>
  </r>
  <r>
    <d v="2022-07-08T08:14:00"/>
    <x v="2"/>
    <s v=""/>
    <x v="7"/>
    <x v="16"/>
    <x v="5"/>
    <s v="7/2022"/>
    <s v="8/7/2022"/>
    <d v="1899-12-31T00:41:00"/>
    <n v="1.0284722222204437"/>
    <d v="1901-07-20T15:14:00"/>
    <n v="567.63472222221753"/>
    <m/>
    <m/>
    <n v="0"/>
    <n v="193406"/>
    <n v="6"/>
    <n v="5.8338960162153555"/>
    <n v="13647"/>
    <n v="125288"/>
    <n v="2"/>
    <n v="1.9446320054051185"/>
    <n v="5856"/>
    <n v="8"/>
    <n v="19503"/>
    <n v="0.32410533423418642"/>
    <n v="7.778528021620474"/>
    <n v="2839.162727891473"/>
    <n v="1.4315984702603759"/>
    <n v="34.358363286249023"/>
    <n v="12540.802599480894"/>
  </r>
  <r>
    <d v="2022-07-09T10:56:00"/>
    <x v="2"/>
    <s v=""/>
    <x v="7"/>
    <x v="17"/>
    <x v="6"/>
    <s v="7/2022"/>
    <s v="9/7/2022"/>
    <d v="1899-12-31T02:42:00"/>
    <n v="1.1125000000029104"/>
    <d v="1901-07-21T17:56:00"/>
    <n v="568.74722222222044"/>
    <m/>
    <m/>
    <n v="0"/>
    <n v="193414"/>
    <n v="8"/>
    <n v="7.1910112359362444"/>
    <n v="13655"/>
    <n v="125291"/>
    <n v="3"/>
    <n v="2.6966292134760916"/>
    <n v="5859"/>
    <n v="11"/>
    <n v="19514"/>
    <n v="0.41198501872551396"/>
    <n v="9.887640449412336"/>
    <n v="3608.9887640355028"/>
    <n v="1.4296040517902453"/>
    <n v="34.310497242965887"/>
    <n v="12523.331493682548"/>
  </r>
  <r>
    <d v="2022-07-10T11:10:00"/>
    <x v="2"/>
    <s v=""/>
    <x v="7"/>
    <x v="18"/>
    <x v="1"/>
    <s v="7/2022"/>
    <s v="10/7/2022"/>
    <d v="1899-12-31T00:14:00"/>
    <n v="1.0097222222248092"/>
    <d v="1901-07-22T18:10:00"/>
    <n v="569.75694444444525"/>
    <m/>
    <m/>
    <n v="0"/>
    <n v="193423"/>
    <n v="9"/>
    <n v="8.9133425034159526"/>
    <n v="13664"/>
    <n v="125293"/>
    <n v="2"/>
    <n v="1.9807427785368783"/>
    <n v="5861"/>
    <n v="11"/>
    <n v="19525"/>
    <n v="0.45392022008136795"/>
    <n v="10.894085281952831"/>
    <n v="3976.3411279127836"/>
    <n v="1.4278749466756029"/>
    <n v="34.268998720214469"/>
    <n v="12508.184532878282"/>
  </r>
  <r>
    <d v="2022-07-11T07:33:00"/>
    <x v="2"/>
    <s v=""/>
    <x v="7"/>
    <x v="19"/>
    <x v="2"/>
    <s v="7/2022"/>
    <s v="11/7/2022"/>
    <d v="1899-12-30T20:23:00"/>
    <n v="0.84930555555183673"/>
    <d v="1901-07-23T14:33:00"/>
    <n v="570.60624999999709"/>
    <m/>
    <m/>
    <n v="0"/>
    <n v="193426"/>
    <n v="3"/>
    <n v="3.532297628797151"/>
    <n v="13667"/>
    <n v="125295"/>
    <n v="2"/>
    <n v="2.3548650858647675"/>
    <n v="5863"/>
    <n v="5"/>
    <n v="19530"/>
    <n v="0.24529844644424662"/>
    <n v="5.887162714661919"/>
    <n v="2148.8143908516004"/>
    <n v="1.4261147682837405"/>
    <n v="34.226754438809778"/>
    <n v="12492.765370165569"/>
  </r>
  <r>
    <d v="2022-07-12T07:41:00"/>
    <x v="2"/>
    <s v=""/>
    <x v="7"/>
    <x v="20"/>
    <x v="3"/>
    <s v="7/2022"/>
    <s v="12/7/2022"/>
    <d v="1899-12-31T00:08:00"/>
    <n v="1.0055555555591127"/>
    <d v="1901-07-24T14:41:00"/>
    <n v="571.6118055555562"/>
    <m/>
    <m/>
    <n v="0"/>
    <n v="193434"/>
    <n v="8"/>
    <n v="7.9558011049442321"/>
    <n v="13675"/>
    <n v="125297"/>
    <n v="2"/>
    <n v="1.988950276236058"/>
    <n v="5865"/>
    <n v="10"/>
    <n v="19540"/>
    <n v="0.41436464088251207"/>
    <n v="9.944751381180291"/>
    <n v="3629.8342541308061"/>
    <n v="1.4243349398205107"/>
    <n v="34.184038555692261"/>
    <n v="12477.174072827675"/>
  </r>
  <r>
    <d v="2022-07-13T07:29:00"/>
    <x v="2"/>
    <s v=""/>
    <x v="7"/>
    <x v="21"/>
    <x v="4"/>
    <s v="7/2022"/>
    <s v="13/7/2022"/>
    <d v="1899-12-30T23:48:00"/>
    <n v="0.99166666666133096"/>
    <d v="1901-07-25T14:29:00"/>
    <n v="572.60347222221753"/>
    <m/>
    <m/>
    <n v="0"/>
    <n v="193441"/>
    <n v="7"/>
    <n v="7.0588235294497448"/>
    <n v="13682"/>
    <n v="125301"/>
    <n v="4"/>
    <n v="4.0336134453998547"/>
    <n v="5869"/>
    <n v="11"/>
    <n v="19551"/>
    <n v="0.46218487395206664"/>
    <n v="11.092436974849599"/>
    <n v="4048.7394958201039"/>
    <n v="1.4226686346111748"/>
    <n v="34.1440472306682"/>
    <n v="12462.577239193894"/>
  </r>
  <r>
    <d v="2022-07-14T08:20:00"/>
    <x v="2"/>
    <s v=""/>
    <x v="7"/>
    <x v="22"/>
    <x v="0"/>
    <s v="7/2022"/>
    <s v="14/7/2022"/>
    <d v="1899-12-31T00:51:00"/>
    <n v="1.0354166666656965"/>
    <d v="1901-07-26T15:20:00"/>
    <n v="573.63888888888323"/>
    <m/>
    <m/>
    <n v="0"/>
    <n v="193450"/>
    <n v="9"/>
    <n v="8.6921529175131749"/>
    <n v="13691"/>
    <n v="125303"/>
    <n v="2"/>
    <n v="1.9315895372251499"/>
    <n v="5871"/>
    <n v="11"/>
    <n v="19562"/>
    <n v="0.44265593561409683"/>
    <n v="10.623742454738323"/>
    <n v="3877.6659959794879"/>
    <n v="1.4208997142995636"/>
    <n v="34.101593143189525"/>
    <n v="12447.081497264177"/>
  </r>
  <r>
    <d v="2022-07-15T07:38:00"/>
    <x v="2"/>
    <s v=""/>
    <x v="7"/>
    <x v="23"/>
    <x v="5"/>
    <s v="7/2022"/>
    <s v="15/7/2022"/>
    <d v="1899-12-30T23:18:00"/>
    <n v="0.97083333334012423"/>
    <d v="1901-07-27T14:38:00"/>
    <n v="574.60972222222335"/>
    <m/>
    <m/>
    <n v="0"/>
    <n v="193453"/>
    <n v="3"/>
    <n v="3.0901287553431915"/>
    <n v="13694"/>
    <n v="125305"/>
    <n v="2"/>
    <n v="2.0600858368954613"/>
    <n v="5873"/>
    <n v="5"/>
    <n v="19567"/>
    <n v="0.21459227467661054"/>
    <n v="5.1502145922386529"/>
    <n v="1879.8283261671083"/>
    <n v="1.4188615944638725"/>
    <n v="34.05267826713294"/>
    <n v="12429.227567503523"/>
  </r>
  <r>
    <d v="2022-07-16T10:13:00"/>
    <x v="2"/>
    <s v=""/>
    <x v="7"/>
    <x v="24"/>
    <x v="6"/>
    <s v="7/2022"/>
    <s v="16/7/2022"/>
    <d v="1899-12-31T02:35:00"/>
    <n v="1.1076388888832298"/>
    <d v="1901-07-28T17:13:00"/>
    <n v="575.71736111110658"/>
    <m/>
    <m/>
    <n v="0"/>
    <n v="193462"/>
    <n v="9"/>
    <n v="8.1253918495712938"/>
    <n v="13703"/>
    <n v="125308"/>
    <n v="3"/>
    <n v="2.7084639498570979"/>
    <n v="5876"/>
    <n v="12"/>
    <n v="19579"/>
    <n v="0.45141065830951638"/>
    <n v="10.833855799428392"/>
    <n v="3954.3573667913629"/>
    <n v="1.4170002882876909"/>
    <n v="34.008006918904584"/>
    <n v="12412.922525400174"/>
  </r>
  <r>
    <d v="2022-07-17T11:02:00"/>
    <x v="2"/>
    <s v=""/>
    <x v="7"/>
    <x v="0"/>
    <x v="1"/>
    <s v="7/2022"/>
    <s v="17/7/2022"/>
    <d v="1899-12-31T00:49:00"/>
    <n v="1.0340277777795563"/>
    <d v="1901-07-29T18:02:00"/>
    <n v="576.75138888888614"/>
    <m/>
    <m/>
    <n v="0"/>
    <n v="193468"/>
    <n v="6"/>
    <n v="5.8025520483446194"/>
    <n v="13709"/>
    <n v="125310"/>
    <n v="2"/>
    <n v="1.9341840161148733"/>
    <n v="5878"/>
    <n v="8"/>
    <n v="19587"/>
    <n v="0.32236400268581222"/>
    <n v="7.7367360644594934"/>
    <n v="2823.9086635277149"/>
    <n v="1.4150377714256883"/>
    <n v="33.960906514216525"/>
    <n v="12395.730877689031"/>
  </r>
  <r>
    <d v="2022-07-18T09:02:00"/>
    <x v="2"/>
    <s v=""/>
    <x v="7"/>
    <x v="25"/>
    <x v="2"/>
    <s v="7/2022"/>
    <s v="18/7/2022"/>
    <d v="1899-12-30T22:00:00"/>
    <n v="0.91666666666424135"/>
    <d v="1901-07-30T16:02:00"/>
    <n v="577.66805555555038"/>
    <m/>
    <m/>
    <n v="0"/>
    <n v="193476"/>
    <n v="8"/>
    <n v="8.7272727272958175"/>
    <n v="13717"/>
    <n v="125312"/>
    <n v="2"/>
    <n v="2.1818181818239544"/>
    <n v="5880"/>
    <n v="10"/>
    <n v="19597"/>
    <n v="0.45454545454665718"/>
    <n v="10.909090909119772"/>
    <n v="3981.8181818287171"/>
    <n v="1.4135136239814898"/>
    <n v="33.924326975555758"/>
    <n v="12382.379346077852"/>
  </r>
  <r>
    <d v="2022-07-19T08:47:00"/>
    <x v="2"/>
    <s v=""/>
    <x v="7"/>
    <x v="26"/>
    <x v="3"/>
    <s v="7/2022"/>
    <s v="19/7/2022"/>
    <d v="1899-12-30T23:45:00"/>
    <n v="0.98958333333575865"/>
    <d v="1901-07-31T15:47:00"/>
    <n v="578.65763888888614"/>
    <m/>
    <m/>
    <n v="0"/>
    <n v="193482"/>
    <n v="6"/>
    <n v="6.0631578947219822"/>
    <n v="13723"/>
    <n v="125315"/>
    <n v="3"/>
    <n v="3.0315789473609911"/>
    <n v="5883"/>
    <n v="9"/>
    <n v="19606"/>
    <n v="0.37894736842012389"/>
    <n v="9.0947368420829733"/>
    <n v="3319.5789473602854"/>
    <n v="1.4117443748522449"/>
    <n v="33.881864996453878"/>
    <n v="12366.880723705666"/>
  </r>
  <r>
    <d v="2022-07-20T07:51:00"/>
    <x v="2"/>
    <s v=""/>
    <x v="7"/>
    <x v="27"/>
    <x v="4"/>
    <s v="7/2022"/>
    <s v="20/7/2022"/>
    <d v="1899-12-30T23:04:00"/>
    <n v="0.96111111110803904"/>
    <d v="1901-08-01T14:51:00"/>
    <n v="579.61874999999418"/>
    <m/>
    <m/>
    <n v="0"/>
    <n v="193490"/>
    <n v="8"/>
    <n v="8.3236994219919236"/>
    <n v="13731"/>
    <n v="125316"/>
    <n v="1"/>
    <n v="1.0404624277489904"/>
    <n v="5884"/>
    <n v="9"/>
    <n v="19615"/>
    <n v="0.39017341040587139"/>
    <n v="9.3641618497409134"/>
    <n v="3417.9190751554333"/>
    <n v="1.410050428262845"/>
    <n v="33.841210278308282"/>
    <n v="12352.041751582523"/>
  </r>
  <r>
    <d v="2022-07-21T08:20:00"/>
    <x v="2"/>
    <s v=""/>
    <x v="7"/>
    <x v="28"/>
    <x v="0"/>
    <s v="7/2022"/>
    <s v="21/7/2022"/>
    <d v="1899-12-31T00:29:00"/>
    <n v="1.0201388888890506"/>
    <d v="1901-08-02T15:20:00"/>
    <n v="580.63888888888323"/>
    <m/>
    <m/>
    <n v="0"/>
    <n v="193496"/>
    <n v="6"/>
    <n v="5.8815520762414097"/>
    <n v="13737"/>
    <n v="125318"/>
    <n v="2"/>
    <n v="1.9605173587471365"/>
    <n v="5886"/>
    <n v="8"/>
    <n v="19623"/>
    <n v="0.32675289312452277"/>
    <n v="7.842069434988546"/>
    <n v="2862.3553437708192"/>
    <n v="1.4081471559106487"/>
    <n v="33.795531741855562"/>
    <n v="12335.36908577728"/>
  </r>
  <r>
    <d v="2022-07-22T07:55:00"/>
    <x v="2"/>
    <s v=""/>
    <x v="7"/>
    <x v="29"/>
    <x v="5"/>
    <s v="7/2022"/>
    <s v="22/7/2022"/>
    <d v="1899-12-30T23:35:00"/>
    <n v="0.98263888889050577"/>
    <d v="1901-08-03T14:55:00"/>
    <n v="581.62152777777374"/>
    <m/>
    <m/>
    <n v="0"/>
    <n v="193504"/>
    <n v="8"/>
    <n v="8.1413427561703493"/>
    <n v="13745"/>
    <n v="125320"/>
    <n v="2"/>
    <n v="2.0353356890425873"/>
    <n v="5888"/>
    <n v="10"/>
    <n v="19633"/>
    <n v="0.42402826855053904"/>
    <n v="10.176678445212938"/>
    <n v="3714.4876325027221"/>
    <n v="1.4064845051251686"/>
    <n v="33.755628123004051"/>
    <n v="12320.804264896478"/>
  </r>
  <r>
    <d v="2022-07-23T03:28:00"/>
    <x v="2"/>
    <s v=""/>
    <x v="7"/>
    <x v="30"/>
    <x v="6"/>
    <s v="7/2022"/>
    <s v="23/7/2022"/>
    <d v="1899-12-30T19:33:00"/>
    <n v="0.81458333333284827"/>
    <d v="1901-08-04T10:28:00"/>
    <n v="582.43611111110658"/>
    <m/>
    <m/>
    <n v="0"/>
    <n v="193512"/>
    <n v="8"/>
    <n v="9.8209718670135207"/>
    <n v="13753"/>
    <n v="125322"/>
    <n v="2"/>
    <n v="2.4552429667533802"/>
    <n v="5890"/>
    <n v="10"/>
    <n v="19643"/>
    <n v="0.51150895140695418"/>
    <n v="12.2762148337669"/>
    <n v="4480.8184143249182"/>
    <n v="1.4052328104656318"/>
    <n v="33.725587451175166"/>
    <n v="12309.839419678936"/>
  </r>
  <r>
    <d v="2022-08-06T06:40:00"/>
    <x v="2"/>
    <s v=""/>
    <x v="11"/>
    <x v="14"/>
    <x v="6"/>
    <s v="8/2022"/>
    <s v="6/8/2022"/>
    <d v="1900-01-13T03:12:00"/>
    <n v="14.133333333338669"/>
    <d v="1901-08-18T13:40:00"/>
    <n v="596.56944444444525"/>
    <m/>
    <m/>
    <n v="0"/>
    <n v="193555"/>
    <n v="43"/>
    <n v="3.0424528301875307"/>
    <n v="13796"/>
    <n v="125353"/>
    <n v="31"/>
    <n v="2.1933962264142663"/>
    <n v="5921"/>
    <n v="74"/>
    <n v="19717"/>
    <n v="0.21816037735840821"/>
    <n v="5.235849056601797"/>
    <n v="1911.084905659656"/>
    <n v="1.3771098642702471"/>
    <n v="33.050636742485928"/>
    <n v="12063.482411007364"/>
  </r>
  <r>
    <d v="2022-08-07T08:11:00"/>
    <x v="2"/>
    <s v=""/>
    <x v="11"/>
    <x v="15"/>
    <x v="1"/>
    <s v="8/2022"/>
    <s v="7/8/2022"/>
    <d v="1899-12-31T01:31:00"/>
    <n v="1.0631944444394321"/>
    <d v="1901-08-19T15:11:00"/>
    <n v="597.63263888888469"/>
    <m/>
    <m/>
    <n v="0"/>
    <n v="193563"/>
    <n v="8"/>
    <n v="7.5244937949407644"/>
    <n v="13804"/>
    <n v="125356"/>
    <n v="3"/>
    <n v="2.8216851731027868"/>
    <n v="5924"/>
    <n v="11"/>
    <n v="19728"/>
    <n v="0.43109079033514797"/>
    <n v="10.346178968043551"/>
    <n v="3776.3553233358962"/>
    <n v="1.3754268868719384"/>
    <n v="33.010245284926519"/>
    <n v="12048.73952899818"/>
  </r>
  <r>
    <d v="2022-08-08T07:58:00"/>
    <x v="2"/>
    <s v=""/>
    <x v="11"/>
    <x v="16"/>
    <x v="2"/>
    <s v="8/2022"/>
    <s v="8/8/2022"/>
    <d v="1899-12-30T23:47:00"/>
    <n v="0.99097222222189885"/>
    <d v="1901-08-20T14:58:00"/>
    <n v="598.62361111110658"/>
    <m/>
    <m/>
    <n v="0"/>
    <n v="193572"/>
    <n v="9"/>
    <n v="9.0819901892110924"/>
    <n v="13813"/>
    <n v="125359"/>
    <n v="3"/>
    <n v="3.0273300630703641"/>
    <n v="5927"/>
    <n v="12"/>
    <n v="19740"/>
    <n v="0.50455501051172735"/>
    <n v="12.109320252281456"/>
    <n v="4419.901892082732"/>
    <n v="1.3739852300068085"/>
    <n v="32.975645520163404"/>
    <n v="12036.110614859643"/>
  </r>
  <r>
    <d v="2022-08-09T07:38:00"/>
    <x v="2"/>
    <s v=""/>
    <x v="11"/>
    <x v="17"/>
    <x v="3"/>
    <s v="8/2022"/>
    <s v="9/8/2022"/>
    <d v="1899-12-30T23:40:00"/>
    <n v="0.98611111111677019"/>
    <d v="1901-08-21T14:38:00"/>
    <n v="599.60972222222335"/>
    <m/>
    <m/>
    <n v="0"/>
    <n v="193578"/>
    <n v="6"/>
    <n v="6.0845070422186032"/>
    <n v="13819"/>
    <n v="125362"/>
    <n v="3"/>
    <n v="3.0422535211093016"/>
    <n v="5930"/>
    <n v="9"/>
    <n v="19749"/>
    <n v="0.3802816901386627"/>
    <n v="9.1267605633279043"/>
    <n v="3331.2676056146852"/>
    <n v="1.3723509968289533"/>
    <n v="32.936423923894878"/>
    <n v="12021.794732221631"/>
  </r>
  <r>
    <d v="2022-08-10T08:19:00"/>
    <x v="2"/>
    <s v=""/>
    <x v="11"/>
    <x v="18"/>
    <x v="4"/>
    <s v="8/2022"/>
    <s v="10/8/2022"/>
    <d v="1899-12-31T00:41:00"/>
    <n v="1.0284722222204437"/>
    <d v="1901-08-22T15:19:00"/>
    <n v="600.6381944444438"/>
    <m/>
    <m/>
    <n v="0"/>
    <n v="193583"/>
    <n v="5"/>
    <n v="4.8615800135127962"/>
    <n v="13824"/>
    <n v="125365"/>
    <n v="3"/>
    <n v="2.9169480081076777"/>
    <n v="5933"/>
    <n v="8"/>
    <n v="19757"/>
    <n v="0.32410533423418642"/>
    <n v="7.778528021620474"/>
    <n v="2839.162727891473"/>
    <n v="1.3705560867549462"/>
    <n v="32.893346082118711"/>
    <n v="12006.071319973329"/>
  </r>
  <r>
    <d v="2022-08-11T08:18:00"/>
    <x v="2"/>
    <s v=""/>
    <x v="11"/>
    <x v="19"/>
    <x v="0"/>
    <s v="8/2022"/>
    <s v="11/8/2022"/>
    <d v="1899-12-30T23:59:00"/>
    <n v="0.99930555555329192"/>
    <d v="1901-08-23T15:18:00"/>
    <n v="601.63749999999709"/>
    <m/>
    <m/>
    <n v="0"/>
    <n v="193591"/>
    <n v="8"/>
    <n v="8.0055594162794268"/>
    <n v="13832"/>
    <n v="125368"/>
    <n v="3"/>
    <n v="3.0020847811047848"/>
    <n v="5936"/>
    <n v="11"/>
    <n v="19768"/>
    <n v="0.45865184155767547"/>
    <n v="11.007644197384211"/>
    <n v="4017.790132045237"/>
    <n v="1.3690414355266596"/>
    <n v="32.856994452639832"/>
    <n v="11992.802975213539"/>
  </r>
  <r>
    <d v="2022-08-12T08:26:00"/>
    <x v="2"/>
    <s v=""/>
    <x v="11"/>
    <x v="20"/>
    <x v="5"/>
    <s v="8/2022"/>
    <s v="12/8/2022"/>
    <d v="1899-12-31T00:08:00"/>
    <n v="1.0055555555591127"/>
    <d v="1901-08-24T15:26:00"/>
    <n v="602.6430555555562"/>
    <m/>
    <m/>
    <n v="0"/>
    <n v="193597"/>
    <n v="6"/>
    <n v="5.9668508287081741"/>
    <n v="13838"/>
    <n v="125371"/>
    <n v="3"/>
    <n v="2.983425414354087"/>
    <n v="5939"/>
    <n v="9"/>
    <n v="19777"/>
    <n v="0.37292817679426088"/>
    <n v="8.9502762430622607"/>
    <n v="3266.8508287177251"/>
    <n v="1.3673793451531779"/>
    <n v="32.817104283676272"/>
    <n v="11978.243063541839"/>
  </r>
  <r>
    <d v="2022-08-13T08:04:00"/>
    <x v="2"/>
    <s v=""/>
    <x v="11"/>
    <x v="21"/>
    <x v="6"/>
    <s v="8/2022"/>
    <s v="13/8/2022"/>
    <d v="1899-12-30T23:38:00"/>
    <n v="0.98472222221607808"/>
    <d v="1901-08-25T15:04:00"/>
    <n v="603.62777777777228"/>
    <m/>
    <m/>
    <n v="0"/>
    <n v="193602"/>
    <n v="5"/>
    <n v="5.0775740479865474"/>
    <n v="13843"/>
    <n v="125374"/>
    <n v="3"/>
    <n v="3.0465444287919285"/>
    <n v="5942"/>
    <n v="8"/>
    <n v="19785"/>
    <n v="0.33850493653243652"/>
    <n v="8.1241184767784755"/>
    <n v="2965.3032440241436"/>
    <n v="1.3657009010335781"/>
    <n v="32.776821624805869"/>
    <n v="11963.539893054141"/>
  </r>
  <r>
    <d v="2022-08-16T07:38:00"/>
    <x v="2"/>
    <s v=""/>
    <x v="11"/>
    <x v="24"/>
    <x v="3"/>
    <s v="8/2022"/>
    <s v="16/8/2022"/>
    <d v="1900-01-01T23:34:00"/>
    <n v="2.9819444444510737"/>
    <d v="1901-08-28T14:38:00"/>
    <n v="606.60972222222335"/>
    <m/>
    <m/>
    <n v="0"/>
    <n v="193619"/>
    <n v="17"/>
    <n v="5.7009781089766136"/>
    <n v="13860"/>
    <n v="125382"/>
    <n v="8"/>
    <n v="2.6828132277537002"/>
    <n v="5950"/>
    <n v="25"/>
    <n v="19810"/>
    <n v="0.34932463903042976"/>
    <n v="8.3837913367303134"/>
    <n v="3060.0838379065644"/>
    <n v="1.360704644895695"/>
    <n v="32.656911477496685"/>
    <n v="11919.77268928629"/>
  </r>
  <r>
    <d v="2022-08-17T08:34:00"/>
    <x v="2"/>
    <s v=""/>
    <x v="11"/>
    <x v="0"/>
    <x v="4"/>
    <s v="8/2022"/>
    <s v="17/8/2022"/>
    <d v="1899-12-31T00:56:00"/>
    <n v="1.038888888884685"/>
    <d v="1901-08-29T15:34:00"/>
    <n v="607.64861111110804"/>
    <m/>
    <m/>
    <n v="0"/>
    <n v="193626"/>
    <n v="7"/>
    <n v="6.7379679144657683"/>
    <n v="13867"/>
    <n v="125384"/>
    <n v="2"/>
    <n v="1.9251336898473623"/>
    <n v="5952"/>
    <n v="9"/>
    <n v="19819"/>
    <n v="0.36096256684638045"/>
    <n v="8.6631016043131304"/>
    <n v="3162.0320855742925"/>
    <n v="1.3589953989307668"/>
    <n v="32.615889574338404"/>
    <n v="11904.799694633517"/>
  </r>
  <r>
    <d v="2022-08-18T07:36:00"/>
    <x v="2"/>
    <s v=""/>
    <x v="11"/>
    <x v="25"/>
    <x v="0"/>
    <s v="8/2022"/>
    <s v="18/8/2022"/>
    <d v="1899-12-30T23:02:00"/>
    <n v="0.95972222222189885"/>
    <d v="1901-08-30T14:36:00"/>
    <n v="608.60833333332994"/>
    <m/>
    <m/>
    <n v="0"/>
    <n v="193635"/>
    <n v="9"/>
    <n v="9.3777134587585866"/>
    <n v="13876"/>
    <n v="125387"/>
    <n v="3"/>
    <n v="3.1259044862528622"/>
    <n v="5955"/>
    <n v="12"/>
    <n v="19831"/>
    <n v="0.52098408104214367"/>
    <n v="12.503617945011449"/>
    <n v="4563.8205499291789"/>
    <n v="1.3576739282242349"/>
    <n v="32.584174277381642"/>
    <n v="11893.223611244299"/>
  </r>
  <r>
    <d v="2022-08-19T07:22:00"/>
    <x v="2"/>
    <s v=""/>
    <x v="11"/>
    <x v="26"/>
    <x v="5"/>
    <s v="8/2022"/>
    <s v="19/8/2022"/>
    <d v="1899-12-30T23:46:00"/>
    <n v="0.99027777777519077"/>
    <d v="1901-08-31T14:22:00"/>
    <n v="609.59861111110513"/>
    <m/>
    <m/>
    <n v="0"/>
    <n v="193641"/>
    <n v="6"/>
    <n v="6.058906030871368"/>
    <n v="13882"/>
    <n v="125390"/>
    <n v="3"/>
    <n v="3.029453015435684"/>
    <n v="5958"/>
    <n v="9"/>
    <n v="19840"/>
    <n v="0.3786816269294605"/>
    <n v="9.0883590463070529"/>
    <n v="3317.2510519020743"/>
    <n v="1.3560835795867632"/>
    <n v="32.546005910082314"/>
    <n v="11879.292157180045"/>
  </r>
  <r>
    <d v="2022-08-20T07:26:00"/>
    <x v="2"/>
    <s v=""/>
    <x v="11"/>
    <x v="27"/>
    <x v="6"/>
    <s v="8/2022"/>
    <s v="20/8/2022"/>
    <d v="1899-12-31T00:04:00"/>
    <n v="1.0027777777795563"/>
    <d v="1901-09-01T14:26:00"/>
    <n v="610.60138888888469"/>
    <m/>
    <m/>
    <n v="0"/>
    <n v="193648"/>
    <n v="7"/>
    <n v="6.9806094182701672"/>
    <n v="13889"/>
    <n v="125393"/>
    <n v="3"/>
    <n v="2.9916897506872147"/>
    <n v="5961"/>
    <n v="10"/>
    <n v="19850"/>
    <n v="0.41551246537322423"/>
    <n v="9.9722991689573828"/>
    <n v="3639.8891966694446"/>
    <n v="1.3545388994911758"/>
    <n v="32.508933587788221"/>
    <n v="11865.7607595427"/>
  </r>
  <r>
    <d v="2022-08-22T07:41:00"/>
    <x v="2"/>
    <s v=""/>
    <x v="11"/>
    <x v="29"/>
    <x v="2"/>
    <s v="8/2022"/>
    <s v="22/8/2022"/>
    <d v="1900-01-01T00:15:00"/>
    <n v="2.0104166666715173"/>
    <d v="1901-09-03T14:41:00"/>
    <n v="612.6118055555562"/>
    <m/>
    <m/>
    <n v="0"/>
    <n v="193662"/>
    <n v="14"/>
    <n v="6.9637305699313847"/>
    <n v="13903"/>
    <n v="125399"/>
    <n v="6"/>
    <n v="2.9844559585420218"/>
    <n v="5967"/>
    <n v="20"/>
    <n v="19870"/>
    <n v="0.41450777201972527"/>
    <n v="9.948186528473407"/>
    <n v="3631.0880828927934"/>
    <n v="1.3514539862904829"/>
    <n v="32.434895670971592"/>
    <n v="11838.736919904632"/>
  </r>
  <r>
    <d v="2022-08-23T07:21:00"/>
    <x v="2"/>
    <s v=""/>
    <x v="11"/>
    <x v="30"/>
    <x v="3"/>
    <s v="8/2022"/>
    <s v="23/8/2022"/>
    <d v="1899-12-30T23:40:00"/>
    <n v="0.98611111110949423"/>
    <d v="1901-09-04T14:21:00"/>
    <n v="613.5979166666657"/>
    <m/>
    <m/>
    <n v="0"/>
    <n v="193668"/>
    <n v="6"/>
    <n v="6.0845070422634979"/>
    <n v="13909"/>
    <n v="125401"/>
    <n v="2"/>
    <n v="2.0281690140878323"/>
    <n v="5969"/>
    <n v="8"/>
    <n v="19878"/>
    <n v="0.33802816901463878"/>
    <n v="8.1126760563513294"/>
    <n v="2961.1267605682351"/>
    <n v="1.3498253131291889"/>
    <n v="32.395807515100536"/>
    <n v="11824.469743011696"/>
  </r>
  <r>
    <d v="2022-08-24T07:27:00"/>
    <x v="2"/>
    <s v=""/>
    <x v="11"/>
    <x v="1"/>
    <x v="4"/>
    <s v="8/2022"/>
    <s v="24/8/2022"/>
    <d v="1899-12-31T00:06:00"/>
    <n v="1.0041666666656965"/>
    <d v="1901-09-05T14:27:00"/>
    <n v="614.60208333333139"/>
    <m/>
    <m/>
    <n v="0"/>
    <n v="193675"/>
    <n v="7"/>
    <n v="6.9709543568532073"/>
    <n v="13916"/>
    <n v="125405"/>
    <n v="4"/>
    <n v="3.9834024896304046"/>
    <n v="5973"/>
    <n v="11"/>
    <n v="19889"/>
    <n v="0.45643153527015051"/>
    <n v="10.954356846483613"/>
    <n v="3998.3402489665186"/>
    <n v="1.3483656430820796"/>
    <n v="32.360775433969913"/>
    <n v="11811.683033399018"/>
  </r>
  <r>
    <d v="2022-08-25T07:36:00"/>
    <x v="2"/>
    <s v=""/>
    <x v="11"/>
    <x v="2"/>
    <x v="0"/>
    <s v="8/2022"/>
    <s v="25/8/2022"/>
    <d v="1899-12-31T00:09:00"/>
    <n v="1.0062499999985448"/>
    <d v="1901-09-06T14:36:00"/>
    <n v="615.60833333332994"/>
    <m/>
    <m/>
    <n v="0"/>
    <n v="193685"/>
    <n v="10"/>
    <n v="9.9378881987721357"/>
    <n v="13926"/>
    <n v="125408"/>
    <n v="3"/>
    <n v="2.9813664596316407"/>
    <n v="5976"/>
    <n v="13"/>
    <n v="19902"/>
    <n v="0.53830227743349068"/>
    <n v="12.919254658403776"/>
    <n v="4715.5279503173788"/>
    <n v="1.3470415442719337"/>
    <n v="32.328997062526405"/>
    <n v="11800.083927822137"/>
  </r>
  <r>
    <d v="2022-08-26T07:43:00"/>
    <x v="2"/>
    <s v=""/>
    <x v="11"/>
    <x v="3"/>
    <x v="5"/>
    <s v="8/2022"/>
    <s v="26/8/2022"/>
    <d v="1899-12-31T00:07:00"/>
    <n v="1.0048611111124046"/>
    <d v="1901-09-07T14:43:00"/>
    <n v="616.61319444444234"/>
    <m/>
    <m/>
    <n v="0"/>
    <n v="193690"/>
    <n v="5"/>
    <n v="4.9758120248726554"/>
    <n v="13931"/>
    <n v="125411"/>
    <n v="3"/>
    <n v="2.9854872149235931"/>
    <n v="5979"/>
    <n v="8"/>
    <n v="19910"/>
    <n v="0.33172080165817702"/>
    <n v="7.9612992397962481"/>
    <n v="2905.8742225256306"/>
    <n v="1.3453869310739828"/>
    <n v="32.289286345775587"/>
    <n v="11785.589516208089"/>
  </r>
  <r>
    <d v="2022-08-27T07:22:00"/>
    <x v="2"/>
    <s v=""/>
    <x v="11"/>
    <x v="4"/>
    <x v="6"/>
    <s v="8/2022"/>
    <s v="27/8/2022"/>
    <d v="1899-12-30T23:39:00"/>
    <n v="0.98541666666278616"/>
    <d v="1901-09-08T14:22:00"/>
    <n v="617.59861111110513"/>
    <m/>
    <m/>
    <n v="0"/>
    <n v="193698"/>
    <n v="8"/>
    <n v="8.1183932347042749"/>
    <n v="13939"/>
    <n v="125414"/>
    <n v="3"/>
    <n v="3.0443974630141026"/>
    <n v="5982"/>
    <n v="11"/>
    <n v="19921"/>
    <n v="0.46511627907159903"/>
    <n v="11.162790697718377"/>
    <n v="4074.4186046672075"/>
    <n v="1.3439824049690801"/>
    <n v="32.255577719257921"/>
    <n v="11773.285867529141"/>
  </r>
  <r>
    <d v="2022-08-29T07:42:00"/>
    <x v="2"/>
    <s v=""/>
    <x v="11"/>
    <x v="6"/>
    <x v="2"/>
    <s v="8/2022"/>
    <s v="29/8/2022"/>
    <d v="1900-01-01T00:20:00"/>
    <n v="2.0138888888905058"/>
    <d v="1901-09-10T14:42:00"/>
    <n v="619.61249999999563"/>
    <m/>
    <m/>
    <n v="0"/>
    <n v="193707"/>
    <n v="9"/>
    <n v="4.4689655172377911"/>
    <n v="13948"/>
    <n v="125419"/>
    <n v="5"/>
    <n v="2.4827586206876617"/>
    <n v="5987"/>
    <n v="14"/>
    <n v="19935"/>
    <n v="0.28965517241356054"/>
    <n v="6.9517241379254529"/>
    <n v="2537.3793103427902"/>
    <n v="1.34055558917873"/>
    <n v="32.173334140289519"/>
    <n v="11743.266961205674"/>
  </r>
  <r>
    <d v="2022-08-30T07:30:00"/>
    <x v="2"/>
    <s v=""/>
    <x v="11"/>
    <x v="7"/>
    <x v="3"/>
    <s v="8/2022"/>
    <s v="30/8/2022"/>
    <d v="1899-12-30T23:48:00"/>
    <n v="0.99166666666860692"/>
    <d v="1901-09-11T14:30:00"/>
    <n v="620.60416666666424"/>
    <m/>
    <m/>
    <n v="0"/>
    <n v="193713"/>
    <n v="6"/>
    <n v="6.0504201680553891"/>
    <n v="13954"/>
    <n v="125422"/>
    <n v="3"/>
    <n v="3.0252100840276945"/>
    <n v="5990"/>
    <n v="9"/>
    <n v="19944"/>
    <n v="0.37815126050346182"/>
    <n v="9.0756302520830836"/>
    <n v="3312.6050420103256"/>
    <n v="1.3390177582329099"/>
    <n v="32.136426197589842"/>
    <n v="11729.795562120293"/>
  </r>
  <r>
    <d v="2022-08-31T08:38:00"/>
    <x v="2"/>
    <s v=""/>
    <x v="11"/>
    <x v="8"/>
    <x v="4"/>
    <s v="8/2022"/>
    <s v="31/8/2022"/>
    <d v="1899-12-31T01:08:00"/>
    <n v="1.047222222223354"/>
    <d v="1901-09-12T15:38:00"/>
    <n v="621.6513888888876"/>
    <m/>
    <m/>
    <n v="0"/>
    <n v="193719"/>
    <n v="6"/>
    <n v="5.7294429708160886"/>
    <n v="13960"/>
    <n v="125425"/>
    <n v="3"/>
    <n v="2.8647214854080443"/>
    <n v="5993"/>
    <n v="9"/>
    <n v="19953"/>
    <n v="0.35809018567600553"/>
    <n v="8.5941644562241333"/>
    <n v="3136.8700265218085"/>
    <n v="1.3373653061178923"/>
    <n v="32.096767346829409"/>
    <n v="11715.320081592734"/>
  </r>
  <r>
    <d v="2022-09-01T08:52:00"/>
    <x v="2"/>
    <s v=""/>
    <x v="8"/>
    <x v="9"/>
    <x v="0"/>
    <s v="9/2022"/>
    <s v="1/9/2022"/>
    <d v="1899-12-31T00:14:00"/>
    <n v="1.0097222222175333"/>
    <d v="1901-09-13T15:52:00"/>
    <n v="622.66111111110513"/>
    <m/>
    <m/>
    <n v="0"/>
    <n v="193726"/>
    <n v="7"/>
    <n v="6.9325997249290303"/>
    <n v="13967"/>
    <n v="125428"/>
    <n v="3"/>
    <n v="2.9711141678267272"/>
    <n v="5996"/>
    <n v="10"/>
    <n v="19963"/>
    <n v="0.4126547455314899"/>
    <n v="9.9037138927557571"/>
    <n v="3614.8555708558515"/>
    <n v="1.3358657732492387"/>
    <n v="32.060778557981735"/>
    <n v="11702.184173663332"/>
  </r>
  <r>
    <d v="2022-09-02T07:26:00"/>
    <x v="2"/>
    <s v=""/>
    <x v="8"/>
    <x v="10"/>
    <x v="5"/>
    <s v="9/2022"/>
    <s v="2/9/2022"/>
    <d v="1899-12-30T22:34:00"/>
    <n v="0.94027777777955635"/>
    <d v="1901-09-14T14:26:00"/>
    <n v="623.60138888888469"/>
    <m/>
    <m/>
    <n v="0"/>
    <n v="193734"/>
    <n v="8"/>
    <n v="8.5081240767933597"/>
    <n v="13975"/>
    <n v="125432"/>
    <n v="4"/>
    <n v="4.2540620383966798"/>
    <n v="6000"/>
    <n v="12"/>
    <n v="19975"/>
    <n v="0.53175775479958498"/>
    <n v="12.76218611519004"/>
    <n v="4658.1979320443652"/>
    <n v="1.334653324216645"/>
    <n v="32.031679781199479"/>
    <n v="11691.563120137809"/>
  </r>
  <r>
    <d v="2022-09-03T08:03:00"/>
    <x v="2"/>
    <s v=""/>
    <x v="8"/>
    <x v="11"/>
    <x v="6"/>
    <s v="9/2022"/>
    <s v="3/9/2022"/>
    <d v="1899-12-31T00:37:00"/>
    <n v="1.0256944444481633"/>
    <d v="1901-09-15T15:03:00"/>
    <n v="624.62708333333285"/>
    <m/>
    <m/>
    <n v="0"/>
    <n v="193741"/>
    <n v="7"/>
    <n v="6.8246445497382897"/>
    <n v="13982"/>
    <n v="125435"/>
    <n v="3"/>
    <n v="2.9248476641735524"/>
    <n v="6003"/>
    <n v="10"/>
    <n v="19985"/>
    <n v="0.40622884224632677"/>
    <n v="9.7494922139118412"/>
    <n v="3558.5646580778221"/>
    <n v="1.3331287668308769"/>
    <n v="31.995090403941042"/>
    <n v="11678.20799743848"/>
  </r>
  <r>
    <d v="2022-09-04T10:53:00"/>
    <x v="2"/>
    <s v=""/>
    <x v="8"/>
    <x v="12"/>
    <x v="1"/>
    <s v="9/2022"/>
    <s v="4/9/2022"/>
    <d v="1899-12-31T02:50:00"/>
    <n v="1.1180555555547471"/>
    <d v="1901-09-16T17:53:00"/>
    <n v="625.7451388888876"/>
    <m/>
    <m/>
    <n v="0"/>
    <n v="193749"/>
    <n v="8"/>
    <n v="7.1552795031107639"/>
    <n v="13990"/>
    <n v="125438"/>
    <n v="3"/>
    <n v="2.6832298136665362"/>
    <n v="6006"/>
    <n v="11"/>
    <n v="19996"/>
    <n v="0.40993788819905419"/>
    <n v="9.8385093167772997"/>
    <n v="3591.0559006237145"/>
    <n v="1.3314792475193491"/>
    <n v="31.95550194046438"/>
    <n v="11663.758208269499"/>
  </r>
  <r>
    <d v="2022-09-05T07:41:00"/>
    <x v="2"/>
    <s v=""/>
    <x v="8"/>
    <x v="13"/>
    <x v="2"/>
    <s v="9/2022"/>
    <s v="5/9/2022"/>
    <d v="1899-12-30T20:48:00"/>
    <n v="0.86666666666860692"/>
    <d v="1901-09-17T14:41:00"/>
    <n v="626.6118055555562"/>
    <m/>
    <m/>
    <n v="0"/>
    <n v="193755"/>
    <n v="6"/>
    <n v="6.9230769230614237"/>
    <n v="13996"/>
    <n v="125440"/>
    <n v="2"/>
    <n v="2.3076923076871414"/>
    <n v="6008"/>
    <n v="8"/>
    <n v="20004"/>
    <n v="0.38461538461452355"/>
    <n v="9.2307692307485656"/>
    <n v="3369.2307692232266"/>
    <n v="1.3301696402943064"/>
    <n v="31.924071367063352"/>
    <n v="11652.286048978123"/>
  </r>
  <r>
    <d v="2022-09-06T07:31:00"/>
    <x v="2"/>
    <s v=""/>
    <x v="8"/>
    <x v="14"/>
    <x v="3"/>
    <s v="9/2022"/>
    <s v="6/9/2022"/>
    <d v="1899-12-30T23:50:00"/>
    <n v="0.99305555555474712"/>
    <d v="1901-09-18T14:31:00"/>
    <n v="627.60486111111095"/>
    <m/>
    <m/>
    <n v="0"/>
    <n v="193761"/>
    <n v="6"/>
    <n v="6.0419580419629604"/>
    <n v="14002"/>
    <n v="125443"/>
    <n v="3"/>
    <n v="3.0209790209814802"/>
    <n v="6011"/>
    <n v="9"/>
    <n v="20013"/>
    <n v="0.37762237762268502"/>
    <n v="9.0629370629444406"/>
    <n v="3307.9720279747207"/>
    <n v="1.3286624302490402"/>
    <n v="31.887898325976963"/>
    <n v="11639.082888981591"/>
  </r>
  <r>
    <d v="2022-09-07T08:42:00"/>
    <x v="2"/>
    <s v=""/>
    <x v="8"/>
    <x v="15"/>
    <x v="4"/>
    <s v="9/2022"/>
    <s v="7/9/2022"/>
    <d v="1899-12-31T01:11:00"/>
    <n v="1.0493055555562023"/>
    <d v="1901-09-19T15:42:00"/>
    <n v="628.65416666666715"/>
    <m/>
    <m/>
    <n v="0"/>
    <n v="193766"/>
    <n v="5"/>
    <n v="4.7650562541333965"/>
    <n v="14007"/>
    <n v="125446"/>
    <n v="3"/>
    <n v="2.859033752480038"/>
    <n v="6014"/>
    <n v="8"/>
    <n v="20021"/>
    <n v="0.31767041694222642"/>
    <n v="7.6240900066134341"/>
    <n v="2782.7928524139033"/>
    <n v="1.3269749531074972"/>
    <n v="31.84739887457993"/>
    <n v="11624.300589221675"/>
  </r>
  <r>
    <d v="2022-09-08T08:06:00"/>
    <x v="2"/>
    <s v=""/>
    <x v="8"/>
    <x v="16"/>
    <x v="0"/>
    <s v="9/2022"/>
    <s v="8/9/2022"/>
    <d v="1899-12-30T23:24:00"/>
    <n v="0.97499999999854481"/>
    <d v="1901-09-20T15:06:00"/>
    <n v="629.6291666666657"/>
    <m/>
    <m/>
    <n v="0"/>
    <n v="193773"/>
    <n v="7"/>
    <n v="7.1794871794978947"/>
    <n v="14014"/>
    <n v="125449"/>
    <n v="3"/>
    <n v="3.0769230769276694"/>
    <n v="6017"/>
    <n v="10"/>
    <n v="20031"/>
    <n v="0.42735042735106515"/>
    <n v="10.256410256425564"/>
    <n v="3743.5897435953311"/>
    <n v="1.3255818570454851"/>
    <n v="31.813964569091645"/>
    <n v="11612.09706771845"/>
  </r>
  <r>
    <d v="2022-09-09T08:15:00"/>
    <x v="2"/>
    <s v=""/>
    <x v="8"/>
    <x v="17"/>
    <x v="5"/>
    <s v="9/2022"/>
    <s v="9/9/2022"/>
    <d v="1899-12-31T00:09:00"/>
    <n v="1.0062499999985448"/>
    <d v="1901-09-21T15:15:00"/>
    <n v="630.63541666666424"/>
    <m/>
    <m/>
    <n v="0"/>
    <n v="193779"/>
    <n v="6"/>
    <n v="5.9627329192632814"/>
    <n v="14020"/>
    <n v="125452"/>
    <n v="3"/>
    <n v="2.9813664596316407"/>
    <n v="6020"/>
    <n v="9"/>
    <n v="20040"/>
    <n v="0.37267080745395509"/>
    <n v="8.9440993788949221"/>
    <n v="3264.5962732966464"/>
    <n v="1.3240613798913183"/>
    <n v="31.777473117391644"/>
    <n v="11598.777687847951"/>
  </r>
  <r>
    <d v="2022-09-10T08:18:00"/>
    <x v="2"/>
    <s v=""/>
    <x v="8"/>
    <x v="18"/>
    <x v="6"/>
    <s v="9/2022"/>
    <s v="10/9/2022"/>
    <d v="1899-12-31T00:03:00"/>
    <n v="1.0020833333328483"/>
    <d v="1901-09-22T15:18:00"/>
    <n v="631.63749999999709"/>
    <m/>
    <m/>
    <n v="0"/>
    <n v="193786"/>
    <n v="7"/>
    <n v="6.9854469854503671"/>
    <n v="14027"/>
    <n v="125455"/>
    <n v="3"/>
    <n v="2.993762993764443"/>
    <n v="6023"/>
    <n v="10"/>
    <n v="20050"/>
    <n v="0.41580041580061705"/>
    <n v="9.9792099792148097"/>
    <n v="3642.4116424134054"/>
    <n v="1.3226204376191575"/>
    <n v="31.742890502859776"/>
    <n v="11586.155033543819"/>
  </r>
  <r>
    <d v="2022-09-11T09:47:00"/>
    <x v="2"/>
    <s v=""/>
    <x v="8"/>
    <x v="19"/>
    <x v="1"/>
    <s v="9/2022"/>
    <s v="11/9/2022"/>
    <d v="1899-12-31T01:29:00"/>
    <n v="1.0618055555532919"/>
    <d v="1901-09-23T16:47:00"/>
    <n v="632.69930555555038"/>
    <m/>
    <m/>
    <n v="0"/>
    <n v="193792"/>
    <n v="6"/>
    <n v="5.6507521255843161"/>
    <n v="14033"/>
    <n v="125458"/>
    <n v="3"/>
    <n v="2.825376062792158"/>
    <n v="6026"/>
    <n v="9"/>
    <n v="20059"/>
    <n v="0.35317200784901975"/>
    <n v="8.4761281883764745"/>
    <n v="3093.786788757413"/>
    <n v="1.3209934945839528"/>
    <n v="31.703843870014868"/>
    <n v="11571.903012555427"/>
  </r>
  <r>
    <d v="2022-09-12T07:32:00"/>
    <x v="2"/>
    <s v=""/>
    <x v="8"/>
    <x v="20"/>
    <x v="2"/>
    <s v="9/2022"/>
    <s v="12/9/2022"/>
    <d v="1899-12-30T21:45:00"/>
    <n v="0.90625"/>
    <d v="1901-09-24T14:32:00"/>
    <n v="633.60555555555038"/>
    <m/>
    <m/>
    <n v="0"/>
    <n v="193799"/>
    <n v="7"/>
    <n v="7.7241379310344831"/>
    <n v="14040"/>
    <n v="125460"/>
    <n v="2"/>
    <n v="2.2068965517241379"/>
    <n v="6028"/>
    <n v="9"/>
    <n v="20068"/>
    <n v="0.41379310344827586"/>
    <n v="9.931034482758621"/>
    <n v="3624.8275862068967"/>
    <n v="1.3196959201746725"/>
    <n v="31.672702084192142"/>
    <n v="11560.536260730132"/>
  </r>
  <r>
    <d v="2022-09-13T07:40:00"/>
    <x v="2"/>
    <s v=""/>
    <x v="8"/>
    <x v="21"/>
    <x v="3"/>
    <s v="9/2022"/>
    <s v="13/9/2022"/>
    <d v="1899-12-31T00:08:00"/>
    <n v="1.0055555555591127"/>
    <d v="1901-09-25T14:40:00"/>
    <n v="634.61111111110949"/>
    <m/>
    <m/>
    <n v="0"/>
    <n v="193805"/>
    <n v="6"/>
    <n v="5.9668508287081741"/>
    <n v="14046"/>
    <n v="125462"/>
    <n v="2"/>
    <n v="1.988950276236058"/>
    <n v="6030"/>
    <n v="8"/>
    <n v="20076"/>
    <n v="0.33149171270600969"/>
    <n v="7.9558011049442321"/>
    <n v="2903.8674033046445"/>
    <n v="1.3181300884181071"/>
    <n v="31.635122122034574"/>
    <n v="11546.81957454262"/>
  </r>
  <r>
    <d v="2022-09-15T08:33:00"/>
    <x v="2"/>
    <s v=""/>
    <x v="8"/>
    <x v="23"/>
    <x v="0"/>
    <s v="9/2022"/>
    <s v="15/9/2022"/>
    <d v="1900-01-01T00:53:00"/>
    <n v="2.0368055555518367"/>
    <d v="1901-09-27T15:33:00"/>
    <n v="636.64791666666133"/>
    <m/>
    <m/>
    <n v="0"/>
    <n v="193816"/>
    <n v="11"/>
    <n v="5.4006137061128268"/>
    <n v="14057"/>
    <n v="125466"/>
    <n v="4"/>
    <n v="1.9638595294955734"/>
    <n v="6034"/>
    <n v="15"/>
    <n v="20091"/>
    <n v="0.30685305148368336"/>
    <n v="7.3644732356083997"/>
    <n v="2688.0327309970658"/>
    <n v="1.3148947449368711"/>
    <n v="31.557473878484906"/>
    <n v="11518.477965646991"/>
  </r>
  <r>
    <d v="2022-09-16T07:36:00"/>
    <x v="2"/>
    <s v=""/>
    <x v="8"/>
    <x v="24"/>
    <x v="5"/>
    <s v="9/2022"/>
    <s v="16/9/2022"/>
    <d v="1899-12-30T23:03:00"/>
    <n v="0.96041666666860692"/>
    <d v="1901-09-28T14:36:00"/>
    <n v="637.60833333332994"/>
    <m/>
    <m/>
    <n v="0"/>
    <n v="193821"/>
    <n v="5"/>
    <n v="5.2060737527009797"/>
    <n v="14062"/>
    <n v="125468"/>
    <n v="2"/>
    <n v="2.0824295010803917"/>
    <n v="6036"/>
    <n v="7"/>
    <n v="20098"/>
    <n v="0.30368763557422379"/>
    <n v="7.2885032537813714"/>
    <n v="2660.3036876302008"/>
    <n v="1.3133715839138518"/>
    <n v="31.520918013932441"/>
    <n v="11505.135075085342"/>
  </r>
  <r>
    <d v="2022-09-17T09:06:00"/>
    <x v="2"/>
    <s v=""/>
    <x v="8"/>
    <x v="0"/>
    <x v="6"/>
    <s v="9/2022"/>
    <s v="17/9/2022"/>
    <d v="1899-12-31T01:30:00"/>
    <n v="1.0625"/>
    <d v="1901-09-29T16:06:00"/>
    <n v="638.67083333332994"/>
    <m/>
    <m/>
    <n v="0"/>
    <n v="193827"/>
    <n v="6"/>
    <n v="5.6470588235294121"/>
    <n v="14068"/>
    <n v="125470"/>
    <n v="2"/>
    <n v="1.8823529411764706"/>
    <n v="6038"/>
    <n v="8"/>
    <n v="20106"/>
    <n v="0.31372549019607843"/>
    <n v="7.5294117647058822"/>
    <n v="2748.2352941176468"/>
    <n v="1.311708561400311"/>
    <n v="31.481005473607464"/>
    <n v="11490.566997866725"/>
  </r>
  <r>
    <d v="2022-09-18T08:38:00"/>
    <x v="2"/>
    <s v=""/>
    <x v="8"/>
    <x v="25"/>
    <x v="1"/>
    <s v="9/2022"/>
    <s v="18/9/2022"/>
    <d v="1899-12-30T23:32:00"/>
    <n v="0.9805555555576575"/>
    <d v="1901-09-30T15:38:00"/>
    <n v="639.6513888888876"/>
    <m/>
    <m/>
    <n v="0"/>
    <n v="193834"/>
    <n v="7"/>
    <n v="7.1388101982849808"/>
    <n v="14075"/>
    <n v="125473"/>
    <n v="3"/>
    <n v="3.0594900849792772"/>
    <n v="6041"/>
    <n v="10"/>
    <n v="20116"/>
    <n v="0.42492917846934408"/>
    <n v="10.198300283264258"/>
    <n v="3722.3796033914541"/>
    <n v="1.3103491702294463"/>
    <n v="31.448380085506709"/>
    <n v="11478.658731209949"/>
  </r>
  <r>
    <d v="2022-09-19T07:42:00"/>
    <x v="2"/>
    <s v=""/>
    <x v="8"/>
    <x v="26"/>
    <x v="2"/>
    <s v="9/2022"/>
    <s v="19/9/2022"/>
    <d v="1899-12-30T23:04:00"/>
    <n v="0.96111111110803904"/>
    <d v="1901-10-01T14:42:00"/>
    <n v="640.61249999999563"/>
    <m/>
    <m/>
    <n v="0"/>
    <n v="193841"/>
    <n v="7"/>
    <n v="7.2832369942429329"/>
    <n v="14082"/>
    <n v="125475"/>
    <n v="2"/>
    <n v="2.0809248554979809"/>
    <n v="6043"/>
    <n v="9"/>
    <n v="20125"/>
    <n v="0.39017341040587139"/>
    <n v="9.3641618497409134"/>
    <n v="3417.9190751554333"/>
    <n v="1.3089686302822259"/>
    <n v="31.415247126773419"/>
    <n v="11466.565201272299"/>
  </r>
  <r>
    <d v="2022-09-20T07:22:00"/>
    <x v="2"/>
    <s v=""/>
    <x v="8"/>
    <x v="27"/>
    <x v="3"/>
    <s v="9/2022"/>
    <s v="20/9/2022"/>
    <d v="1899-12-30T23:40:00"/>
    <n v="0.98611111110949423"/>
    <d v="1901-10-02T14:22:00"/>
    <n v="641.59861111110513"/>
    <m/>
    <m/>
    <n v="0"/>
    <n v="193845"/>
    <n v="4"/>
    <n v="4.0563380281756647"/>
    <n v="14086"/>
    <n v="125478"/>
    <n v="3"/>
    <n v="3.042253521131749"/>
    <n v="6046"/>
    <n v="7"/>
    <n v="20132"/>
    <n v="0.29577464788780888"/>
    <n v="7.0985915493074137"/>
    <n v="2590.985915497206"/>
    <n v="1.307411392117358"/>
    <n v="31.377873410816591"/>
    <n v="11452.923794948056"/>
  </r>
  <r>
    <d v="2022-09-21T07:29:00"/>
    <x v="2"/>
    <s v=""/>
    <x v="8"/>
    <x v="28"/>
    <x v="4"/>
    <s v="9/2022"/>
    <s v="21/9/2022"/>
    <d v="1899-12-31T00:07:00"/>
    <n v="1.0048611111124046"/>
    <d v="1901-10-03T14:29:00"/>
    <n v="642.60347222221753"/>
    <m/>
    <m/>
    <n v="0"/>
    <n v="193850"/>
    <n v="5"/>
    <n v="4.9758120248726554"/>
    <n v="14091"/>
    <n v="125480"/>
    <n v="2"/>
    <n v="1.990324809949062"/>
    <n v="6048"/>
    <n v="7"/>
    <n v="20139"/>
    <n v="0.2902557014509049"/>
    <n v="6.9661368348217172"/>
    <n v="2542.6399447099266"/>
    <n v="1.3058208308432913"/>
    <n v="31.339699940238994"/>
    <n v="11438.990478187232"/>
  </r>
  <r>
    <d v="2022-09-22T07:37:00"/>
    <x v="2"/>
    <s v=""/>
    <x v="8"/>
    <x v="29"/>
    <x v="0"/>
    <s v="9/2022"/>
    <s v="22/9/2022"/>
    <d v="1899-12-31T00:08:00"/>
    <n v="1.0055555555591127"/>
    <d v="1901-10-04T14:37:00"/>
    <n v="643.60902777777665"/>
    <m/>
    <m/>
    <n v="0"/>
    <n v="193858"/>
    <n v="8"/>
    <n v="7.9558011049442321"/>
    <n v="14099"/>
    <n v="125482"/>
    <n v="2"/>
    <n v="1.988950276236058"/>
    <n v="6050"/>
    <n v="10"/>
    <n v="20149"/>
    <n v="0.41436464088251207"/>
    <n v="9.944751381180291"/>
    <n v="3629.8342541308061"/>
    <n v="1.3044280462711921"/>
    <n v="31.306273110508613"/>
    <n v="11426.789685335643"/>
  </r>
  <r>
    <d v="2022-09-23T08:11:00"/>
    <x v="2"/>
    <s v=""/>
    <x v="8"/>
    <x v="30"/>
    <x v="5"/>
    <s v="9/2022"/>
    <s v="23/9/2022"/>
    <d v="1899-12-31T00:34:00"/>
    <n v="1.023611111108039"/>
    <d v="1901-10-05T15:11:00"/>
    <n v="644.63263888888469"/>
    <m/>
    <m/>
    <n v="0"/>
    <n v="193863"/>
    <n v="5"/>
    <n v="4.8846675712493957"/>
    <n v="14104"/>
    <n v="125484"/>
    <n v="2"/>
    <n v="1.9538670284997581"/>
    <n v="6052"/>
    <n v="7"/>
    <n v="20156"/>
    <n v="0.28493894165621475"/>
    <n v="6.8385345997491536"/>
    <n v="2496.0651289084412"/>
    <n v="1.3028092011923327"/>
    <n v="31.267420828615986"/>
    <n v="11412.608602444834"/>
  </r>
  <r>
    <d v="2022-09-24T08:14:00"/>
    <x v="2"/>
    <s v=""/>
    <x v="8"/>
    <x v="1"/>
    <x v="6"/>
    <s v="9/2022"/>
    <s v="24/9/2022"/>
    <d v="1899-12-31T00:03:00"/>
    <n v="1.0020833333328483"/>
    <d v="1901-10-06T15:14:00"/>
    <n v="645.63472222221753"/>
    <m/>
    <m/>
    <n v="0"/>
    <n v="193870"/>
    <n v="7"/>
    <n v="6.9854469854503671"/>
    <n v="14111"/>
    <n v="125486"/>
    <n v="2"/>
    <n v="1.9958419958429618"/>
    <n v="6054"/>
    <n v="9"/>
    <n v="20165"/>
    <n v="0.37422037422055537"/>
    <n v="8.9812889812933285"/>
    <n v="3278.170478172065"/>
    <n v="1.3013679475623781"/>
    <n v="31.232830741497075"/>
    <n v="11399.983220646433"/>
  </r>
  <r>
    <d v="2022-09-26T07:40:00"/>
    <x v="2"/>
    <s v=""/>
    <x v="8"/>
    <x v="3"/>
    <x v="2"/>
    <s v="9/2022"/>
    <s v="26/9/2022"/>
    <d v="1899-12-31T23:26:00"/>
    <n v="1.976388888891961"/>
    <d v="1901-10-08T14:40:00"/>
    <n v="647.61111111110949"/>
    <m/>
    <m/>
    <n v="0"/>
    <n v="193883"/>
    <n v="13"/>
    <n v="6.5776528460895651"/>
    <n v="14124"/>
    <n v="125492"/>
    <n v="6"/>
    <n v="3.0358397751182609"/>
    <n v="6060"/>
    <n v="19"/>
    <n v="20184"/>
    <n v="0.40056219255032605"/>
    <n v="9.6134926212078256"/>
    <n v="3508.9248067408562"/>
    <n v="1.2986188556232339"/>
    <n v="31.166852534957613"/>
    <n v="11375.901175259529"/>
  </r>
  <r>
    <d v="2022-09-27T07:46:00"/>
    <x v="2"/>
    <s v=""/>
    <x v="8"/>
    <x v="4"/>
    <x v="3"/>
    <s v="9/2022"/>
    <s v="27/9/2022"/>
    <d v="1899-12-31T00:06:00"/>
    <n v="1.0041666666656965"/>
    <d v="1901-10-09T14:46:00"/>
    <n v="648.61527777777519"/>
    <m/>
    <m/>
    <n v="0"/>
    <n v="193890"/>
    <n v="7"/>
    <n v="6.9709543568532073"/>
    <n v="14131"/>
    <n v="125494"/>
    <n v="2"/>
    <n v="1.9917012448152023"/>
    <n v="6062"/>
    <n v="9"/>
    <n v="20193"/>
    <n v="0.3734439834028504"/>
    <n v="8.9626556016684091"/>
    <n v="3271.3692946089695"/>
    <n v="1.2971865277096772"/>
    <n v="31.132476665032254"/>
    <n v="11363.353982736773"/>
  </r>
  <r>
    <d v="2022-09-28T09:12:00"/>
    <x v="2"/>
    <s v=""/>
    <x v="8"/>
    <x v="5"/>
    <x v="4"/>
    <s v="9/2022"/>
    <s v="28/9/2022"/>
    <d v="1899-12-31T01:26:00"/>
    <n v="1.0597222222204437"/>
    <d v="1901-10-10T16:12:00"/>
    <n v="649.67499999999563"/>
    <m/>
    <m/>
    <n v="0"/>
    <n v="193894"/>
    <n v="4"/>
    <n v="3.7745740498097424"/>
    <n v="14135"/>
    <n v="125497"/>
    <n v="3"/>
    <n v="2.830930537357307"/>
    <n v="6065"/>
    <n v="7"/>
    <n v="20200"/>
    <n v="0.27522935779862706"/>
    <n v="6.6055045871670499"/>
    <n v="2411.0091743159733"/>
    <n v="1.295519554649128"/>
    <n v="31.092469311579077"/>
    <n v="11348.751298726364"/>
  </r>
  <r>
    <d v="2022-09-29T08:10:00"/>
    <x v="2"/>
    <s v=""/>
    <x v="8"/>
    <x v="6"/>
    <x v="0"/>
    <s v="9/2022"/>
    <s v="29/9/2022"/>
    <d v="1899-12-30T22:58:00"/>
    <n v="0.95694444444961846"/>
    <d v="1901-10-11T15:10:00"/>
    <n v="650.63194444444525"/>
    <m/>
    <m/>
    <n v="0"/>
    <n v="193901"/>
    <n v="7"/>
    <n v="7.3149492017021043"/>
    <n v="14142"/>
    <n v="125499"/>
    <n v="2"/>
    <n v="2.0899854862006011"/>
    <n v="6067"/>
    <n v="9"/>
    <n v="20209"/>
    <n v="0.39187227866261271"/>
    <n v="9.4049346879027045"/>
    <n v="3432.8011610844869"/>
    <n v="1.2941904772069874"/>
    <n v="31.060571452967697"/>
    <n v="11337.10858033321"/>
  </r>
  <r>
    <d v="2022-09-30T08:20:00"/>
    <x v="2"/>
    <s v=""/>
    <x v="8"/>
    <x v="7"/>
    <x v="5"/>
    <s v="9/2022"/>
    <s v="30/9/2022"/>
    <d v="1899-12-31T00:10:00"/>
    <n v="1.0069444444379769"/>
    <d v="1901-10-12T15:20:00"/>
    <n v="651.63888888888323"/>
    <m/>
    <m/>
    <n v="0"/>
    <n v="193917"/>
    <n v="16"/>
    <n v="15.889655172515852"/>
    <n v="14158"/>
    <n v="125505"/>
    <n v="6"/>
    <n v="5.9586206896934444"/>
    <n v="6073"/>
    <n v="22"/>
    <n v="20231"/>
    <n v="0.91034482759205393"/>
    <n v="21.848275862209295"/>
    <n v="7974.620689706393"/>
    <n v="1.2935973400400811"/>
    <n v="31.046336160961946"/>
    <n v="11331.91269875111"/>
  </r>
  <r>
    <d v="2022-10-01T10:12:00"/>
    <x v="2"/>
    <s v=""/>
    <x v="9"/>
    <x v="9"/>
    <x v="6"/>
    <s v="10/2022"/>
    <s v="1/10/2022"/>
    <d v="1899-12-31T01:52:00"/>
    <n v="1.0777777777839219"/>
    <d v="1901-10-13T17:12:00"/>
    <n v="652.71666666666715"/>
    <m/>
    <m/>
    <n v="0"/>
    <n v="193932"/>
    <n v="15"/>
    <n v="13.917525773116536"/>
    <n v="14173"/>
    <n v="125507"/>
    <n v="2"/>
    <n v="1.8556701030822047"/>
    <n v="6075"/>
    <n v="17"/>
    <n v="20248"/>
    <n v="0.65721649484161415"/>
    <n v="15.773195876198741"/>
    <n v="5757.216494812541"/>
    <n v="1.2925465362714799"/>
    <n v="31.021116870515513"/>
    <n v="11322.707657738163"/>
  </r>
  <r>
    <d v="2022-10-03T07:44:00"/>
    <x v="2"/>
    <s v=""/>
    <x v="9"/>
    <x v="11"/>
    <x v="2"/>
    <s v="10/2022"/>
    <s v="3/10/2022"/>
    <d v="1899-12-31T21:32:00"/>
    <n v="1.8972222222218988"/>
    <d v="1901-10-15T14:44:00"/>
    <n v="654.61388888888905"/>
    <m/>
    <m/>
    <n v="0"/>
    <n v="193945"/>
    <n v="13"/>
    <n v="6.8521229868240088"/>
    <n v="14186"/>
    <n v="125513"/>
    <n v="6"/>
    <n v="3.1625183016110809"/>
    <n v="6081"/>
    <n v="19"/>
    <n v="20267"/>
    <n v="0.41727672035146207"/>
    <n v="10.014641288435088"/>
    <n v="3655.3440702788071"/>
    <n v="1.2900098022158946"/>
    <n v="30.96023525318147"/>
    <n v="11300.485867411237"/>
  </r>
  <r>
    <d v="2022-10-04T07:33:00"/>
    <x v="2"/>
    <s v=""/>
    <x v="9"/>
    <x v="12"/>
    <x v="3"/>
    <s v="10/2022"/>
    <s v="4/10/2022"/>
    <d v="1899-12-30T23:49:00"/>
    <n v="0.99236111110803904"/>
    <d v="1901-10-16T14:33:00"/>
    <n v="655.60624999999709"/>
    <m/>
    <m/>
    <n v="0"/>
    <n v="193952"/>
    <n v="7"/>
    <n v="7.0538838348713817"/>
    <n v="14193"/>
    <n v="125516"/>
    <n v="3"/>
    <n v="3.0230930720877351"/>
    <n v="6084"/>
    <n v="10"/>
    <n v="20277"/>
    <n v="0.41987403778996324"/>
    <n v="10.076976906959118"/>
    <n v="3678.0965710400778"/>
    <n v="1.2886927176182408"/>
    <n v="30.928625222837777"/>
    <n v="11288.948206335788"/>
  </r>
  <r>
    <d v="2022-10-05T08:20:00"/>
    <x v="2"/>
    <s v=""/>
    <x v="9"/>
    <x v="13"/>
    <x v="4"/>
    <s v="10/2022"/>
    <s v="5/10/2022"/>
    <d v="1899-12-31T00:47:00"/>
    <n v="1.0326388888861402"/>
    <d v="1901-10-17T15:20:00"/>
    <n v="656.63888888888323"/>
    <m/>
    <m/>
    <n v="0"/>
    <n v="193958"/>
    <n v="6"/>
    <n v="5.8103564223422985"/>
    <n v="14199"/>
    <n v="125519"/>
    <n v="3"/>
    <n v="2.9051782111711493"/>
    <n v="6087"/>
    <n v="9"/>
    <n v="20286"/>
    <n v="0.36314727639639366"/>
    <n v="8.7155346335134478"/>
    <n v="3181.1701412324082"/>
    <n v="1.2872371927746631"/>
    <n v="30.893692626591914"/>
    <n v="11276.197808706049"/>
  </r>
  <r>
    <d v="2022-10-06T07:33:00"/>
    <x v="2"/>
    <s v=""/>
    <x v="9"/>
    <x v="14"/>
    <x v="0"/>
    <s v="10/2022"/>
    <s v="6/10/2022"/>
    <d v="1899-12-30T23:13:00"/>
    <n v="0.96736111111385981"/>
    <d v="1901-10-18T14:33:00"/>
    <n v="657.60624999999709"/>
    <m/>
    <m/>
    <n v="0"/>
    <n v="193965"/>
    <n v="7"/>
    <n v="7.236180904502052"/>
    <n v="14206"/>
    <n v="125521"/>
    <n v="2"/>
    <n v="2.0674802584291578"/>
    <n v="6089"/>
    <n v="9"/>
    <n v="20295"/>
    <n v="0.38765254845546709"/>
    <n v="9.3036611629312098"/>
    <n v="3395.8363244698917"/>
    <n v="1.2859138732334185"/>
    <n v="30.861932957602043"/>
    <n v="11264.605529524746"/>
  </r>
  <r>
    <d v="2022-10-07T08:22:00"/>
    <x v="2"/>
    <s v=""/>
    <x v="9"/>
    <x v="15"/>
    <x v="5"/>
    <s v="10/2022"/>
    <s v="7/10/2022"/>
    <d v="1899-12-31T00:49:00"/>
    <n v="1.0340277777795563"/>
    <d v="1901-10-19T15:22:00"/>
    <n v="658.64027777777665"/>
    <m/>
    <m/>
    <n v="0"/>
    <n v="193976"/>
    <n v="11"/>
    <n v="10.638012088631802"/>
    <n v="14217"/>
    <n v="125525"/>
    <n v="4"/>
    <n v="3.8683680322297467"/>
    <n v="6093"/>
    <n v="15"/>
    <n v="20310"/>
    <n v="0.60443250503589785"/>
    <n v="14.50638012086155"/>
    <n v="5294.8287441144657"/>
    <n v="1.2848439862427035"/>
    <n v="30.836255669824883"/>
    <n v="11255.233319486082"/>
  </r>
  <r>
    <d v="2022-10-08T08:58:00"/>
    <x v="2"/>
    <s v=""/>
    <x v="9"/>
    <x v="16"/>
    <x v="6"/>
    <s v="10/2022"/>
    <s v="8/10/2022"/>
    <d v="1899-12-31T00:36:00"/>
    <n v="1.0250000000014552"/>
    <d v="1901-10-20T15:58:00"/>
    <n v="659.6652777777781"/>
    <m/>
    <m/>
    <n v="0"/>
    <n v="193993"/>
    <n v="17"/>
    <n v="16.58536585363499"/>
    <n v="14234"/>
    <n v="125531"/>
    <n v="6"/>
    <n v="5.853658536577055"/>
    <n v="6099"/>
    <n v="23"/>
    <n v="20333"/>
    <n v="0.93495934959216853"/>
    <n v="22.439024390212047"/>
    <n v="8190.2439024273972"/>
    <n v="1.2843003290810358"/>
    <n v="30.823207897944862"/>
    <n v="11250.470882749874"/>
  </r>
  <r>
    <d v="2022-10-09T11:06:00"/>
    <x v="2"/>
    <s v=""/>
    <x v="9"/>
    <x v="17"/>
    <x v="1"/>
    <s v="10/2022"/>
    <s v="9/10/2022"/>
    <d v="1899-12-31T02:08:00"/>
    <n v="1.0888888888875954"/>
    <d v="1901-10-21T18:06:00"/>
    <n v="660.7541666666657"/>
    <m/>
    <m/>
    <n v="0"/>
    <n v="194012"/>
    <n v="19"/>
    <n v="17.448979591857462"/>
    <n v="14253"/>
    <n v="125533"/>
    <n v="2"/>
    <n v="1.8367346938797329"/>
    <n v="6101"/>
    <n v="21"/>
    <n v="20354"/>
    <n v="0.80357142857238317"/>
    <n v="19.285714285737196"/>
    <n v="7039.2857142940766"/>
    <n v="1.2835081125733871"/>
    <n v="30.80419470176129"/>
    <n v="11243.53106614287"/>
  </r>
  <r>
    <d v="2022-10-10T07:37:00"/>
    <x v="2"/>
    <s v=""/>
    <x v="9"/>
    <x v="18"/>
    <x v="2"/>
    <s v="10/2022"/>
    <s v="10/10/2022"/>
    <d v="1899-12-30T20:31:00"/>
    <n v="0.85486111111094942"/>
    <d v="1901-10-22T14:37:00"/>
    <n v="661.60902777777665"/>
    <m/>
    <m/>
    <n v="0"/>
    <n v="194018"/>
    <n v="6"/>
    <n v="7.0186839967519363"/>
    <n v="14259"/>
    <n v="125536"/>
    <n v="3"/>
    <n v="3.5093419983759682"/>
    <n v="6104"/>
    <n v="9"/>
    <n v="20363"/>
    <n v="0.43866774979699602"/>
    <n v="10.528025995127905"/>
    <n v="3842.7294882216852"/>
    <n v="1.2824164993382108"/>
    <n v="30.777995984117059"/>
    <n v="11233.968534202726"/>
  </r>
  <r>
    <d v="2022-10-11T07:28:00"/>
    <x v="2"/>
    <s v=""/>
    <x v="9"/>
    <x v="19"/>
    <x v="3"/>
    <s v="10/2022"/>
    <s v="11/10/2022"/>
    <d v="1899-12-30T23:51:00"/>
    <n v="0.99375000000145519"/>
    <d v="1901-10-23T14:28:00"/>
    <n v="662.6027777777781"/>
    <m/>
    <m/>
    <n v="0"/>
    <n v="194025"/>
    <n v="7"/>
    <n v="7.0440251572223893"/>
    <n v="14266"/>
    <n v="125539"/>
    <n v="3"/>
    <n v="3.0188679245238812"/>
    <n v="6107"/>
    <n v="10"/>
    <n v="20373"/>
    <n v="0.41928721173942796"/>
    <n v="10.062893081746271"/>
    <n v="3672.955974837389"/>
    <n v="1.2811220062296409"/>
    <n v="30.746928149511383"/>
    <n v="11222.628774571655"/>
  </r>
  <r>
    <d v="2022-10-12T08:45:00"/>
    <x v="2"/>
    <s v=""/>
    <x v="9"/>
    <x v="20"/>
    <x v="4"/>
    <s v="10/2022"/>
    <s v="12/10/2022"/>
    <d v="1899-12-31T01:17:00"/>
    <n v="1.0534722222218988"/>
    <d v="1901-10-24T15:45:00"/>
    <n v="663.65625"/>
    <m/>
    <m/>
    <n v="0"/>
    <n v="194036"/>
    <n v="11"/>
    <n v="10.441661173371696"/>
    <n v="14277"/>
    <n v="125543"/>
    <n v="4"/>
    <n v="3.7969676994078894"/>
    <n v="6111"/>
    <n v="15"/>
    <n v="20388"/>
    <n v="0.59327620303248274"/>
    <n v="14.238628872779586"/>
    <n v="5197.0995385645492"/>
    <n v="1.2800301360832509"/>
    <n v="30.720723265998021"/>
    <n v="11213.063992089277"/>
  </r>
  <r>
    <d v="2022-10-13T07:12:00"/>
    <x v="2"/>
    <s v=""/>
    <x v="9"/>
    <x v="21"/>
    <x v="0"/>
    <s v="10/2022"/>
    <s v="13/10/2022"/>
    <d v="1899-12-30T22:27:00"/>
    <n v="0.93541666666715173"/>
    <d v="1901-10-25T14:12:00"/>
    <n v="664.59166666666715"/>
    <m/>
    <m/>
    <n v="0"/>
    <n v="194045"/>
    <n v="9"/>
    <n v="9.6213808463201786"/>
    <n v="14286"/>
    <n v="125545"/>
    <n v="2"/>
    <n v="2.1380846325155951"/>
    <n v="6113"/>
    <n v="11"/>
    <n v="20399"/>
    <n v="0.48997772828482389"/>
    <n v="11.759465478835773"/>
    <n v="4292.2048997750571"/>
    <n v="1.2789181326879904"/>
    <n v="30.694035184511769"/>
    <n v="11203.322842346795"/>
  </r>
  <r>
    <d v="2022-10-14T07:26:00"/>
    <x v="2"/>
    <s v=""/>
    <x v="9"/>
    <x v="22"/>
    <x v="5"/>
    <s v="10/2022"/>
    <s v="14/10/2022"/>
    <d v="1899-12-31T00:14:00"/>
    <n v="1.0097222222175333"/>
    <d v="1901-10-26T14:26:00"/>
    <n v="665.60138888888469"/>
    <m/>
    <m/>
    <n v="0"/>
    <n v="194051"/>
    <n v="6"/>
    <n v="5.9422283356534544"/>
    <n v="14292"/>
    <n v="125549"/>
    <n v="4"/>
    <n v="3.9614855571023027"/>
    <n v="6117"/>
    <n v="10"/>
    <n v="20409"/>
    <n v="0.4126547455314899"/>
    <n v="9.9037138927557571"/>
    <n v="3614.8555708558515"/>
    <n v="1.2776040047325703"/>
    <n v="30.662496113581689"/>
    <n v="11191.811081457316"/>
  </r>
  <r>
    <d v="2022-10-15T13:10:00"/>
    <x v="2"/>
    <s v=""/>
    <x v="9"/>
    <x v="23"/>
    <x v="6"/>
    <s v="10/2022"/>
    <s v="15/10/2022"/>
    <d v="1899-12-31T05:44:00"/>
    <n v="1.2388888888890506"/>
    <d v="1901-10-27T20:10:00"/>
    <n v="666.84027777777374"/>
    <m/>
    <m/>
    <n v="0"/>
    <n v="194060"/>
    <n v="9"/>
    <n v="7.2645739910304421"/>
    <n v="14301"/>
    <n v="125552"/>
    <n v="3"/>
    <n v="2.4215246636768142"/>
    <n v="6120"/>
    <n v="12"/>
    <n v="20421"/>
    <n v="0.40358744394613566"/>
    <n v="9.6860986547072567"/>
    <n v="3535.4260089681488"/>
    <n v="1.2759802134860792"/>
    <n v="30.623525123665896"/>
    <n v="11177.586670138053"/>
  </r>
  <r>
    <d v="2022-10-16T09:28:00"/>
    <x v="2"/>
    <s v=""/>
    <x v="9"/>
    <x v="24"/>
    <x v="1"/>
    <s v="10/2022"/>
    <s v="16/10/2022"/>
    <d v="1899-12-30T20:18:00"/>
    <n v="0.84583333333284827"/>
    <d v="1901-10-28T16:28:00"/>
    <n v="667.68611111110658"/>
    <m/>
    <m/>
    <n v="0"/>
    <n v="194066"/>
    <n v="6"/>
    <n v="7.0935960591173686"/>
    <n v="14307"/>
    <n v="125554"/>
    <n v="2"/>
    <n v="2.3645320197057895"/>
    <n v="6122"/>
    <n v="8"/>
    <n v="20429"/>
    <n v="0.39408866995096492"/>
    <n v="9.4581280788231581"/>
    <n v="3452.2167487704528"/>
    <n v="1.2748630219622581"/>
    <n v="30.596712527094194"/>
    <n v="11167.80007238938"/>
  </r>
  <r>
    <d v="2022-10-17T07:23:00"/>
    <x v="2"/>
    <s v=""/>
    <x v="9"/>
    <x v="0"/>
    <x v="2"/>
    <s v="10/2022"/>
    <s v="17/10/2022"/>
    <d v="1899-12-30T21:55:00"/>
    <n v="0.91319444444525288"/>
    <d v="1901-10-29T14:23:00"/>
    <n v="668.59930555555184"/>
    <m/>
    <m/>
    <n v="0"/>
    <n v="194074"/>
    <n v="8"/>
    <n v="8.7604562737565033"/>
    <n v="14315"/>
    <n v="125558"/>
    <n v="4"/>
    <n v="4.3802281368782516"/>
    <n v="6126"/>
    <n v="12"/>
    <n v="20441"/>
    <n v="0.54752851710978145"/>
    <n v="13.140684410634755"/>
    <n v="4796.3498098816854"/>
    <n v="1.2738696050927434"/>
    <n v="30.572870522225841"/>
    <n v="11159.097740612431"/>
  </r>
  <r>
    <d v="2022-10-18T07:34:00"/>
    <x v="2"/>
    <s v=""/>
    <x v="9"/>
    <x v="25"/>
    <x v="3"/>
    <s v="10/2022"/>
    <s v="18/10/2022"/>
    <d v="1899-12-31T00:11:00"/>
    <n v="1.007638888891961"/>
    <d v="1901-10-30T14:34:00"/>
    <n v="669.6069444444438"/>
    <m/>
    <m/>
    <n v="0"/>
    <n v="194079"/>
    <n v="5"/>
    <n v="4.9620951068077526"/>
    <n v="14320"/>
    <n v="125561"/>
    <n v="3"/>
    <n v="2.9772570640846516"/>
    <n v="6129"/>
    <n v="8"/>
    <n v="20449"/>
    <n v="0.33080634045385016"/>
    <n v="7.9393521708924037"/>
    <n v="2897.8635423757273"/>
    <n v="1.2724504632692906"/>
    <n v="30.538811118462974"/>
    <n v="11146.666058238985"/>
  </r>
  <r>
    <d v="2022-10-19T09:24:00"/>
    <x v="2"/>
    <s v=""/>
    <x v="9"/>
    <x v="26"/>
    <x v="4"/>
    <s v="10/2022"/>
    <s v="19/10/2022"/>
    <d v="1899-12-31T01:50:00"/>
    <n v="1.0763888888905058"/>
    <d v="1901-10-31T16:24:00"/>
    <n v="670.6833333333343"/>
    <m/>
    <m/>
    <n v="0"/>
    <n v="194087"/>
    <n v="8"/>
    <n v="7.432258064504965"/>
    <n v="14328"/>
    <n v="125563"/>
    <n v="2"/>
    <n v="1.8580645161262412"/>
    <n v="6131"/>
    <n v="10"/>
    <n v="20459"/>
    <n v="0.3870967741929669"/>
    <n v="9.2903225806312069"/>
    <n v="3390.9677419303907"/>
    <n v="1.271029546979447"/>
    <n v="30.504709127506729"/>
    <n v="11134.218831539956"/>
  </r>
  <r>
    <d v="2022-10-20T07:23:00"/>
    <x v="2"/>
    <s v=""/>
    <x v="9"/>
    <x v="27"/>
    <x v="0"/>
    <s v="10/2022"/>
    <s v="20/10/2022"/>
    <d v="1899-12-30T21:59:00"/>
    <n v="0.91597222221753327"/>
    <d v="1901-11-01T14:23:00"/>
    <n v="671.59930555555184"/>
    <m/>
    <m/>
    <n v="0"/>
    <n v="194096"/>
    <n v="9"/>
    <n v="9.8256254738941191"/>
    <n v="14337"/>
    <n v="125566"/>
    <n v="3"/>
    <n v="3.2752084912980397"/>
    <n v="6134"/>
    <n v="12"/>
    <n v="20471"/>
    <n v="0.54586808188300662"/>
    <n v="13.100833965192159"/>
    <n v="4781.8043972951382"/>
    <n v="1.2700405230880338"/>
    <n v="30.480972554112814"/>
    <n v="11125.554982251177"/>
  </r>
  <r>
    <d v="2022-10-21T08:08:00"/>
    <x v="2"/>
    <s v=""/>
    <x v="9"/>
    <x v="28"/>
    <x v="5"/>
    <s v="10/2022"/>
    <s v="21/10/2022"/>
    <d v="1899-12-31T00:45:00"/>
    <n v="1.03125"/>
    <d v="1901-11-02T15:08:00"/>
    <n v="672.63055555555184"/>
    <m/>
    <m/>
    <n v="0"/>
    <n v="194102"/>
    <n v="6"/>
    <n v="5.8181818181818183"/>
    <n v="14343"/>
    <n v="125568"/>
    <n v="2"/>
    <n v="1.9393939393939394"/>
    <n v="6136"/>
    <n v="8"/>
    <n v="20479"/>
    <n v="0.32323232323232326"/>
    <n v="7.7575757575757578"/>
    <n v="2831.5151515151515"/>
    <n v="1.2685889149979215"/>
    <n v="30.446133959950117"/>
    <n v="11112.838895381792"/>
  </r>
  <r>
    <d v="2022-10-22T08:07:00"/>
    <x v="2"/>
    <s v=""/>
    <x v="9"/>
    <x v="29"/>
    <x v="6"/>
    <s v="10/2022"/>
    <s v="22/10/2022"/>
    <d v="1899-12-30T23:59:00"/>
    <n v="0.99930555555329192"/>
    <d v="1901-11-03T15:07:00"/>
    <n v="673.62986111110513"/>
    <m/>
    <m/>
    <n v="0"/>
    <n v="194109"/>
    <n v="7"/>
    <n v="7.0048644892444987"/>
    <n v="14350"/>
    <n v="125571"/>
    <n v="3"/>
    <n v="3.0020847811047848"/>
    <n v="6139"/>
    <n v="10"/>
    <n v="20489"/>
    <n v="0.41695621959788681"/>
    <n v="10.006949270349283"/>
    <n v="3652.5364836774884"/>
    <n v="1.2673255486703059"/>
    <n v="30.415813168087343"/>
    <n v="11101.771806351881"/>
  </r>
  <r>
    <d v="2022-10-23T10:48:00"/>
    <x v="2"/>
    <s v=""/>
    <x v="9"/>
    <x v="30"/>
    <x v="1"/>
    <s v="10/2022"/>
    <s v="23/10/2022"/>
    <d v="1899-12-31T02:41:00"/>
    <n v="1.1118055555562023"/>
    <d v="1901-11-04T17:48:00"/>
    <n v="674.74166666666133"/>
    <m/>
    <m/>
    <n v="0"/>
    <n v="194118"/>
    <n v="9"/>
    <n v="8.0949406620814877"/>
    <n v="14359"/>
    <n v="125574"/>
    <n v="3"/>
    <n v="2.6983135540271626"/>
    <n v="6142"/>
    <n v="12"/>
    <n v="20501"/>
    <n v="0.44971892567119376"/>
    <n v="10.79325421610865"/>
    <n v="3939.5377888796575"/>
    <n v="1.2659783373883933"/>
    <n v="30.383480097321439"/>
    <n v="11089.970235522325"/>
  </r>
  <r>
    <d v="2022-10-24T07:34:00"/>
    <x v="2"/>
    <s v=""/>
    <x v="9"/>
    <x v="1"/>
    <x v="2"/>
    <s v="10/2022"/>
    <s v="24/10/2022"/>
    <d v="1899-12-30T20:46:00"/>
    <n v="0.86527777778246673"/>
    <d v="1901-11-05T14:34:00"/>
    <n v="675.6069444444438"/>
    <m/>
    <m/>
    <n v="0"/>
    <n v="194123"/>
    <n v="5"/>
    <n v="5.7784911717182847"/>
    <n v="14364"/>
    <n v="125577"/>
    <n v="3"/>
    <n v="3.4670947030309711"/>
    <n v="6145"/>
    <n v="8"/>
    <n v="20509"/>
    <n v="0.38523274478121899"/>
    <n v="9.2455858747492563"/>
    <n v="3374.6388442834786"/>
    <n v="1.2648503300530194"/>
    <n v="30.356407921272464"/>
    <n v="11080.08889126445"/>
  </r>
  <r>
    <d v="2022-10-25T07:35:00"/>
    <x v="2"/>
    <s v=""/>
    <x v="9"/>
    <x v="2"/>
    <x v="3"/>
    <s v="10/2022"/>
    <s v="25/10/2022"/>
    <d v="1899-12-31T00:01:00"/>
    <n v="1.0006944444394321"/>
    <d v="1901-11-06T14:35:00"/>
    <n v="676.60763888888323"/>
    <m/>
    <m/>
    <n v="0"/>
    <n v="194130"/>
    <n v="7"/>
    <n v="6.9951422623528723"/>
    <n v="14371"/>
    <n v="125579"/>
    <n v="2"/>
    <n v="1.9986120749579634"/>
    <n v="6147"/>
    <n v="9"/>
    <n v="20518"/>
    <n v="0.37473976405461817"/>
    <n v="8.9937543373108362"/>
    <n v="3282.7203331184551"/>
    <n v="1.2635338673837622"/>
    <n v="30.324812817210294"/>
    <n v="11068.556678281757"/>
  </r>
  <r>
    <d v="2022-10-26T08:43:00"/>
    <x v="2"/>
    <s v=""/>
    <x v="9"/>
    <x v="3"/>
    <x v="4"/>
    <s v="10/2022"/>
    <s v="26/10/2022"/>
    <d v="1899-12-31T01:08:00"/>
    <n v="1.047222222223354"/>
    <d v="1901-11-07T15:43:00"/>
    <n v="677.65486111110658"/>
    <m/>
    <m/>
    <n v="0"/>
    <n v="194139"/>
    <n v="9"/>
    <n v="8.5941644562241333"/>
    <n v="14380"/>
    <n v="125582"/>
    <n v="3"/>
    <n v="2.8647214854080443"/>
    <n v="6150"/>
    <n v="12"/>
    <n v="20530"/>
    <n v="0.47745358090134077"/>
    <n v="11.458885941632177"/>
    <n v="4182.4933686957447"/>
    <n v="1.2623190886052165"/>
    <n v="30.295658126525197"/>
    <n v="11057.915216181696"/>
  </r>
  <r>
    <d v="2022-10-27T07:36:00"/>
    <x v="2"/>
    <s v=""/>
    <x v="9"/>
    <x v="4"/>
    <x v="0"/>
    <s v="10/2022"/>
    <s v="27/10/2022"/>
    <d v="1899-12-30T22:53:00"/>
    <n v="0.95347222222335404"/>
    <d v="1901-11-08T14:36:00"/>
    <n v="678.60833333332994"/>
    <m/>
    <m/>
    <n v="0"/>
    <n v="194148"/>
    <n v="9"/>
    <n v="9.4391842680150155"/>
    <n v="14389"/>
    <n v="125585"/>
    <n v="3"/>
    <n v="3.1463947560050052"/>
    <n v="6153"/>
    <n v="12"/>
    <n v="20542"/>
    <n v="0.52439912600083416"/>
    <n v="12.585579024020021"/>
    <n v="4593.7363437673075"/>
    <n v="1.2612822811391022"/>
    <n v="30.270774747338454"/>
    <n v="11048.832782778536"/>
  </r>
  <r>
    <d v="2022-10-28T08:22:00"/>
    <x v="2"/>
    <s v=""/>
    <x v="9"/>
    <x v="5"/>
    <x v="5"/>
    <s v="10/2022"/>
    <s v="28/10/2022"/>
    <d v="1899-12-31T00:46:00"/>
    <n v="1.0319444444467081"/>
    <d v="1901-11-09T15:22:00"/>
    <n v="679.64027777777665"/>
    <m/>
    <m/>
    <n v="0"/>
    <n v="194156"/>
    <n v="8"/>
    <n v="7.7523553162683241"/>
    <n v="14397"/>
    <n v="125588"/>
    <n v="3"/>
    <n v="2.9071332436006219"/>
    <n v="6156"/>
    <n v="11"/>
    <n v="20553"/>
    <n v="0.44414535666120608"/>
    <n v="10.659488559868946"/>
    <n v="3890.7133243521653"/>
    <n v="1.2600415661062552"/>
    <n v="30.240997586550126"/>
    <n v="11037.964119090795"/>
  </r>
  <r>
    <d v="2022-10-29T08:05:00"/>
    <x v="2"/>
    <s v=""/>
    <x v="9"/>
    <x v="6"/>
    <x v="6"/>
    <s v="10/2022"/>
    <s v="29/10/2022"/>
    <d v="1899-12-30T23:43:00"/>
    <n v="0.9881944444423425"/>
    <d v="1901-11-10T15:05:00"/>
    <n v="680.62847222221899"/>
    <m/>
    <m/>
    <n v="0"/>
    <n v="194163"/>
    <n v="7"/>
    <n v="7.0836261419686863"/>
    <n v="14404"/>
    <n v="125591"/>
    <n v="3"/>
    <n v="3.0358397751294368"/>
    <n v="6159"/>
    <n v="10"/>
    <n v="20563"/>
    <n v="0.4216444132124218"/>
    <n v="10.119465917098124"/>
    <n v="3693.6050597408152"/>
    <n v="1.2588243096402996"/>
    <n v="30.211783431367191"/>
    <n v="11027.300952449024"/>
  </r>
  <r>
    <d v="2022-11-01T08:14:00"/>
    <x v="2"/>
    <s v=""/>
    <x v="10"/>
    <x v="9"/>
    <x v="3"/>
    <s v="11/2022"/>
    <s v="1/11/2022"/>
    <d v="1900-01-02T00:09:00"/>
    <n v="3.0062499999985448"/>
    <d v="1901-11-13T15:14:00"/>
    <n v="683.63472222221753"/>
    <m/>
    <m/>
    <n v="0"/>
    <n v="194180"/>
    <n v="17"/>
    <n v="5.6548856548883926"/>
    <n v="14421"/>
    <n v="125600"/>
    <n v="9"/>
    <n v="2.993762993764443"/>
    <n v="6168"/>
    <n v="26"/>
    <n v="20589"/>
    <n v="0.36036036036053481"/>
    <n v="8.6486486486528342"/>
    <n v="3156.7567567582846"/>
    <n v="1.2548733587015568"/>
    <n v="30.116960608837367"/>
    <n v="10992.690622225638"/>
  </r>
  <r>
    <d v="2022-11-02T08:18:00"/>
    <x v="2"/>
    <s v=""/>
    <x v="10"/>
    <x v="10"/>
    <x v="4"/>
    <s v="11/2022"/>
    <s v="2/11/2022"/>
    <d v="1899-12-31T00:04:00"/>
    <n v="1.0027777777795563"/>
    <d v="1901-11-14T15:18:00"/>
    <n v="684.63749999999709"/>
    <m/>
    <m/>
    <n v="0"/>
    <n v="194190"/>
    <n v="10"/>
    <n v="9.9722991689573828"/>
    <n v="14431"/>
    <n v="125603"/>
    <n v="3"/>
    <n v="2.9916897506872147"/>
    <n v="6171"/>
    <n v="13"/>
    <n v="20602"/>
    <n v="0.54016620498519152"/>
    <n v="12.963988919644597"/>
    <n v="4731.8559556702785"/>
    <n v="1.2538265383749361"/>
    <n v="30.091836920998468"/>
    <n v="10983.52047616444"/>
  </r>
  <r>
    <d v="2022-11-03T09:18:00"/>
    <x v="2"/>
    <s v=""/>
    <x v="10"/>
    <x v="11"/>
    <x v="0"/>
    <s v="11/2022"/>
    <s v="3/11/2022"/>
    <d v="1899-12-31T01:00:00"/>
    <n v="1.0416666666642413"/>
    <d v="1901-11-15T16:18:00"/>
    <n v="685.67916666666133"/>
    <m/>
    <m/>
    <n v="0"/>
    <n v="194202"/>
    <n v="12"/>
    <n v="11.520000000026823"/>
    <n v="14443"/>
    <n v="125607"/>
    <n v="4"/>
    <n v="3.8400000000089407"/>
    <n v="6175"/>
    <n v="16"/>
    <n v="20618"/>
    <n v="0.64000000000149015"/>
    <n v="15.360000000035763"/>
    <n v="5606.4000000130536"/>
    <n v="1.2528940284268129"/>
    <n v="30.069456682243509"/>
    <n v="10975.35168901888"/>
  </r>
  <r>
    <d v="2022-11-04T08:54:00"/>
    <x v="2"/>
    <s v=""/>
    <x v="10"/>
    <x v="12"/>
    <x v="5"/>
    <s v="11/2022"/>
    <s v="4/11/2022"/>
    <d v="1899-12-30T23:36:00"/>
    <n v="0.98333333333721384"/>
    <d v="1901-11-16T15:54:00"/>
    <n v="686.66249999999854"/>
    <m/>
    <m/>
    <n v="0"/>
    <n v="194230"/>
    <n v="28"/>
    <n v="28.474576271074071"/>
    <n v="14471"/>
    <n v="125619"/>
    <n v="12"/>
    <n v="12.203389830460317"/>
    <n v="6187"/>
    <n v="40"/>
    <n v="20658"/>
    <n v="1.6949152542305996"/>
    <n v="40.677966101534388"/>
    <n v="14847.457627060052"/>
    <n v="1.2535270238290308"/>
    <n v="30.084648571896739"/>
    <n v="10980.896728742309"/>
  </r>
  <r>
    <d v="2022-11-05T07:29:00"/>
    <x v="2"/>
    <s v=""/>
    <x v="10"/>
    <x v="13"/>
    <x v="6"/>
    <s v="11/2022"/>
    <s v="5/11/2022"/>
    <d v="1899-12-30T22:35:00"/>
    <n v="0.94097222221898846"/>
    <d v="1901-11-17T14:29:00"/>
    <n v="687.60347222221753"/>
    <m/>
    <m/>
    <n v="0"/>
    <n v="194257"/>
    <n v="27"/>
    <n v="28.69372693736798"/>
    <n v="14498"/>
    <n v="125625"/>
    <n v="6"/>
    <n v="6.3763837638595513"/>
    <n v="6193"/>
    <n v="33"/>
    <n v="20691"/>
    <n v="1.4612546125511472"/>
    <n v="35.070110701227534"/>
    <n v="12800.590405948051"/>
    <n v="1.2538112950677205"/>
    <n v="30.091471081625293"/>
    <n v="10983.386944793232"/>
  </r>
  <r>
    <d v="2022-11-06T10:34:00"/>
    <x v="2"/>
    <s v=""/>
    <x v="10"/>
    <x v="14"/>
    <x v="1"/>
    <s v="11/2022"/>
    <s v="6/11/2022"/>
    <d v="1899-12-31T03:05:00"/>
    <n v="1.1284722222262644"/>
    <d v="1901-11-18T17:34:00"/>
    <n v="688.7319444444438"/>
    <m/>
    <m/>
    <n v="0"/>
    <n v="194289"/>
    <n v="32"/>
    <n v="28.356923076821502"/>
    <n v="14530"/>
    <n v="125628"/>
    <n v="3"/>
    <n v="2.6584615384520158"/>
    <n v="6196"/>
    <n v="35"/>
    <n v="20726"/>
    <n v="1.2923076923030632"/>
    <n v="31.015384615273518"/>
    <n v="11320.615384574834"/>
    <n v="1.2538743705723292"/>
    <n v="30.092984893735899"/>
    <n v="10983.939486213603"/>
  </r>
  <r>
    <d v="2022-11-07T07:43:00"/>
    <x v="2"/>
    <s v=""/>
    <x v="10"/>
    <x v="15"/>
    <x v="2"/>
    <s v="11/2022"/>
    <s v="7/11/2022"/>
    <d v="1899-12-30T21:09:00"/>
    <n v="0.88124999999854481"/>
    <d v="1901-11-19T14:43:00"/>
    <n v="689.61319444444234"/>
    <m/>
    <m/>
    <n v="0"/>
    <n v="194308"/>
    <n v="19"/>
    <n v="21.560283687978863"/>
    <n v="14549"/>
    <n v="125632"/>
    <n v="4"/>
    <n v="4.5390070922060763"/>
    <n v="6200"/>
    <n v="23"/>
    <n v="20749"/>
    <n v="1.0874704491743725"/>
    <n v="26.099290780184941"/>
    <n v="9526.2411347675024"/>
    <n v="1.2536617246181725"/>
    <n v="30.087881390836138"/>
    <n v="10982.076707655191"/>
  </r>
  <r>
    <d v="2022-11-08T07:41:00"/>
    <x v="2"/>
    <s v=""/>
    <x v="10"/>
    <x v="16"/>
    <x v="3"/>
    <s v="11/2022"/>
    <s v="8/11/2022"/>
    <d v="1899-12-30T23:58:00"/>
    <n v="0.99861111111385981"/>
    <d v="1901-11-20T14:41:00"/>
    <n v="690.6118055555562"/>
    <m/>
    <m/>
    <n v="0"/>
    <n v="194326"/>
    <n v="18"/>
    <n v="18.025034770464991"/>
    <n v="14567"/>
    <n v="125636"/>
    <n v="4"/>
    <n v="4.0055632823255536"/>
    <n v="6204"/>
    <n v="22"/>
    <n v="20771"/>
    <n v="0.91794158553293925"/>
    <n v="22.030598052790541"/>
    <n v="8041.1682892685476"/>
    <n v="1.2531762798887045"/>
    <n v="30.076230717328912"/>
    <n v="10977.824211825053"/>
  </r>
  <r>
    <d v="2022-11-09T09:20:00"/>
    <x v="2"/>
    <s v=""/>
    <x v="10"/>
    <x v="17"/>
    <x v="4"/>
    <s v="11/2022"/>
    <s v="9/11/2022"/>
    <d v="1899-12-31T01:39:00"/>
    <n v="1.0687499999985448"/>
    <d v="1901-11-21T16:20:00"/>
    <n v="691.68055555555475"/>
    <m/>
    <m/>
    <n v="0"/>
    <n v="194343"/>
    <n v="17"/>
    <n v="15.90643274855967"/>
    <n v="14584"/>
    <n v="125639"/>
    <n v="3"/>
    <n v="2.8070175438634712"/>
    <n v="6207"/>
    <n v="20"/>
    <n v="20791"/>
    <n v="0.77972709551763086"/>
    <n v="18.71345029242314"/>
    <n v="6830.4093567344462"/>
    <n v="1.2524447300255031"/>
    <n v="30.058673520612071"/>
    <n v="10971.415835023407"/>
  </r>
  <r>
    <d v="2022-11-10T07:24:00"/>
    <x v="2"/>
    <s v=""/>
    <x v="10"/>
    <x v="18"/>
    <x v="0"/>
    <s v="11/2022"/>
    <s v="10/11/2022"/>
    <d v="1899-12-30T22:04:00"/>
    <n v="0.91944444444379769"/>
    <d v="1901-11-22T14:24:00"/>
    <n v="692.59999999999854"/>
    <m/>
    <m/>
    <n v="0"/>
    <n v="194361"/>
    <n v="18"/>
    <n v="19.577039274938244"/>
    <n v="14602"/>
    <n v="125644"/>
    <n v="5"/>
    <n v="5.438066465260623"/>
    <n v="6212"/>
    <n v="23"/>
    <n v="20814"/>
    <n v="1.0422960725082859"/>
    <n v="25.015105740198866"/>
    <n v="9130.5135951725861"/>
    <n v="1.2521657522379466"/>
    <n v="30.05197805371072"/>
    <n v="10968.971989604413"/>
  </r>
  <r>
    <d v="2022-11-11T08:42:00"/>
    <x v="2"/>
    <s v=""/>
    <x v="10"/>
    <x v="19"/>
    <x v="5"/>
    <s v="11/2022"/>
    <s v="11/11/2022"/>
    <d v="1899-12-31T01:18:00"/>
    <n v="1.0541666666686069"/>
    <d v="1901-11-23T15:42:00"/>
    <n v="693.65416666666715"/>
    <m/>
    <m/>
    <n v="0"/>
    <n v="194388"/>
    <n v="27"/>
    <n v="25.61264822129673"/>
    <n v="14629"/>
    <n v="125657"/>
    <n v="13"/>
    <n v="12.332015810253981"/>
    <n v="6225"/>
    <n v="40"/>
    <n v="20854"/>
    <n v="1.5810276679812798"/>
    <n v="37.944664031550715"/>
    <n v="13849.802371516011"/>
    <n v="1.2526655333769821"/>
    <n v="30.063972801047573"/>
    <n v="10973.350072382364"/>
  </r>
  <r>
    <d v="2022-11-12T08:38:00"/>
    <x v="2"/>
    <s v=""/>
    <x v="10"/>
    <x v="20"/>
    <x v="6"/>
    <s v="11/2022"/>
    <s v="12/11/2022"/>
    <d v="1899-12-30T23:56:00"/>
    <n v="0.99722222222044365"/>
    <d v="1901-11-24T15:38:00"/>
    <n v="694.6513888888876"/>
    <m/>
    <m/>
    <n v="0"/>
    <n v="194410"/>
    <n v="22"/>
    <n v="22.061281337086701"/>
    <n v="14651"/>
    <n v="125662"/>
    <n v="5"/>
    <n v="5.0139275766106142"/>
    <n v="6230"/>
    <n v="27"/>
    <n v="20881"/>
    <n v="1.1281337047373881"/>
    <n v="27.075208913697313"/>
    <n v="9882.4512534995192"/>
    <n v="1.2524867589458364"/>
    <n v="30.059682214700075"/>
    <n v="10971.784008365528"/>
  </r>
  <r>
    <d v="2022-11-13T09:06:00"/>
    <x v="2"/>
    <s v=""/>
    <x v="10"/>
    <x v="21"/>
    <x v="1"/>
    <s v="11/2022"/>
    <s v="13/11/2022"/>
    <d v="1899-12-31T00:28:00"/>
    <n v="1.0194444444423425"/>
    <d v="1901-11-25T16:06:00"/>
    <n v="695.67083333332994"/>
    <m/>
    <m/>
    <n v="0"/>
    <n v="194427"/>
    <n v="17"/>
    <n v="16.675749318835472"/>
    <n v="14668"/>
    <n v="125665"/>
    <n v="3"/>
    <n v="2.942779291559201"/>
    <n v="6233"/>
    <n v="20"/>
    <n v="20901"/>
    <n v="0.81743869209977804"/>
    <n v="19.618528610394673"/>
    <n v="7160.7629427940556"/>
    <n v="1.2518492342523164"/>
    <n v="30.044381622055596"/>
    <n v="10966.199292050293"/>
  </r>
  <r>
    <d v="2022-11-14T07:40:00"/>
    <x v="2"/>
    <s v=""/>
    <x v="10"/>
    <x v="22"/>
    <x v="2"/>
    <s v="11/2022"/>
    <s v="14/11/2022"/>
    <d v="1899-12-30T22:34:00"/>
    <n v="0.94027777777955635"/>
    <d v="1901-11-26T14:40:00"/>
    <n v="696.61111111110949"/>
    <m/>
    <m/>
    <n v="0"/>
    <n v="194440"/>
    <n v="13"/>
    <n v="13.825701624789209"/>
    <n v="14681"/>
    <n v="125668"/>
    <n v="3"/>
    <n v="3.1905465287975101"/>
    <n v="6236"/>
    <n v="16"/>
    <n v="20917"/>
    <n v="0.70901033973278005"/>
    <n v="17.016248153586719"/>
    <n v="6210.9305760591524"/>
    <n v="1.2511165164686209"/>
    <n v="30.026796395246901"/>
    <n v="10959.780684265119"/>
  </r>
  <r>
    <d v="2022-11-16T07:41:00"/>
    <x v="2"/>
    <s v=""/>
    <x v="10"/>
    <x v="24"/>
    <x v="4"/>
    <s v="11/2022"/>
    <s v="16/11/2022"/>
    <d v="1900-01-01T00:01:00"/>
    <n v="2.0006944444467081"/>
    <d v="1901-11-28T14:41:00"/>
    <n v="698.6118055555562"/>
    <m/>
    <m/>
    <n v="0"/>
    <n v="194483"/>
    <n v="43"/>
    <n v="21.492537313408519"/>
    <n v="14724"/>
    <n v="125678"/>
    <n v="10"/>
    <n v="4.9982644914903531"/>
    <n v="6246"/>
    <n v="53"/>
    <n v="20970"/>
    <n v="1.1037834085374529"/>
    <n v="26.490801804898872"/>
    <n v="9669.1426587880887"/>
    <n v="1.2506945818145299"/>
    <n v="30.016669963548715"/>
    <n v="10956.084536695282"/>
  </r>
  <r>
    <d v="2022-11-17T07:11:00"/>
    <x v="2"/>
    <s v=""/>
    <x v="10"/>
    <x v="0"/>
    <x v="0"/>
    <s v="11/2022"/>
    <s v="17/11/2022"/>
    <d v="1899-12-30T23:30:00"/>
    <n v="0.97916666666424135"/>
    <d v="1901-11-29T14:11:00"/>
    <n v="699.59097222222044"/>
    <m/>
    <m/>
    <n v="0"/>
    <n v="194509"/>
    <n v="26"/>
    <n v="26.553191489427473"/>
    <n v="14750"/>
    <n v="125682"/>
    <n v="4"/>
    <n v="4.0851063829888421"/>
    <n v="6250"/>
    <n v="30"/>
    <n v="21000"/>
    <n v="1.276595744684013"/>
    <n v="30.638297872416313"/>
    <n v="11182.978723431954"/>
    <n v="1.2507308337907797"/>
    <n v="30.017540010978713"/>
    <n v="10956.402104007231"/>
  </r>
  <r>
    <d v="2022-11-18T07:52:00"/>
    <x v="2"/>
    <s v=""/>
    <x v="10"/>
    <x v="25"/>
    <x v="5"/>
    <s v="11/2022"/>
    <s v="18/11/2022"/>
    <d v="1899-12-31T00:41:00"/>
    <n v="1.0284722222204437"/>
    <d v="1901-11-30T14:52:00"/>
    <n v="700.61944444444089"/>
    <m/>
    <m/>
    <n v="0"/>
    <n v="194533"/>
    <n v="24"/>
    <n v="23.335584064861422"/>
    <n v="14774"/>
    <n v="125687"/>
    <n v="5"/>
    <n v="4.8615800135127962"/>
    <n v="6255"/>
    <n v="29"/>
    <n v="21029"/>
    <n v="1.1748818365989258"/>
    <n v="28.197164078374218"/>
    <n v="10291.96488860659"/>
    <n v="1.2506194914817508"/>
    <n v="30.014867795562015"/>
    <n v="10955.426745380135"/>
  </r>
  <r>
    <d v="2022-11-19T09:37:00"/>
    <x v="2"/>
    <s v=""/>
    <x v="10"/>
    <x v="26"/>
    <x v="6"/>
    <s v="11/2022"/>
    <s v="19/11/2022"/>
    <d v="1899-12-31T01:45:00"/>
    <n v="1.0729166666642413"/>
    <d v="1901-12-01T16:37:00"/>
    <n v="701.69236111110513"/>
    <m/>
    <m/>
    <n v="0"/>
    <n v="194565"/>
    <n v="32"/>
    <n v="29.825242718514023"/>
    <n v="14806"/>
    <n v="125700"/>
    <n v="13"/>
    <n v="12.116504854396322"/>
    <n v="6268"/>
    <n v="45"/>
    <n v="21074"/>
    <n v="1.7475728155379309"/>
    <n v="41.941747572910344"/>
    <n v="15308.737864112276"/>
    <n v="1.2513793536855942"/>
    <n v="30.03310448845426"/>
    <n v="10962.083138285805"/>
  </r>
  <r>
    <d v="2022-11-20T09:39:00"/>
    <x v="2"/>
    <s v=""/>
    <x v="10"/>
    <x v="27"/>
    <x v="1"/>
    <s v="11/2022"/>
    <s v="20/11/2022"/>
    <d v="1899-12-31T00:02:00"/>
    <n v="1.0013888888934162"/>
    <d v="1901-12-02T16:39:00"/>
    <n v="702.69374999999854"/>
    <m/>
    <m/>
    <n v="0"/>
    <n v="194594"/>
    <n v="29"/>
    <n v="28.959778085860751"/>
    <n v="14835"/>
    <n v="125716"/>
    <n v="16"/>
    <n v="15.977808599095587"/>
    <n v="6284"/>
    <n v="45"/>
    <n v="21119"/>
    <n v="1.872399445206514"/>
    <n v="44.937586684956337"/>
    <n v="16402.219140009063"/>
    <n v="1.2522643517653818"/>
    <n v="30.05434444236916"/>
    <n v="10969.835721464744"/>
  </r>
  <r>
    <d v="2022-11-21T07:21:00"/>
    <x v="2"/>
    <s v=""/>
    <x v="10"/>
    <x v="28"/>
    <x v="2"/>
    <s v="11/2022"/>
    <s v="21/11/2022"/>
    <d v="1899-12-30T21:42:00"/>
    <n v="0.90416666666715173"/>
    <d v="1901-12-03T14:21:00"/>
    <n v="703.5979166666657"/>
    <m/>
    <m/>
    <n v="0"/>
    <n v="194624"/>
    <n v="30"/>
    <n v="33.17972350228635"/>
    <n v="14865"/>
    <n v="125720"/>
    <n v="4"/>
    <n v="4.4239631336381793"/>
    <n v="6288"/>
    <n v="34"/>
    <n v="21153"/>
    <n v="1.5668202764968553"/>
    <n v="37.603686635924525"/>
    <n v="13725.345622112452"/>
    <n v="1.2526685755062539"/>
    <n v="30.064045812150091"/>
    <n v="10973.376721434783"/>
  </r>
  <r>
    <d v="2022-11-22T07:43:00"/>
    <x v="2"/>
    <s v=""/>
    <x v="10"/>
    <x v="29"/>
    <x v="3"/>
    <s v="11/2022"/>
    <s v="22/11/2022"/>
    <d v="1899-12-31T00:22:00"/>
    <n v="1.015277777776646"/>
    <d v="1901-12-04T14:43:00"/>
    <n v="704.61319444444234"/>
    <m/>
    <m/>
    <n v="0"/>
    <n v="194661"/>
    <n v="37"/>
    <n v="36.443228454212992"/>
    <n v="14902"/>
    <n v="125725"/>
    <n v="5"/>
    <n v="4.9247606019206751"/>
    <n v="6293"/>
    <n v="42"/>
    <n v="21195"/>
    <n v="1.7236662106722362"/>
    <n v="41.367989056133666"/>
    <n v="15099.316005488789"/>
    <n v="1.2533472364171474"/>
    <n v="30.080333674011541"/>
    <n v="10979.321791014212"/>
  </r>
  <r>
    <d v="2022-11-23T07:42:00"/>
    <x v="2"/>
    <s v=""/>
    <x v="10"/>
    <x v="30"/>
    <x v="4"/>
    <s v="11/2022"/>
    <s v="23/11/2022"/>
    <d v="1899-12-30T23:59:00"/>
    <n v="0.99930555555329192"/>
    <d v="1901-12-05T14:42:00"/>
    <n v="705.61249999999563"/>
    <m/>
    <m/>
    <n v="0"/>
    <n v="194680"/>
    <n v="19"/>
    <n v="19.013203613663638"/>
    <n v="14921"/>
    <n v="125739"/>
    <n v="14"/>
    <n v="14.009728978488997"/>
    <n v="6307"/>
    <n v="33"/>
    <n v="21228"/>
    <n v="1.3759555246730264"/>
    <n v="33.022932592152635"/>
    <n v="12053.370396135711"/>
    <n v="1.2535208772520405"/>
    <n v="30.084501054048975"/>
    <n v="10980.842884727876"/>
  </r>
  <r>
    <d v="2022-11-24T08:39:00"/>
    <x v="2"/>
    <s v=""/>
    <x v="10"/>
    <x v="1"/>
    <x v="0"/>
    <s v="11/2022"/>
    <s v="24/11/2022"/>
    <d v="1899-12-31T00:57:00"/>
    <n v="1.039583333338669"/>
    <d v="1901-12-06T15:39:00"/>
    <n v="706.6520833333343"/>
    <m/>
    <m/>
    <n v="0"/>
    <n v="194708"/>
    <n v="28"/>
    <n v="26.933867735332704"/>
    <n v="14949"/>
    <n v="125753"/>
    <n v="14"/>
    <n v="13.466933867666352"/>
    <n v="6321"/>
    <n v="42"/>
    <n v="21270"/>
    <n v="1.683366733458294"/>
    <n v="40.400801602999053"/>
    <n v="14746.292585094654"/>
    <n v="1.2541532401906861"/>
    <n v="30.099677764576469"/>
    <n v="10986.382384070412"/>
  </r>
  <r>
    <d v="2022-11-25T08:19:00"/>
    <x v="2"/>
    <s v=""/>
    <x v="10"/>
    <x v="2"/>
    <x v="5"/>
    <s v="11/2022"/>
    <s v="25/11/2022"/>
    <d v="1899-12-30T23:40:00"/>
    <n v="0.98611111110949423"/>
    <d v="1901-12-07T15:19:00"/>
    <n v="707.6381944444438"/>
    <m/>
    <m/>
    <n v="0"/>
    <n v="194736"/>
    <n v="28"/>
    <n v="28.394366197229655"/>
    <n v="14977"/>
    <n v="125757"/>
    <n v="4"/>
    <n v="4.0563380281756647"/>
    <n v="6325"/>
    <n v="32"/>
    <n v="21302"/>
    <n v="1.3521126760585551"/>
    <n v="32.450704225405318"/>
    <n v="11844.50704227294"/>
    <n v="1.2542897490576548"/>
    <n v="30.102953977383716"/>
    <n v="10987.578201745057"/>
  </r>
  <r>
    <d v="2022-11-26T08:29:00"/>
    <x v="2"/>
    <s v=""/>
    <x v="10"/>
    <x v="3"/>
    <x v="6"/>
    <s v="11/2022"/>
    <s v="26/11/2022"/>
    <d v="1899-12-31T00:10:00"/>
    <n v="1.0069444444452529"/>
    <d v="1901-12-08T15:29:00"/>
    <n v="708.64513888888905"/>
    <m/>
    <m/>
    <n v="0"/>
    <n v="194763"/>
    <n v="27"/>
    <n v="26.813793103426747"/>
    <n v="15004"/>
    <n v="125762"/>
    <n v="5"/>
    <n v="4.9655172413753235"/>
    <n v="6330"/>
    <n v="32"/>
    <n v="21334"/>
    <n v="1.3241379310334196"/>
    <n v="31.77931034480207"/>
    <n v="11599.448275852756"/>
    <n v="1.2543889993522457"/>
    <n v="30.105335984453895"/>
    <n v="10988.447634325672"/>
  </r>
  <r>
    <d v="2022-11-27T09:16:00"/>
    <x v="2"/>
    <s v=""/>
    <x v="10"/>
    <x v="4"/>
    <x v="1"/>
    <s v="11/2022"/>
    <s v="27/11/2022"/>
    <d v="1899-12-31T00:47:00"/>
    <n v="1.0326388888861402"/>
    <d v="1901-12-09T16:16:00"/>
    <n v="709.67777777777519"/>
    <m/>
    <m/>
    <n v="0"/>
    <n v="194797"/>
    <n v="34"/>
    <n v="32.925353059939695"/>
    <n v="15038"/>
    <n v="125766"/>
    <n v="4"/>
    <n v="3.873570948228199"/>
    <n v="6334"/>
    <n v="38"/>
    <n v="21372"/>
    <n v="1.5332885003403287"/>
    <n v="36.798924008167894"/>
    <n v="13431.607262981281"/>
    <n v="1.2547948208107012"/>
    <n v="30.115075699456828"/>
    <n v="10992.002630301742"/>
  </r>
  <r>
    <d v="2022-11-28T07:50:00"/>
    <x v="2"/>
    <s v=""/>
    <x v="10"/>
    <x v="5"/>
    <x v="2"/>
    <s v="11/2022"/>
    <s v="28/11/2022"/>
    <d v="1899-12-30T22:34:00"/>
    <n v="0.94027777777955635"/>
    <d v="1901-12-10T14:50:00"/>
    <n v="710.61805555555475"/>
    <m/>
    <m/>
    <n v="0"/>
    <n v="194826"/>
    <n v="29"/>
    <n v="30.84194977837593"/>
    <n v="15067"/>
    <n v="125778"/>
    <n v="12"/>
    <n v="12.76218611519004"/>
    <n v="6346"/>
    <n v="41"/>
    <n v="21413"/>
    <n v="1.8168389955652489"/>
    <n v="43.604135893565967"/>
    <n v="15915.509601151578"/>
    <n v="1.2555385081452974"/>
    <n v="30.132924195487139"/>
    <n v="10998.517331352805"/>
  </r>
  <r>
    <d v="2022-11-29T07:34:00"/>
    <x v="2"/>
    <s v=""/>
    <x v="10"/>
    <x v="6"/>
    <x v="3"/>
    <s v="11/2022"/>
    <s v="29/11/2022"/>
    <d v="1899-12-30T23:44:00"/>
    <n v="0.98888888888905058"/>
    <d v="1901-12-11T14:34:00"/>
    <n v="711.6069444444438"/>
    <m/>
    <m/>
    <n v="0"/>
    <n v="194853"/>
    <n v="27"/>
    <n v="27.303370786512389"/>
    <n v="15094"/>
    <n v="125795"/>
    <n v="17"/>
    <n v="17.191011235952246"/>
    <n v="6363"/>
    <n v="44"/>
    <n v="21457"/>
    <n v="1.8539325842693597"/>
    <n v="44.494382022464634"/>
    <n v="16240.449438199592"/>
    <n v="1.25637007008785"/>
    <n v="30.152881682108401"/>
    <n v="11005.801813969567"/>
  </r>
  <r>
    <d v="2022-11-30T07:34:00"/>
    <x v="2"/>
    <s v=""/>
    <x v="10"/>
    <x v="7"/>
    <x v="4"/>
    <s v="11/2022"/>
    <s v="30/11/2022"/>
    <d v="1899-12-31T00:00:00"/>
    <n v="1"/>
    <d v="1901-12-12T14:34:00"/>
    <n v="712.6069444444438"/>
    <m/>
    <m/>
    <n v="0"/>
    <n v="194904"/>
    <n v="51"/>
    <n v="51"/>
    <n v="15145"/>
    <n v="125795"/>
    <n v="0"/>
    <n v="0"/>
    <n v="6363"/>
    <n v="51"/>
    <n v="21508"/>
    <n v="2.125"/>
    <n v="51"/>
    <n v="18615"/>
    <n v="1.257589016853222"/>
    <n v="30.18213640447733"/>
    <n v="11016.479787634225"/>
  </r>
  <r>
    <d v="2022-12-01T07:40:00"/>
    <x v="2"/>
    <s v=""/>
    <x v="0"/>
    <x v="9"/>
    <x v="0"/>
    <s v="12/2022"/>
    <s v="1/12/2022"/>
    <d v="1899-12-31T00:06:00"/>
    <n v="1.0041666666656965"/>
    <d v="1901-12-13T14:40:00"/>
    <n v="713.61111111110949"/>
    <m/>
    <m/>
    <n v="0"/>
    <n v="194961"/>
    <n v="57"/>
    <n v="56.76348547723326"/>
    <n v="15202"/>
    <n v="125795"/>
    <n v="0"/>
    <n v="0"/>
    <n v="6363"/>
    <n v="57"/>
    <n v="21565"/>
    <n v="2.3651452282180525"/>
    <n v="56.76348547723326"/>
    <n v="20718.67219919014"/>
    <n v="1.2591475282211007"/>
    <n v="30.219540677306412"/>
    <n v="11030.132347216841"/>
  </r>
  <r>
    <d v="2022-12-02T07:41:00"/>
    <x v="2"/>
    <s v=""/>
    <x v="0"/>
    <x v="10"/>
    <x v="5"/>
    <s v="12/2022"/>
    <s v="2/12/2022"/>
    <d v="1899-12-31T00:01:00"/>
    <n v="1.0006944444467081"/>
    <d v="1901-12-14T14:41:00"/>
    <n v="714.6118055555562"/>
    <m/>
    <m/>
    <n v="0"/>
    <n v="194984"/>
    <n v="23"/>
    <n v="22.984038861849466"/>
    <n v="15225"/>
    <n v="125816"/>
    <n v="21"/>
    <n v="20.985426786906036"/>
    <n v="6384"/>
    <n v="44"/>
    <n v="21609"/>
    <n v="1.8320610686981458"/>
    <n v="43.969465648755502"/>
    <n v="16048.854961795758"/>
    <n v="1.2599497979186436"/>
    <n v="30.238795150047444"/>
    <n v="11037.160229767318"/>
  </r>
  <r>
    <d v="2022-12-03T09:26:00"/>
    <x v="2"/>
    <s v=""/>
    <x v="0"/>
    <x v="11"/>
    <x v="6"/>
    <s v="12/2022"/>
    <s v="3/12/2022"/>
    <d v="1899-12-31T01:45:00"/>
    <n v="1.0729166666642413"/>
    <d v="1901-12-15T16:26:00"/>
    <n v="715.68472222222044"/>
    <m/>
    <m/>
    <n v="0"/>
    <n v="195032"/>
    <n v="48"/>
    <n v="44.737864077771036"/>
    <n v="15273"/>
    <n v="125838"/>
    <n v="22"/>
    <n v="20.504854368978389"/>
    <n v="6406"/>
    <n v="70"/>
    <n v="21679"/>
    <n v="2.7184466019478926"/>
    <n v="65.242718446749421"/>
    <n v="23813.59223306354"/>
    <n v="1.2621362991540765"/>
    <n v="30.291271179697841"/>
    <n v="11056.313980589712"/>
  </r>
  <r>
    <d v="2022-12-05T07:42:00"/>
    <x v="2"/>
    <s v=""/>
    <x v="0"/>
    <x v="13"/>
    <x v="2"/>
    <s v="12/2022"/>
    <s v="5/12/2022"/>
    <d v="1899-12-31T22:16:00"/>
    <n v="1.9277777777751908"/>
    <d v="1901-12-17T14:42:00"/>
    <n v="717.61249999999563"/>
    <m/>
    <m/>
    <n v="0"/>
    <n v="195116"/>
    <n v="84"/>
    <n v="43.573487031758759"/>
    <n v="15357"/>
    <n v="125870"/>
    <n v="32"/>
    <n v="16.599423631146195"/>
    <n v="6438"/>
    <n v="116"/>
    <n v="21795"/>
    <n v="2.5072046109543731"/>
    <n v="60.172910662904954"/>
    <n v="21963.112391960309"/>
    <n v="1.2654810221393935"/>
    <n v="30.371544531345446"/>
    <n v="11085.613753941088"/>
  </r>
  <r>
    <d v="2022-12-06T08:29:00"/>
    <x v="2"/>
    <s v=""/>
    <x v="0"/>
    <x v="14"/>
    <x v="3"/>
    <s v="12/2022"/>
    <s v="6/12/2022"/>
    <d v="1899-12-31T00:47:00"/>
    <n v="1.0326388888934162"/>
    <d v="1901-12-18T15:29:00"/>
    <n v="718.64513888888905"/>
    <m/>
    <m/>
    <n v="0"/>
    <n v="195163"/>
    <n v="47"/>
    <n v="45.514458641360648"/>
    <n v="15404"/>
    <n v="125895"/>
    <n v="25"/>
    <n v="24.209818426255662"/>
    <n v="6463"/>
    <n v="72"/>
    <n v="21867"/>
    <n v="2.9051782111506794"/>
    <n v="69.724277067616313"/>
    <n v="25449.361129679954"/>
    <n v="1.2678371433900015"/>
    <n v="30.428091441360039"/>
    <n v="11106.253376096414"/>
  </r>
  <r>
    <d v="2022-12-07T06:57:00"/>
    <x v="2"/>
    <s v=""/>
    <x v="0"/>
    <x v="15"/>
    <x v="4"/>
    <s v="12/2022"/>
    <s v="7/12/2022"/>
    <d v="1899-12-30T22:28:00"/>
    <n v="0.93611111110658385"/>
    <d v="1901-12-19T13:57:00"/>
    <n v="719.58124999999563"/>
    <m/>
    <m/>
    <n v="0"/>
    <n v="195205"/>
    <n v="42"/>
    <n v="44.866468842946958"/>
    <n v="15446"/>
    <n v="125917"/>
    <n v="22"/>
    <n v="23.501483679638881"/>
    <n v="6485"/>
    <n v="64"/>
    <n v="21931"/>
    <n v="2.8486646884410765"/>
    <n v="68.367952522585838"/>
    <n v="24954.302670743829"/>
    <n v="1.2698936592173187"/>
    <n v="30.477447821215648"/>
    <n v="11124.268454743711"/>
  </r>
  <r>
    <d v="2022-12-08T07:23:00"/>
    <x v="2"/>
    <s v=""/>
    <x v="0"/>
    <x v="16"/>
    <x v="0"/>
    <s v="12/2022"/>
    <s v="8/12/2022"/>
    <d v="1899-12-31T00:26:00"/>
    <n v="1.0180555555562023"/>
    <d v="1901-12-20T14:23:00"/>
    <n v="720.59930555555184"/>
    <m/>
    <m/>
    <n v="0"/>
    <n v="195252"/>
    <n v="47"/>
    <n v="46.1664392905573"/>
    <n v="15493"/>
    <n v="125944"/>
    <n v="27"/>
    <n v="26.521145975426535"/>
    <n v="6512"/>
    <n v="74"/>
    <n v="22005"/>
    <n v="3.0286493860826598"/>
    <n v="72.687585265983842"/>
    <n v="26530.968622084103"/>
    <n v="1.272378411873611"/>
    <n v="30.537081884966664"/>
    <n v="11146.034888012833"/>
  </r>
  <r>
    <d v="2022-12-10T08:45:00"/>
    <x v="2"/>
    <s v=""/>
    <x v="0"/>
    <x v="18"/>
    <x v="6"/>
    <s v="12/2022"/>
    <s v="10/12/2022"/>
    <d v="1900-01-01T01:22:00"/>
    <n v="2.0569444444481633"/>
    <d v="1901-12-22T15:45:00"/>
    <n v="722.65625"/>
    <m/>
    <m/>
    <n v="0"/>
    <n v="195368"/>
    <n v="116"/>
    <n v="56.394328156548951"/>
    <n v="15609"/>
    <n v="126001"/>
    <n v="57"/>
    <n v="27.711006076924917"/>
    <n v="6569"/>
    <n v="173"/>
    <n v="22178"/>
    <n v="3.5043889263947445"/>
    <n v="84.105334233473869"/>
    <n v="30698.446995217961"/>
    <n v="1.2787315315315315"/>
    <n v="30.689556756756758"/>
    <n v="11201.688216216216"/>
  </r>
  <r>
    <d v="2022-12-11T11:16:00"/>
    <x v="2"/>
    <s v=""/>
    <x v="0"/>
    <x v="19"/>
    <x v="1"/>
    <s v="12/2022"/>
    <s v="11/12/2022"/>
    <d v="1899-12-31T02:31:00"/>
    <n v="1.1048611111109494"/>
    <d v="1901-12-23T18:16:00"/>
    <n v="723.76111111111095"/>
    <m/>
    <m/>
    <n v="0"/>
    <n v="195425"/>
    <n v="57"/>
    <n v="51.590194846016352"/>
    <n v="15666"/>
    <n v="126028"/>
    <n v="27"/>
    <n v="24.437460716534058"/>
    <n v="6596"/>
    <n v="84"/>
    <n v="22262"/>
    <n v="3.1678189817729336"/>
    <n v="76.027655562550407"/>
    <n v="27750.094280330897"/>
    <n v="1.2816153273409738"/>
    <n v="30.758767856183368"/>
    <n v="11226.950267506929"/>
  </r>
  <r>
    <d v="2022-12-12T07:34:00"/>
    <x v="2"/>
    <s v=""/>
    <x v="0"/>
    <x v="20"/>
    <x v="2"/>
    <s v="12/2022"/>
    <s v="12/12/2022"/>
    <d v="1899-12-30T20:18:00"/>
    <n v="0.84583333333284827"/>
    <d v="1901-12-24T14:34:00"/>
    <n v="724.6069444444438"/>
    <m/>
    <m/>
    <n v="0"/>
    <n v="195466"/>
    <n v="41"/>
    <n v="48.472906403968686"/>
    <n v="15707"/>
    <n v="126054"/>
    <n v="26"/>
    <n v="30.738916256175262"/>
    <n v="6622"/>
    <n v="67"/>
    <n v="22329"/>
    <n v="3.3004926108393313"/>
    <n v="79.211822660143952"/>
    <n v="28912.315270952542"/>
    <n v="1.2839719618107146"/>
    <n v="30.815327083457152"/>
    <n v="11247.59438546186"/>
  </r>
  <r>
    <d v="2022-12-13T07:30:00"/>
    <x v="2"/>
    <s v=""/>
    <x v="0"/>
    <x v="21"/>
    <x v="3"/>
    <s v="12/2022"/>
    <s v="13/12/2022"/>
    <d v="1899-12-30T23:56:00"/>
    <n v="0.99722222222044365"/>
    <d v="1901-12-25T14:30:00"/>
    <n v="725.60416666666424"/>
    <m/>
    <m/>
    <n v="0"/>
    <n v="195519"/>
    <n v="53"/>
    <n v="53.147632312072503"/>
    <n v="15760"/>
    <n v="126083"/>
    <n v="29"/>
    <n v="29.080779944341561"/>
    <n v="6651"/>
    <n v="82"/>
    <n v="22411"/>
    <n v="3.426183844017253"/>
    <n v="82.22841225641406"/>
    <n v="30013.370473591131"/>
    <n v="1.2869160756840607"/>
    <n v="30.885985816417456"/>
    <n v="11273.384822992371"/>
  </r>
  <r>
    <d v="2022-12-14T07:43:00"/>
    <x v="2"/>
    <s v=""/>
    <x v="0"/>
    <x v="22"/>
    <x v="4"/>
    <s v="12/2022"/>
    <s v="14/12/2022"/>
    <d v="1899-12-31T00:13:00"/>
    <n v="1.0090277777781012"/>
    <d v="1901-12-26T14:43:00"/>
    <n v="726.61319444444234"/>
    <m/>
    <m/>
    <n v="0"/>
    <n v="195571"/>
    <n v="52"/>
    <n v="51.534755677891262"/>
    <n v="15812"/>
    <n v="126103"/>
    <n v="20"/>
    <n v="19.821059876112024"/>
    <n v="6671"/>
    <n v="72"/>
    <n v="22483"/>
    <n v="2.9731589814168036"/>
    <n v="71.355815554003286"/>
    <n v="26044.872677211199"/>
    <n v="1.2892577148739002"/>
    <n v="30.942185156973604"/>
    <n v="11293.897582295365"/>
  </r>
  <r>
    <d v="2022-12-15T08:11:00"/>
    <x v="2"/>
    <s v=""/>
    <x v="0"/>
    <x v="23"/>
    <x v="0"/>
    <s v="12/2022"/>
    <s v="15/12/2022"/>
    <d v="1899-12-31T00:28:00"/>
    <n v="1.0194444444423425"/>
    <d v="1901-12-27T15:11:00"/>
    <n v="727.63263888888469"/>
    <m/>
    <m/>
    <n v="0"/>
    <n v="195613"/>
    <n v="42"/>
    <n v="41.198910081828814"/>
    <n v="15854"/>
    <n v="126128"/>
    <n v="25"/>
    <n v="24.523160762993342"/>
    <n v="6696"/>
    <n v="67"/>
    <n v="22550"/>
    <n v="2.7384196185342566"/>
    <n v="65.722070844822156"/>
    <n v="23988.555858360087"/>
    <n v="1.2912880526746344"/>
    <n v="30.990913264191224"/>
    <n v="11311.683341429796"/>
  </r>
  <r>
    <d v="2022-12-15T08:11:00"/>
    <x v="2"/>
    <s v=""/>
    <x v="0"/>
    <x v="23"/>
    <x v="0"/>
    <s v="12/2022"/>
    <s v="15/12/2022"/>
    <d v="1899-12-30T00:00:00"/>
    <n v="0"/>
    <d v="1901-12-27T15:11:00"/>
    <n v="727.63263888888469"/>
    <m/>
    <m/>
    <n v="0"/>
    <n v="0"/>
    <m/>
    <m/>
    <n v="15854"/>
    <n v="0"/>
    <m/>
    <m/>
    <n v="6696"/>
    <n v="0"/>
    <n v="22550"/>
    <m/>
    <m/>
    <m/>
    <m/>
    <m/>
    <n v="0"/>
  </r>
  <r>
    <d v="2022-12-16T08:06:00"/>
    <x v="2"/>
    <s v=""/>
    <x v="0"/>
    <x v="24"/>
    <x v="5"/>
    <s v="12/2022"/>
    <s v="16/12/2022"/>
    <d v="1899-12-30T23:55:00"/>
    <n v="0.99652777778101154"/>
    <d v="1901-12-28T15:06:00"/>
    <n v="728.6291666666657"/>
    <m/>
    <m/>
    <n v="0"/>
    <n v="49"/>
    <n v="49"/>
    <n v="49.170731707157515"/>
    <n v="15903"/>
    <n v="24"/>
    <n v="24"/>
    <n v="24.083623693301639"/>
    <n v="6720"/>
    <n v="73"/>
    <n v="22623"/>
    <n v="3.0522648083524646"/>
    <n v="73.254355400459147"/>
    <n v="26737.839721167587"/>
    <n v="1.2936964962743982"/>
    <n v="31.04871591058556"/>
    <n v="11332.78130736373"/>
  </r>
  <r>
    <d v="2022-12-17T10:39:00"/>
    <x v="2"/>
    <s v=""/>
    <x v="0"/>
    <x v="0"/>
    <x v="6"/>
    <s v="12/2022"/>
    <s v="17/12/2022"/>
    <d v="1899-12-31T02:33:00"/>
    <n v="1.1062499999970896"/>
    <d v="1901-12-29T17:39:00"/>
    <n v="729.73541666666279"/>
    <m/>
    <m/>
    <n v="0"/>
    <n v="114"/>
    <n v="65"/>
    <n v="58.757062147047236"/>
    <n v="15968"/>
    <n v="53"/>
    <n v="29"/>
    <n v="26.214689265605688"/>
    <n v="6749"/>
    <n v="94"/>
    <n v="22717"/>
    <n v="3.5404896421938719"/>
    <n v="84.971751412652921"/>
    <n v="31014.689265618315"/>
    <n v="1.2971025457286243"/>
    <n v="31.130461097486982"/>
    <n v="11362.618300582748"/>
  </r>
  <r>
    <d v="2022-12-18T10:22:00"/>
    <x v="2"/>
    <s v=""/>
    <x v="0"/>
    <x v="25"/>
    <x v="1"/>
    <s v="12/2022"/>
    <s v="18/12/2022"/>
    <d v="1899-12-30T23:43:00"/>
    <n v="0.9881944444423425"/>
    <d v="1901-12-30T17:22:00"/>
    <n v="730.72361111110513"/>
    <m/>
    <m/>
    <n v="0"/>
    <n v="169"/>
    <n v="55"/>
    <n v="55.657062544039675"/>
    <n v="16023"/>
    <n v="84"/>
    <n v="31"/>
    <n v="31.370344343004181"/>
    <n v="6780"/>
    <n v="86"/>
    <n v="22803"/>
    <n v="3.6261419536268273"/>
    <n v="87.027406887043867"/>
    <n v="31765.003513771011"/>
    <n v="1.3002522233478717"/>
    <n v="31.206053360348921"/>
    <n v="11390.209476527356"/>
  </r>
  <r>
    <d v="2022-12-19T09:57:00"/>
    <x v="2"/>
    <s v=""/>
    <x v="0"/>
    <x v="26"/>
    <x v="2"/>
    <s v="12/2022"/>
    <s v="19/12/2022"/>
    <d v="1899-12-30T23:35:00"/>
    <n v="0.98263888889050577"/>
    <d v="1901-12-31T16:57:00"/>
    <n v="731.70624999999563"/>
    <m/>
    <m/>
    <n v="0"/>
    <n v="210"/>
    <n v="41"/>
    <n v="41.724381625373042"/>
    <n v="16064"/>
    <n v="99"/>
    <n v="15"/>
    <n v="15.265017667819405"/>
    <n v="6795"/>
    <n v="56"/>
    <n v="22859"/>
    <n v="2.3745583038830187"/>
    <n v="56.989399293192449"/>
    <n v="20801.130742015244"/>
    <n v="1.3016949538607043"/>
    <n v="31.240678892656906"/>
    <n v="11402.847795819771"/>
  </r>
  <r>
    <d v="2022-12-22T09:39:00"/>
    <x v="2"/>
    <s v=""/>
    <x v="0"/>
    <x v="29"/>
    <x v="0"/>
    <s v="12/2022"/>
    <s v="22/12/2022"/>
    <d v="1900-01-01T23:42:00"/>
    <n v="2.9875000000029104"/>
    <d v="1902-01-03T16:39:00"/>
    <n v="734.69374999999854"/>
    <m/>
    <m/>
    <n v="0"/>
    <n v="291"/>
    <n v="81"/>
    <n v="27.112970711270659"/>
    <n v="16145"/>
    <n v="127"/>
    <n v="28"/>
    <n v="9.3723849372293628"/>
    <n v="6823"/>
    <n v="109"/>
    <n v="22968"/>
    <n v="1.5202231520208342"/>
    <n v="36.485355648500018"/>
    <n v="13317.154811702507"/>
    <n v="1.3025835594763149"/>
    <n v="31.262005427431561"/>
    <n v="11410.631981012519"/>
  </r>
  <r>
    <d v="2022-12-23T07:17:00"/>
    <x v="2"/>
    <s v=""/>
    <x v="0"/>
    <x v="30"/>
    <x v="5"/>
    <s v="12/2022"/>
    <s v="23/12/2022"/>
    <d v="1899-12-30T21:38:00"/>
    <n v="0.90138888888759539"/>
    <d v="1902-01-04T14:17:00"/>
    <n v="735.59513888888614"/>
    <m/>
    <m/>
    <n v="0"/>
    <n v="313"/>
    <n v="22"/>
    <n v="24.406779661051974"/>
    <n v="16167"/>
    <n v="130"/>
    <n v="3"/>
    <n v="3.3281972265070872"/>
    <n v="6826"/>
    <n v="25"/>
    <n v="22993"/>
    <n v="1.1556240369816275"/>
    <n v="27.734976887559061"/>
    <n v="10123.266563959058"/>
    <n v="1.3024034771542743"/>
    <n v="31.257683451702583"/>
    <n v="11409.054459871442"/>
  </r>
  <r>
    <d v="2022-12-24T09:24:00"/>
    <x v="2"/>
    <s v=""/>
    <x v="0"/>
    <x v="1"/>
    <x v="6"/>
    <s v="12/2022"/>
    <s v="24/12/2022"/>
    <d v="1899-12-31T02:07:00"/>
    <n v="1.0881944444481633"/>
    <d v="1902-01-05T16:24:00"/>
    <n v="736.6833333333343"/>
    <m/>
    <m/>
    <n v="0"/>
    <n v="330"/>
    <n v="17"/>
    <n v="15.622208040788987"/>
    <n v="16184"/>
    <n v="132"/>
    <n v="2"/>
    <n v="1.8379068283281161"/>
    <n v="6828"/>
    <n v="19"/>
    <n v="23012"/>
    <n v="0.72750478621321257"/>
    <n v="17.460114869117103"/>
    <n v="6372.9419272277428"/>
    <n v="1.3015542634782002"/>
    <n v="31.237302323476804"/>
    <n v="11401.615348069034"/>
  </r>
  <r>
    <d v="2022-12-26T07:43:00"/>
    <x v="2"/>
    <s v=""/>
    <x v="0"/>
    <x v="3"/>
    <x v="2"/>
    <s v="12/2022"/>
    <s v="26/12/2022"/>
    <d v="1899-12-31T22:19:00"/>
    <n v="1.929861111108039"/>
    <d v="1902-01-07T14:43:00"/>
    <n v="738.61319444444234"/>
    <m/>
    <m/>
    <n v="0"/>
    <n v="364"/>
    <n v="34"/>
    <n v="17.617848146843446"/>
    <n v="16218"/>
    <n v="137"/>
    <n v="5"/>
    <n v="2.5908600215946245"/>
    <n v="6833"/>
    <n v="39"/>
    <n v="23051"/>
    <n v="0.84202950701825297"/>
    <n v="20.208708168438072"/>
    <n v="7376.1784814798966"/>
    <n v="1.3003536093824519"/>
    <n v="31.208486625178843"/>
    <n v="11391.097618190277"/>
  </r>
  <r>
    <d v="2022-12-27T07:42:00"/>
    <x v="2"/>
    <s v=""/>
    <x v="0"/>
    <x v="4"/>
    <x v="3"/>
    <s v="12/2022"/>
    <s v="27/12/2022"/>
    <d v="1899-12-30T23:59:00"/>
    <n v="0.99930555555329192"/>
    <d v="1902-01-08T14:42:00"/>
    <n v="739.61249999999563"/>
    <m/>
    <m/>
    <n v="0"/>
    <n v="396"/>
    <n v="32"/>
    <n v="32.022237665117707"/>
    <n v="16250"/>
    <n v="157"/>
    <n v="20"/>
    <n v="20.013898540698566"/>
    <n v="6853"/>
    <n v="52"/>
    <n v="23103"/>
    <n v="2.1681723419090115"/>
    <n v="52.036136205816277"/>
    <n v="18993.189715122942"/>
    <n v="1.3015261369974218"/>
    <n v="31.236627287938123"/>
    <n v="11401.368960097416"/>
  </r>
  <r>
    <d v="2022-12-28T07:55:00"/>
    <x v="2"/>
    <s v=""/>
    <x v="0"/>
    <x v="5"/>
    <x v="4"/>
    <s v="12/2022"/>
    <s v="28/12/2022"/>
    <d v="1899-12-31T00:13:00"/>
    <n v="1.0090277777781012"/>
    <d v="1902-01-09T14:55:00"/>
    <n v="740.62152777777374"/>
    <m/>
    <m/>
    <n v="0"/>
    <n v="430"/>
    <n v="34"/>
    <n v="33.695801789390437"/>
    <n v="16284"/>
    <n v="161"/>
    <n v="4"/>
    <n v="3.9642119752224048"/>
    <n v="6857"/>
    <n v="38"/>
    <n v="23141"/>
    <n v="1.5691672401922019"/>
    <n v="37.660013764612842"/>
    <n v="13745.905024083688"/>
    <n v="1.3018907730462943"/>
    <n v="31.245378553111063"/>
    <n v="11404.563171885538"/>
  </r>
  <r>
    <d v="2022-12-29T07:56:00"/>
    <x v="2"/>
    <s v=""/>
    <x v="0"/>
    <x v="6"/>
    <x v="0"/>
    <s v="12/2022"/>
    <s v="29/12/2022"/>
    <d v="1899-12-31T00:01:00"/>
    <n v="1.0006944444467081"/>
    <d v="1902-01-10T14:56:00"/>
    <n v="741.62222222222044"/>
    <m/>
    <m/>
    <n v="0"/>
    <n v="462"/>
    <n v="32"/>
    <n v="31.977793199094908"/>
    <n v="16316"/>
    <n v="163"/>
    <n v="2"/>
    <n v="1.9986120749434317"/>
    <n v="6859"/>
    <n v="34"/>
    <n v="23175"/>
    <n v="1.4156835530849308"/>
    <n v="33.976405274038342"/>
    <n v="12401.387925023995"/>
    <n v="1.3020443172624607"/>
    <n v="31.249063614299057"/>
    <n v="11405.908219219156"/>
  </r>
  <r>
    <d v="2022-12-30T07:43:00"/>
    <x v="2"/>
    <s v=""/>
    <x v="0"/>
    <x v="7"/>
    <x v="5"/>
    <s v="12/2022"/>
    <s v="30/12/2022"/>
    <d v="1899-12-30T23:47:00"/>
    <n v="0.99097222222189885"/>
    <d v="1902-01-11T14:43:00"/>
    <n v="742.61319444444234"/>
    <m/>
    <m/>
    <n v="0"/>
    <n v="490"/>
    <n v="28"/>
    <n v="28.255080588656732"/>
    <n v="16344"/>
    <n v="167"/>
    <n v="4"/>
    <n v="4.0364400840938188"/>
    <n v="6863"/>
    <n v="32"/>
    <n v="23207"/>
    <n v="1.3454800280312729"/>
    <n v="32.291520672750551"/>
    <n v="11786.405045553951"/>
    <n v="1.3021022795813992"/>
    <n v="31.250454709953583"/>
    <n v="11406.415969133059"/>
  </r>
  <r>
    <d v="2022-12-31T09:05:00"/>
    <x v="2"/>
    <n v="2022"/>
    <x v="0"/>
    <x v="8"/>
    <x v="6"/>
    <s v="12/2022"/>
    <s v="31/12/2022"/>
    <d v="1899-12-31T01:22:00"/>
    <n v="1.0569444444408873"/>
    <d v="1902-01-12T16:05:00"/>
    <n v="743.67013888888323"/>
    <m/>
    <m/>
    <n v="0"/>
    <n v="511"/>
    <n v="21"/>
    <n v="19.868593955388814"/>
    <n v="16365"/>
    <n v="169"/>
    <n v="2"/>
    <n v="1.8922470433703631"/>
    <n v="6865"/>
    <n v="23"/>
    <n v="23230"/>
    <n v="0.90670170828163232"/>
    <n v="21.760840998759175"/>
    <n v="7942.7069645470992"/>
    <n v="1.3015403147863782"/>
    <n v="31.236967554873075"/>
    <n v="11401.493157528672"/>
  </r>
  <r>
    <d v="2023-01-01T14:34:00"/>
    <x v="3"/>
    <s v=""/>
    <x v="1"/>
    <x v="9"/>
    <x v="1"/>
    <s v="1/2023"/>
    <s v="1/1/2023"/>
    <d v="1899-12-31T05:29:00"/>
    <n v="1.2284722222248092"/>
    <d v="1902-01-13T21:34:00"/>
    <n v="744.89861111110804"/>
    <m/>
    <m/>
    <n v="0"/>
    <n v="523"/>
    <n v="12"/>
    <n v="9.7682306387583999"/>
    <n v="16377"/>
    <n v="171"/>
    <n v="2"/>
    <n v="1.6280384397930667"/>
    <n v="6867"/>
    <n v="14"/>
    <n v="23244"/>
    <n v="0.47484454493964445"/>
    <n v="11.396269078551468"/>
    <n v="4159.6382136712855"/>
    <n v="1.3001769442895899"/>
    <n v="31.204246662950158"/>
    <n v="11389.550031976807"/>
  </r>
  <r>
    <d v="2023-01-02T07:49:00"/>
    <x v="3"/>
    <s v=""/>
    <x v="1"/>
    <x v="10"/>
    <x v="2"/>
    <s v="1/2023"/>
    <s v="2/1/2023"/>
    <d v="1899-12-30T17:15:00"/>
    <n v="0.71875"/>
    <d v="1902-01-14T14:49:00"/>
    <n v="745.61736111110804"/>
    <m/>
    <m/>
    <n v="0"/>
    <n v="543"/>
    <n v="20"/>
    <n v="27.826086956521738"/>
    <n v="16397"/>
    <n v="174"/>
    <n v="3"/>
    <n v="4.1739130434782608"/>
    <n v="6870"/>
    <n v="23"/>
    <n v="23267"/>
    <n v="1.3333333333333333"/>
    <n v="32"/>
    <n v="11680"/>
    <n v="1.3002089059308661"/>
    <n v="31.205013742340789"/>
    <n v="11389.830015954389"/>
  </r>
  <r>
    <d v="2023-01-03T07:38:00"/>
    <x v="3"/>
    <s v=""/>
    <x v="1"/>
    <x v="11"/>
    <x v="3"/>
    <s v="1/2023"/>
    <s v="3/1/2023"/>
    <d v="1899-12-30T23:49:00"/>
    <n v="0.992361111115315"/>
    <d v="1902-01-15T14:38:00"/>
    <n v="746.60972222222335"/>
    <m/>
    <m/>
    <n v="0"/>
    <n v="574"/>
    <n v="31"/>
    <n v="31.238628411344223"/>
    <n v="16428"/>
    <n v="188"/>
    <n v="14"/>
    <n v="14.107767669639326"/>
    <n v="6884"/>
    <n v="45"/>
    <n v="23312"/>
    <n v="1.8894331700409812"/>
    <n v="45.346396080983546"/>
    <n v="16551.434569558995"/>
    <n v="1.3009920771487389"/>
    <n v="31.223809851569733"/>
    <n v="11396.690595822953"/>
  </r>
  <r>
    <d v="2023-01-04T07:39:00"/>
    <x v="3"/>
    <s v=""/>
    <x v="1"/>
    <x v="12"/>
    <x v="4"/>
    <s v="1/2023"/>
    <s v="4/1/2023"/>
    <d v="1899-12-31T00:01:00"/>
    <n v="1.0006944444394321"/>
    <d v="1902-01-16T14:39:00"/>
    <n v="747.61041666666279"/>
    <m/>
    <m/>
    <n v="0"/>
    <n v="593"/>
    <n v="19"/>
    <n v="18.986814712100653"/>
    <n v="16447"/>
    <n v="206"/>
    <n v="18"/>
    <n v="17.987508674621672"/>
    <n v="6902"/>
    <n v="37"/>
    <n v="23349"/>
    <n v="1.5405968077800969"/>
    <n v="36.974323386722325"/>
    <n v="13495.628036153648"/>
    <n v="1.3013127938180882"/>
    <n v="31.231507051634118"/>
    <n v="11399.500073846453"/>
  </r>
  <r>
    <d v="2023-01-05T08:12:00"/>
    <x v="3"/>
    <s v=""/>
    <x v="1"/>
    <x v="13"/>
    <x v="0"/>
    <s v="1/2023"/>
    <s v="5/1/2023"/>
    <d v="1899-12-31T00:33:00"/>
    <n v="1.0229166666686069"/>
    <d v="1902-01-17T15:12:00"/>
    <n v="748.63333333333139"/>
    <m/>
    <m/>
    <n v="0"/>
    <n v="623"/>
    <n v="30"/>
    <n v="29.327902240270237"/>
    <n v="16477"/>
    <n v="216"/>
    <n v="10"/>
    <n v="9.7759674134234125"/>
    <n v="6912"/>
    <n v="40"/>
    <n v="23389"/>
    <n v="1.6293279022372353"/>
    <n v="39.10386965369365"/>
    <n v="14272.912423598182"/>
    <n v="1.3017609866868549"/>
    <n v="31.24226368048452"/>
    <n v="11403.426243376849"/>
  </r>
  <r>
    <d v="2023-01-06T07:58:00"/>
    <x v="3"/>
    <s v=""/>
    <x v="1"/>
    <x v="14"/>
    <x v="5"/>
    <s v="1/2023"/>
    <s v="6/1/2023"/>
    <d v="1899-12-30T23:46:00"/>
    <n v="0.99027777777519077"/>
    <d v="1902-01-18T14:58:00"/>
    <n v="749.62361111110658"/>
    <m/>
    <m/>
    <n v="0"/>
    <n v="641"/>
    <n v="18"/>
    <n v="18.176718092614106"/>
    <n v="16495"/>
    <n v="228"/>
    <n v="12"/>
    <n v="12.117812061742736"/>
    <n v="6924"/>
    <n v="30"/>
    <n v="23419"/>
    <n v="1.2622720897648685"/>
    <n v="30.294530154356842"/>
    <n v="11057.503506340247"/>
    <n v="1.3017088205377221"/>
    <n v="31.241011692905332"/>
    <n v="11402.969267910446"/>
  </r>
  <r>
    <d v="2023-01-07T08:46:00"/>
    <x v="3"/>
    <s v=""/>
    <x v="1"/>
    <x v="15"/>
    <x v="6"/>
    <s v="1/2023"/>
    <s v="7/1/2023"/>
    <d v="1899-12-31T00:48:00"/>
    <n v="1.0333333333328483"/>
    <d v="1902-01-19T15:46:00"/>
    <n v="750.65694444443943"/>
    <m/>
    <m/>
    <n v="0"/>
    <n v="671"/>
    <n v="30"/>
    <n v="29.032258064529756"/>
    <n v="16525"/>
    <n v="232"/>
    <n v="4"/>
    <n v="3.8709677419373008"/>
    <n v="6928"/>
    <n v="34"/>
    <n v="23453"/>
    <n v="1.3709677419361275"/>
    <n v="32.903225806467056"/>
    <n v="12009.677419360476"/>
    <n v="1.3018041604298545"/>
    <n v="31.243299850316507"/>
    <n v="11403.804445365526"/>
  </r>
  <r>
    <d v="2023-01-08T09:24:00"/>
    <x v="3"/>
    <s v=""/>
    <x v="1"/>
    <x v="16"/>
    <x v="1"/>
    <s v="1/2023"/>
    <s v="8/1/2023"/>
    <d v="1899-12-31T00:38:00"/>
    <n v="1.0263888888948713"/>
    <d v="1902-01-20T16:24:00"/>
    <n v="751.6833333333343"/>
    <m/>
    <m/>
    <n v="0"/>
    <n v="707"/>
    <n v="36"/>
    <n v="35.074424898307065"/>
    <n v="16561"/>
    <n v="246"/>
    <n v="14"/>
    <n v="13.640054127119415"/>
    <n v="6942"/>
    <n v="50"/>
    <n v="23503"/>
    <n v="2.0297699593927701"/>
    <n v="48.714479025426478"/>
    <n v="17780.784844280664"/>
    <n v="1.3027981641205277"/>
    <n v="31.267155938892667"/>
    <n v="11412.511917695823"/>
  </r>
  <r>
    <d v="2023-01-09T08:02:00"/>
    <x v="3"/>
    <s v=""/>
    <x v="1"/>
    <x v="17"/>
    <x v="2"/>
    <s v="1/2023"/>
    <s v="9/1/2023"/>
    <d v="1899-12-30T22:38:00"/>
    <n v="0.94305555555183673"/>
    <d v="1902-01-21T15:02:00"/>
    <n v="752.62638888888614"/>
    <m/>
    <m/>
    <n v="0"/>
    <n v="739"/>
    <n v="32"/>
    <n v="33.932253313830422"/>
    <n v="16593"/>
    <n v="264"/>
    <n v="18"/>
    <n v="19.086892489029612"/>
    <n v="6960"/>
    <n v="50"/>
    <n v="23553"/>
    <n v="2.209131075119168"/>
    <n v="53.019145802860031"/>
    <n v="19351.988218043913"/>
    <n v="1.3039338169484316"/>
    <n v="31.29441160676236"/>
    <n v="11422.460236468261"/>
  </r>
  <r>
    <d v="2023-01-10T07:22:00"/>
    <x v="3"/>
    <s v=""/>
    <x v="1"/>
    <x v="18"/>
    <x v="3"/>
    <s v="1/2023"/>
    <s v="10/1/2023"/>
    <d v="1899-12-30T23:20:00"/>
    <n v="0.97222222221898846"/>
    <d v="1902-01-22T14:22:00"/>
    <n v="753.59861111110513"/>
    <m/>
    <m/>
    <n v="0"/>
    <n v="773"/>
    <n v="34"/>
    <n v="34.971428571544891"/>
    <n v="16627"/>
    <n v="284"/>
    <n v="20"/>
    <n v="20.571428571496995"/>
    <n v="6980"/>
    <n v="54"/>
    <n v="23607"/>
    <n v="2.3142857142934119"/>
    <n v="55.542857143041886"/>
    <n v="20273.142857210289"/>
    <n v="1.305237278170861"/>
    <n v="31.325694676100664"/>
    <n v="11433.878556776743"/>
  </r>
  <r>
    <d v="2023-01-11T09:03:00"/>
    <x v="3"/>
    <s v=""/>
    <x v="1"/>
    <x v="19"/>
    <x v="4"/>
    <s v="1/2023"/>
    <s v="11/1/2023"/>
    <d v="1899-12-31T01:41:00"/>
    <n v="1.070138888891961"/>
    <d v="1902-01-23T16:03:00"/>
    <n v="754.66874999999709"/>
    <m/>
    <m/>
    <n v="0"/>
    <n v="805"/>
    <n v="32"/>
    <n v="29.90266060990767"/>
    <n v="16659"/>
    <n v="297"/>
    <n v="13"/>
    <n v="12.14795587277499"/>
    <n v="6993"/>
    <n v="45"/>
    <n v="23652"/>
    <n v="1.7521090201117775"/>
    <n v="42.050616482682656"/>
    <n v="15348.475016179169"/>
    <n v="1.3058709533156154"/>
    <n v="31.34090287957477"/>
    <n v="11439.429551044792"/>
  </r>
  <r>
    <d v="2023-01-12T09:32:00"/>
    <x v="3"/>
    <s v=""/>
    <x v="1"/>
    <x v="20"/>
    <x v="0"/>
    <s v="1/2023"/>
    <s v="12/1/2023"/>
    <d v="1899-12-31T00:29:00"/>
    <n v="1.0201388888890506"/>
    <d v="1902-01-24T16:32:00"/>
    <n v="755.68888888888614"/>
    <m/>
    <m/>
    <n v="0"/>
    <n v="835"/>
    <n v="30"/>
    <n v="29.407760381207048"/>
    <n v="16689"/>
    <n v="312"/>
    <n v="15"/>
    <n v="14.703880190603524"/>
    <n v="7008"/>
    <n v="45"/>
    <n v="23697"/>
    <n v="1.8379850238254405"/>
    <n v="44.111640571810568"/>
    <n v="16100.748808710858"/>
    <n v="1.3065892783626467"/>
    <n v="31.358142680703519"/>
    <n v="11445.722078456785"/>
  </r>
  <r>
    <d v="2023-01-13T08:28:00"/>
    <x v="3"/>
    <s v=""/>
    <x v="1"/>
    <x v="21"/>
    <x v="5"/>
    <s v="1/2023"/>
    <s v="13/1/2023"/>
    <d v="1899-12-30T22:56:00"/>
    <n v="0.95555555555620231"/>
    <d v="1902-01-25T15:28:00"/>
    <n v="756.64444444444234"/>
    <m/>
    <m/>
    <n v="0"/>
    <n v="863"/>
    <n v="28"/>
    <n v="29.302325581375516"/>
    <n v="16717"/>
    <n v="326"/>
    <n v="14"/>
    <n v="14.651162790687758"/>
    <n v="7022"/>
    <n v="42"/>
    <n v="23739"/>
    <n v="1.8313953488359698"/>
    <n v="43.953488372063276"/>
    <n v="16043.023255803097"/>
    <n v="1.3072520485183154"/>
    <n v="31.374049164439572"/>
    <n v="11451.527945020443"/>
  </r>
  <r>
    <d v="2023-01-14T08:49:00"/>
    <x v="3"/>
    <s v=""/>
    <x v="1"/>
    <x v="22"/>
    <x v="6"/>
    <s v="1/2023"/>
    <s v="14/1/2023"/>
    <d v="1899-12-31T00:21:00"/>
    <n v="1.0145833333299379"/>
    <d v="1902-01-26T15:49:00"/>
    <n v="757.65902777777228"/>
    <m/>
    <m/>
    <n v="0"/>
    <n v="890"/>
    <n v="27"/>
    <n v="26.611909651013086"/>
    <n v="16744"/>
    <n v="341"/>
    <n v="15"/>
    <n v="14.784394250562825"/>
    <n v="7037"/>
    <n v="42"/>
    <n v="23781"/>
    <n v="1.7248459958989963"/>
    <n v="41.396303901575912"/>
    <n v="15109.650924075208"/>
    <n v="1.3078112497468082"/>
    <n v="31.387469993923396"/>
    <n v="11456.426547782039"/>
  </r>
  <r>
    <d v="2023-01-15T18:28:00"/>
    <x v="3"/>
    <s v=""/>
    <x v="1"/>
    <x v="23"/>
    <x v="1"/>
    <s v="1/2023"/>
    <s v="15/1/2023"/>
    <d v="1899-12-31T09:39:00"/>
    <n v="1.4020833333343035"/>
    <d v="1902-01-28T01:28:00"/>
    <n v="759.06111111110658"/>
    <m/>
    <m/>
    <n v="0"/>
    <n v="942"/>
    <n v="52"/>
    <n v="37.087667161935705"/>
    <n v="16796"/>
    <n v="355"/>
    <n v="14"/>
    <n v="9.9851411589826906"/>
    <n v="7051"/>
    <n v="66"/>
    <n v="23847"/>
    <n v="1.9613670133715999"/>
    <n v="47.072808320918398"/>
    <n v="17181.575037135215"/>
    <n v="1.3090184511567731"/>
    <n v="31.416442827762555"/>
    <n v="11467.001632133333"/>
  </r>
  <r>
    <d v="2023-01-16T07:59:00"/>
    <x v="3"/>
    <s v=""/>
    <x v="1"/>
    <x v="24"/>
    <x v="2"/>
    <s v="1/2023"/>
    <s v="16/1/2023"/>
    <d v="1899-12-30T13:31:00"/>
    <n v="0.56319444444670808"/>
    <d v="1902-01-28T14:59:00"/>
    <n v="759.62430555555329"/>
    <m/>
    <m/>
    <n v="0"/>
    <n v="956"/>
    <n v="14"/>
    <n v="24.858199753290965"/>
    <n v="16810"/>
    <n v="373"/>
    <n v="18"/>
    <n v="31.960542539945525"/>
    <n v="7069"/>
    <n v="32"/>
    <n v="23879"/>
    <n v="2.3674475955515204"/>
    <n v="56.81874229323649"/>
    <n v="20738.84093703132"/>
    <n v="1.309803183042791"/>
    <n v="31.435276393026982"/>
    <n v="11473.875883454848"/>
  </r>
  <r>
    <d v="2023-01-17T07:40:00"/>
    <x v="3"/>
    <s v=""/>
    <x v="1"/>
    <x v="0"/>
    <x v="3"/>
    <s v="1/2023"/>
    <s v="17/1/2023"/>
    <d v="1899-12-30T23:41:00"/>
    <n v="0.98680555555620231"/>
    <d v="1902-01-29T14:40:00"/>
    <n v="760.61111111110949"/>
    <m/>
    <m/>
    <n v="0"/>
    <n v="996"/>
    <n v="40"/>
    <n v="40.534834623478005"/>
    <n v="16850"/>
    <n v="393"/>
    <n v="20"/>
    <n v="20.267417311739003"/>
    <n v="7089"/>
    <n v="60"/>
    <n v="23939"/>
    <n v="2.5334271639673753"/>
    <n v="60.802251935217015"/>
    <n v="22192.821956354212"/>
    <n v="1.3113906946169045"/>
    <n v="31.473376670805706"/>
    <n v="11487.782484844083"/>
  </r>
  <r>
    <d v="2023-01-18T07:40:00"/>
    <x v="3"/>
    <s v=""/>
    <x v="1"/>
    <x v="25"/>
    <x v="4"/>
    <s v="1/2023"/>
    <s v="18/1/2023"/>
    <d v="1899-12-31T00:00:00"/>
    <n v="1"/>
    <d v="1902-01-30T14:40:00"/>
    <n v="761.61111111110949"/>
    <m/>
    <m/>
    <n v="0"/>
    <n v="1039"/>
    <n v="43"/>
    <n v="43"/>
    <n v="16893"/>
    <n v="418"/>
    <n v="25"/>
    <n v="25"/>
    <n v="7114"/>
    <n v="68"/>
    <n v="24007"/>
    <n v="2.8333333333333335"/>
    <n v="68"/>
    <n v="24820"/>
    <n v="1.3133890145160141"/>
    <n v="31.521336348384342"/>
    <n v="11505.287767160286"/>
  </r>
  <r>
    <d v="2023-01-19T10:53:00"/>
    <x v="3"/>
    <s v=""/>
    <x v="1"/>
    <x v="26"/>
    <x v="0"/>
    <s v="1/2023"/>
    <s v="19/1/2023"/>
    <d v="1899-12-31T03:13:00"/>
    <n v="1.1340277777781012"/>
    <d v="1902-01-31T17:53:00"/>
    <n v="762.7451388888876"/>
    <m/>
    <m/>
    <n v="0"/>
    <n v="1101"/>
    <n v="62"/>
    <n v="54.672382118784164"/>
    <n v="16955"/>
    <n v="444"/>
    <n v="26"/>
    <n v="22.927127985296586"/>
    <n v="7140"/>
    <n v="88"/>
    <n v="24095"/>
    <n v="3.2333129210033644"/>
    <n v="77.59951010408075"/>
    <n v="28323.821187989473"/>
    <n v="1.3162435027718797"/>
    <n v="31.589844066525114"/>
    <n v="11530.293084281666"/>
  </r>
  <r>
    <d v="2023-01-20T09:10:00"/>
    <x v="3"/>
    <s v=""/>
    <x v="1"/>
    <x v="27"/>
    <x v="5"/>
    <s v="1/2023"/>
    <s v="20/1/2023"/>
    <d v="1899-12-30T22:17:00"/>
    <n v="0.92847222222189885"/>
    <d v="1902-02-01T16:10:00"/>
    <n v="763.67361111110949"/>
    <m/>
    <m/>
    <n v="0"/>
    <n v="1147"/>
    <n v="46"/>
    <n v="49.543754674661983"/>
    <n v="17001"/>
    <n v="469"/>
    <n v="25"/>
    <n v="26.925953627533687"/>
    <n v="7165"/>
    <n v="71"/>
    <n v="24166"/>
    <n v="3.1862378459248197"/>
    <n v="76.46970830219567"/>
    <n v="27911.443530301418"/>
    <n v="1.3185170366194137"/>
    <n v="31.644408878865928"/>
    <n v="11550.209240786064"/>
  </r>
  <r>
    <d v="2023-01-21T09:34:00"/>
    <x v="3"/>
    <s v=""/>
    <x v="1"/>
    <x v="28"/>
    <x v="6"/>
    <s v="1/2023"/>
    <s v="21/1/2023"/>
    <d v="1899-12-31T00:24:00"/>
    <n v="1.0166666666627862"/>
    <d v="1902-02-02T16:34:00"/>
    <n v="764.69027777777228"/>
    <m/>
    <m/>
    <n v="0"/>
    <n v="1198"/>
    <n v="51"/>
    <n v="50.16393442642098"/>
    <n v="17052"/>
    <n v="494"/>
    <n v="25"/>
    <n v="24.590163934520088"/>
    <n v="7190"/>
    <n v="76"/>
    <n v="24242"/>
    <n v="3.1147540983725444"/>
    <n v="74.754098360941072"/>
    <n v="27285.245901743492"/>
    <n v="1.3209051594963197"/>
    <n v="31.701723827911675"/>
    <n v="11571.129197187762"/>
  </r>
  <r>
    <d v="2023-01-23T07:36:00"/>
    <x v="3"/>
    <s v=""/>
    <x v="1"/>
    <x v="30"/>
    <x v="2"/>
    <s v="1/2023"/>
    <s v="23/1/2023"/>
    <d v="1899-12-31T22:02:00"/>
    <n v="1.9180555555576575"/>
    <d v="1902-02-04T14:36:00"/>
    <n v="766.60833333332994"/>
    <m/>
    <m/>
    <n v="0"/>
    <n v="1302"/>
    <n v="104"/>
    <n v="54.221578566196918"/>
    <n v="17156"/>
    <n v="551"/>
    <n v="57"/>
    <n v="29.71759594493485"/>
    <n v="7247"/>
    <n v="161"/>
    <n v="24403"/>
    <n v="3.4974656046304902"/>
    <n v="83.939174511131768"/>
    <n v="30637.798696563095"/>
    <n v="1.3263509180046367"/>
    <n v="31.832422032111278"/>
    <n v="11618.834041720616"/>
  </r>
  <r>
    <d v="2023-01-24T07:55:00"/>
    <x v="3"/>
    <s v=""/>
    <x v="1"/>
    <x v="1"/>
    <x v="3"/>
    <s v="1/2023"/>
    <s v="24/1/2023"/>
    <d v="1899-12-31T00:19:00"/>
    <n v="1.0131944444437977"/>
    <d v="1902-02-05T14:55:00"/>
    <n v="767.62152777777374"/>
    <m/>
    <m/>
    <n v="0"/>
    <n v="1358"/>
    <n v="56"/>
    <n v="55.270733379062008"/>
    <n v="17212"/>
    <n v="575"/>
    <n v="24"/>
    <n v="23.687457162455146"/>
    <n v="7271"/>
    <n v="80"/>
    <n v="24483"/>
    <n v="3.2899246058965481"/>
    <n v="78.958190541517155"/>
    <n v="28819.73954765376"/>
    <n v="1.3289426665158952"/>
    <n v="31.894623996381487"/>
    <n v="11641.537758679242"/>
  </r>
  <r>
    <d v="2023-01-25T08:22:00"/>
    <x v="3"/>
    <s v=""/>
    <x v="1"/>
    <x v="2"/>
    <x v="4"/>
    <s v="1/2023"/>
    <s v="25/1/2023"/>
    <d v="1899-12-31T00:27:00"/>
    <n v="1.0187500000029104"/>
    <d v="1902-02-06T15:22:00"/>
    <n v="768.64027777777665"/>
    <m/>
    <m/>
    <n v="0"/>
    <n v="1407"/>
    <n v="49"/>
    <n v="48.098159509065049"/>
    <n v="17261"/>
    <n v="599"/>
    <n v="24"/>
    <n v="23.558282208521657"/>
    <n v="7295"/>
    <n v="73"/>
    <n v="24556"/>
    <n v="2.9856850715661127"/>
    <n v="71.656441717586702"/>
    <n v="26154.601226919145"/>
    <n v="1.3311385003460314"/>
    <n v="31.947324008304754"/>
    <n v="11660.773263031235"/>
  </r>
  <r>
    <d v="2023-01-26T07:53:00"/>
    <x v="3"/>
    <s v=""/>
    <x v="1"/>
    <x v="3"/>
    <x v="0"/>
    <s v="1/2023"/>
    <s v="26/1/2023"/>
    <d v="1899-12-30T23:31:00"/>
    <n v="0.97986111111094942"/>
    <d v="1902-02-07T14:53:00"/>
    <n v="769.6201388888876"/>
    <m/>
    <m/>
    <n v="0"/>
    <n v="1459"/>
    <n v="52"/>
    <n v="53.068745570526119"/>
    <n v="17313"/>
    <n v="625"/>
    <n v="26"/>
    <n v="26.534372785263059"/>
    <n v="7321"/>
    <n v="78"/>
    <n v="24634"/>
    <n v="3.3167965981578824"/>
    <n v="79.603118355789178"/>
    <n v="29055.13819986305"/>
    <n v="1.3336665905709277"/>
    <n v="32.007998173702269"/>
    <n v="11682.919333401329"/>
  </r>
  <r>
    <d v="2023-01-27T07:29:00"/>
    <x v="3"/>
    <s v=""/>
    <x v="1"/>
    <x v="4"/>
    <x v="5"/>
    <s v="1/2023"/>
    <s v="27/1/2023"/>
    <d v="1899-12-30T23:36:00"/>
    <n v="0.98333333332993789"/>
    <d v="1902-02-08T14:29:00"/>
    <n v="770.60347222221753"/>
    <m/>
    <m/>
    <n v="0"/>
    <n v="1503"/>
    <n v="44"/>
    <n v="44.745762712018916"/>
    <n v="17357"/>
    <n v="648"/>
    <n v="23"/>
    <n v="23.389830508555342"/>
    <n v="7344"/>
    <n v="67"/>
    <n v="24701"/>
    <n v="2.8389830508572604"/>
    <n v="68.13559322057425"/>
    <n v="24869.491525509602"/>
    <n v="1.3355874589629961"/>
    <n v="32.054099015111909"/>
    <n v="11699.746140515846"/>
  </r>
  <r>
    <d v="2023-01-28T08:04:00"/>
    <x v="3"/>
    <s v=""/>
    <x v="1"/>
    <x v="5"/>
    <x v="6"/>
    <s v="1/2023"/>
    <s v="28/1/2023"/>
    <d v="1899-12-31T00:35:00"/>
    <n v="1.0243055555547471"/>
    <d v="1902-02-09T15:04:00"/>
    <n v="771.62777777777228"/>
    <m/>
    <m/>
    <n v="0"/>
    <n v="1548"/>
    <n v="45"/>
    <n v="43.93220338986518"/>
    <n v="17402"/>
    <n v="668"/>
    <n v="20"/>
    <n v="19.525423728828969"/>
    <n v="7364"/>
    <n v="65"/>
    <n v="24766"/>
    <n v="2.6440677966122563"/>
    <n v="63.457627118694155"/>
    <n v="23162.033898323367"/>
    <n v="1.3373244151973196"/>
    <n v="32.095785964735676"/>
    <n v="11714.961877128522"/>
  </r>
  <r>
    <d v="2023-01-29T11:03:00"/>
    <x v="3"/>
    <s v=""/>
    <x v="1"/>
    <x v="6"/>
    <x v="1"/>
    <s v="1/2023"/>
    <s v="29/1/2023"/>
    <d v="1899-12-31T02:59:00"/>
    <n v="1.1243055555605679"/>
    <d v="1902-02-10T18:03:00"/>
    <n v="772.75208333333285"/>
    <m/>
    <m/>
    <n v="0"/>
    <n v="1601"/>
    <n v="53"/>
    <n v="47.140210005966495"/>
    <n v="17455"/>
    <n v="693"/>
    <n v="25"/>
    <n v="22.23594811602193"/>
    <n v="7389"/>
    <n v="78"/>
    <n v="24844"/>
    <n v="2.8906732550828509"/>
    <n v="69.376158121988425"/>
    <n v="25322.297714525776"/>
    <n v="1.3395844398133303"/>
    <n v="32.150026555519929"/>
    <n v="11734.759692764774"/>
  </r>
  <r>
    <d v="2023-01-30T07:36:00"/>
    <x v="3"/>
    <s v=""/>
    <x v="1"/>
    <x v="7"/>
    <x v="2"/>
    <s v="1/2023"/>
    <s v="30/1/2023"/>
    <d v="1899-12-30T20:33:00"/>
    <n v="0.85624999999708962"/>
    <d v="1902-02-11T14:36:00"/>
    <n v="773.60833333332994"/>
    <m/>
    <m/>
    <n v="0"/>
    <n v="1636"/>
    <n v="35"/>
    <n v="40.87591240889806"/>
    <n v="17490"/>
    <n v="714"/>
    <n v="21"/>
    <n v="24.525547445338837"/>
    <n v="7410"/>
    <n v="56"/>
    <n v="24900"/>
    <n v="2.7250608272598709"/>
    <n v="65.401459854236904"/>
    <n v="23871.532846796472"/>
    <n v="1.341117921428808"/>
    <n v="32.186830114291396"/>
    <n v="11748.19299171636"/>
  </r>
  <r>
    <d v="2023-01-31T07:48:00"/>
    <x v="3"/>
    <s v=""/>
    <x v="1"/>
    <x v="8"/>
    <x v="3"/>
    <s v="1/2023"/>
    <s v="31/1/2023"/>
    <d v="1899-12-31T00:12:00"/>
    <n v="1.0083333333313931"/>
    <d v="1902-02-12T14:48:00"/>
    <n v="774.61666666666133"/>
    <m/>
    <m/>
    <n v="0"/>
    <n v="1682"/>
    <n v="46"/>
    <n v="45.619834710831583"/>
    <n v="17536"/>
    <n v="734"/>
    <n v="20"/>
    <n v="19.834710743839818"/>
    <n v="7430"/>
    <n v="66"/>
    <n v="24966"/>
    <n v="2.7272727272779753"/>
    <n v="65.454545454671404"/>
    <n v="23890.909090955061"/>
    <n v="1.3429223056565707"/>
    <n v="32.230135335757694"/>
    <n v="11763.999397551559"/>
  </r>
  <r>
    <d v="2023-02-01T11:23:00"/>
    <x v="3"/>
    <s v=""/>
    <x v="2"/>
    <x v="9"/>
    <x v="4"/>
    <s v="2/2023"/>
    <s v="1/2/2023"/>
    <d v="1899-12-31T03:35:00"/>
    <n v="1.1493055555620231"/>
    <d v="1902-02-13T18:23:00"/>
    <n v="775.76597222222335"/>
    <m/>
    <m/>
    <n v="0"/>
    <n v="1727"/>
    <n v="45"/>
    <n v="39.154078549628608"/>
    <n v="17581"/>
    <n v="753"/>
    <n v="19"/>
    <n v="16.531722054287634"/>
    <n v="7449"/>
    <n v="64"/>
    <n v="25030"/>
    <n v="2.3202416918298434"/>
    <n v="55.685800603916242"/>
    <n v="20325.317220429428"/>
    <n v="1.3443702147429537"/>
    <n v="32.264885153830889"/>
    <n v="11776.683081148274"/>
  </r>
  <r>
    <d v="2023-02-02T08:01:00"/>
    <x v="3"/>
    <s v=""/>
    <x v="2"/>
    <x v="10"/>
    <x v="0"/>
    <s v="2/2023"/>
    <s v="2/2/2023"/>
    <d v="1899-12-30T20:38:00"/>
    <n v="0.85972222221607808"/>
    <d v="1902-02-14T15:01:00"/>
    <n v="776.62569444443943"/>
    <m/>
    <m/>
    <n v="0"/>
    <n v="1755"/>
    <n v="28"/>
    <n v="32.568659127857956"/>
    <n v="17609"/>
    <n v="769"/>
    <n v="16"/>
    <n v="18.610662358775976"/>
    <n v="7465"/>
    <n v="44"/>
    <n v="25074"/>
    <n v="2.1324717286097474"/>
    <n v="51.179321486633938"/>
    <n v="18680.452342621389"/>
    <n v="1.3452426406614886"/>
    <n v="32.285823375875722"/>
    <n v="11784.325532194638"/>
  </r>
  <r>
    <d v="2023-02-03T08:15:00"/>
    <x v="3"/>
    <s v=""/>
    <x v="2"/>
    <x v="11"/>
    <x v="5"/>
    <s v="2/2023"/>
    <s v="3/2/2023"/>
    <d v="1899-12-31T00:14:00"/>
    <n v="1.0097222222248092"/>
    <d v="1902-02-15T15:15:00"/>
    <n v="777.63541666666424"/>
    <m/>
    <m/>
    <n v="0"/>
    <n v="1788"/>
    <n v="33"/>
    <n v="32.682255845858492"/>
    <n v="17642"/>
    <n v="786"/>
    <n v="17"/>
    <n v="16.836313617563466"/>
    <n v="7482"/>
    <n v="50"/>
    <n v="25124"/>
    <n v="2.0632737276425814"/>
    <n v="49.518569463421962"/>
    <n v="18074.277854149015"/>
    <n v="1.3461749695256764"/>
    <n v="32.308199268616228"/>
    <n v="11792.492733044923"/>
  </r>
  <r>
    <d v="2023-02-04T08:47:00"/>
    <x v="3"/>
    <s v=""/>
    <x v="2"/>
    <x v="12"/>
    <x v="6"/>
    <s v="2/2023"/>
    <s v="4/2/2023"/>
    <d v="1899-12-31T00:32:00"/>
    <n v="1.0222222222218988"/>
    <d v="1902-02-16T15:47:00"/>
    <n v="778.65763888888614"/>
    <m/>
    <m/>
    <n v="0"/>
    <n v="1820"/>
    <n v="32"/>
    <n v="31.304347826096858"/>
    <n v="17674"/>
    <n v="802"/>
    <n v="16"/>
    <n v="15.652173913048429"/>
    <n v="7498"/>
    <n v="48"/>
    <n v="25172"/>
    <n v="1.9565217391310536"/>
    <n v="46.956521739145288"/>
    <n v="17139.130434788029"/>
    <n v="1.3469762331362694"/>
    <n v="32.327429595270466"/>
    <n v="11799.511802273721"/>
  </r>
  <r>
    <d v="2023-02-05T10:27:00"/>
    <x v="3"/>
    <s v=""/>
    <x v="2"/>
    <x v="13"/>
    <x v="1"/>
    <s v="2/2023"/>
    <s v="5/2/2023"/>
    <d v="1899-12-31T01:40:00"/>
    <n v="1.0694444444452529"/>
    <d v="1902-02-17T17:27:00"/>
    <n v="779.72708333333139"/>
    <m/>
    <m/>
    <n v="0"/>
    <n v="1853"/>
    <n v="33"/>
    <n v="30.857142857119531"/>
    <n v="17707"/>
    <n v="817"/>
    <n v="15"/>
    <n v="14.025974025963423"/>
    <n v="7513"/>
    <n v="48"/>
    <n v="25220"/>
    <n v="1.8701298701284563"/>
    <n v="44.883116883082955"/>
    <n v="16382.337662325279"/>
    <n v="1.3476937710577186"/>
    <n v="32.344650505385246"/>
    <n v="11805.797434465614"/>
  </r>
  <r>
    <d v="2023-02-06T07:41:00"/>
    <x v="3"/>
    <s v=""/>
    <x v="2"/>
    <x v="14"/>
    <x v="2"/>
    <s v="2/2023"/>
    <s v="6/2/2023"/>
    <d v="1899-12-30T21:14:00"/>
    <n v="0.88472222222480923"/>
    <d v="1902-02-18T14:41:00"/>
    <n v="780.6118055555562"/>
    <m/>
    <m/>
    <n v="0"/>
    <n v="1879"/>
    <n v="26"/>
    <n v="29.387755101954884"/>
    <n v="17733"/>
    <n v="839"/>
    <n v="22"/>
    <n v="24.866562009346442"/>
    <n v="7535"/>
    <n v="48"/>
    <n v="25268"/>
    <n v="2.2605965463042219"/>
    <n v="54.254317111301326"/>
    <n v="19802.825745624985"/>
    <n v="1.3487284279335732"/>
    <n v="32.369482270405754"/>
    <n v="11814.8610286981"/>
  </r>
  <r>
    <d v="2023-02-07T07:32:00"/>
    <x v="3"/>
    <s v=""/>
    <x v="2"/>
    <x v="15"/>
    <x v="3"/>
    <s v="2/2023"/>
    <s v="7/2/2023"/>
    <d v="1899-12-30T23:51:00"/>
    <n v="0.99374999999417923"/>
    <d v="1902-02-19T14:32:00"/>
    <n v="781.60555555555038"/>
    <m/>
    <m/>
    <n v="0"/>
    <n v="1921"/>
    <n v="42"/>
    <n v="42.264150943643784"/>
    <n v="17775"/>
    <n v="861"/>
    <n v="22"/>
    <n v="22.138364780003887"/>
    <n v="7557"/>
    <n v="64"/>
    <n v="25332"/>
    <n v="2.6834381551519861"/>
    <n v="64.402515723647667"/>
    <n v="23506.918239131399"/>
    <n v="1.3504254063928329"/>
    <n v="32.410209753427985"/>
    <n v="11829.726560001214"/>
  </r>
  <r>
    <d v="2023-02-08T08:58:00"/>
    <x v="3"/>
    <s v=""/>
    <x v="2"/>
    <x v="16"/>
    <x v="4"/>
    <s v="2/2023"/>
    <s v="8/2/2023"/>
    <d v="1899-12-31T01:26:00"/>
    <n v="1.0597222222277196"/>
    <d v="1902-02-20T15:58:00"/>
    <n v="782.6652777777781"/>
    <m/>
    <m/>
    <n v="0"/>
    <n v="1972"/>
    <n v="51"/>
    <n v="48.125819134743793"/>
    <n v="17826"/>
    <n v="884"/>
    <n v="23"/>
    <n v="21.703800786257002"/>
    <n v="7580"/>
    <n v="74"/>
    <n v="25406"/>
    <n v="2.9095674967083665"/>
    <n v="69.829619921000798"/>
    <n v="25487.81127116529"/>
    <n v="1.3525364717072532"/>
    <n v="32.460875320974083"/>
    <n v="11848.21949215554"/>
  </r>
  <r>
    <d v="2023-02-09T08:54:00"/>
    <x v="3"/>
    <s v=""/>
    <x v="2"/>
    <x v="17"/>
    <x v="0"/>
    <s v="2/2023"/>
    <s v="9/2/2023"/>
    <d v="1899-12-30T23:56:00"/>
    <n v="0.99722222222044365"/>
    <d v="1902-02-21T15:54:00"/>
    <n v="783.66249999999854"/>
    <m/>
    <m/>
    <n v="0"/>
    <n v="2019"/>
    <n v="47"/>
    <n v="47.130919220139766"/>
    <n v="17873"/>
    <n v="914"/>
    <n v="30"/>
    <n v="30.083565459663681"/>
    <n v="7610"/>
    <n v="77"/>
    <n v="25483"/>
    <n v="3.2172701949918103"/>
    <n v="77.214484679803448"/>
    <n v="28183.286908128259"/>
    <n v="1.3549093731889283"/>
    <n v="32.517824956534284"/>
    <n v="11869.006109135014"/>
  </r>
  <r>
    <d v="2023-02-10T08:45:00"/>
    <x v="3"/>
    <s v=""/>
    <x v="2"/>
    <x v="18"/>
    <x v="5"/>
    <s v="2/2023"/>
    <s v="10/2/2023"/>
    <d v="1899-12-30T23:51:00"/>
    <n v="0.99375000000145519"/>
    <d v="1902-02-22T15:45:00"/>
    <n v="784.65625"/>
    <m/>
    <m/>
    <n v="0"/>
    <n v="2059"/>
    <n v="40"/>
    <n v="40.251572326985084"/>
    <n v="17913"/>
    <n v="937"/>
    <n v="23"/>
    <n v="23.144654088016424"/>
    <n v="7633"/>
    <n v="63"/>
    <n v="25546"/>
    <n v="2.641509433958396"/>
    <n v="63.396226415001507"/>
    <n v="23139.622641475551"/>
    <n v="1.3565388240604299"/>
    <n v="32.556931777450316"/>
    <n v="11883.280098769366"/>
  </r>
  <r>
    <d v="2023-02-11T08:40:00"/>
    <x v="3"/>
    <s v=""/>
    <x v="2"/>
    <x v="19"/>
    <x v="6"/>
    <s v="2/2023"/>
    <s v="11/2/2023"/>
    <d v="1899-12-30T23:55:00"/>
    <n v="0.99652777777373558"/>
    <d v="1902-02-23T15:40:00"/>
    <n v="785.65277777777374"/>
    <m/>
    <m/>
    <n v="0"/>
    <n v="2092"/>
    <n v="33"/>
    <n v="33.114982578531539"/>
    <n v="17946"/>
    <n v="960"/>
    <n v="23"/>
    <n v="23.080139372915919"/>
    <n v="7656"/>
    <n v="56"/>
    <n v="25602"/>
    <n v="2.3414634146436439"/>
    <n v="56.195121951447454"/>
    <n v="20511.21951227832"/>
    <n v="1.3577881096752593"/>
    <n v="32.586914632206224"/>
    <n v="11894.223840755272"/>
  </r>
  <r>
    <d v="2023-02-12T09:43:00"/>
    <x v="3"/>
    <s v=""/>
    <x v="2"/>
    <x v="20"/>
    <x v="1"/>
    <s v="2/2023"/>
    <s v="12/2/2023"/>
    <d v="1899-12-31T01:03:00"/>
    <n v="1.0437500000043656"/>
    <d v="1902-02-24T16:43:00"/>
    <n v="786.6965277777781"/>
    <m/>
    <m/>
    <n v="0"/>
    <n v="2135"/>
    <n v="43"/>
    <n v="41.197604790246849"/>
    <n v="17989"/>
    <n v="984"/>
    <n v="24"/>
    <n v="22.994011975951729"/>
    <n v="7680"/>
    <n v="67"/>
    <n v="25669"/>
    <n v="2.6746506985916074"/>
    <n v="64.191616766198578"/>
    <n v="23429.940119662482"/>
    <n v="1.3595352577541631"/>
    <n v="32.628846186099913"/>
    <n v="11909.528857926469"/>
  </r>
  <r>
    <d v="2023-02-13T07:35:00"/>
    <x v="3"/>
    <s v=""/>
    <x v="2"/>
    <x v="21"/>
    <x v="2"/>
    <s v="2/2023"/>
    <s v="13/2/2023"/>
    <d v="1899-12-30T21:52:00"/>
    <n v="0.91111111110512866"/>
    <d v="1902-02-25T14:35:00"/>
    <n v="787.60763888888323"/>
    <m/>
    <m/>
    <n v="0"/>
    <n v="2161"/>
    <n v="26"/>
    <n v="28.536585366041034"/>
    <n v="18015"/>
    <n v="1008"/>
    <n v="24"/>
    <n v="26.341463414807109"/>
    <n v="7704"/>
    <n v="50"/>
    <n v="25719"/>
    <n v="2.2865853658686723"/>
    <n v="54.87804878084814"/>
    <n v="20030.487805009572"/>
    <n v="1.3606076770811848"/>
    <n v="32.654584249948435"/>
    <n v="11918.923251231179"/>
  </r>
  <r>
    <d v="2023-02-14T07:43:00"/>
    <x v="3"/>
    <s v=""/>
    <x v="2"/>
    <x v="22"/>
    <x v="3"/>
    <s v="2/2023"/>
    <s v="14/2/2023"/>
    <d v="1899-12-31T00:08:00"/>
    <n v="1.0055555555591127"/>
    <d v="1902-02-26T14:43:00"/>
    <n v="788.61319444444234"/>
    <m/>
    <m/>
    <n v="0"/>
    <n v="2190"/>
    <n v="29"/>
    <n v="28.839779005422841"/>
    <n v="18044"/>
    <n v="1029"/>
    <n v="21"/>
    <n v="20.883977900478609"/>
    <n v="7725"/>
    <n v="50"/>
    <n v="25769"/>
    <n v="2.0718232044125604"/>
    <n v="49.723756905901453"/>
    <n v="18149.171270654031"/>
    <n v="1.3615145433747569"/>
    <n v="32.676349040994168"/>
    <n v="11926.867399962872"/>
  </r>
  <r>
    <d v="2023-02-15T07:24:00"/>
    <x v="3"/>
    <s v=""/>
    <x v="2"/>
    <x v="23"/>
    <x v="4"/>
    <s v="2/2023"/>
    <s v="15/2/2023"/>
    <d v="1899-12-30T23:41:00"/>
    <n v="0.98680555555620231"/>
    <d v="1902-02-27T14:24:00"/>
    <n v="789.59999999999854"/>
    <m/>
    <m/>
    <n v="0"/>
    <n v="2216"/>
    <n v="26"/>
    <n v="26.347642505260705"/>
    <n v="18070"/>
    <n v="1048"/>
    <n v="19"/>
    <n v="19.254046446152053"/>
    <n v="7744"/>
    <n v="45"/>
    <n v="25814"/>
    <n v="1.9000703729755317"/>
    <n v="45.601688951412761"/>
    <n v="16644.61646726566"/>
    <n v="1.3621876055386719"/>
    <n v="32.692502532928124"/>
    <n v="11932.763424518766"/>
  </r>
  <r>
    <d v="2023-02-16T10:06:00"/>
    <x v="3"/>
    <s v=""/>
    <x v="2"/>
    <x v="24"/>
    <x v="0"/>
    <s v="2/2023"/>
    <s v="16/2/2023"/>
    <d v="1899-12-31T02:42:00"/>
    <n v="1.1124999999956344"/>
    <d v="1902-02-28T17:06:00"/>
    <n v="790.71249999999418"/>
    <m/>
    <m/>
    <n v="0"/>
    <n v="2246"/>
    <n v="30"/>
    <n v="26.96629213493728"/>
    <n v="18100"/>
    <n v="1062"/>
    <n v="14"/>
    <n v="12.58426966297073"/>
    <n v="7758"/>
    <n v="44"/>
    <n v="25858"/>
    <n v="1.6479400749128337"/>
    <n v="39.55056179790801"/>
    <n v="14435.955056236424"/>
    <n v="1.3625896475225503"/>
    <n v="32.702151540541209"/>
    <n v="11936.285312297541"/>
  </r>
  <r>
    <d v="2023-02-17T09:02:00"/>
    <x v="3"/>
    <s v=""/>
    <x v="2"/>
    <x v="0"/>
    <x v="5"/>
    <s v="2/2023"/>
    <s v="17/2/2023"/>
    <d v="1899-12-30T22:56:00"/>
    <n v="0.95555555555620231"/>
    <d v="1902-03-01T16:02:00"/>
    <n v="791.66805555555038"/>
    <m/>
    <m/>
    <n v="0"/>
    <n v="2271"/>
    <n v="25"/>
    <n v="26.16279069765671"/>
    <n v="18125"/>
    <n v="1074"/>
    <n v="12"/>
    <n v="12.55813953487522"/>
    <n v="7770"/>
    <n v="37"/>
    <n v="25895"/>
    <n v="1.6133720930221638"/>
    <n v="38.720930232531934"/>
    <n v="14133.139534874155"/>
    <n v="1.362892345802911"/>
    <n v="32.709416299269861"/>
    <n v="11938.936949233499"/>
  </r>
  <r>
    <d v="2023-02-18T08:13:00"/>
    <x v="3"/>
    <s v=""/>
    <x v="2"/>
    <x v="25"/>
    <x v="6"/>
    <s v="2/2023"/>
    <s v="18/2/2023"/>
    <d v="1899-12-30T23:11:00"/>
    <n v="0.96597222222771961"/>
    <d v="1902-03-02T15:13:00"/>
    <n v="792.6340277777781"/>
    <m/>
    <m/>
    <n v="0"/>
    <n v="2292"/>
    <n v="21"/>
    <n v="21.739755571407549"/>
    <n v="18146"/>
    <n v="1085"/>
    <n v="11"/>
    <n v="11.387491013594431"/>
    <n v="7781"/>
    <n v="32"/>
    <n v="25927"/>
    <n v="1.3803019410417492"/>
    <n v="33.127246585001984"/>
    <n v="12091.445003525725"/>
    <n v="1.3629135626379341"/>
    <n v="32.709925503310416"/>
    <n v="11939.122808708302"/>
  </r>
  <r>
    <d v="2023-02-19T09:01:00"/>
    <x v="3"/>
    <s v=""/>
    <x v="2"/>
    <x v="26"/>
    <x v="1"/>
    <s v="2/2023"/>
    <s v="19/2/2023"/>
    <d v="1899-12-31T00:48:00"/>
    <n v="1.0333333333328483"/>
    <d v="1902-03-03T16:01:00"/>
    <n v="793.66736111111095"/>
    <m/>
    <m/>
    <n v="0"/>
    <n v="2317"/>
    <n v="25"/>
    <n v="24.19354838710813"/>
    <n v="18171"/>
    <n v="1099"/>
    <n v="14"/>
    <n v="13.548387096780553"/>
    <n v="7795"/>
    <n v="39"/>
    <n v="25966"/>
    <n v="1.5725806451620286"/>
    <n v="37.741935483888682"/>
    <n v="13775.806451619368"/>
    <n v="1.3631865434809052"/>
    <n v="32.716477043541722"/>
    <n v="11941.514120892729"/>
  </r>
  <r>
    <d v="2023-02-20T08:11:00"/>
    <x v="3"/>
    <s v=""/>
    <x v="2"/>
    <x v="27"/>
    <x v="2"/>
    <s v="2/2023"/>
    <s v="20/2/2023"/>
    <d v="1899-12-30T23:10:00"/>
    <n v="0.96527777777373558"/>
    <d v="1902-03-04T15:11:00"/>
    <n v="794.63263888888469"/>
    <m/>
    <m/>
    <n v="0"/>
    <n v="2344"/>
    <n v="27"/>
    <n v="27.971223021699867"/>
    <n v="18198"/>
    <n v="1118"/>
    <n v="19"/>
    <n v="19.683453237492497"/>
    <n v="7814"/>
    <n v="46"/>
    <n v="26012"/>
    <n v="1.9856115107996819"/>
    <n v="47.654676259192364"/>
    <n v="17393.956834605211"/>
    <n v="1.3639426324708117"/>
    <n v="32.734623179299483"/>
    <n v="11948.137460444312"/>
  </r>
  <r>
    <d v="2023-02-21T08:09:00"/>
    <x v="3"/>
    <s v=""/>
    <x v="2"/>
    <x v="28"/>
    <x v="3"/>
    <s v="2/2023"/>
    <s v="21/2/2023"/>
    <d v="1899-12-30T23:58:00"/>
    <n v="0.99861111111385981"/>
    <d v="1902-03-05T15:09:00"/>
    <n v="795.63124999999854"/>
    <m/>
    <m/>
    <n v="0"/>
    <n v="2368"/>
    <n v="24"/>
    <n v="24.033379693953318"/>
    <n v="18222"/>
    <n v="1136"/>
    <n v="18"/>
    <n v="18.025034770464991"/>
    <n v="7832"/>
    <n v="42"/>
    <n v="26054"/>
    <n v="1.7524339360174295"/>
    <n v="42.058414464418306"/>
    <n v="15351.321279512682"/>
    <n v="1.3644302349025825"/>
    <n v="32.746325637661982"/>
    <n v="11952.408857746623"/>
  </r>
  <r>
    <d v="2023-02-22T08:02:00"/>
    <x v="3"/>
    <s v=""/>
    <x v="2"/>
    <x v="29"/>
    <x v="4"/>
    <s v="2/2023"/>
    <s v="22/2/2023"/>
    <d v="1899-12-30T23:53:00"/>
    <n v="0.99513888888759539"/>
    <d v="1902-03-06T15:02:00"/>
    <n v="796.62638888888614"/>
    <m/>
    <m/>
    <n v="0"/>
    <n v="2388"/>
    <n v="20"/>
    <n v="20.097697138895629"/>
    <n v="18242"/>
    <n v="1148"/>
    <n v="12"/>
    <n v="12.058618283337378"/>
    <n v="7844"/>
    <n v="32"/>
    <n v="26086"/>
    <n v="1.3398464759263753"/>
    <n v="32.156315422233007"/>
    <n v="11737.055129115048"/>
    <n v="1.3643995250805963"/>
    <n v="32.745588601934308"/>
    <n v="11952.139839706022"/>
  </r>
  <r>
    <d v="2023-02-23T07:45:00"/>
    <x v="3"/>
    <s v=""/>
    <x v="2"/>
    <x v="30"/>
    <x v="0"/>
    <s v="2/2023"/>
    <s v="23/2/2023"/>
    <d v="1899-12-30T23:43:00"/>
    <n v="0.9881944444423425"/>
    <d v="1902-03-07T14:45:00"/>
    <n v="797.61458333332848"/>
    <m/>
    <m/>
    <n v="0"/>
    <n v="2417"/>
    <n v="29"/>
    <n v="29.346451159584557"/>
    <n v="18271"/>
    <n v="1165"/>
    <n v="17"/>
    <n v="17.203092059066808"/>
    <n v="7861"/>
    <n v="46"/>
    <n v="26132"/>
    <n v="1.9395643007771404"/>
    <n v="46.549543218651365"/>
    <n v="16990.583274807748"/>
    <n v="1.3651121181648487"/>
    <n v="32.76269083595637"/>
    <n v="11958.382155124074"/>
  </r>
  <r>
    <d v="2023-02-24T07:48:00"/>
    <x v="3"/>
    <s v=""/>
    <x v="2"/>
    <x v="1"/>
    <x v="5"/>
    <s v="2/2023"/>
    <s v="24/2/2023"/>
    <d v="1899-12-31T00:03:00"/>
    <n v="1.0020833333328483"/>
    <d v="1902-03-08T14:48:00"/>
    <n v="798.61666666666133"/>
    <m/>
    <m/>
    <n v="0"/>
    <n v="2455"/>
    <n v="38"/>
    <n v="37.92099792101628"/>
    <n v="18309"/>
    <n v="1180"/>
    <n v="15"/>
    <n v="14.968814968822215"/>
    <n v="7876"/>
    <n v="53"/>
    <n v="26185"/>
    <n v="2.2037422037432703"/>
    <n v="52.889812889838488"/>
    <n v="19304.781704791047"/>
    <n v="1.366164409291075"/>
    <n v="32.787945822985797"/>
    <n v="11967.600225389817"/>
  </r>
  <r>
    <d v="2023-02-25T07:13:00"/>
    <x v="3"/>
    <s v=""/>
    <x v="2"/>
    <x v="2"/>
    <x v="6"/>
    <s v="2/2023"/>
    <s v="25/2/2023"/>
    <d v="1899-12-30T23:25:00"/>
    <n v="0.97569444444525288"/>
    <d v="1902-03-09T14:13:00"/>
    <n v="799.59236111110658"/>
    <m/>
    <m/>
    <n v="0"/>
    <n v="2489"/>
    <n v="34"/>
    <n v="34.846975088939097"/>
    <n v="18343"/>
    <n v="1198"/>
    <n v="18"/>
    <n v="18.448398576497169"/>
    <n v="7894"/>
    <n v="52"/>
    <n v="26237"/>
    <n v="2.2206405693931779"/>
    <n v="53.295373665436266"/>
    <n v="19452.811387884238"/>
    <n v="1.3672070751329097"/>
    <n v="32.81296980318983"/>
    <n v="11976.733978164288"/>
  </r>
  <r>
    <d v="2023-02-26T09:38:00"/>
    <x v="3"/>
    <s v=""/>
    <x v="2"/>
    <x v="3"/>
    <x v="1"/>
    <s v="2/2023"/>
    <s v="26/2/2023"/>
    <d v="1899-12-31T02:25:00"/>
    <n v="1.1006944444452529"/>
    <d v="1902-03-10T16:38:00"/>
    <n v="800.69305555555184"/>
    <m/>
    <m/>
    <n v="0"/>
    <n v="2536"/>
    <n v="47"/>
    <n v="42.700315457381883"/>
    <n v="18390"/>
    <n v="1219"/>
    <n v="21"/>
    <n v="19.07886435329829"/>
    <n v="7915"/>
    <n v="68"/>
    <n v="26305"/>
    <n v="2.5741324921116742"/>
    <n v="61.779179810680176"/>
    <n v="22549.400630898264"/>
    <n v="1.3688662079205751"/>
    <n v="32.852788990093806"/>
    <n v="11991.267981384239"/>
  </r>
  <r>
    <d v="2023-02-27T08:02:00"/>
    <x v="3"/>
    <s v=""/>
    <x v="2"/>
    <x v="4"/>
    <x v="2"/>
    <s v="2/2023"/>
    <s v="27/2/2023"/>
    <d v="1899-12-30T22:24:00"/>
    <n v="0.93333333333430346"/>
    <d v="1902-03-11T15:02:00"/>
    <n v="801.62638888888614"/>
    <m/>
    <m/>
    <n v="0"/>
    <n v="2577"/>
    <n v="41"/>
    <n v="43.928571428525771"/>
    <n v="18431"/>
    <n v="1244"/>
    <n v="25"/>
    <n v="26.785714285686446"/>
    <n v="7940"/>
    <n v="66"/>
    <n v="26371"/>
    <n v="2.9464285714255087"/>
    <n v="70.71428571421221"/>
    <n v="25810.714285687456"/>
    <n v="1.3707029632465988"/>
    <n v="32.896871117918373"/>
    <n v="12007.357958040206"/>
  </r>
  <r>
    <d v="2023-02-28T07:31:00"/>
    <x v="3"/>
    <s v=""/>
    <x v="2"/>
    <x v="5"/>
    <x v="3"/>
    <s v="2/2023"/>
    <s v="28/2/2023"/>
    <d v="1899-12-30T23:29:00"/>
    <n v="0.97847222222480923"/>
    <d v="1902-03-12T14:31:00"/>
    <n v="802.60486111111095"/>
    <m/>
    <m/>
    <n v="0"/>
    <n v="2625"/>
    <n v="48"/>
    <n v="49.056068133298261"/>
    <n v="18479"/>
    <n v="1269"/>
    <n v="25"/>
    <n v="25.550035486092845"/>
    <n v="7965"/>
    <n v="73"/>
    <n v="26444"/>
    <n v="3.1085876508079626"/>
    <n v="74.606103619391106"/>
    <n v="27231.227821077755"/>
    <n v="1.3728216544913223"/>
    <n v="32.947719707791734"/>
    <n v="12025.917693343983"/>
  </r>
  <r>
    <d v="2023-03-01T08:14:00"/>
    <x v="3"/>
    <s v=""/>
    <x v="3"/>
    <x v="9"/>
    <x v="4"/>
    <s v="3/2023"/>
    <s v="1/3/2023"/>
    <d v="1899-12-31T00:43:00"/>
    <n v="1.0298611111065838"/>
    <d v="1902-03-13T15:14:00"/>
    <n v="803.63472222221753"/>
    <m/>
    <m/>
    <n v="0"/>
    <n v="2674"/>
    <n v="49"/>
    <n v="47.579231288139027"/>
    <n v="18528"/>
    <n v="1293"/>
    <n v="24"/>
    <n v="23.304113283986464"/>
    <n v="7989"/>
    <n v="73"/>
    <n v="26517"/>
    <n v="2.9534726905052291"/>
    <n v="70.883344572125495"/>
    <n v="25872.420768825807"/>
    <n v="1.3748472651166568"/>
    <n v="32.996334362799765"/>
    <n v="12043.662042421915"/>
  </r>
  <r>
    <d v="2023-03-02T08:16:00"/>
    <x v="3"/>
    <s v=""/>
    <x v="3"/>
    <x v="10"/>
    <x v="0"/>
    <s v="3/2023"/>
    <s v="2/3/2023"/>
    <d v="1899-12-31T00:02:00"/>
    <n v="1.0013888888934162"/>
    <d v="1902-03-14T15:16:00"/>
    <n v="804.63611111111095"/>
    <m/>
    <m/>
    <n v="0"/>
    <n v="2717"/>
    <n v="43"/>
    <n v="42.940360610069391"/>
    <n v="18571"/>
    <n v="1318"/>
    <n v="25"/>
    <n v="24.965325936086856"/>
    <n v="8014"/>
    <n v="68"/>
    <n v="26585"/>
    <n v="2.8294036060898438"/>
    <n v="67.905686546156247"/>
    <n v="24785.57558934703"/>
    <n v="1.3766574952790946"/>
    <n v="33.03977988669827"/>
    <n v="12059.519658644869"/>
  </r>
  <r>
    <d v="2023-03-03T08:32:00"/>
    <x v="3"/>
    <s v=""/>
    <x v="3"/>
    <x v="11"/>
    <x v="5"/>
    <s v="3/2023"/>
    <s v="3/3/2023"/>
    <d v="1899-12-31T00:16:00"/>
    <n v="1.0111111111109494"/>
    <d v="1902-03-15T15:32:00"/>
    <n v="805.6472222222219"/>
    <m/>
    <m/>
    <n v="0"/>
    <n v="2759"/>
    <n v="42"/>
    <n v="41.538461538468184"/>
    <n v="18613"/>
    <n v="1340"/>
    <n v="22"/>
    <n v="21.758241758245237"/>
    <n v="8036"/>
    <n v="64"/>
    <n v="26649"/>
    <n v="2.6373626373630592"/>
    <n v="63.296703296713417"/>
    <n v="23103.296703300399"/>
    <n v="1.3782397175493828"/>
    <n v="33.077753221185191"/>
    <n v="12073.379925732595"/>
  </r>
  <r>
    <d v="2023-03-04T08:57:00"/>
    <x v="3"/>
    <s v=""/>
    <x v="3"/>
    <x v="12"/>
    <x v="6"/>
    <s v="3/2023"/>
    <s v="4/3/2023"/>
    <d v="1899-12-31T00:25:00"/>
    <n v="1.0173611111094942"/>
    <d v="1902-03-16T15:57:00"/>
    <n v="806.66458333333139"/>
    <m/>
    <m/>
    <n v="0"/>
    <n v="2800"/>
    <n v="41"/>
    <n v="40.300341296992379"/>
    <n v="18654"/>
    <n v="1364"/>
    <n v="24"/>
    <n v="23.590443686044317"/>
    <n v="8060"/>
    <n v="65"/>
    <n v="26714"/>
    <n v="2.6621160409598623"/>
    <n v="63.890784983036696"/>
    <n v="23320.136518808395"/>
    <n v="1.3798589355860973"/>
    <n v="33.116614454066337"/>
    <n v="12087.564275734212"/>
  </r>
  <r>
    <d v="2023-03-05T09:27:00"/>
    <x v="3"/>
    <s v=""/>
    <x v="3"/>
    <x v="13"/>
    <x v="1"/>
    <s v="3/2023"/>
    <s v="5/3/2023"/>
    <d v="1899-12-31T00:30:00"/>
    <n v="1.0208333333357587"/>
    <d v="1902-03-17T16:27:00"/>
    <n v="807.68541666666715"/>
    <m/>
    <m/>
    <n v="0"/>
    <n v="2843"/>
    <n v="43"/>
    <n v="42.122448979491764"/>
    <n v="18697"/>
    <n v="1388"/>
    <n v="24"/>
    <n v="23.510204081576799"/>
    <n v="8084"/>
    <n v="67"/>
    <n v="26781"/>
    <n v="2.7346938775445233"/>
    <n v="65.632653061068552"/>
    <n v="23955.918367290022"/>
    <n v="1.3815713110250734"/>
    <n v="33.157711464601761"/>
    <n v="12102.564684579642"/>
  </r>
  <r>
    <d v="2023-03-06T07:42:00"/>
    <x v="3"/>
    <s v=""/>
    <x v="3"/>
    <x v="14"/>
    <x v="2"/>
    <s v="3/2023"/>
    <s v="6/3/2023"/>
    <d v="1899-12-30T22:15:00"/>
    <n v="0.92708333332848269"/>
    <d v="1902-03-18T14:42:00"/>
    <n v="808.61249999999563"/>
    <m/>
    <m/>
    <n v="0"/>
    <n v="2874"/>
    <n v="31"/>
    <n v="33.438202247365965"/>
    <n v="18728"/>
    <n v="1411"/>
    <n v="23"/>
    <n v="24.80898876417475"/>
    <n v="8107"/>
    <n v="54"/>
    <n v="26835"/>
    <n v="2.4269662921475299"/>
    <n v="58.247191011540714"/>
    <n v="21260.224719212361"/>
    <n v="1.3827698681383309"/>
    <n v="33.186476835319937"/>
    <n v="12113.064044891777"/>
  </r>
  <r>
    <d v="2023-03-07T07:22:00"/>
    <x v="3"/>
    <s v=""/>
    <x v="3"/>
    <x v="15"/>
    <x v="3"/>
    <s v="3/2023"/>
    <s v="7/3/2023"/>
    <d v="1899-12-30T23:40:00"/>
    <n v="0.98611111110949423"/>
    <d v="1902-03-19T14:22:00"/>
    <n v="809.59861111110513"/>
    <m/>
    <m/>
    <n v="0"/>
    <n v="2911"/>
    <n v="37"/>
    <n v="37.521126760624902"/>
    <n v="18765"/>
    <n v="1431"/>
    <n v="20"/>
    <n v="20.281690140878325"/>
    <n v="8127"/>
    <n v="57"/>
    <n v="26892"/>
    <n v="2.4084507042293013"/>
    <n v="57.802816901503228"/>
    <n v="21098.028169048677"/>
    <n v="1.3840191727382156"/>
    <n v="33.216460145717171"/>
    <n v="12124.007953186767"/>
  </r>
  <r>
    <d v="2023-03-08T08:19:00"/>
    <x v="3"/>
    <s v=""/>
    <x v="3"/>
    <x v="16"/>
    <x v="4"/>
    <s v="3/2023"/>
    <s v="8/3/2023"/>
    <d v="1899-12-31T00:57:00"/>
    <n v="1.039583333338669"/>
    <d v="1902-03-20T15:19:00"/>
    <n v="810.6381944444438"/>
    <m/>
    <m/>
    <n v="0"/>
    <n v="2951"/>
    <n v="40"/>
    <n v="38.476953907618146"/>
    <n v="18805"/>
    <n v="1448"/>
    <n v="17"/>
    <n v="16.352705410737713"/>
    <n v="8144"/>
    <n v="57"/>
    <n v="26949"/>
    <n v="2.2845691382648274"/>
    <n v="54.829659318355858"/>
    <n v="20012.825651199888"/>
    <n v="1.385174061246327"/>
    <n v="33.244177469911847"/>
    <n v="12134.124776517823"/>
  </r>
  <r>
    <d v="2023-03-09T08:51:00"/>
    <x v="3"/>
    <s v=""/>
    <x v="3"/>
    <x v="17"/>
    <x v="0"/>
    <s v="3/2023"/>
    <s v="9/3/2023"/>
    <d v="1899-12-31T00:32:00"/>
    <n v="1.0222222222218988"/>
    <d v="1902-03-21T15:51:00"/>
    <n v="811.6604166666657"/>
    <m/>
    <m/>
    <n v="0"/>
    <n v="2979"/>
    <n v="28"/>
    <n v="27.391304347834751"/>
    <n v="18833"/>
    <n v="1461"/>
    <n v="13"/>
    <n v="12.71739130435185"/>
    <n v="8157"/>
    <n v="41"/>
    <n v="26990"/>
    <n v="1.6711956521744418"/>
    <n v="40.108695652186604"/>
    <n v="14639.673913048111"/>
    <n v="1.3855342828615227"/>
    <n v="33.252822788676546"/>
    <n v="12137.28031786694"/>
  </r>
  <r>
    <d v="2023-03-10T08:21:00"/>
    <x v="3"/>
    <s v=""/>
    <x v="3"/>
    <x v="18"/>
    <x v="5"/>
    <s v="3/2023"/>
    <s v="10/3/2023"/>
    <d v="1899-12-30T23:30:00"/>
    <n v="0.97916666666424135"/>
    <d v="1902-03-22T15:21:00"/>
    <n v="812.63958333332994"/>
    <m/>
    <m/>
    <n v="0"/>
    <n v="3005"/>
    <n v="26"/>
    <n v="26.553191489427473"/>
    <n v="18859"/>
    <n v="1475"/>
    <n v="14"/>
    <n v="14.297872340460946"/>
    <n v="8171"/>
    <n v="40"/>
    <n v="27030"/>
    <n v="1.7021276595786841"/>
    <n v="40.851063829888417"/>
    <n v="14910.638297909272"/>
    <n v="1.3859157529347581"/>
    <n v="33.261978070434189"/>
    <n v="12140.62199570848"/>
  </r>
  <r>
    <d v="2023-03-11T07:07:00"/>
    <x v="3"/>
    <s v=""/>
    <x v="3"/>
    <x v="19"/>
    <x v="6"/>
    <s v="3/2023"/>
    <s v="11/3/2023"/>
    <d v="1899-12-30T22:46:00"/>
    <n v="0.94861111111094942"/>
    <d v="1902-03-23T14:07:00"/>
    <n v="813.58819444444089"/>
    <m/>
    <m/>
    <n v="0"/>
    <n v="3036"/>
    <n v="31"/>
    <n v="32.679355783314499"/>
    <n v="18890"/>
    <n v="1490"/>
    <n v="15"/>
    <n v="15.812591508055403"/>
    <n v="8186"/>
    <n v="46"/>
    <n v="27076"/>
    <n v="2.0204978038070793"/>
    <n v="48.491947291369904"/>
    <n v="17699.560761350014"/>
    <n v="1.3866556500823317"/>
    <n v="33.279735601975958"/>
    <n v="12147.103494721225"/>
  </r>
  <r>
    <d v="2023-03-12T09:39:00"/>
    <x v="3"/>
    <s v=""/>
    <x v="3"/>
    <x v="20"/>
    <x v="1"/>
    <s v="3/2023"/>
    <s v="12/3/2023"/>
    <d v="1899-12-31T02:32:00"/>
    <n v="1.1055555555576575"/>
    <d v="1902-03-24T16:39:00"/>
    <n v="814.69374999999854"/>
    <m/>
    <m/>
    <n v="0"/>
    <n v="3063"/>
    <n v="27"/>
    <n v="24.422110552717385"/>
    <n v="18917"/>
    <n v="1503"/>
    <n v="13"/>
    <n v="11.75879396982689"/>
    <n v="8199"/>
    <n v="40"/>
    <n v="27116"/>
    <n v="1.5075376884393448"/>
    <n v="36.180904522544274"/>
    <n v="13206.03015072866"/>
    <n v="1.3868196894027176"/>
    <n v="33.283672545665226"/>
    <n v="12148.540479167808"/>
  </r>
  <r>
    <d v="2023-03-13T07:32:00"/>
    <x v="3"/>
    <s v=""/>
    <x v="3"/>
    <x v="21"/>
    <x v="2"/>
    <s v="3/2023"/>
    <s v="13/3/2023"/>
    <d v="1899-12-30T21:53:00"/>
    <n v="0.91180555555183673"/>
    <d v="1902-03-25T14:32:00"/>
    <n v="815.60555555555038"/>
    <m/>
    <m/>
    <n v="0"/>
    <n v="3080"/>
    <n v="17"/>
    <n v="18.644325971134684"/>
    <n v="18934"/>
    <n v="1516"/>
    <n v="13"/>
    <n v="14.257425742632407"/>
    <n v="8212"/>
    <n v="30"/>
    <n v="27146"/>
    <n v="1.3709063214069621"/>
    <n v="32.901751713767091"/>
    <n v="12009.139375524988"/>
    <n v="1.3868018990661424"/>
    <n v="33.283245577587415"/>
    <n v="12148.384635819406"/>
  </r>
  <r>
    <d v="2023-03-14T07:41:00"/>
    <x v="3"/>
    <s v=""/>
    <x v="3"/>
    <x v="22"/>
    <x v="3"/>
    <s v="3/2023"/>
    <s v="14/3/2023"/>
    <d v="1899-12-31T00:09:00"/>
    <n v="1.0062500000058208"/>
    <d v="1902-03-26T14:41:00"/>
    <n v="816.6118055555562"/>
    <m/>
    <m/>
    <n v="0"/>
    <n v="3109"/>
    <n v="29"/>
    <n v="28.819875776230802"/>
    <n v="18963"/>
    <n v="1532"/>
    <n v="16"/>
    <n v="15.900621117920444"/>
    <n v="8228"/>
    <n v="45"/>
    <n v="27191"/>
    <n v="1.863354037256302"/>
    <n v="44.720496894151246"/>
    <n v="16322.981366365206"/>
    <n v="1.3873891188268588"/>
    <n v="33.297338851844614"/>
    <n v="12153.528680923284"/>
  </r>
  <r>
    <d v="2023-03-15T07:59:00"/>
    <x v="3"/>
    <s v=""/>
    <x v="3"/>
    <x v="23"/>
    <x v="4"/>
    <s v="3/2023"/>
    <s v="15/3/2023"/>
    <d v="1899-12-31T00:18:00"/>
    <n v="1.0124999999970896"/>
    <d v="1902-03-27T14:59:00"/>
    <n v="817.62430555555329"/>
    <m/>
    <m/>
    <n v="0"/>
    <n v="3139"/>
    <n v="30"/>
    <n v="29.629629629714799"/>
    <n v="18993"/>
    <n v="1550"/>
    <n v="18"/>
    <n v="17.777777777828881"/>
    <n v="8246"/>
    <n v="48"/>
    <n v="27239"/>
    <n v="1.9753086419809867"/>
    <n v="47.40740740754368"/>
    <n v="17303.703703753443"/>
    <n v="1.3881171653307938"/>
    <n v="33.31481196793905"/>
    <n v="12159.906368297754"/>
  </r>
  <r>
    <d v="2023-03-16T07:24:00"/>
    <x v="3"/>
    <s v=""/>
    <x v="3"/>
    <x v="24"/>
    <x v="0"/>
    <s v="3/2023"/>
    <s v="16/3/2023"/>
    <d v="1899-12-30T23:25:00"/>
    <n v="0.97569444444525288"/>
    <d v="1902-03-28T14:24:00"/>
    <n v="818.59999999999854"/>
    <m/>
    <m/>
    <n v="0"/>
    <n v="3161"/>
    <n v="22"/>
    <n v="22.548042704607653"/>
    <n v="19015"/>
    <n v="1566"/>
    <n v="16"/>
    <n v="16.398576512441927"/>
    <n v="8262"/>
    <n v="38"/>
    <n v="27277"/>
    <n v="1.6227758007103992"/>
    <n v="38.94661921704958"/>
    <n v="14215.516014223096"/>
    <n v="1.3883968564215352"/>
    <n v="33.321524554116841"/>
    <n v="12162.356462252646"/>
  </r>
  <r>
    <d v="2023-03-17T08:14:00"/>
    <x v="3"/>
    <s v=""/>
    <x v="3"/>
    <x v="0"/>
    <x v="5"/>
    <s v="3/2023"/>
    <s v="17/3/2023"/>
    <d v="1899-12-31T00:50:00"/>
    <n v="1.0347222222189885"/>
    <d v="1902-03-29T15:14:00"/>
    <n v="819.63472222221753"/>
    <m/>
    <m/>
    <n v="0"/>
    <n v="3176"/>
    <n v="15"/>
    <n v="14.49664429534732"/>
    <n v="19030"/>
    <n v="1568"/>
    <n v="2"/>
    <n v="1.9328859060463093"/>
    <n v="8264"/>
    <n v="17"/>
    <n v="27294"/>
    <n v="0.68456375839140116"/>
    <n v="16.429530201393629"/>
    <n v="5996.7785235086749"/>
    <n v="1.3875083243382549"/>
    <n v="33.300199784118114"/>
    <n v="12154.572921203111"/>
  </r>
  <r>
    <d v="2023-03-18T07:25:00"/>
    <x v="3"/>
    <s v=""/>
    <x v="3"/>
    <x v="25"/>
    <x v="6"/>
    <s v="3/2023"/>
    <s v="18/3/2023"/>
    <d v="1899-12-30T23:11:00"/>
    <n v="0.96597222222771961"/>
    <d v="1902-03-30T14:25:00"/>
    <n v="820.60069444444525"/>
    <m/>
    <m/>
    <n v="0"/>
    <n v="3198"/>
    <n v="22"/>
    <n v="22.774982027188862"/>
    <n v="19052"/>
    <n v="1583"/>
    <n v="15"/>
    <n v="15.528396836719679"/>
    <n v="8279"/>
    <n v="37"/>
    <n v="27331"/>
    <n v="1.5959741193295225"/>
    <n v="38.303378863908542"/>
    <n v="13980.733285326618"/>
    <n v="1.3877537203860641"/>
    <n v="33.306089289265536"/>
    <n v="12156.722590581921"/>
  </r>
  <r>
    <d v="2023-03-19T09:47:00"/>
    <x v="3"/>
    <s v=""/>
    <x v="3"/>
    <x v="26"/>
    <x v="1"/>
    <s v="3/2023"/>
    <s v="19/3/2023"/>
    <d v="1899-12-31T02:22:00"/>
    <n v="1.0986111111051287"/>
    <d v="1902-03-31T16:47:00"/>
    <n v="821.69930555555038"/>
    <m/>
    <m/>
    <n v="0"/>
    <n v="3231"/>
    <n v="33"/>
    <n v="30.037926675258387"/>
    <n v="19085"/>
    <n v="1597"/>
    <n v="14"/>
    <n v="12.743362831927801"/>
    <n v="8293"/>
    <n v="47"/>
    <n v="27378"/>
    <n v="1.7825537294660911"/>
    <n v="42.781289507186187"/>
    <n v="15615.170670122958"/>
    <n v="1.3882815675847988"/>
    <n v="33.318757622035172"/>
    <n v="12161.346532042837"/>
  </r>
  <r>
    <d v="2023-03-20T07:41:00"/>
    <x v="3"/>
    <s v=""/>
    <x v="3"/>
    <x v="27"/>
    <x v="2"/>
    <s v="3/2023"/>
    <s v="20/3/2023"/>
    <d v="1899-12-30T21:54:00"/>
    <n v="0.91250000000582077"/>
    <d v="1902-04-01T14:41:00"/>
    <n v="822.6118055555562"/>
    <m/>
    <m/>
    <n v="0"/>
    <n v="3253"/>
    <n v="22"/>
    <n v="24.109589040942097"/>
    <n v="19107"/>
    <n v="1613"/>
    <n v="16"/>
    <n v="17.534246575230615"/>
    <n v="8309"/>
    <n v="38"/>
    <n v="27416"/>
    <n v="1.7351598173405298"/>
    <n v="41.643835616172716"/>
    <n v="15199.999999903041"/>
    <n v="1.3886663498122922"/>
    <n v="33.327992395495016"/>
    <n v="12164.717224355682"/>
  </r>
  <r>
    <d v="2023-03-21T07:28:00"/>
    <x v="3"/>
    <s v=""/>
    <x v="3"/>
    <x v="28"/>
    <x v="3"/>
    <s v="3/2023"/>
    <s v="21/3/2023"/>
    <d v="1899-12-30T23:47:00"/>
    <n v="0.99097222222189885"/>
    <d v="1902-04-02T14:28:00"/>
    <n v="823.6027777777781"/>
    <m/>
    <m/>
    <n v="0"/>
    <n v="3274"/>
    <n v="21"/>
    <n v="21.191310441492551"/>
    <n v="19128"/>
    <n v="1627"/>
    <n v="14"/>
    <n v="14.127540294328366"/>
    <n v="8323"/>
    <n v="35"/>
    <n v="27451"/>
    <n v="1.4716187806592049"/>
    <n v="35.318850735820916"/>
    <n v="12891.380518574635"/>
    <n v="1.3887661595226928"/>
    <n v="33.330387828544623"/>
    <n v="12165.591557418787"/>
  </r>
  <r>
    <d v="2023-03-22T09:30:00"/>
    <x v="3"/>
    <s v=""/>
    <x v="3"/>
    <x v="29"/>
    <x v="4"/>
    <s v="3/2023"/>
    <s v="22/3/2023"/>
    <d v="1899-12-31T02:02:00"/>
    <n v="1.0847222222218988"/>
    <d v="1902-04-03T16:30:00"/>
    <n v="824.6875"/>
    <m/>
    <m/>
    <n v="0"/>
    <n v="3291"/>
    <n v="17"/>
    <n v="15.672215108839499"/>
    <n v="19145"/>
    <n v="1641"/>
    <n v="14"/>
    <n v="12.906530089632529"/>
    <n v="8337"/>
    <n v="31"/>
    <n v="27482"/>
    <n v="1.1907810499363345"/>
    <n v="28.578745198472028"/>
    <n v="10431.24199744229"/>
    <n v="1.3885057471264368"/>
    <n v="33.324137931034485"/>
    <n v="12163.310344827587"/>
  </r>
  <r>
    <d v="2023-03-23T07:52:00"/>
    <x v="3"/>
    <s v=""/>
    <x v="3"/>
    <x v="30"/>
    <x v="0"/>
    <s v="3/2023"/>
    <s v="23/3/2023"/>
    <d v="1899-12-30T22:22:00"/>
    <n v="0.93194444444088731"/>
    <d v="1902-04-04T14:52:00"/>
    <n v="825.61944444444089"/>
    <m/>
    <m/>
    <n v="0"/>
    <n v="3313"/>
    <n v="22"/>
    <n v="23.606557377139286"/>
    <n v="19167"/>
    <n v="1653"/>
    <n v="12"/>
    <n v="12.876304023894155"/>
    <n v="8349"/>
    <n v="34"/>
    <n v="27516"/>
    <n v="1.52011922504306"/>
    <n v="36.482861401033439"/>
    <n v="13316.244411377205"/>
    <n v="1.3886543100634936"/>
    <n v="33.327703441523845"/>
    <n v="12164.611756156204"/>
  </r>
  <r>
    <d v="2023-03-24T08:22:00"/>
    <x v="3"/>
    <s v=""/>
    <x v="3"/>
    <x v="1"/>
    <x v="5"/>
    <s v="3/2023"/>
    <s v="24/3/2023"/>
    <d v="1899-12-31T00:30:00"/>
    <n v="1.0208333333357587"/>
    <d v="1902-04-05T15:22:00"/>
    <n v="826.64027777777665"/>
    <m/>
    <m/>
    <n v="0"/>
    <n v="3336"/>
    <n v="23"/>
    <n v="22.530612244844431"/>
    <n v="19190"/>
    <n v="1664"/>
    <n v="11"/>
    <n v="10.775510204056031"/>
    <n v="8360"/>
    <n v="34"/>
    <n v="27550"/>
    <n v="1.3877551020375192"/>
    <n v="33.30612244890046"/>
    <n v="12156.734693848668"/>
    <n v="1.388653199614909"/>
    <n v="33.327676790757813"/>
    <n v="12164.602028626601"/>
  </r>
  <r>
    <d v="2023-03-25T11:06:00"/>
    <x v="3"/>
    <s v=""/>
    <x v="3"/>
    <x v="2"/>
    <x v="6"/>
    <s v="3/2023"/>
    <s v="25/3/2023"/>
    <d v="1899-12-31T02:44:00"/>
    <n v="1.1138888888890506"/>
    <d v="1902-04-06T18:06:00"/>
    <n v="827.7541666666657"/>
    <m/>
    <m/>
    <n v="0"/>
    <n v="3363"/>
    <n v="27"/>
    <n v="24.239401496255834"/>
    <n v="19217"/>
    <n v="1678"/>
    <n v="14"/>
    <n v="12.568578553614136"/>
    <n v="8374"/>
    <n v="41"/>
    <n v="27591"/>
    <n v="1.5336658354112487"/>
    <n v="36.807980049869968"/>
    <n v="13434.912718202539"/>
    <n v="1.3888483396338502"/>
    <n v="33.332360151212406"/>
    <n v="12166.311455192528"/>
  </r>
  <r>
    <d v="2023-03-26T09:25:00"/>
    <x v="3"/>
    <s v=""/>
    <x v="3"/>
    <x v="3"/>
    <x v="1"/>
    <s v="3/2023"/>
    <s v="26/3/2023"/>
    <d v="1899-12-30T22:19:00"/>
    <n v="0.92986111110803904"/>
    <d v="1902-04-07T16:25:00"/>
    <n v="828.68402777777374"/>
    <m/>
    <m/>
    <n v="0"/>
    <n v="3386"/>
    <n v="23"/>
    <n v="24.734876773793445"/>
    <n v="19240"/>
    <n v="1692"/>
    <n v="14"/>
    <n v="15.056011949265574"/>
    <n v="8388"/>
    <n v="37"/>
    <n v="27628"/>
    <n v="1.6579536967941257"/>
    <n v="39.79088872305902"/>
    <n v="14523.674383916543"/>
    <n v="1.3891503010546407"/>
    <n v="33.339607225311376"/>
    <n v="12168.956637238653"/>
  </r>
  <r>
    <d v="2023-03-27T07:42:00"/>
    <x v="3"/>
    <s v=""/>
    <x v="3"/>
    <x v="4"/>
    <x v="2"/>
    <s v="3/2023"/>
    <s v="27/3/2023"/>
    <d v="1899-12-30T22:17:00"/>
    <n v="0.92847222222189885"/>
    <d v="1902-04-08T14:42:00"/>
    <n v="829.61249999999563"/>
    <m/>
    <m/>
    <n v="0"/>
    <n v="3412"/>
    <n v="26"/>
    <n v="28.002991772635035"/>
    <n v="19266"/>
    <n v="1707"/>
    <n v="15"/>
    <n v="16.155572176520213"/>
    <n v="8403"/>
    <n v="41"/>
    <n v="27669"/>
    <n v="1.8399401645481352"/>
    <n v="44.158563949155244"/>
    <n v="16117.875841441664"/>
    <n v="1.3896548087209464"/>
    <n v="33.351715409302713"/>
    <n v="12173.37612439549"/>
  </r>
  <r>
    <d v="2023-03-28T08:59:00"/>
    <x v="3"/>
    <s v=""/>
    <x v="3"/>
    <x v="5"/>
    <x v="3"/>
    <s v="3/2023"/>
    <s v="28/3/2023"/>
    <d v="1899-12-31T01:17:00"/>
    <n v="1.0534722222218988"/>
    <d v="1902-04-09T15:59:00"/>
    <n v="830.66597222221753"/>
    <m/>
    <m/>
    <n v="0"/>
    <n v="3435"/>
    <n v="23"/>
    <n v="21.832564271595363"/>
    <n v="19289"/>
    <n v="1726"/>
    <n v="19"/>
    <n v="18.035596572187476"/>
    <n v="8422"/>
    <n v="42"/>
    <n v="27711"/>
    <n v="1.6611733684909515"/>
    <n v="39.868160843782839"/>
    <n v="14551.878707980735"/>
    <n v="1.3899991556306557"/>
    <n v="33.359979735135738"/>
    <n v="12176.392603324544"/>
  </r>
  <r>
    <d v="2023-03-29T08:49:00"/>
    <x v="3"/>
    <s v=""/>
    <x v="3"/>
    <x v="6"/>
    <x v="4"/>
    <s v="3/2023"/>
    <s v="29/3/2023"/>
    <d v="1899-12-30T23:50:00"/>
    <n v="0.99305555555474712"/>
    <d v="1902-04-10T15:49:00"/>
    <n v="831.65902777777228"/>
    <m/>
    <m/>
    <n v="0"/>
    <n v="3456"/>
    <n v="21"/>
    <n v="21.146853146870363"/>
    <n v="19310"/>
    <n v="1738"/>
    <n v="12"/>
    <n v="12.083916083925921"/>
    <n v="8434"/>
    <n v="33"/>
    <n v="27744"/>
    <n v="1.3846153846165119"/>
    <n v="33.230769230796284"/>
    <n v="12129.230769240643"/>
    <n v="1.3899927270541155"/>
    <n v="33.359825449298768"/>
    <n v="12176.336288994051"/>
  </r>
  <r>
    <d v="2023-03-30T07:56:00"/>
    <x v="3"/>
    <s v=""/>
    <x v="3"/>
    <x v="7"/>
    <x v="0"/>
    <s v="3/2023"/>
    <s v="30/3/2023"/>
    <d v="1899-12-30T23:07:00"/>
    <n v="0.96319444444816327"/>
    <d v="1902-04-11T14:56:00"/>
    <n v="832.62222222222044"/>
    <m/>
    <m/>
    <n v="0"/>
    <n v="3470"/>
    <n v="14"/>
    <n v="14.534967555819874"/>
    <n v="19324"/>
    <n v="1740"/>
    <n v="2"/>
    <n v="2.0764239365456962"/>
    <n v="8436"/>
    <n v="16"/>
    <n v="27760"/>
    <n v="0.69214131218189867"/>
    <n v="16.61139149236557"/>
    <n v="6063.1578947134331"/>
    <n v="1.389185438240635"/>
    <n v="33.340450517775238"/>
    <n v="12169.264438987962"/>
  </r>
  <r>
    <d v="2023-04-01T07:40:00"/>
    <x v="3"/>
    <s v=""/>
    <x v="4"/>
    <x v="9"/>
    <x v="6"/>
    <s v="4/2023"/>
    <s v="1/4/2023"/>
    <d v="1899-12-31T23:44:00"/>
    <n v="1.9888888888890506"/>
    <d v="1902-04-13T14:40:00"/>
    <n v="834.61111111110949"/>
    <m/>
    <m/>
    <n v="0"/>
    <n v="3509"/>
    <n v="39"/>
    <n v="19.608938547484438"/>
    <n v="19363"/>
    <n v="1765"/>
    <n v="25"/>
    <n v="12.569832402233615"/>
    <n v="8461"/>
    <n v="64"/>
    <n v="27824"/>
    <n v="1.3407821229049188"/>
    <n v="32.178770949718057"/>
    <n v="11745.251396647091"/>
    <n v="1.3890700925247981"/>
    <n v="33.337682220595156"/>
    <n v="12168.254010517232"/>
  </r>
  <r>
    <d v="2023-04-02T09:25:00"/>
    <x v="3"/>
    <s v=""/>
    <x v="4"/>
    <x v="10"/>
    <x v="1"/>
    <s v="4/2023"/>
    <s v="2/4/2023"/>
    <d v="1899-12-31T01:45:00"/>
    <n v="1.0729166666642413"/>
    <d v="1902-04-14T16:25:00"/>
    <n v="835.68402777777374"/>
    <m/>
    <m/>
    <n v="0"/>
    <n v="3542"/>
    <n v="33"/>
    <n v="30.757281553467585"/>
    <n v="19396"/>
    <n v="1780"/>
    <n v="15"/>
    <n v="13.980582524303447"/>
    <n v="8476"/>
    <n v="48"/>
    <n v="27872"/>
    <n v="1.8640776699071264"/>
    <n v="44.737864077771036"/>
    <n v="16329.320388386428"/>
    <n v="1.3896799444899248"/>
    <n v="33.35231866775819"/>
    <n v="12173.596313731739"/>
  </r>
  <r>
    <d v="2023-04-03T07:56:00"/>
    <x v="3"/>
    <s v=""/>
    <x v="4"/>
    <x v="11"/>
    <x v="2"/>
    <s v="4/2023"/>
    <s v="3/4/2023"/>
    <d v="1899-12-30T22:31:00"/>
    <n v="0.93819444444670808"/>
    <d v="1902-04-15T14:56:00"/>
    <n v="836.62222222222044"/>
    <m/>
    <m/>
    <n v="0"/>
    <n v="3567"/>
    <n v="25"/>
    <n v="26.646928201268054"/>
    <n v="19421"/>
    <n v="1798"/>
    <n v="18"/>
    <n v="19.185788304913"/>
    <n v="8494"/>
    <n v="43"/>
    <n v="27915"/>
    <n v="1.9096965210908772"/>
    <n v="45.83271650618105"/>
    <n v="16728.941524756083"/>
    <n v="1.3902630949851282"/>
    <n v="33.366314279643078"/>
    <n v="12178.704712069723"/>
  </r>
  <r>
    <d v="2023-04-04T07:39:00"/>
    <x v="3"/>
    <s v=""/>
    <x v="4"/>
    <x v="12"/>
    <x v="3"/>
    <s v="4/2023"/>
    <s v="4/4/2023"/>
    <d v="1899-12-30T23:43:00"/>
    <n v="0.9881944444423425"/>
    <d v="1902-04-16T14:39:00"/>
    <n v="837.61041666666279"/>
    <m/>
    <m/>
    <n v="0"/>
    <n v="3600"/>
    <n v="33"/>
    <n v="33.394237526423808"/>
    <n v="19454"/>
    <n v="1818"/>
    <n v="20"/>
    <n v="20.238931834196247"/>
    <n v="8514"/>
    <n v="53"/>
    <n v="27968"/>
    <n v="2.2347153900258356"/>
    <n v="53.633169360620052"/>
    <n v="19576.106816626318"/>
    <n v="1.3912593613279907"/>
    <n v="33.390224671871771"/>
    <n v="12187.432005233197"/>
  </r>
  <r>
    <d v="2023-04-05T08:54:00"/>
    <x v="3"/>
    <s v=""/>
    <x v="4"/>
    <x v="13"/>
    <x v="4"/>
    <s v="4/2023"/>
    <s v="5/4/2023"/>
    <d v="1899-12-31T01:15:00"/>
    <n v="1.0520833333357587"/>
    <d v="1902-04-17T15:54:00"/>
    <n v="838.66249999999854"/>
    <m/>
    <m/>
    <n v="0"/>
    <n v="3618"/>
    <n v="18"/>
    <n v="17.108910891049668"/>
    <n v="19472"/>
    <n v="1838"/>
    <n v="20"/>
    <n v="19.009900990055186"/>
    <n v="8534"/>
    <n v="38"/>
    <n v="28006"/>
    <n v="1.5049504950460357"/>
    <n v="36.118811881104854"/>
    <n v="13183.366336603272"/>
    <n v="1.3914019843103378"/>
    <n v="33.393647623448111"/>
    <n v="12188.68138255856"/>
  </r>
  <r>
    <d v="2023-04-06T08:08:00"/>
    <x v="3"/>
    <s v=""/>
    <x v="4"/>
    <x v="14"/>
    <x v="0"/>
    <s v="4/2023"/>
    <s v="6/4/2023"/>
    <d v="1899-12-30T23:14:00"/>
    <n v="0.96805555555329192"/>
    <d v="1902-04-18T15:08:00"/>
    <n v="839.63055555555184"/>
    <m/>
    <m/>
    <n v="0"/>
    <n v="3638"/>
    <n v="20"/>
    <n v="20.659971305643719"/>
    <n v="19492"/>
    <n v="1853"/>
    <n v="15"/>
    <n v="15.494978479232788"/>
    <n v="8549"/>
    <n v="35"/>
    <n v="28041"/>
    <n v="1.5064562410365212"/>
    <n v="36.154949784876507"/>
    <n v="13196.556671479924"/>
    <n v="1.3915346365961281"/>
    <n v="33.396831278307076"/>
    <n v="12189.843416582082"/>
  </r>
  <r>
    <d v="2023-04-07T08:04:00"/>
    <x v="3"/>
    <s v=""/>
    <x v="4"/>
    <x v="15"/>
    <x v="5"/>
    <s v="4/2023"/>
    <s v="7/4/2023"/>
    <d v="1899-12-30T23:56:00"/>
    <n v="0.99722222222044365"/>
    <d v="1902-04-19T15:04:00"/>
    <n v="840.62777777777228"/>
    <m/>
    <m/>
    <n v="0"/>
    <n v="3655"/>
    <n v="17"/>
    <n v="17.047353760476089"/>
    <n v="19509"/>
    <n v="1865"/>
    <n v="12"/>
    <n v="12.033426183865473"/>
    <n v="8561"/>
    <n v="29"/>
    <n v="28070"/>
    <n v="1.211699164347565"/>
    <n v="29.080779944341561"/>
    <n v="10614.48467968467"/>
    <n v="1.3913213008796428"/>
    <n v="33.391711221111422"/>
    <n v="12187.974595705669"/>
  </r>
  <r>
    <d v="2023-04-08T13:16:00"/>
    <x v="3"/>
    <s v=""/>
    <x v="4"/>
    <x v="16"/>
    <x v="6"/>
    <s v="4/2023"/>
    <s v="8/4/2023"/>
    <d v="1899-12-31T05:12:00"/>
    <n v="1.2166666666671517"/>
    <d v="1902-04-20T20:16:00"/>
    <n v="841.84444444443943"/>
    <m/>
    <m/>
    <n v="0"/>
    <n v="3679"/>
    <n v="24"/>
    <n v="19.726027397252409"/>
    <n v="19533"/>
    <n v="1880"/>
    <n v="15"/>
    <n v="12.328767123282756"/>
    <n v="8576"/>
    <n v="39"/>
    <n v="28109"/>
    <n v="1.3356164383556319"/>
    <n v="32.054794520535168"/>
    <n v="11699.999999995336"/>
    <n v="1.3912407940237128"/>
    <n v="33.389779056569111"/>
    <n v="12187.269355647726"/>
  </r>
  <r>
    <d v="2023-04-10T09:03:00"/>
    <x v="3"/>
    <s v=""/>
    <x v="4"/>
    <x v="18"/>
    <x v="2"/>
    <s v="4/2023"/>
    <s v="10/4/2023"/>
    <d v="1899-12-31T19:47:00"/>
    <n v="1.8243055555576575"/>
    <d v="1902-04-22T16:03:00"/>
    <n v="843.66874999999709"/>
    <m/>
    <m/>
    <n v="0"/>
    <n v="3695"/>
    <n v="16"/>
    <n v="8.7704606014364117"/>
    <n v="19549"/>
    <n v="1895"/>
    <n v="15"/>
    <n v="8.222306813846636"/>
    <n v="8591"/>
    <n v="31"/>
    <n v="28140"/>
    <n v="0.70803197563679365"/>
    <n v="16.992767415283048"/>
    <n v="6202.3601065783123"/>
    <n v="1.3897634587034355"/>
    <n v="33.354323008882453"/>
    <n v="12174.327898242096"/>
  </r>
  <r>
    <d v="2023-04-11T07:49:00"/>
    <x v="3"/>
    <s v=""/>
    <x v="4"/>
    <x v="19"/>
    <x v="3"/>
    <s v="4/2023"/>
    <s v="11/4/2023"/>
    <d v="1899-12-30T22:46:00"/>
    <n v="0.94861111111094942"/>
    <d v="1902-04-23T14:49:00"/>
    <n v="844.61736111110804"/>
    <m/>
    <m/>
    <n v="0"/>
    <n v="3716"/>
    <n v="21"/>
    <n v="22.137628111277564"/>
    <n v="19570"/>
    <n v="1906"/>
    <n v="11"/>
    <n v="11.59590043924063"/>
    <n v="8602"/>
    <n v="32"/>
    <n v="28172"/>
    <n v="1.4055636896049248"/>
    <n v="33.733528550518194"/>
    <n v="12312.73792093914"/>
    <n v="1.389781204342208"/>
    <n v="33.35474890421299"/>
    <n v="12174.483350037741"/>
  </r>
  <r>
    <d v="2023-04-12T09:22:00"/>
    <x v="3"/>
    <s v=""/>
    <x v="4"/>
    <x v="20"/>
    <x v="4"/>
    <s v="4/2023"/>
    <s v="12/4/2023"/>
    <d v="1899-12-31T01:33:00"/>
    <n v="1.0645833333328483"/>
    <d v="1902-04-24T16:22:00"/>
    <n v="845.68194444444089"/>
    <m/>
    <m/>
    <n v="0"/>
    <n v="3738"/>
    <n v="22"/>
    <n v="20.665362035234466"/>
    <n v="19592"/>
    <n v="1920"/>
    <n v="14"/>
    <n v="13.150684931512842"/>
    <n v="8616"/>
    <n v="36"/>
    <n v="28208"/>
    <n v="1.4090019569478045"/>
    <n v="33.816046966747308"/>
    <n v="12342.857142862767"/>
    <n v="1.3898054003097493"/>
    <n v="33.35532960743398"/>
    <n v="12174.695306713402"/>
  </r>
  <r>
    <d v="2023-04-13T07:43:00"/>
    <x v="3"/>
    <s v=""/>
    <x v="4"/>
    <x v="21"/>
    <x v="0"/>
    <s v="4/2023"/>
    <s v="13/4/2023"/>
    <d v="1899-12-30T22:21:00"/>
    <n v="0.93125000000145519"/>
    <d v="1902-04-25T14:43:00"/>
    <n v="846.61319444444234"/>
    <m/>
    <m/>
    <n v="0"/>
    <n v="3761"/>
    <n v="23"/>
    <n v="24.697986577142615"/>
    <n v="19615"/>
    <n v="1938"/>
    <n v="18"/>
    <n v="19.32885906037248"/>
    <n v="8634"/>
    <n v="41"/>
    <n v="28249"/>
    <n v="1.8344519015631289"/>
    <n v="44.026845637515095"/>
    <n v="16069.798657693009"/>
    <n v="1.3902944985862822"/>
    <n v="33.367067966070778"/>
    <n v="12178.979807615833"/>
  </r>
  <r>
    <d v="2023-04-14T08:21:00"/>
    <x v="3"/>
    <s v=""/>
    <x v="4"/>
    <x v="22"/>
    <x v="5"/>
    <s v="4/2023"/>
    <s v="14/4/2023"/>
    <d v="1899-12-31T00:38:00"/>
    <n v="1.0263888888875954"/>
    <d v="1902-04-26T15:21:00"/>
    <n v="847.63958333332994"/>
    <m/>
    <m/>
    <n v="0"/>
    <n v="3788"/>
    <n v="27"/>
    <n v="26.305818673916779"/>
    <n v="19642"/>
    <n v="1956"/>
    <n v="18"/>
    <n v="17.537212449277852"/>
    <n v="8652"/>
    <n v="45"/>
    <n v="28294"/>
    <n v="1.826792963466443"/>
    <n v="43.843031123194628"/>
    <n v="16002.70635996604"/>
    <n v="1.3908230453686397"/>
    <n v="33.379753088847352"/>
    <n v="12183.609877429284"/>
  </r>
  <r>
    <d v="2023-04-15T08:15:00"/>
    <x v="3"/>
    <s v=""/>
    <x v="4"/>
    <x v="23"/>
    <x v="6"/>
    <s v="4/2023"/>
    <s v="15/4/2023"/>
    <d v="1899-12-30T23:54:00"/>
    <n v="0.99583333333430346"/>
    <d v="1902-04-27T15:15:00"/>
    <n v="848.63541666666424"/>
    <m/>
    <m/>
    <n v="0"/>
    <n v="3815"/>
    <n v="27"/>
    <n v="27.112970711270659"/>
    <n v="19669"/>
    <n v="1971"/>
    <n v="15"/>
    <n v="15.062761506261477"/>
    <n v="8667"/>
    <n v="42"/>
    <n v="28336"/>
    <n v="1.7573221757305055"/>
    <n v="42.175732217532136"/>
    <n v="15394.14225939923"/>
    <n v="1.391253114681662"/>
    <n v="33.390074752359887"/>
    <n v="12187.377284611359"/>
  </r>
  <r>
    <d v="2023-04-16T08:49:00"/>
    <x v="3"/>
    <s v=""/>
    <x v="4"/>
    <x v="24"/>
    <x v="1"/>
    <s v="4/2023"/>
    <s v="16/4/2023"/>
    <d v="1899-12-31T00:34:00"/>
    <n v="1.023611111108039"/>
    <d v="1902-04-28T15:49:00"/>
    <n v="849.65902777777228"/>
    <m/>
    <m/>
    <n v="0"/>
    <n v="3838"/>
    <n v="23"/>
    <n v="22.469470827747219"/>
    <n v="19692"/>
    <n v="1985"/>
    <n v="14"/>
    <n v="13.677069199498307"/>
    <n v="8681"/>
    <n v="37"/>
    <n v="28373"/>
    <n v="1.5061058344685636"/>
    <n v="36.146540027245528"/>
    <n v="13193.487109944617"/>
    <n v="1.3913914813867418"/>
    <n v="33.393395553281799"/>
    <n v="12188.589376947857"/>
  </r>
  <r>
    <d v="2023-04-17T07:56:00"/>
    <x v="3"/>
    <s v=""/>
    <x v="4"/>
    <x v="0"/>
    <x v="2"/>
    <s v="4/2023"/>
    <s v="17/4/2023"/>
    <d v="1899-12-30T23:07:00"/>
    <n v="0.96319444444816327"/>
    <d v="1902-04-29T14:56:00"/>
    <n v="850.62222222222044"/>
    <m/>
    <m/>
    <n v="0"/>
    <n v="3853"/>
    <n v="15"/>
    <n v="15.573179524092721"/>
    <n v="19707"/>
    <n v="1989"/>
    <n v="4"/>
    <n v="4.1528478730913925"/>
    <n v="8685"/>
    <n v="19"/>
    <n v="28392"/>
    <n v="0.82191780821600469"/>
    <n v="19.726027397184112"/>
    <n v="7199.9999999722004"/>
    <n v="1.3907466429803048"/>
    <n v="33.377919431527317"/>
    <n v="12182.940592507472"/>
  </r>
  <r>
    <d v="2023-04-18T07:33:00"/>
    <x v="3"/>
    <s v=""/>
    <x v="4"/>
    <x v="25"/>
    <x v="3"/>
    <s v="4/2023"/>
    <s v="18/4/2023"/>
    <d v="1899-12-30T23:37:00"/>
    <n v="0.98402777777664596"/>
    <d v="1902-04-30T14:33:00"/>
    <n v="851.60624999999709"/>
    <m/>
    <m/>
    <n v="0"/>
    <n v="3870"/>
    <n v="17"/>
    <n v="17.275935074120081"/>
    <n v="19724"/>
    <n v="2003"/>
    <n v="14"/>
    <n v="14.227240649275362"/>
    <n v="8699"/>
    <n v="31"/>
    <n v="28423"/>
    <n v="1.3126323218081435"/>
    <n v="31.503175723395444"/>
    <n v="11498.659139039337"/>
    <n v="1.3906563821797582"/>
    <n v="33.375753172314198"/>
    <n v="12182.149907894682"/>
  </r>
  <r>
    <d v="2023-04-19T07:45:00"/>
    <x v="3"/>
    <s v=""/>
    <x v="4"/>
    <x v="26"/>
    <x v="4"/>
    <s v="4/2023"/>
    <s v="19/4/2023"/>
    <d v="1899-12-31T00:12:00"/>
    <n v="1.0083333333313931"/>
    <d v="1902-05-01T14:45:00"/>
    <n v="852.61458333332848"/>
    <m/>
    <m/>
    <n v="0"/>
    <n v="3881"/>
    <n v="11"/>
    <n v="10.909090909111901"/>
    <n v="19735"/>
    <n v="2017"/>
    <n v="14"/>
    <n v="13.884297520687873"/>
    <n v="8713"/>
    <n v="25"/>
    <n v="28448"/>
    <n v="1.0330578512416573"/>
    <n v="24.793388429799773"/>
    <n v="9049.5867768769167"/>
    <n v="1.390233473018053"/>
    <n v="33.365603352433268"/>
    <n v="12178.445223638142"/>
  </r>
  <r>
    <d v="2023-04-20T08:36:00"/>
    <x v="3"/>
    <s v=""/>
    <x v="4"/>
    <x v="27"/>
    <x v="0"/>
    <s v="4/2023"/>
    <s v="20/4/2023"/>
    <d v="1899-12-31T00:51:00"/>
    <n v="1.0354166666656965"/>
    <d v="1902-05-02T15:36:00"/>
    <n v="853.64999999999418"/>
    <m/>
    <m/>
    <n v="0"/>
    <n v="3896"/>
    <n v="15"/>
    <n v="14.486921529188624"/>
    <n v="19750"/>
    <n v="2020"/>
    <n v="3"/>
    <n v="2.8973843058377247"/>
    <n v="8716"/>
    <n v="18"/>
    <n v="28466"/>
    <n v="0.72434607645943117"/>
    <n v="17.38430583502635"/>
    <n v="6345.2716297846173"/>
    <n v="1.3894257990199044"/>
    <n v="33.346219176477703"/>
    <n v="12171.369999414361"/>
  </r>
  <r>
    <d v="2023-04-21T08:27:00"/>
    <x v="3"/>
    <s v=""/>
    <x v="4"/>
    <x v="28"/>
    <x v="5"/>
    <s v="4/2023"/>
    <s v="21/4/2023"/>
    <d v="1899-12-30T23:51:00"/>
    <n v="0.99375000000145519"/>
    <d v="1902-05-03T15:27:00"/>
    <n v="854.64374999999563"/>
    <m/>
    <m/>
    <n v="0"/>
    <n v="3906"/>
    <n v="10"/>
    <n v="10.062893081746271"/>
    <n v="19760"/>
    <n v="2027"/>
    <n v="7"/>
    <n v="7.0440251572223893"/>
    <n v="8723"/>
    <n v="17"/>
    <n v="28483"/>
    <n v="0.71278825995702755"/>
    <n v="17.10691823896866"/>
    <n v="6244.0251572235611"/>
    <n v="1.3886390284450951"/>
    <n v="33.327336682682279"/>
    <n v="12164.477889179032"/>
  </r>
  <r>
    <d v="2023-04-22T08:12:00"/>
    <x v="3"/>
    <s v=""/>
    <x v="4"/>
    <x v="29"/>
    <x v="6"/>
    <s v="4/2023"/>
    <s v="22/4/2023"/>
    <d v="1899-12-30T23:45:00"/>
    <n v="0.98958333333575865"/>
    <d v="1902-05-04T15:12:00"/>
    <n v="855.63333333333139"/>
    <m/>
    <m/>
    <n v="0"/>
    <n v="3921"/>
    <n v="15"/>
    <n v="15.157894736804955"/>
    <n v="19775"/>
    <n v="2039"/>
    <n v="12"/>
    <n v="12.126315789443964"/>
    <n v="8735"/>
    <n v="27"/>
    <n v="28510"/>
    <n v="1.1368421052603717"/>
    <n v="27.28421052624892"/>
    <n v="9958.7368420808561"/>
    <n v="1.3883478125365258"/>
    <n v="33.320347500876622"/>
    <n v="12161.926837819967"/>
  </r>
  <r>
    <d v="2023-04-23T15:56:00"/>
    <x v="3"/>
    <s v=""/>
    <x v="4"/>
    <x v="30"/>
    <x v="1"/>
    <s v="4/2023"/>
    <s v="23/4/2023"/>
    <d v="1899-12-31T07:44:00"/>
    <n v="1.3222222222248092"/>
    <d v="1902-05-05T22:56:00"/>
    <n v="856.9555555555562"/>
    <m/>
    <m/>
    <n v="0"/>
    <n v="3940"/>
    <n v="19"/>
    <n v="14.369747899131548"/>
    <n v="19794"/>
    <n v="2042"/>
    <n v="3"/>
    <n v="2.2689075630207709"/>
    <n v="8738"/>
    <n v="22"/>
    <n v="28532"/>
    <n v="0.69327731092301326"/>
    <n v="16.638655462152318"/>
    <n v="6073.1092436855961"/>
    <n v="1.387275367580322"/>
    <n v="33.294608821927731"/>
    <n v="12152.532220003623"/>
  </r>
  <r>
    <d v="2023-04-24T09:14:00"/>
    <x v="3"/>
    <s v=""/>
    <x v="4"/>
    <x v="1"/>
    <x v="2"/>
    <s v="4/2023"/>
    <s v="24/4/2023"/>
    <d v="1899-12-30T17:18:00"/>
    <n v="0.72083333333284827"/>
    <d v="1902-05-06T16:14:00"/>
    <n v="857.67638888888905"/>
    <m/>
    <m/>
    <n v="0"/>
    <n v="3950"/>
    <n v="10"/>
    <n v="13.872832369951531"/>
    <n v="19804"/>
    <n v="2044"/>
    <n v="2"/>
    <n v="2.7745664739903062"/>
    <n v="8740"/>
    <n v="12"/>
    <n v="28544"/>
    <n v="0.69364161849757655"/>
    <n v="16.64739884394184"/>
    <n v="6076.3005780387712"/>
    <n v="1.386692403732954"/>
    <n v="33.280617689590898"/>
    <n v="12147.425456700677"/>
  </r>
  <r>
    <d v="2023-04-25T08:11:00"/>
    <x v="3"/>
    <s v=""/>
    <x v="4"/>
    <x v="2"/>
    <x v="3"/>
    <s v="4/2023"/>
    <s v="25/4/2023"/>
    <d v="1899-12-30T22:57:00"/>
    <n v="0.95624999999563443"/>
    <d v="1902-05-07T15:11:00"/>
    <n v="858.63263888888469"/>
    <m/>
    <m/>
    <n v="0"/>
    <n v="3970"/>
    <n v="20"/>
    <n v="20.915032679834045"/>
    <n v="19824"/>
    <n v="2062"/>
    <n v="18"/>
    <n v="18.82352941185064"/>
    <n v="8758"/>
    <n v="38"/>
    <n v="28582"/>
    <n v="1.6557734204868619"/>
    <n v="39.738562091684685"/>
    <n v="14504.57516346491"/>
    <n v="1.3869920763876096"/>
    <n v="33.287809833302624"/>
    <n v="12150.050589155459"/>
  </r>
  <r>
    <d v="2023-04-26T08:01:00"/>
    <x v="3"/>
    <s v=""/>
    <x v="4"/>
    <x v="3"/>
    <x v="4"/>
    <s v="4/2023"/>
    <s v="26/4/2023"/>
    <d v="1899-12-30T23:50:00"/>
    <n v="0.99305555555474712"/>
    <d v="1902-05-08T15:01:00"/>
    <n v="859.62569444443943"/>
    <m/>
    <m/>
    <n v="0"/>
    <n v="3991"/>
    <n v="21"/>
    <n v="21.146853146870363"/>
    <n v="19845"/>
    <n v="2074"/>
    <n v="12"/>
    <n v="12.083916083925921"/>
    <n v="8770"/>
    <n v="33"/>
    <n v="28615"/>
    <n v="1.3846153846165119"/>
    <n v="33.230769230796284"/>
    <n v="12129.230769240643"/>
    <n v="1.3869893307891679"/>
    <n v="33.287743938940025"/>
    <n v="12150.026537713109"/>
  </r>
  <r>
    <d v="2023-04-27T09:15:00"/>
    <x v="3"/>
    <s v=""/>
    <x v="4"/>
    <x v="4"/>
    <x v="0"/>
    <s v="4/2023"/>
    <s v="27/4/2023"/>
    <d v="1899-12-31T01:14:00"/>
    <n v="1.0513888888890506"/>
    <d v="1902-05-09T16:15:00"/>
    <n v="860.67708333332848"/>
    <m/>
    <m/>
    <n v="0"/>
    <n v="4007"/>
    <n v="16"/>
    <n v="15.217965653894622"/>
    <n v="19861"/>
    <n v="2078"/>
    <n v="4"/>
    <n v="3.8044914134736554"/>
    <n v="8774"/>
    <n v="20"/>
    <n v="28635"/>
    <n v="0.79260237780701148"/>
    <n v="19.022457067368276"/>
    <n v="6943.1968295894203"/>
    <n v="1.3862632375189186"/>
    <n v="33.270317700454044"/>
    <n v="12143.665960665727"/>
  </r>
  <r>
    <d v="2023-04-28T07:24:00"/>
    <x v="3"/>
    <s v=""/>
    <x v="4"/>
    <x v="5"/>
    <x v="5"/>
    <s v="4/2023"/>
    <s v="28/4/2023"/>
    <d v="1899-12-30T22:09:00"/>
    <n v="0.92291666667006211"/>
    <d v="1902-05-10T14:24:00"/>
    <n v="861.59999999999854"/>
    <m/>
    <m/>
    <n v="0"/>
    <n v="4018"/>
    <n v="11"/>
    <n v="11.918735891604006"/>
    <n v="19872"/>
    <n v="2081"/>
    <n v="3"/>
    <n v="3.2505643340738199"/>
    <n v="8777"/>
    <n v="14"/>
    <n v="28649"/>
    <n v="0.63205417606990943"/>
    <n v="15.169300225677826"/>
    <n v="5536.7945823724067"/>
    <n v="1.3854553543794514"/>
    <n v="33.250928505106835"/>
    <n v="12136.588904363995"/>
  </r>
  <r>
    <d v="2023-04-29T07:56:00"/>
    <x v="3"/>
    <s v=""/>
    <x v="4"/>
    <x v="6"/>
    <x v="6"/>
    <s v="4/2023"/>
    <s v="29/4/2023"/>
    <d v="1899-12-31T00:32:00"/>
    <n v="1.0222222222218988"/>
    <d v="1902-05-11T14:56:00"/>
    <n v="862.62222222222044"/>
    <m/>
    <m/>
    <n v="0"/>
    <n v="4024"/>
    <n v="6"/>
    <n v="5.8695652173931609"/>
    <n v="19878"/>
    <n v="2083"/>
    <n v="2"/>
    <n v="1.9565217391310536"/>
    <n v="8779"/>
    <n v="8"/>
    <n v="28657"/>
    <n v="0.32608695652184227"/>
    <n v="7.8260869565242146"/>
    <n v="2856.5217391313381"/>
    <n v="1.384199984543256"/>
    <n v="33.22079962903814"/>
    <n v="12125.59186459892"/>
  </r>
  <r>
    <d v="2023-04-30T11:15:00"/>
    <x v="3"/>
    <s v=""/>
    <x v="4"/>
    <x v="7"/>
    <x v="1"/>
    <s v="4/2023"/>
    <s v="30/4/2023"/>
    <d v="1899-12-31T03:19:00"/>
    <n v="1.1381944444437977"/>
    <d v="1902-05-12T18:15:00"/>
    <n v="863.76041666666424"/>
    <m/>
    <m/>
    <n v="0"/>
    <n v="4033"/>
    <n v="9"/>
    <n v="7.9072605247146823"/>
    <n v="19887"/>
    <n v="2086"/>
    <n v="3"/>
    <n v="2.6357535082382273"/>
    <n v="8782"/>
    <n v="12"/>
    <n v="28669"/>
    <n v="0.4392922513730379"/>
    <n v="10.543014032952909"/>
    <n v="3848.2001220278116"/>
    <n v="1.3829548606505027"/>
    <n v="33.190916655612064"/>
    <n v="12114.684579298404"/>
  </r>
  <r>
    <d v="2023-05-01T08:19:00"/>
    <x v="3"/>
    <s v=""/>
    <x v="5"/>
    <x v="9"/>
    <x v="2"/>
    <s v="5/2023"/>
    <s v="1/5/2023"/>
    <d v="1899-12-30T21:04:00"/>
    <n v="0.87777777777955635"/>
    <d v="1902-05-13T15:19:00"/>
    <n v="864.6381944444438"/>
    <m/>
    <m/>
    <n v="0"/>
    <n v="4041"/>
    <n v="8"/>
    <n v="9.113924050614445"/>
    <n v="19895"/>
    <n v="2088"/>
    <n v="2"/>
    <n v="2.2784810126536112"/>
    <n v="8784"/>
    <n v="10"/>
    <n v="28679"/>
    <n v="0.47468354430283566"/>
    <n v="11.392405063268056"/>
    <n v="4158.2278480928408"/>
    <n v="1.3820327866745816"/>
    <n v="33.168786880189955"/>
    <n v="12106.607211269335"/>
  </r>
  <r>
    <d v="2023-05-02T07:47:00"/>
    <x v="3"/>
    <s v=""/>
    <x v="5"/>
    <x v="10"/>
    <x v="3"/>
    <s v="5/2023"/>
    <s v="2/5/2023"/>
    <d v="1899-12-30T23:28:00"/>
    <n v="0.97777777777810115"/>
    <d v="1902-05-14T14:47:00"/>
    <n v="865.6159722222219"/>
    <m/>
    <m/>
    <n v="0"/>
    <n v="4053"/>
    <n v="12"/>
    <n v="12.272727272723214"/>
    <n v="19907"/>
    <n v="2090"/>
    <n v="2"/>
    <n v="2.0454545454538691"/>
    <n v="8786"/>
    <n v="14"/>
    <n v="28693"/>
    <n v="0.59659090909071177"/>
    <n v="14.318181818177083"/>
    <n v="5226.136363634635"/>
    <n v="1.381145571514184"/>
    <n v="33.147493716340414"/>
    <n v="12098.835206464251"/>
  </r>
  <r>
    <d v="2023-05-03T08:23:00"/>
    <x v="3"/>
    <s v=""/>
    <x v="5"/>
    <x v="11"/>
    <x v="4"/>
    <s v="5/2023"/>
    <s v="3/5/2023"/>
    <d v="1899-12-31T00:36:00"/>
    <n v="1.0250000000014552"/>
    <d v="1902-05-15T15:23:00"/>
    <n v="866.64097222222335"/>
    <m/>
    <m/>
    <n v="0"/>
    <n v="4058"/>
    <n v="5"/>
    <n v="4.8780487804808796"/>
    <n v="19912"/>
    <n v="2092"/>
    <n v="2"/>
    <n v="1.9512195121923519"/>
    <n v="8788"/>
    <n v="7"/>
    <n v="28700"/>
    <n v="0.28455284552805132"/>
    <n v="6.8292682926732313"/>
    <n v="2492.6829268257293"/>
    <n v="1.3798486012806452"/>
    <n v="33.116366430735482"/>
    <n v="12087.473747218452"/>
  </r>
  <r>
    <d v="2023-05-04T07:45:00"/>
    <x v="3"/>
    <s v=""/>
    <x v="5"/>
    <x v="12"/>
    <x v="0"/>
    <s v="5/2023"/>
    <s v="4/5/2023"/>
    <d v="1899-12-30T23:22:00"/>
    <n v="0.97361111110512866"/>
    <d v="1902-05-16T14:45:00"/>
    <n v="867.61458333332848"/>
    <m/>
    <m/>
    <n v="0"/>
    <n v="4068"/>
    <n v="10"/>
    <n v="10.271041369535293"/>
    <n v="19922"/>
    <n v="2095"/>
    <n v="3"/>
    <n v="3.0813124108605883"/>
    <n v="8791"/>
    <n v="13"/>
    <n v="28713"/>
    <n v="0.55634807418316179"/>
    <n v="13.352353780395882"/>
    <n v="4873.6091298444971"/>
    <n v="1.3789244936427782"/>
    <n v="33.094187847426674"/>
    <n v="12079.378564310737"/>
  </r>
  <r>
    <d v="2023-05-05T08:41:00"/>
    <x v="3"/>
    <s v=""/>
    <x v="5"/>
    <x v="13"/>
    <x v="5"/>
    <s v="5/2023"/>
    <s v="5/5/2023"/>
    <d v="1899-12-31T00:56:00"/>
    <n v="1.038888888891961"/>
    <d v="1902-05-17T15:41:00"/>
    <n v="868.65347222222044"/>
    <m/>
    <m/>
    <n v="0"/>
    <n v="4070"/>
    <n v="2"/>
    <n v="1.9251336898338793"/>
    <n v="19924"/>
    <n v="2098"/>
    <n v="3"/>
    <n v="2.8877005347508193"/>
    <n v="8794"/>
    <n v="5"/>
    <n v="28718"/>
    <n v="0.20053475935769577"/>
    <n v="4.8128342245846989"/>
    <n v="1756.6844919734151"/>
    <n v="1.3775151675525925"/>
    <n v="33.060364021262224"/>
    <n v="12067.032867760712"/>
  </r>
  <r>
    <d v="2023-05-06T08:35:00"/>
    <x v="3"/>
    <s v=""/>
    <x v="5"/>
    <x v="14"/>
    <x v="6"/>
    <s v="5/2023"/>
    <s v="6/5/2023"/>
    <d v="1899-12-30T23:54:00"/>
    <n v="0.99583333333430346"/>
    <d v="1902-05-18T15:35:00"/>
    <n v="869.64930555555475"/>
    <m/>
    <m/>
    <n v="0"/>
    <n v="4076"/>
    <n v="6"/>
    <n v="6.0251046025045909"/>
    <n v="19930"/>
    <n v="2100"/>
    <n v="2"/>
    <n v="2.0083682008348633"/>
    <n v="8796"/>
    <n v="8"/>
    <n v="28726"/>
    <n v="0.33472803347247726"/>
    <n v="8.0334728033394533"/>
    <n v="2932.2175732189003"/>
    <n v="1.3763210745072061"/>
    <n v="33.031705788172943"/>
    <n v="12056.572612683123"/>
  </r>
  <r>
    <d v="2023-05-07T08:10:00"/>
    <x v="3"/>
    <s v=""/>
    <x v="5"/>
    <x v="15"/>
    <x v="1"/>
    <s v="5/2023"/>
    <s v="7/5/2023"/>
    <d v="1899-12-30T23:35:00"/>
    <n v="0.98263888889050577"/>
    <d v="1902-05-19T15:10:00"/>
    <n v="870.63194444444525"/>
    <m/>
    <m/>
    <n v="0"/>
    <n v="4085"/>
    <n v="9"/>
    <n v="9.1590106006916425"/>
    <n v="19939"/>
    <n v="2103"/>
    <n v="3"/>
    <n v="3.053003533563881"/>
    <n v="8799"/>
    <n v="12"/>
    <n v="28738"/>
    <n v="0.50883392226064683"/>
    <n v="12.212014134255524"/>
    <n v="4457.3851590032664"/>
    <n v="1.3753419849885526"/>
    <n v="33.008207639725264"/>
    <n v="12047.995788499722"/>
  </r>
  <r>
    <d v="2023-05-08T07:53:00"/>
    <x v="3"/>
    <s v=""/>
    <x v="5"/>
    <x v="16"/>
    <x v="2"/>
    <s v="5/2023"/>
    <s v="8/5/2023"/>
    <d v="1899-12-30T23:43:00"/>
    <n v="0.9881944444423425"/>
    <d v="1902-05-20T14:53:00"/>
    <n v="871.6201388888876"/>
    <m/>
    <m/>
    <n v="0"/>
    <n v="4091"/>
    <n v="6"/>
    <n v="6.0716795502588736"/>
    <n v="19945"/>
    <n v="2106"/>
    <n v="3"/>
    <n v="3.0358397751294368"/>
    <n v="8802"/>
    <n v="9"/>
    <n v="28747"/>
    <n v="0.3794799718911796"/>
    <n v="9.1075193253883118"/>
    <n v="3324.2445537667336"/>
    <n v="1.3742129320159717"/>
    <n v="32.98111036838332"/>
    <n v="12038.105284459911"/>
  </r>
  <r>
    <d v="2023-05-09T07:43:00"/>
    <x v="3"/>
    <s v=""/>
    <x v="5"/>
    <x v="17"/>
    <x v="3"/>
    <s v="5/2023"/>
    <s v="9/5/2023"/>
    <d v="1899-12-30T23:50:00"/>
    <n v="0.99305555555474712"/>
    <d v="1902-05-21T14:43:00"/>
    <n v="872.61319444444234"/>
    <m/>
    <m/>
    <n v="0"/>
    <n v="4098"/>
    <n v="7"/>
    <n v="7.0489510489567877"/>
    <n v="19952"/>
    <n v="2108"/>
    <n v="2"/>
    <n v="2.0139860139876538"/>
    <n v="8804"/>
    <n v="9"/>
    <n v="28756"/>
    <n v="0.37762237762268502"/>
    <n v="9.0629370629444406"/>
    <n v="3307.9720279747207"/>
    <n v="1.3730787871360244"/>
    <n v="32.953890891264585"/>
    <n v="12028.170175311574"/>
  </r>
  <r>
    <d v="2023-05-10T08:56:00"/>
    <x v="3"/>
    <s v=""/>
    <x v="5"/>
    <x v="18"/>
    <x v="4"/>
    <s v="5/2023"/>
    <s v="10/5/2023"/>
    <d v="1899-12-31T01:13:00"/>
    <n v="1.0506944444423425"/>
    <d v="1902-05-22T15:56:00"/>
    <n v="873.66388888888469"/>
    <m/>
    <m/>
    <n v="0"/>
    <n v="4109"/>
    <n v="11"/>
    <n v="10.469266358249628"/>
    <n v="19963"/>
    <n v="2111"/>
    <n v="3"/>
    <n v="2.8552544613408077"/>
    <n v="8807"/>
    <n v="14"/>
    <n v="28770"/>
    <n v="0.55518836748293487"/>
    <n v="13.324520819590436"/>
    <n v="4863.4500991505092"/>
    <n v="1.3720951675415543"/>
    <n v="32.930284020997298"/>
    <n v="12019.553667664013"/>
  </r>
  <r>
    <d v="2023-05-11T07:34:00"/>
    <x v="3"/>
    <s v=""/>
    <x v="5"/>
    <x v="19"/>
    <x v="0"/>
    <s v="5/2023"/>
    <s v="11/5/2023"/>
    <d v="1899-12-30T22:38:00"/>
    <n v="0.94305555555911269"/>
    <d v="1902-05-23T14:34:00"/>
    <n v="874.6069444444438"/>
    <m/>
    <m/>
    <n v="0"/>
    <n v="4125"/>
    <n v="16"/>
    <n v="16.966126656784311"/>
    <n v="19979"/>
    <n v="2121"/>
    <n v="10"/>
    <n v="10.603829160490195"/>
    <n v="8817"/>
    <n v="26"/>
    <n v="28796"/>
    <n v="1.1487481590531043"/>
    <n v="27.569955817274504"/>
    <n v="10063.033873305194"/>
    <n v="1.3718543409182231"/>
    <n v="32.924504182037353"/>
    <n v="12017.444026443634"/>
  </r>
  <r>
    <d v="2023-05-12T07:32:00"/>
    <x v="3"/>
    <s v=""/>
    <x v="5"/>
    <x v="20"/>
    <x v="5"/>
    <s v="5/2023"/>
    <s v="12/5/2023"/>
    <d v="1899-12-30T23:58:00"/>
    <n v="0.99861111110658385"/>
    <d v="1902-05-24T14:32:00"/>
    <n v="875.60555555555038"/>
    <m/>
    <m/>
    <n v="0"/>
    <n v="4134"/>
    <n v="9"/>
    <n v="9.0125173852981604"/>
    <n v="19988"/>
    <n v="2126"/>
    <n v="5"/>
    <n v="5.0069541029434221"/>
    <n v="8822"/>
    <n v="14"/>
    <n v="28810"/>
    <n v="0.58414464534339927"/>
    <n v="14.019471488241583"/>
    <n v="5117.1070932081775"/>
    <n v="1.3709559733264045"/>
    <n v="32.902943359833706"/>
    <n v="12009.574326339303"/>
  </r>
  <r>
    <d v="2023-05-13T07:57:00"/>
    <x v="3"/>
    <s v=""/>
    <x v="5"/>
    <x v="21"/>
    <x v="6"/>
    <s v="5/2023"/>
    <s v="13/5/2023"/>
    <d v="1899-12-31T00:25:00"/>
    <n v="1.0173611111167702"/>
    <d v="1902-05-25T14:57:00"/>
    <n v="876.62291666666715"/>
    <m/>
    <m/>
    <n v="0"/>
    <n v="4149"/>
    <n v="15"/>
    <n v="14.744027303672253"/>
    <n v="20003"/>
    <n v="2129"/>
    <n v="3"/>
    <n v="2.9488054607344507"/>
    <n v="8825"/>
    <n v="18"/>
    <n v="28828"/>
    <n v="0.73720136518361268"/>
    <n v="17.692832764406702"/>
    <n v="6457.8839590084463"/>
    <n v="1.3702204720292592"/>
    <n v="32.885291328702223"/>
    <n v="12003.131334976311"/>
  </r>
  <r>
    <d v="2023-05-14T08:21:00"/>
    <x v="3"/>
    <s v=""/>
    <x v="5"/>
    <x v="22"/>
    <x v="1"/>
    <s v="5/2023"/>
    <s v="14/5/2023"/>
    <d v="1899-12-31T00:24:00"/>
    <n v="1.0166666666627862"/>
    <d v="1902-05-26T15:21:00"/>
    <n v="877.63958333332994"/>
    <m/>
    <m/>
    <n v="0"/>
    <n v="4163"/>
    <n v="14"/>
    <n v="13.770491803331248"/>
    <n v="20017"/>
    <n v="2132"/>
    <n v="3"/>
    <n v="2.9508196721424107"/>
    <n v="8828"/>
    <n v="17"/>
    <n v="28845"/>
    <n v="0.69672131147806915"/>
    <n v="16.721311475473659"/>
    <n v="6103.2786885478854"/>
    <n v="1.3694402837155586"/>
    <n v="32.866566809173406"/>
    <n v="11996.296885348293"/>
  </r>
  <r>
    <d v="2023-05-15T07:42:00"/>
    <x v="3"/>
    <s v=""/>
    <x v="5"/>
    <x v="23"/>
    <x v="2"/>
    <s v="5/2023"/>
    <s v="15/5/2023"/>
    <d v="1899-12-30T23:21:00"/>
    <n v="0.97291666666569654"/>
    <d v="1902-05-27T14:42:00"/>
    <n v="878.61249999999563"/>
    <m/>
    <m/>
    <n v="0"/>
    <n v="4174"/>
    <n v="11"/>
    <n v="11.306209850118341"/>
    <n v="20028"/>
    <n v="2134"/>
    <n v="2"/>
    <n v="2.0556745182033347"/>
    <n v="8830"/>
    <n v="13"/>
    <n v="28858"/>
    <n v="0.55674518201340306"/>
    <n v="13.361884368321675"/>
    <n v="4877.0877944374115"/>
    <n v="1.3685403595631438"/>
    <n v="32.844968629515449"/>
    <n v="11988.413549773139"/>
  </r>
  <r>
    <d v="2023-05-16T07:44:00"/>
    <x v="3"/>
    <s v=""/>
    <x v="5"/>
    <x v="24"/>
    <x v="3"/>
    <s v="5/2023"/>
    <s v="16/5/2023"/>
    <d v="1899-12-31T00:02:00"/>
    <n v="1.0013888888934162"/>
    <d v="1902-05-28T14:44:00"/>
    <n v="879.61388888888905"/>
    <m/>
    <m/>
    <n v="0"/>
    <n v="4184"/>
    <n v="10"/>
    <n v="9.9861303744347421"/>
    <n v="20038"/>
    <n v="2137"/>
    <n v="3"/>
    <n v="2.9958391123304224"/>
    <n v="8833"/>
    <n v="13"/>
    <n v="28871"/>
    <n v="0.54091539528188182"/>
    <n v="12.981969486765164"/>
    <n v="4738.4188626692849"/>
    <n v="1.3675981570196516"/>
    <n v="32.822355768471638"/>
    <n v="11980.159855492147"/>
  </r>
  <r>
    <d v="2023-05-17T09:05:00"/>
    <x v="3"/>
    <s v=""/>
    <x v="5"/>
    <x v="0"/>
    <x v="4"/>
    <s v="5/2023"/>
    <s v="17/5/2023"/>
    <d v="1899-12-31T01:21:00"/>
    <n v="1.0562499999941792"/>
    <d v="1902-05-29T16:05:00"/>
    <n v="880.67013888888323"/>
    <m/>
    <m/>
    <n v="0"/>
    <n v="4195"/>
    <n v="11"/>
    <n v="10.414201183489343"/>
    <n v="20049"/>
    <n v="2143"/>
    <n v="6"/>
    <n v="5.6804733728123686"/>
    <n v="8839"/>
    <n v="17"/>
    <n v="28888"/>
    <n v="0.67061143984590466"/>
    <n v="16.094674556301712"/>
    <n v="5874.5562130501248"/>
    <n v="1.3667622115418823"/>
    <n v="32.802293077005174"/>
    <n v="11972.836973106889"/>
  </r>
  <r>
    <d v="2023-05-18T10:10:00"/>
    <x v="3"/>
    <s v=""/>
    <x v="5"/>
    <x v="25"/>
    <x v="0"/>
    <s v="5/2023"/>
    <s v="18/5/2023"/>
    <d v="1899-12-31T01:05:00"/>
    <n v="1.0451388888905058"/>
    <d v="1902-05-30T17:10:00"/>
    <n v="881.71527777777374"/>
    <m/>
    <m/>
    <n v="0"/>
    <n v="4205"/>
    <n v="10"/>
    <n v="9.5681063122775569"/>
    <n v="20059"/>
    <n v="2145"/>
    <n v="2"/>
    <n v="1.9136212624555113"/>
    <n v="8841"/>
    <n v="12"/>
    <n v="28900"/>
    <n v="0.47840531561387784"/>
    <n v="11.481727574733068"/>
    <n v="4190.8305647775696"/>
    <n v="1.3657092000283602"/>
    <n v="32.777020800680639"/>
    <n v="11963.612592248433"/>
  </r>
  <r>
    <d v="2023-05-19T07:51:00"/>
    <x v="3"/>
    <s v=""/>
    <x v="5"/>
    <x v="26"/>
    <x v="5"/>
    <s v="5/2023"/>
    <s v="19/5/2023"/>
    <d v="1899-12-30T21:41:00"/>
    <n v="0.90347222222044365"/>
    <d v="1902-05-31T14:51:00"/>
    <n v="882.61874999999418"/>
    <m/>
    <m/>
    <n v="0"/>
    <n v="4214"/>
    <n v="9"/>
    <n v="9.9615680246160743"/>
    <n v="20068"/>
    <n v="2150"/>
    <n v="5"/>
    <n v="5.5342044581200414"/>
    <n v="8846"/>
    <n v="14"/>
    <n v="28914"/>
    <n v="0.64565718678067152"/>
    <n v="15.495772482736117"/>
    <n v="5655.9569561986827"/>
    <n v="1.3649721354775297"/>
    <n v="32.759331251460715"/>
    <n v="11957.15590678316"/>
  </r>
  <r>
    <d v="2023-05-20T08:26:00"/>
    <x v="3"/>
    <s v=""/>
    <x v="5"/>
    <x v="27"/>
    <x v="6"/>
    <s v="5/2023"/>
    <s v="20/5/2023"/>
    <d v="1899-12-31T00:35:00"/>
    <n v="1.0243055555620231"/>
    <d v="1902-06-01T15:26:00"/>
    <n v="883.6430555555562"/>
    <m/>
    <m/>
    <n v="0"/>
    <n v="4219"/>
    <n v="5"/>
    <n v="4.8813559321725686"/>
    <n v="20073"/>
    <n v="2153"/>
    <n v="3"/>
    <n v="2.9288135593035411"/>
    <n v="8849"/>
    <n v="8"/>
    <n v="28922"/>
    <n v="0.32542372881150455"/>
    <n v="7.8101694914761097"/>
    <n v="2850.7118643887802"/>
    <n v="1.3637671068163197"/>
    <n v="32.730410563591676"/>
    <n v="11946.599855710961"/>
  </r>
  <r>
    <d v="2023-05-21T08:04:00"/>
    <x v="3"/>
    <s v=""/>
    <x v="5"/>
    <x v="28"/>
    <x v="1"/>
    <s v="5/2023"/>
    <s v="21/5/2023"/>
    <d v="1899-12-30T23:38:00"/>
    <n v="0.98472222221607808"/>
    <d v="1902-06-02T15:04:00"/>
    <n v="884.62777777777228"/>
    <m/>
    <m/>
    <n v="0"/>
    <n v="4227"/>
    <n v="8"/>
    <n v="8.1241184767784755"/>
    <n v="20081"/>
    <n v="2155"/>
    <n v="2"/>
    <n v="2.0310296191946189"/>
    <n v="8851"/>
    <n v="10"/>
    <n v="28932"/>
    <n v="0.42313117066554562"/>
    <n v="10.155148095973095"/>
    <n v="3706.6290550301796"/>
    <n v="1.3627200391878653"/>
    <n v="32.705280940508764"/>
    <n v="11937.427543285699"/>
  </r>
  <r>
    <d v="2023-05-22T07:50:00"/>
    <x v="3"/>
    <s v=""/>
    <x v="5"/>
    <x v="29"/>
    <x v="2"/>
    <s v="5/2023"/>
    <s v="22/5/2023"/>
    <d v="1899-12-30T23:46:00"/>
    <n v="0.99027777778246673"/>
    <d v="1902-06-03T14:50:00"/>
    <n v="885.61805555555475"/>
    <m/>
    <m/>
    <n v="0"/>
    <n v="4236"/>
    <n v="9"/>
    <n v="9.0883590462402761"/>
    <n v="20090"/>
    <n v="2157"/>
    <n v="2"/>
    <n v="2.0196353436089503"/>
    <n v="8853"/>
    <n v="11"/>
    <n v="28943"/>
    <n v="0.46283309957705115"/>
    <n v="11.107994389849226"/>
    <n v="4054.4179522949676"/>
    <n v="1.3617138062715159"/>
    <n v="32.681131350516381"/>
    <n v="11928.612942938478"/>
  </r>
  <r>
    <d v="2023-05-23T07:25:00"/>
    <x v="3"/>
    <s v=""/>
    <x v="5"/>
    <x v="30"/>
    <x v="3"/>
    <s v="5/2023"/>
    <s v="23/5/2023"/>
    <d v="1899-12-30T23:35:00"/>
    <n v="0.98263888889050577"/>
    <d v="1902-06-04T14:25:00"/>
    <n v="886.60069444444525"/>
    <m/>
    <m/>
    <n v="0"/>
    <n v="4241"/>
    <n v="5"/>
    <n v="5.0883392226064688"/>
    <n v="20095"/>
    <n v="2160"/>
    <n v="3"/>
    <n v="3.053003533563881"/>
    <n v="8856"/>
    <n v="8"/>
    <n v="28951"/>
    <n v="0.3392226148404312"/>
    <n v="8.1413427561703493"/>
    <n v="2971.5901060021774"/>
    <n v="1.3605805569806639"/>
    <n v="32.653933367535934"/>
    <n v="11918.685679150616"/>
  </r>
  <r>
    <d v="2023-05-24T08:32:00"/>
    <x v="3"/>
    <s v=""/>
    <x v="5"/>
    <x v="1"/>
    <x v="4"/>
    <s v="5/2023"/>
    <s v="24/5/2023"/>
    <d v="1899-12-31T01:07:00"/>
    <n v="1.046527777776646"/>
    <d v="1902-06-05T15:32:00"/>
    <n v="887.6472222222219"/>
    <m/>
    <m/>
    <n v="0"/>
    <n v="4247"/>
    <n v="6"/>
    <n v="5.733244857338649"/>
    <n v="20101"/>
    <n v="2162"/>
    <n v="2"/>
    <n v="1.911081619112883"/>
    <n v="8858"/>
    <n v="8"/>
    <n v="28959"/>
    <n v="0.3185136031854805"/>
    <n v="7.644326476451532"/>
    <n v="2790.1791639048092"/>
    <n v="1.3593519697827909"/>
    <n v="32.624447274786981"/>
    <n v="11907.923255297248"/>
  </r>
  <r>
    <d v="2023-05-25T07:46:00"/>
    <x v="3"/>
    <s v=""/>
    <x v="5"/>
    <x v="2"/>
    <x v="0"/>
    <s v="5/2023"/>
    <s v="25/5/2023"/>
    <d v="1899-12-30T23:14:00"/>
    <n v="0.96805555555329192"/>
    <d v="1902-06-06T14:46:00"/>
    <n v="888.61527777777519"/>
    <m/>
    <m/>
    <n v="0"/>
    <n v="4256"/>
    <n v="9"/>
    <n v="9.296987087539673"/>
    <n v="20110"/>
    <n v="2164"/>
    <n v="2"/>
    <n v="2.0659971305643721"/>
    <n v="8860"/>
    <n v="11"/>
    <n v="28970"/>
    <n v="0.47345767575433523"/>
    <n v="11.362984218104046"/>
    <n v="4147.4892396079767"/>
    <n v="1.3583868784610302"/>
    <n v="32.601285083064724"/>
    <n v="11899.469055318625"/>
  </r>
  <r>
    <d v="2023-05-26T08:23:00"/>
    <x v="3"/>
    <s v=""/>
    <x v="5"/>
    <x v="3"/>
    <x v="5"/>
    <s v="5/2023"/>
    <s v="26/5/2023"/>
    <d v="1899-12-31T00:37:00"/>
    <n v="1.0256944444481633"/>
    <d v="1902-06-07T15:23:00"/>
    <n v="889.64097222222335"/>
    <m/>
    <m/>
    <n v="0"/>
    <n v="4261"/>
    <n v="5"/>
    <n v="4.8747461069559206"/>
    <n v="20115"/>
    <n v="2166"/>
    <n v="2"/>
    <n v="1.9498984427823685"/>
    <n v="8862"/>
    <n v="7"/>
    <n v="28977"/>
    <n v="0.2843601895724287"/>
    <n v="6.8246445497382897"/>
    <n v="2490.9952606544757"/>
    <n v="1.3571486000516733"/>
    <n v="32.571566401240162"/>
    <n v="11888.621736452658"/>
  </r>
  <r>
    <d v="2023-05-27T07:18:00"/>
    <x v="3"/>
    <s v=""/>
    <x v="5"/>
    <x v="4"/>
    <x v="6"/>
    <s v="5/2023"/>
    <s v="27/5/2023"/>
    <d v="1899-12-30T22:55:00"/>
    <n v="0.95486111110949423"/>
    <d v="1902-06-08T14:18:00"/>
    <n v="890.59583333333285"/>
    <m/>
    <m/>
    <n v="0"/>
    <n v="4267"/>
    <n v="6"/>
    <n v="6.2836363636470036"/>
    <n v="20121"/>
    <n v="2169"/>
    <n v="3"/>
    <n v="3.1418181818235018"/>
    <n v="8865"/>
    <n v="9"/>
    <n v="28986"/>
    <n v="0.39272727272793773"/>
    <n v="9.4254545454705063"/>
    <n v="3440.2909090967346"/>
    <n v="1.3561145862086719"/>
    <n v="32.546750069008127"/>
    <n v="11879.563775187966"/>
  </r>
  <r>
    <d v="2023-05-28T08:41:00"/>
    <x v="3"/>
    <s v=""/>
    <x v="5"/>
    <x v="5"/>
    <x v="1"/>
    <s v="5/2023"/>
    <s v="28/5/2023"/>
    <d v="1899-12-31T01:23:00"/>
    <n v="1.0576388888875954"/>
    <d v="1902-06-09T15:41:00"/>
    <n v="891.65347222222044"/>
    <m/>
    <m/>
    <n v="0"/>
    <n v="4276"/>
    <n v="9"/>
    <n v="8.5095206828731786"/>
    <n v="20130"/>
    <n v="2171"/>
    <n v="2"/>
    <n v="1.8910045961940396"/>
    <n v="8867"/>
    <n v="11"/>
    <n v="28997"/>
    <n v="0.43335521996113407"/>
    <n v="10.400525279067217"/>
    <n v="3796.1917268595344"/>
    <n v="1.3550200509197594"/>
    <n v="32.520481222074224"/>
    <n v="11869.975646057092"/>
  </r>
  <r>
    <d v="2023-05-29T08:00:00"/>
    <x v="3"/>
    <s v=""/>
    <x v="5"/>
    <x v="6"/>
    <x v="2"/>
    <s v="5/2023"/>
    <s v="29/5/2023"/>
    <d v="1899-12-30T23:19:00"/>
    <n v="0.97152777777955635"/>
    <d v="1902-06-10T15:00:00"/>
    <n v="892.625"/>
    <m/>
    <m/>
    <n v="0"/>
    <n v="4280"/>
    <n v="4"/>
    <n v="4.1172265904141927"/>
    <n v="20134"/>
    <n v="2173"/>
    <n v="2"/>
    <n v="2.0586132952070963"/>
    <n v="8869"/>
    <n v="6"/>
    <n v="29003"/>
    <n v="0.25732666190088704"/>
    <n v="6.175839885621289"/>
    <n v="2254.1815582517706"/>
    <n v="1.3538253279185921"/>
    <n v="32.491807870046209"/>
    <n v="11859.509872566867"/>
  </r>
  <r>
    <d v="2023-05-30T07:44:00"/>
    <x v="3"/>
    <s v=""/>
    <x v="5"/>
    <x v="7"/>
    <x v="3"/>
    <s v="5/2023"/>
    <s v="30/5/2023"/>
    <d v="1899-12-30T23:44:00"/>
    <n v="0.98888888888905058"/>
    <d v="1902-06-11T14:44:00"/>
    <n v="893.61388888888905"/>
    <m/>
    <m/>
    <n v="0"/>
    <n v="4288"/>
    <n v="8"/>
    <n v="8.089887640448115"/>
    <n v="20142"/>
    <n v="2175"/>
    <n v="2"/>
    <n v="2.0224719101120288"/>
    <n v="8871"/>
    <n v="10"/>
    <n v="29013"/>
    <n v="0.42134831460667266"/>
    <n v="10.112359550560145"/>
    <n v="3691.0112359544528"/>
    <n v="1.3527934324108408"/>
    <n v="32.467042377860182"/>
    <n v="11850.470467918965"/>
  </r>
  <r>
    <d v="2023-05-31T09:27:00"/>
    <x v="3"/>
    <s v=""/>
    <x v="5"/>
    <x v="8"/>
    <x v="4"/>
    <s v="5/2023"/>
    <s v="31/5/2023"/>
    <d v="1899-12-31T01:43:00"/>
    <n v="1.0715277777781012"/>
    <d v="1902-06-12T16:27:00"/>
    <n v="894.68541666666715"/>
    <m/>
    <m/>
    <n v="0"/>
    <n v="4294"/>
    <n v="6"/>
    <n v="5.5994815294863205"/>
    <n v="20148"/>
    <n v="2177"/>
    <n v="2"/>
    <n v="1.8664938431621068"/>
    <n v="8873"/>
    <n v="8"/>
    <n v="29021"/>
    <n v="0.31108230719368446"/>
    <n v="7.465975372648427"/>
    <n v="2725.0810110166758"/>
    <n v="1.351545818013314"/>
    <n v="32.437099632319537"/>
    <n v="11839.541365796631"/>
  </r>
  <r>
    <d v="2023-06-01T07:44:00"/>
    <x v="3"/>
    <s v=""/>
    <x v="6"/>
    <x v="9"/>
    <x v="0"/>
    <s v="6/2023"/>
    <s v="1/6/2023"/>
    <d v="1899-12-30T22:17:00"/>
    <n v="0.92847222222189885"/>
    <d v="1902-06-13T14:44:00"/>
    <n v="895.61388888888905"/>
    <m/>
    <m/>
    <n v="0"/>
    <n v="4301"/>
    <n v="7"/>
    <n v="7.5392670157094317"/>
    <n v="20155"/>
    <n v="2179"/>
    <n v="2"/>
    <n v="2.1540762902026951"/>
    <n v="8875"/>
    <n v="9"/>
    <n v="29030"/>
    <n v="0.4038893044130053"/>
    <n v="9.6933433059121263"/>
    <n v="3538.0703066579263"/>
    <n v="1.350563393823603"/>
    <n v="32.413521451766471"/>
    <n v="11830.935329894763"/>
  </r>
  <r>
    <d v="2023-06-02T07:28:00"/>
    <x v="3"/>
    <s v=""/>
    <x v="6"/>
    <x v="10"/>
    <x v="5"/>
    <s v="6/2023"/>
    <s v="2/6/2023"/>
    <d v="1899-12-30T23:44:00"/>
    <n v="0.98888888888905058"/>
    <d v="1902-06-14T14:28:00"/>
    <n v="896.6027777777781"/>
    <m/>
    <m/>
    <n v="0"/>
    <n v="4304"/>
    <n v="3"/>
    <n v="3.0337078651680431"/>
    <n v="20158"/>
    <n v="2181"/>
    <n v="2"/>
    <n v="2.0224719101120288"/>
    <n v="8877"/>
    <n v="5"/>
    <n v="29035"/>
    <n v="0.21067415730333633"/>
    <n v="5.0561797752800723"/>
    <n v="1845.5056179772264"/>
    <n v="1.3493061773298589"/>
    <n v="32.383348255916609"/>
    <n v="11819.922113409562"/>
  </r>
  <r>
    <d v="2023-06-03T07:30:00"/>
    <x v="3"/>
    <s v=""/>
    <x v="6"/>
    <x v="11"/>
    <x v="6"/>
    <s v="6/2023"/>
    <s v="3/6/2023"/>
    <d v="1899-12-31T00:02:00"/>
    <n v="1.0013888888861402"/>
    <d v="1902-06-15T14:30:00"/>
    <n v="897.60416666666424"/>
    <m/>
    <m/>
    <n v="0"/>
    <n v="4308"/>
    <n v="4"/>
    <n v="3.9944521498029197"/>
    <n v="20162"/>
    <n v="2182"/>
    <n v="1"/>
    <n v="0.99861303745072993"/>
    <n v="8878"/>
    <n v="5"/>
    <n v="29040"/>
    <n v="0.20804438280223542"/>
    <n v="4.9930651872536496"/>
    <n v="1822.4687933475821"/>
    <n v="1.348032958106073"/>
    <n v="32.352790994545749"/>
    <n v="11808.768713009198"/>
  </r>
  <r>
    <d v="2023-06-04T07:48:00"/>
    <x v="3"/>
    <s v=""/>
    <x v="6"/>
    <x v="12"/>
    <x v="1"/>
    <s v="6/2023"/>
    <s v="4/6/2023"/>
    <d v="1899-12-31T00:18:00"/>
    <n v="1.0124999999970896"/>
    <d v="1902-06-16T14:48:00"/>
    <n v="898.61666666666133"/>
    <m/>
    <m/>
    <n v="0"/>
    <n v="4317"/>
    <n v="9"/>
    <n v="8.8888888889144404"/>
    <n v="20171"/>
    <n v="2187"/>
    <n v="5"/>
    <n v="4.9382716049524662"/>
    <n v="8883"/>
    <n v="14"/>
    <n v="29054"/>
    <n v="0.5761316872444544"/>
    <n v="13.827160493866906"/>
    <n v="5046.913580261421"/>
    <n v="1.3471632323756966"/>
    <n v="32.331917577016718"/>
    <n v="11801.149915611102"/>
  </r>
  <r>
    <d v="2023-06-05T07:42:00"/>
    <x v="3"/>
    <s v=""/>
    <x v="6"/>
    <x v="13"/>
    <x v="2"/>
    <s v="6/2023"/>
    <s v="5/6/2023"/>
    <d v="1899-12-30T23:54:00"/>
    <n v="0.99583333333430346"/>
    <d v="1902-06-17T14:42:00"/>
    <n v="899.61249999999563"/>
    <m/>
    <m/>
    <n v="0"/>
    <n v="4325"/>
    <n v="8"/>
    <n v="8.0334728033394533"/>
    <n v="20179"/>
    <n v="2189"/>
    <n v="2"/>
    <n v="2.0083682008348633"/>
    <n v="8885"/>
    <n v="10"/>
    <n v="29064"/>
    <n v="0.41841004184059655"/>
    <n v="10.041841004174318"/>
    <n v="3665.2719665236259"/>
    <n v="1.3461351415192717"/>
    <n v="32.307243396462525"/>
    <n v="11792.143839708822"/>
  </r>
  <r>
    <d v="2023-06-06T07:33:00"/>
    <x v="3"/>
    <s v=""/>
    <x v="6"/>
    <x v="14"/>
    <x v="3"/>
    <s v="6/2023"/>
    <s v="6/6/2023"/>
    <d v="1899-12-30T23:51:00"/>
    <n v="0.99375000000145519"/>
    <d v="1902-06-18T14:33:00"/>
    <n v="900.60624999999709"/>
    <m/>
    <m/>
    <n v="0"/>
    <n v="4329"/>
    <n v="4"/>
    <n v="4.0251572326985086"/>
    <n v="20183"/>
    <n v="2191"/>
    <n v="2"/>
    <n v="2.0125786163492543"/>
    <n v="8887"/>
    <n v="6"/>
    <n v="29070"/>
    <n v="0.25157232704365678"/>
    <n v="6.0377358490477624"/>
    <n v="2203.7735849024334"/>
    <n v="1.3449273753096915"/>
    <n v="32.2782570074326"/>
    <n v="11781.563807712899"/>
  </r>
  <r>
    <d v="2023-06-07T08:41:00"/>
    <x v="3"/>
    <s v=""/>
    <x v="6"/>
    <x v="15"/>
    <x v="4"/>
    <s v="6/2023"/>
    <s v="7/6/2023"/>
    <d v="1899-12-31T01:08:00"/>
    <n v="1.047222222223354"/>
    <d v="1902-06-19T15:41:00"/>
    <n v="901.65347222222044"/>
    <m/>
    <m/>
    <n v="0"/>
    <n v="4334"/>
    <n v="5"/>
    <n v="4.7745358090134076"/>
    <n v="20188"/>
    <n v="2194"/>
    <n v="3"/>
    <n v="2.8647214854080443"/>
    <n v="8890"/>
    <n v="8"/>
    <n v="29078"/>
    <n v="0.31830238726756049"/>
    <n v="7.6392572944214523"/>
    <n v="2788.32891246383"/>
    <n v="1.3437350053643757"/>
    <n v="32.249640128745014"/>
    <n v="11771.11864699193"/>
  </r>
  <r>
    <d v="2023-06-08T08:32:00"/>
    <x v="3"/>
    <s v=""/>
    <x v="6"/>
    <x v="16"/>
    <x v="0"/>
    <s v="6/2023"/>
    <s v="8/6/2023"/>
    <d v="1899-12-30T23:51:00"/>
    <n v="0.99375000000145519"/>
    <d v="1902-06-20T15:32:00"/>
    <n v="902.6472222222219"/>
    <m/>
    <m/>
    <n v="0"/>
    <n v="4339"/>
    <n v="5"/>
    <n v="5.0314465408731355"/>
    <n v="20193"/>
    <n v="2196"/>
    <n v="2"/>
    <n v="2.0125786163492543"/>
    <n v="8892"/>
    <n v="7"/>
    <n v="29085"/>
    <n v="0.29350104821759954"/>
    <n v="7.0440251572223893"/>
    <n v="2571.0691823861721"/>
    <n v="1.3425787729302396"/>
    <n v="32.221890550325753"/>
    <n v="11760.990050868901"/>
  </r>
  <r>
    <d v="2023-06-09T08:32:00"/>
    <x v="3"/>
    <s v=""/>
    <x v="6"/>
    <x v="17"/>
    <x v="5"/>
    <s v="6/2023"/>
    <s v="9/6/2023"/>
    <d v="1899-12-31T00:00:00"/>
    <n v="1"/>
    <d v="1902-06-21T15:32:00"/>
    <n v="903.6472222222219"/>
    <m/>
    <m/>
    <n v="0"/>
    <n v="4344"/>
    <n v="5"/>
    <n v="5"/>
    <n v="20198"/>
    <n v="2198"/>
    <n v="2"/>
    <n v="2"/>
    <n v="8894"/>
    <n v="7"/>
    <n v="29092"/>
    <n v="0.29166666666666669"/>
    <n v="7"/>
    <n v="2555"/>
    <n v="1.3414158057009715"/>
    <n v="32.193979336823318"/>
    <n v="11750.802457940512"/>
  </r>
  <r>
    <d v="2023-06-10T07:35:00"/>
    <x v="3"/>
    <s v=""/>
    <x v="6"/>
    <x v="18"/>
    <x v="6"/>
    <s v="6/2023"/>
    <s v="10/6/2023"/>
    <d v="1899-12-30T23:03:00"/>
    <n v="0.96041666666133096"/>
    <d v="1902-06-22T14:35:00"/>
    <n v="904.60763888888323"/>
    <m/>
    <m/>
    <n v="0"/>
    <n v="4348"/>
    <n v="4"/>
    <n v="4.164859002192336"/>
    <n v="20202"/>
    <n v="2201"/>
    <n v="3"/>
    <n v="3.1236442516442517"/>
    <n v="8897"/>
    <n v="7"/>
    <n v="29099"/>
    <n v="0.30368763557652451"/>
    <n v="7.2885032538365877"/>
    <n v="2660.3036876503547"/>
    <n v="1.3403140557408721"/>
    <n v="32.167537337780928"/>
    <n v="11741.151128290039"/>
  </r>
  <r>
    <d v="2023-06-11T10:22:00"/>
    <x v="3"/>
    <s v=""/>
    <x v="6"/>
    <x v="19"/>
    <x v="1"/>
    <s v="6/2023"/>
    <s v="11/6/2023"/>
    <d v="1899-12-31T02:47:00"/>
    <n v="1.1159722222218988"/>
    <d v="1902-06-23T17:22:00"/>
    <n v="905.72361111110513"/>
    <m/>
    <m/>
    <n v="0"/>
    <n v="4353"/>
    <n v="5"/>
    <n v="4.4803982576241985"/>
    <n v="20207"/>
    <n v="2204"/>
    <n v="3"/>
    <n v="2.6882389545745187"/>
    <n v="8900"/>
    <n v="8"/>
    <n v="29107"/>
    <n v="0.29869321717494651"/>
    <n v="7.1686372121987167"/>
    <n v="2616.5525824525316"/>
    <n v="1.3390306400192691"/>
    <n v="32.13673536046246"/>
    <n v="11729.908406568798"/>
  </r>
  <r>
    <d v="2023-06-12T07:40:00"/>
    <x v="3"/>
    <s v=""/>
    <x v="6"/>
    <x v="20"/>
    <x v="2"/>
    <s v="6/2023"/>
    <s v="12/6/2023"/>
    <d v="1899-12-30T21:18:00"/>
    <n v="0.88750000000436557"/>
    <d v="1902-06-24T14:40:00"/>
    <n v="906.61111111110949"/>
    <m/>
    <m/>
    <n v="0"/>
    <n v="4356"/>
    <n v="3"/>
    <n v="3.3802816901242174"/>
    <n v="20210"/>
    <n v="2206"/>
    <n v="2"/>
    <n v="2.2535211267494786"/>
    <n v="8902"/>
    <n v="5"/>
    <n v="29112"/>
    <n v="0.234741784036404"/>
    <n v="5.633802816873696"/>
    <n v="2056.3380281588989"/>
    <n v="1.3379496292665016"/>
    <n v="32.110791102396036"/>
    <n v="11720.438752374554"/>
  </r>
  <r>
    <d v="2023-06-13T07:33:00"/>
    <x v="3"/>
    <s v=""/>
    <x v="6"/>
    <x v="21"/>
    <x v="3"/>
    <s v="6/2023"/>
    <s v="13/6/2023"/>
    <d v="1899-12-30T23:53:00"/>
    <n v="0.99513888888759539"/>
    <d v="1902-06-25T14:33:00"/>
    <n v="907.60624999999709"/>
    <m/>
    <m/>
    <n v="0"/>
    <n v="4361"/>
    <n v="5"/>
    <n v="5.0244242847239073"/>
    <n v="20215"/>
    <n v="2208"/>
    <n v="2"/>
    <n v="2.0097697138895629"/>
    <n v="8904"/>
    <n v="7"/>
    <n v="29119"/>
    <n v="0.29309141660889459"/>
    <n v="7.0341939986134694"/>
    <n v="2567.4808094939162"/>
    <n v="1.3368040013680718"/>
    <n v="32.083296032833722"/>
    <n v="11710.403051984309"/>
  </r>
  <r>
    <d v="2023-06-14T07:56:00"/>
    <x v="3"/>
    <s v=""/>
    <x v="6"/>
    <x v="22"/>
    <x v="4"/>
    <s v="6/2023"/>
    <s v="14/6/2023"/>
    <d v="1899-12-31T00:23:00"/>
    <n v="1.015972222223354"/>
    <d v="1902-06-26T14:56:00"/>
    <n v="908.62222222222044"/>
    <m/>
    <m/>
    <n v="0"/>
    <n v="4365"/>
    <n v="4"/>
    <n v="3.9371155160584985"/>
    <n v="20219"/>
    <n v="2210"/>
    <n v="2"/>
    <n v="1.9685577580292493"/>
    <n v="8906"/>
    <n v="6"/>
    <n v="29125"/>
    <n v="0.24606971975365616"/>
    <n v="5.9056732740877473"/>
    <n v="2155.5707450420277"/>
    <n v="1.3355844012913349"/>
    <n v="32.054025630992044"/>
    <n v="11699.719355312096"/>
  </r>
  <r>
    <d v="2023-06-15T07:48:00"/>
    <x v="3"/>
    <s v=""/>
    <x v="6"/>
    <x v="23"/>
    <x v="0"/>
    <s v="6/2023"/>
    <s v="15/6/2023"/>
    <d v="1899-12-30T23:52:00"/>
    <n v="0.99444444444088731"/>
    <d v="1902-06-27T14:48:00"/>
    <n v="909.61666666666133"/>
    <m/>
    <m/>
    <n v="0"/>
    <n v="4372"/>
    <n v="7"/>
    <n v="7.039106145276576"/>
    <n v="20226"/>
    <n v="2213"/>
    <n v="3"/>
    <n v="3.0167597765471039"/>
    <n v="8909"/>
    <n v="10"/>
    <n v="29135"/>
    <n v="0.41899441340931998"/>
    <n v="10.055865921823679"/>
    <n v="3670.3910614656429"/>
    <n v="1.3345823332172972"/>
    <n v="32.029975997215132"/>
    <n v="11690.941238983523"/>
  </r>
  <r>
    <d v="2023-06-16T07:32:00"/>
    <x v="3"/>
    <s v=""/>
    <x v="6"/>
    <x v="24"/>
    <x v="5"/>
    <s v="6/2023"/>
    <s v="16/6/2023"/>
    <d v="1899-12-30T23:44:00"/>
    <n v="0.98888888888905058"/>
    <d v="1902-06-28T14:32:00"/>
    <n v="910.60555555555038"/>
    <m/>
    <m/>
    <n v="0"/>
    <n v="4377"/>
    <n v="5"/>
    <n v="5.0561797752800723"/>
    <n v="20231"/>
    <n v="2215"/>
    <n v="2"/>
    <n v="2.0224719101120288"/>
    <n v="8911"/>
    <n v="7"/>
    <n v="29142"/>
    <n v="0.29494382022467086"/>
    <n v="7.0786516853921011"/>
    <n v="2583.7078651681168"/>
    <n v="1.3334533186097239"/>
    <n v="32.002879646633374"/>
    <n v="11681.051071021182"/>
  </r>
  <r>
    <d v="2023-06-17T08:05:00"/>
    <x v="3"/>
    <s v=""/>
    <x v="6"/>
    <x v="0"/>
    <x v="6"/>
    <s v="6/2023"/>
    <s v="17/6/2023"/>
    <d v="1899-12-31T00:33:00"/>
    <n v="1.0229166666686069"/>
    <d v="1902-06-29T15:05:00"/>
    <n v="911.62847222221899"/>
    <m/>
    <m/>
    <n v="0"/>
    <n v="4382"/>
    <n v="5"/>
    <n v="4.8879837067117062"/>
    <n v="20236"/>
    <n v="2217"/>
    <n v="2"/>
    <n v="1.9551934826846824"/>
    <n v="8913"/>
    <n v="7"/>
    <n v="29149"/>
    <n v="0.28513238289151621"/>
    <n v="6.8431771893963882"/>
    <n v="2497.7596741296816"/>
    <n v="1.3322770225748384"/>
    <n v="31.974648541796121"/>
    <n v="11670.746717755585"/>
  </r>
  <r>
    <d v="2023-06-19T07:46:00"/>
    <x v="3"/>
    <s v=""/>
    <x v="6"/>
    <x v="26"/>
    <x v="2"/>
    <s v="6/2023"/>
    <s v="19/6/2023"/>
    <d v="1899-12-31T23:41:00"/>
    <n v="1.9868055555562023"/>
    <d v="1902-07-01T14:46:00"/>
    <n v="913.61527777777519"/>
    <m/>
    <m/>
    <n v="0"/>
    <n v="4391"/>
    <n v="9"/>
    <n v="4.5298846557133103"/>
    <n v="20245"/>
    <n v="2222"/>
    <n v="5"/>
    <n v="2.5166025865073949"/>
    <n v="8918"/>
    <n v="14"/>
    <n v="29163"/>
    <n v="0.2936036350925294"/>
    <n v="7.0464872422207048"/>
    <n v="2571.9678434105572"/>
    <n v="1.3300182577458639"/>
    <n v="31.920438185900732"/>
    <n v="11650.959937853768"/>
  </r>
  <r>
    <d v="2023-06-20T07:42:00"/>
    <x v="3"/>
    <s v=""/>
    <x v="6"/>
    <x v="27"/>
    <x v="3"/>
    <s v="6/2023"/>
    <s v="20/6/2023"/>
    <d v="1899-12-30T23:56:00"/>
    <n v="0.99722222222044365"/>
    <d v="1902-07-02T14:42:00"/>
    <n v="914.61249999999563"/>
    <m/>
    <m/>
    <n v="0"/>
    <n v="4394"/>
    <n v="3"/>
    <n v="3.0083565459663681"/>
    <n v="20248"/>
    <n v="2224"/>
    <n v="2"/>
    <n v="2.0055710306442456"/>
    <n v="8920"/>
    <n v="5"/>
    <n v="29168"/>
    <n v="0.20891364902544224"/>
    <n v="5.0139275766106142"/>
    <n v="1830.0835654628743"/>
    <n v="1.3287958926139094"/>
    <n v="31.891101422733822"/>
    <n v="11640.252019297845"/>
  </r>
  <r>
    <d v="2023-06-21T12:38:00"/>
    <x v="3"/>
    <s v=""/>
    <x v="6"/>
    <x v="28"/>
    <x v="4"/>
    <s v="6/2023"/>
    <s v="21/6/2023"/>
    <d v="1899-12-31T04:56:00"/>
    <n v="1.2055555555562023"/>
    <d v="1902-07-03T19:38:00"/>
    <n v="915.81805555555184"/>
    <m/>
    <m/>
    <n v="0"/>
    <n v="4401"/>
    <n v="7"/>
    <n v="5.8064516129001111"/>
    <n v="20255"/>
    <n v="2226"/>
    <n v="2"/>
    <n v="1.6589861751143173"/>
    <n v="8922"/>
    <n v="9"/>
    <n v="29177"/>
    <n v="0.3110599078339345"/>
    <n v="7.4654377880144285"/>
    <n v="2724.8847926252665"/>
    <n v="1.3274561753380836"/>
    <n v="31.858948208114004"/>
    <n v="11628.516095961611"/>
  </r>
  <r>
    <d v="2023-06-22T07:47:00"/>
    <x v="3"/>
    <s v=""/>
    <x v="6"/>
    <x v="29"/>
    <x v="0"/>
    <s v="6/2023"/>
    <s v="22/6/2023"/>
    <d v="1899-12-30T19:09:00"/>
    <n v="0.79791666667006211"/>
    <d v="1902-07-04T14:47:00"/>
    <n v="916.6159722222219"/>
    <m/>
    <m/>
    <n v="0"/>
    <n v="4405"/>
    <n v="4"/>
    <n v="5.0130548302658742"/>
    <n v="20259"/>
    <n v="2228"/>
    <n v="2"/>
    <n v="2.5065274151329371"/>
    <n v="8924"/>
    <n v="6"/>
    <n v="29183"/>
    <n v="0.31331592689161714"/>
    <n v="7.5195822453988104"/>
    <n v="2744.6475195705657"/>
    <n v="1.3265733635269228"/>
    <n v="31.837760724646149"/>
    <n v="11620.782664495844"/>
  </r>
  <r>
    <d v="2023-06-23T08:03:00"/>
    <x v="3"/>
    <s v=""/>
    <x v="6"/>
    <x v="30"/>
    <x v="5"/>
    <s v="6/2023"/>
    <s v="23/6/2023"/>
    <d v="1899-12-31T00:16:00"/>
    <n v="1.0111111111109494"/>
    <d v="1902-07-05T15:03:00"/>
    <n v="917.62708333333285"/>
    <m/>
    <m/>
    <n v="0"/>
    <n v="4409"/>
    <n v="4"/>
    <n v="3.9560439560445886"/>
    <n v="20263"/>
    <n v="2231"/>
    <n v="3"/>
    <n v="2.9670329670334414"/>
    <n v="8927"/>
    <n v="7"/>
    <n v="29190"/>
    <n v="0.28846153846158457"/>
    <n v="6.92307692307803"/>
    <n v="2526.9230769234809"/>
    <n v="1.3254294931900901"/>
    <n v="31.810307836562163"/>
    <n v="11610.76236034519"/>
  </r>
  <r>
    <d v="2023-06-24T08:46:00"/>
    <x v="3"/>
    <s v=""/>
    <x v="6"/>
    <x v="1"/>
    <x v="6"/>
    <s v="6/2023"/>
    <s v="24/6/2023"/>
    <d v="1899-12-31T00:43:00"/>
    <n v="1.0298611111065838"/>
    <d v="1902-07-06T15:46:00"/>
    <n v="918.65694444443943"/>
    <m/>
    <m/>
    <n v="0"/>
    <n v="4416"/>
    <n v="7"/>
    <n v="6.7970330411627184"/>
    <n v="20270"/>
    <n v="2233"/>
    <n v="2"/>
    <n v="1.9420094403322052"/>
    <n v="8929"/>
    <n v="9"/>
    <n v="29199"/>
    <n v="0.3641267700622885"/>
    <n v="8.7390424814949235"/>
    <n v="3189.7505057456469"/>
    <n v="1.3243518239942742"/>
    <n v="31.784443775862581"/>
    <n v="11601.321978189842"/>
  </r>
  <r>
    <d v="2023-06-25T09:02:00"/>
    <x v="3"/>
    <s v=""/>
    <x v="6"/>
    <x v="2"/>
    <x v="1"/>
    <s v="6/2023"/>
    <s v="25/6/2023"/>
    <d v="1899-12-31T00:16:00"/>
    <n v="1.0111111111109494"/>
    <d v="1902-07-07T16:02:00"/>
    <n v="919.66805555555038"/>
    <m/>
    <m/>
    <n v="0"/>
    <n v="4421"/>
    <n v="5"/>
    <n v="4.9450549450557357"/>
    <n v="20275"/>
    <n v="2236"/>
    <n v="3"/>
    <n v="2.9670329670334414"/>
    <n v="8932"/>
    <n v="8"/>
    <n v="29207"/>
    <n v="0.3296703296703824"/>
    <n v="7.9120879120891772"/>
    <n v="2887.9120879125499"/>
    <n v="1.3232582408205933"/>
    <n v="31.758197779694243"/>
    <n v="11591.742189588398"/>
  </r>
  <r>
    <d v="2023-06-26T07:38:00"/>
    <x v="3"/>
    <s v=""/>
    <x v="6"/>
    <x v="3"/>
    <x v="2"/>
    <s v="6/2023"/>
    <s v="26/6/2023"/>
    <d v="1899-12-30T22:36:00"/>
    <n v="0.9416666666729725"/>
    <d v="1902-07-08T14:38:00"/>
    <n v="920.60972222222335"/>
    <m/>
    <m/>
    <n v="0"/>
    <n v="4427"/>
    <n v="6"/>
    <n v="6.3716814158865356"/>
    <n v="20281"/>
    <n v="2239"/>
    <n v="3"/>
    <n v="3.1858407079432678"/>
    <n v="8935"/>
    <n v="9"/>
    <n v="29216"/>
    <n v="0.39823008849290847"/>
    <n v="9.5575221238298038"/>
    <n v="3488.4955751978782"/>
    <n v="1.3223120546618394"/>
    <n v="31.735489311884145"/>
    <n v="11583.453598837712"/>
  </r>
  <r>
    <d v="2023-06-27T07:28:00"/>
    <x v="3"/>
    <s v=""/>
    <x v="6"/>
    <x v="4"/>
    <x v="3"/>
    <s v="6/2023"/>
    <s v="27/6/2023"/>
    <d v="1899-12-30T23:50:00"/>
    <n v="0.99305555555474712"/>
    <d v="1902-07-09T14:28:00"/>
    <n v="921.6027777777781"/>
    <m/>
    <m/>
    <n v="0"/>
    <n v="4431"/>
    <n v="4"/>
    <n v="4.0279720279753075"/>
    <n v="20285"/>
    <n v="2241"/>
    <n v="2"/>
    <n v="2.0139860139876538"/>
    <n v="8937"/>
    <n v="6"/>
    <n v="29222"/>
    <n v="0.25174825174845672"/>
    <n v="6.0419580419629604"/>
    <n v="2205.3146853164803"/>
    <n v="1.3211584889850709"/>
    <n v="31.707803735641701"/>
    <n v="11573.348363509222"/>
  </r>
  <r>
    <d v="2023-06-28T07:35:00"/>
    <x v="3"/>
    <s v=""/>
    <x v="6"/>
    <x v="5"/>
    <x v="4"/>
    <s v="6/2023"/>
    <s v="28/6/2023"/>
    <d v="1899-12-31T00:07:00"/>
    <n v="1.0048611111051287"/>
    <d v="1902-07-10T14:35:00"/>
    <n v="922.60763888888323"/>
    <m/>
    <m/>
    <n v="0"/>
    <n v="4435"/>
    <n v="4"/>
    <n v="3.9806496199269468"/>
    <n v="20289"/>
    <n v="2244"/>
    <n v="3"/>
    <n v="2.9854872149452101"/>
    <n v="8940"/>
    <n v="7"/>
    <n v="29229"/>
    <n v="0.29025570145300655"/>
    <n v="6.9661368348721568"/>
    <n v="2542.6399447283375"/>
    <n v="1.3200356778605409"/>
    <n v="31.680856268652978"/>
    <n v="11563.512538058338"/>
  </r>
  <r>
    <d v="2023-06-29T08:13:00"/>
    <x v="3"/>
    <s v=""/>
    <x v="6"/>
    <x v="6"/>
    <x v="0"/>
    <s v="6/2023"/>
    <s v="29/6/2023"/>
    <d v="1899-12-31T00:38:00"/>
    <n v="1.0263888888948713"/>
    <d v="1902-07-11T15:13:00"/>
    <n v="923.6340277777781"/>
    <m/>
    <m/>
    <n v="0"/>
    <n v="4442"/>
    <n v="7"/>
    <n v="6.8200270635597073"/>
    <n v="20296"/>
    <n v="2246"/>
    <n v="2"/>
    <n v="1.9485791610170593"/>
    <n v="8942"/>
    <n v="9"/>
    <n v="29238"/>
    <n v="0.36535859269069859"/>
    <n v="8.7686062245767662"/>
    <n v="3200.5412719705196"/>
    <n v="1.3189747923547757"/>
    <n v="31.655395016514618"/>
    <n v="11554.219181027835"/>
  </r>
  <r>
    <d v="2023-06-30T06:55:00"/>
    <x v="3"/>
    <s v=""/>
    <x v="6"/>
    <x v="7"/>
    <x v="5"/>
    <s v="6/2023"/>
    <s v="30/6/2023"/>
    <d v="1899-12-30T22:42:00"/>
    <n v="0.94583333333139308"/>
    <d v="1902-07-12T13:55:00"/>
    <n v="924.57986111110949"/>
    <m/>
    <m/>
    <n v="0"/>
    <n v="4447"/>
    <n v="5"/>
    <n v="5.2863436123456458"/>
    <n v="20301"/>
    <n v="2248"/>
    <n v="2"/>
    <n v="2.1145374449382586"/>
    <n v="8944"/>
    <n v="7"/>
    <n v="29245"/>
    <n v="0.308370044053496"/>
    <n v="7.4008810572839048"/>
    <n v="2701.3215859086254"/>
    <n v="1.3179409566657552"/>
    <n v="31.630582959978124"/>
    <n v="11545.162780392015"/>
  </r>
  <r>
    <d v="2023-07-01T07:30:00"/>
    <x v="3"/>
    <s v=""/>
    <x v="7"/>
    <x v="9"/>
    <x v="6"/>
    <s v="7/2023"/>
    <s v="1/7/2023"/>
    <d v="1899-12-31T00:35:00"/>
    <n v="1.0243055555547471"/>
    <d v="1902-07-13T14:30:00"/>
    <n v="925.60416666666424"/>
    <m/>
    <m/>
    <n v="0"/>
    <n v="4451"/>
    <n v="4"/>
    <n v="3.905084745765794"/>
    <n v="20305"/>
    <n v="2250"/>
    <n v="2"/>
    <n v="1.952542372882897"/>
    <n v="8946"/>
    <n v="6"/>
    <n v="29251"/>
    <n v="0.24406779661036213"/>
    <n v="5.8576271186486908"/>
    <n v="2138.0338983067722"/>
    <n v="1.3167525715186061"/>
    <n v="31.602061716446549"/>
    <n v="11534.752526502991"/>
  </r>
  <r>
    <d v="2023-07-03T07:47:00"/>
    <x v="3"/>
    <s v=""/>
    <x v="7"/>
    <x v="11"/>
    <x v="2"/>
    <s v="7/2023"/>
    <s v="3/7/2023"/>
    <d v="1900-01-01T00:17:00"/>
    <n v="2.0118055555576575"/>
    <d v="1902-07-15T14:47:00"/>
    <n v="927.6159722222219"/>
    <m/>
    <m/>
    <n v="0"/>
    <n v="4459"/>
    <n v="8"/>
    <n v="3.9765274421774124"/>
    <n v="20313"/>
    <n v="2255"/>
    <n v="5"/>
    <n v="2.4853296513608827"/>
    <n v="8951"/>
    <n v="13"/>
    <n v="29264"/>
    <n v="0.26924404556409565"/>
    <n v="6.4618570935382955"/>
    <n v="2358.5778391414779"/>
    <n v="1.3144807440219743"/>
    <n v="31.547537856527384"/>
    <n v="11514.851317632496"/>
  </r>
  <r>
    <d v="2023-07-04T07:36:00"/>
    <x v="3"/>
    <s v=""/>
    <x v="7"/>
    <x v="12"/>
    <x v="3"/>
    <s v="7/2023"/>
    <s v="4/7/2023"/>
    <d v="1899-12-30T23:49:00"/>
    <n v="0.99236111110803904"/>
    <d v="1902-07-16T14:36:00"/>
    <n v="928.60833333332994"/>
    <m/>
    <m/>
    <n v="0"/>
    <n v="4464"/>
    <n v="5"/>
    <n v="5.0384884534795589"/>
    <n v="20318"/>
    <n v="2257"/>
    <n v="2"/>
    <n v="2.0153953813918233"/>
    <n v="8953"/>
    <n v="7"/>
    <n v="29271"/>
    <n v="0.29391182645297426"/>
    <n v="7.0538838348713817"/>
    <n v="2574.6675997280545"/>
    <n v="1.3133901088546529"/>
    <n v="31.52136261251167"/>
    <n v="11505.297353566759"/>
  </r>
  <r>
    <d v="2023-07-05T08:52:00"/>
    <x v="3"/>
    <s v=""/>
    <x v="7"/>
    <x v="13"/>
    <x v="4"/>
    <s v="7/2023"/>
    <s v="5/7/2023"/>
    <d v="1899-12-31T01:16:00"/>
    <n v="1.0527777777751908"/>
    <d v="1902-07-17T15:52:00"/>
    <n v="929.66111111110513"/>
    <m/>
    <m/>
    <n v="0"/>
    <n v="4469"/>
    <n v="5"/>
    <n v="4.7493403694048109"/>
    <n v="20323"/>
    <n v="2260"/>
    <n v="3"/>
    <n v="2.8496042216428861"/>
    <n v="8956"/>
    <n v="8"/>
    <n v="29279"/>
    <n v="0.31662269129365406"/>
    <n v="7.5989445910476965"/>
    <n v="2773.6147757324093"/>
    <n v="1.3122613377634706"/>
    <n v="31.494272106323294"/>
    <n v="11495.409318808002"/>
  </r>
  <r>
    <d v="2023-07-06T07:52:00"/>
    <x v="3"/>
    <s v=""/>
    <x v="7"/>
    <x v="14"/>
    <x v="0"/>
    <s v="7/2023"/>
    <s v="6/7/2023"/>
    <d v="1899-12-30T23:00:00"/>
    <n v="0.95833333333575865"/>
    <d v="1902-07-18T14:52:00"/>
    <n v="930.61944444444089"/>
    <m/>
    <m/>
    <n v="0"/>
    <n v="4476"/>
    <n v="7"/>
    <n v="7.3043478260684713"/>
    <n v="20330"/>
    <n v="2262"/>
    <n v="2"/>
    <n v="2.0869565217338488"/>
    <n v="8958"/>
    <n v="9"/>
    <n v="29288"/>
    <n v="0.39130434782509665"/>
    <n v="9.3913043478023202"/>
    <n v="3427.8260869478468"/>
    <n v="1.3113129546329705"/>
    <n v="31.471510911191292"/>
    <n v="11487.101482584821"/>
  </r>
  <r>
    <d v="2023-07-07T08:15:00"/>
    <x v="3"/>
    <s v=""/>
    <x v="7"/>
    <x v="15"/>
    <x v="5"/>
    <s v="7/2023"/>
    <s v="7/7/2023"/>
    <d v="1899-12-31T00:23:00"/>
    <n v="1.015972222223354"/>
    <d v="1902-07-19T15:15:00"/>
    <n v="931.63541666666424"/>
    <m/>
    <m/>
    <n v="0"/>
    <n v="4481"/>
    <n v="5"/>
    <n v="4.9213943950731229"/>
    <n v="20335"/>
    <n v="2265"/>
    <n v="3"/>
    <n v="2.9528366370438737"/>
    <n v="8961"/>
    <n v="8"/>
    <n v="29296"/>
    <n v="0.32809295967154156"/>
    <n v="7.874231032116997"/>
    <n v="2874.094326722704"/>
    <n v="1.3102407281102932"/>
    <n v="31.445777474647041"/>
    <n v="11477.708778246169"/>
  </r>
  <r>
    <d v="2023-07-08T12:24:00"/>
    <x v="3"/>
    <s v=""/>
    <x v="7"/>
    <x v="16"/>
    <x v="6"/>
    <s v="7/2023"/>
    <s v="8/7/2023"/>
    <d v="1899-12-31T04:09:00"/>
    <n v="1.1729166666700621"/>
    <d v="1902-07-20T19:24:00"/>
    <n v="932.8083333333343"/>
    <m/>
    <m/>
    <n v="0"/>
    <n v="4490"/>
    <n v="9"/>
    <n v="7.6731793960701493"/>
    <n v="20344"/>
    <n v="2268"/>
    <n v="3"/>
    <n v="2.5577264653567164"/>
    <n v="8964"/>
    <n v="12"/>
    <n v="29308"/>
    <n v="0.42628774422611942"/>
    <n v="10.230905861426866"/>
    <n v="3734.280639420806"/>
    <n v="1.3091292423416729"/>
    <n v="31.419101816200151"/>
    <n v="11467.972162913054"/>
  </r>
  <r>
    <d v="2023-07-09T09:45:00"/>
    <x v="3"/>
    <s v=""/>
    <x v="7"/>
    <x v="17"/>
    <x v="1"/>
    <s v="7/2023"/>
    <s v="9/7/2023"/>
    <d v="1899-12-30T21:21:00"/>
    <n v="0.88958333332993789"/>
    <d v="1902-07-21T16:45:00"/>
    <n v="933.69791666666424"/>
    <m/>
    <m/>
    <n v="0"/>
    <n v="4496"/>
    <n v="6"/>
    <n v="6.7447306791826529"/>
    <n v="20350"/>
    <n v="2270"/>
    <n v="2"/>
    <n v="2.248243559727551"/>
    <n v="8966"/>
    <n v="8"/>
    <n v="29316"/>
    <n v="0.37470725995459181"/>
    <n v="8.9929742389102039"/>
    <n v="3282.4355972022245"/>
    <n v="1.3082389691526781"/>
    <n v="31.397735259664277"/>
    <n v="11460.173369777462"/>
  </r>
  <r>
    <d v="2023-07-10T07:47:00"/>
    <x v="3"/>
    <s v=""/>
    <x v="7"/>
    <x v="18"/>
    <x v="2"/>
    <s v="7/2023"/>
    <s v="10/7/2023"/>
    <d v="1899-12-30T22:02:00"/>
    <n v="0.9180555555576575"/>
    <d v="1902-07-22T14:47:00"/>
    <n v="934.6159722222219"/>
    <m/>
    <m/>
    <n v="0"/>
    <n v="4499"/>
    <n v="3"/>
    <n v="3.2677760968155138"/>
    <n v="20353"/>
    <n v="2273"/>
    <n v="3"/>
    <n v="3.2677760968155138"/>
    <n v="8969"/>
    <n v="6"/>
    <n v="29322"/>
    <n v="0.27231467473462612"/>
    <n v="6.5355521936310277"/>
    <n v="2385.4765506753251"/>
    <n v="1.3072214003523437"/>
    <n v="31.373313608456247"/>
    <n v="11451.259467086529"/>
  </r>
  <r>
    <d v="2023-07-11T07:22:00"/>
    <x v="3"/>
    <s v=""/>
    <x v="7"/>
    <x v="19"/>
    <x v="3"/>
    <s v="7/2023"/>
    <s v="11/7/2023"/>
    <d v="1899-12-30T23:35:00"/>
    <n v="0.98263888888322981"/>
    <d v="1902-07-23T14:22:00"/>
    <n v="935.59861111110513"/>
    <m/>
    <m/>
    <n v="0"/>
    <n v="4507"/>
    <n v="8"/>
    <n v="8.1413427562306317"/>
    <n v="20361"/>
    <n v="2275"/>
    <n v="2"/>
    <n v="2.0353356890576579"/>
    <n v="8971"/>
    <n v="10"/>
    <n v="29332"/>
    <n v="0.42402826855367876"/>
    <n v="10.176678445288291"/>
    <n v="3714.4876325302262"/>
    <n v="1.3062938017995098"/>
    <n v="31.351051243188238"/>
    <n v="11443.133703763706"/>
  </r>
  <r>
    <d v="2023-07-12T09:05:00"/>
    <x v="3"/>
    <s v=""/>
    <x v="7"/>
    <x v="20"/>
    <x v="4"/>
    <s v="7/2023"/>
    <s v="12/7/2023"/>
    <d v="1899-12-31T01:43:00"/>
    <n v="1.0715277777781012"/>
    <d v="1902-07-24T16:05:00"/>
    <n v="936.67013888888323"/>
    <m/>
    <m/>
    <n v="0"/>
    <n v="4512"/>
    <n v="5"/>
    <n v="4.6662346079052668"/>
    <n v="20366"/>
    <n v="2277"/>
    <n v="2"/>
    <n v="1.8664938431621068"/>
    <n v="8973"/>
    <n v="7"/>
    <n v="29339"/>
    <n v="0.27219701879447389"/>
    <n v="6.5327284510673742"/>
    <n v="2384.4458846395914"/>
    <n v="1.3051108203187345"/>
    <n v="31.322659687649626"/>
    <n v="11432.770785992114"/>
  </r>
  <r>
    <d v="2023-07-13T07:38:00"/>
    <x v="3"/>
    <s v=""/>
    <x v="7"/>
    <x v="21"/>
    <x v="0"/>
    <s v="7/2023"/>
    <s v="13/7/2023"/>
    <d v="1899-12-30T22:33:00"/>
    <n v="0.93958333334012423"/>
    <d v="1902-07-25T14:38:00"/>
    <n v="937.60972222222335"/>
    <m/>
    <m/>
    <n v="0"/>
    <n v="4516"/>
    <n v="4"/>
    <n v="4.2572062083949511"/>
    <n v="20370"/>
    <n v="2279"/>
    <n v="2"/>
    <n v="2.1286031041974756"/>
    <n v="8975"/>
    <n v="6"/>
    <n v="29345"/>
    <n v="0.26607538802468444"/>
    <n v="6.3858093125924267"/>
    <n v="2330.8203990962356"/>
    <n v="1.3040695977804064"/>
    <n v="31.297670346729753"/>
    <n v="11423.649676556359"/>
  </r>
  <r>
    <d v="2023-07-14T07:52:00"/>
    <x v="3"/>
    <s v=""/>
    <x v="7"/>
    <x v="22"/>
    <x v="5"/>
    <s v="7/2023"/>
    <s v="14/7/2023"/>
    <d v="1899-12-31T00:14:00"/>
    <n v="1.0097222222175333"/>
    <d v="1902-07-26T14:52:00"/>
    <n v="938.61944444444089"/>
    <m/>
    <m/>
    <n v="0"/>
    <n v="4522"/>
    <n v="6"/>
    <n v="5.9422283356534544"/>
    <n v="20376"/>
    <n v="2282"/>
    <n v="3"/>
    <n v="2.9711141678267272"/>
    <n v="8978"/>
    <n v="9"/>
    <n v="29354"/>
    <n v="0.3713892709783409"/>
    <n v="8.9133425034801821"/>
    <n v="3253.3700137702663"/>
    <n v="1.3030662645788929"/>
    <n v="31.273590349893432"/>
    <n v="11414.860477711103"/>
  </r>
  <r>
    <d v="2023-07-15T12:04:00"/>
    <x v="3"/>
    <s v=""/>
    <x v="7"/>
    <x v="23"/>
    <x v="6"/>
    <s v="7/2023"/>
    <s v="15/7/2023"/>
    <d v="1899-12-31T04:12:00"/>
    <n v="1.1750000000029104"/>
    <d v="1902-07-27T19:04:00"/>
    <n v="939.7944444444438"/>
    <m/>
    <m/>
    <n v="0"/>
    <n v="4530"/>
    <n v="8"/>
    <n v="6.8085106382810086"/>
    <n v="20384"/>
    <n v="2285"/>
    <n v="3"/>
    <n v="2.553191489355378"/>
    <n v="8981"/>
    <n v="11"/>
    <n v="29365"/>
    <n v="0.39007092198484944"/>
    <n v="9.3617021276363861"/>
    <n v="3417.0212765872811"/>
    <n v="1.30192477078321"/>
    <n v="31.246194498797038"/>
    <n v="11404.86099206092"/>
  </r>
  <r>
    <d v="2023-07-16T08:58:00"/>
    <x v="3"/>
    <s v=""/>
    <x v="7"/>
    <x v="24"/>
    <x v="1"/>
    <s v="7/2023"/>
    <s v="16/7/2023"/>
    <d v="1899-12-30T20:54:00"/>
    <n v="0.87083333333430346"/>
    <d v="1902-07-28T15:58:00"/>
    <n v="940.6652777777781"/>
    <m/>
    <m/>
    <n v="0"/>
    <n v="4534"/>
    <n v="4"/>
    <n v="4.5933014354015818"/>
    <n v="20388"/>
    <n v="2287"/>
    <n v="2"/>
    <n v="2.2966507177007909"/>
    <n v="8983"/>
    <n v="6"/>
    <n v="29371"/>
    <n v="0.28708133971259886"/>
    <n v="6.8899521531023726"/>
    <n v="2514.8325358823658"/>
    <n v="1.3009852660425021"/>
    <n v="31.223646385020047"/>
    <n v="11396.630930532318"/>
  </r>
  <r>
    <d v="2023-07-17T07:46:00"/>
    <x v="3"/>
    <s v=""/>
    <x v="7"/>
    <x v="0"/>
    <x v="2"/>
    <s v="7/2023"/>
    <s v="17/7/2023"/>
    <d v="1899-12-30T22:48:00"/>
    <n v="0.94999999999708962"/>
    <d v="1902-07-29T14:46:00"/>
    <n v="941.61527777777519"/>
    <m/>
    <m/>
    <n v="0"/>
    <n v="4540"/>
    <n v="6"/>
    <n v="6.3157894737035596"/>
    <n v="20394"/>
    <n v="2289"/>
    <n v="2"/>
    <n v="2.1052631579011862"/>
    <n v="8985"/>
    <n v="8"/>
    <n v="29379"/>
    <n v="0.35087719298353109"/>
    <n v="8.4210526316047449"/>
    <n v="3073.6842105357318"/>
    <n v="1.3000266976221453"/>
    <n v="31.200640742931483"/>
    <n v="11388.233871169992"/>
  </r>
  <r>
    <d v="2023-07-18T09:30:00"/>
    <x v="3"/>
    <s v=""/>
    <x v="7"/>
    <x v="25"/>
    <x v="3"/>
    <s v="7/2023"/>
    <s v="18/7/2023"/>
    <d v="1899-12-31T01:44:00"/>
    <n v="1.0722222222248092"/>
    <d v="1902-07-30T16:30:00"/>
    <n v="942.6875"/>
    <m/>
    <m/>
    <n v="0"/>
    <n v="4548"/>
    <n v="8"/>
    <n v="7.4611398963550553"/>
    <n v="20402"/>
    <n v="2292"/>
    <n v="3"/>
    <n v="2.7979274611331455"/>
    <n v="8988"/>
    <n v="11"/>
    <n v="29390"/>
    <n v="0.42746113989534168"/>
    <n v="10.259067357488201"/>
    <n v="3744.5595854831931"/>
    <n v="1.2990342328007249"/>
    <n v="31.176821587217397"/>
    <n v="11379.53987933435"/>
  </r>
  <r>
    <d v="2023-08-02T12:24:00"/>
    <x v="3"/>
    <s v=""/>
    <x v="11"/>
    <x v="10"/>
    <x v="4"/>
    <s v="8/2023"/>
    <s v="2/8/2023"/>
    <d v="1900-01-14T02:54:00"/>
    <n v="15.120833333334303"/>
    <d v="1902-08-14T19:24:00"/>
    <n v="957.8083333333343"/>
    <m/>
    <m/>
    <n v="0"/>
    <n v="4591"/>
    <n v="43"/>
    <n v="2.8437586111874724"/>
    <n v="20445"/>
    <n v="2320"/>
    <n v="28"/>
    <n v="1.8517497933313776"/>
    <n v="9016"/>
    <n v="71"/>
    <n v="29461"/>
    <n v="0.19564618352161875"/>
    <n v="4.6955084045188498"/>
    <n v="1713.8605676493801"/>
    <n v="1.2816151456885063"/>
    <n v="30.758763496524153"/>
    <n v="11226.948676231315"/>
  </r>
  <r>
    <d v="2023-08-03T10:00:00"/>
    <x v="3"/>
    <s v=""/>
    <x v="11"/>
    <x v="11"/>
    <x v="0"/>
    <s v="8/2023"/>
    <s v="3/8/2023"/>
    <d v="1899-12-30T21:36:00"/>
    <n v="0.89999999999417923"/>
    <d v="1902-08-15T17:00:00"/>
    <n v="958.70833333332848"/>
    <m/>
    <m/>
    <n v="0"/>
    <n v="4597"/>
    <n v="6"/>
    <n v="6.6666666667097836"/>
    <n v="20451"/>
    <n v="2323"/>
    <n v="3"/>
    <n v="3.3333333333548918"/>
    <n v="9019"/>
    <n v="9"/>
    <n v="29470"/>
    <n v="0.41666666666936147"/>
    <n v="10.000000000064675"/>
    <n v="3650.0000000236064"/>
    <n v="1.2808031639793189"/>
    <n v="30.739275935503652"/>
    <n v="11219.835716458832"/>
  </r>
  <r>
    <d v="2023-08-04T10:28:00"/>
    <x v="3"/>
    <s v=""/>
    <x v="11"/>
    <x v="12"/>
    <x v="5"/>
    <s v="8/2023"/>
    <s v="4/8/2023"/>
    <d v="1899-12-31T00:28:00"/>
    <n v="1.0194444444496185"/>
    <d v="1902-08-16T17:28:00"/>
    <n v="959.7277777777781"/>
    <m/>
    <m/>
    <n v="0"/>
    <n v="4603"/>
    <n v="6"/>
    <n v="5.8855585830763957"/>
    <n v="20457"/>
    <n v="2325"/>
    <n v="2"/>
    <n v="1.9618528610254653"/>
    <n v="9021"/>
    <n v="8"/>
    <n v="29478"/>
    <n v="0.32697547683757755"/>
    <n v="7.8474114441018612"/>
    <n v="2864.3051770971792"/>
    <n v="1.2797899867439257"/>
    <n v="30.714959681854218"/>
    <n v="11210.96028387679"/>
  </r>
  <r>
    <d v="2023-08-05T11:05:00"/>
    <x v="3"/>
    <s v=""/>
    <x v="11"/>
    <x v="13"/>
    <x v="6"/>
    <s v="8/2023"/>
    <s v="5/8/2023"/>
    <d v="1899-12-31T00:37:00"/>
    <n v="1.0256944444408873"/>
    <d v="1902-08-17T18:05:00"/>
    <n v="960.75347222221899"/>
    <m/>
    <m/>
    <n v="0"/>
    <n v="4611"/>
    <n v="8"/>
    <n v="7.7995937711848011"/>
    <n v="20465"/>
    <n v="2327"/>
    <n v="2"/>
    <n v="1.9498984427962003"/>
    <n v="9023"/>
    <n v="10"/>
    <n v="29488"/>
    <n v="0.40622884224920841"/>
    <n v="9.7494922139810019"/>
    <n v="3558.5646581030655"/>
    <n v="1.2788573782874451"/>
    <n v="30.692577078898683"/>
    <n v="11202.790633798018"/>
  </r>
  <r>
    <d v="2023-08-07T07:51:00"/>
    <x v="3"/>
    <s v=""/>
    <x v="11"/>
    <x v="15"/>
    <x v="2"/>
    <s v="8/2023"/>
    <s v="7/8/2023"/>
    <d v="1899-12-31T20:46:00"/>
    <n v="1.8652777777751908"/>
    <d v="1902-08-19T14:51:00"/>
    <n v="962.61874999999418"/>
    <m/>
    <m/>
    <n v="0"/>
    <n v="4621"/>
    <n v="10"/>
    <n v="5.3611317944973838"/>
    <n v="20475"/>
    <n v="2332"/>
    <n v="5"/>
    <n v="2.6805658972486919"/>
    <n v="9028"/>
    <n v="15"/>
    <n v="29503"/>
    <n v="0.33507073715608648"/>
    <n v="8.0416976917460747"/>
    <n v="2935.2196574873174"/>
    <n v="1.2770285917105542"/>
    <n v="30.648686201053302"/>
    <n v="11186.770463384455"/>
  </r>
  <r>
    <d v="2023-08-08T07:36:00"/>
    <x v="3"/>
    <s v=""/>
    <x v="11"/>
    <x v="16"/>
    <x v="3"/>
    <s v="8/2023"/>
    <s v="8/8/2023"/>
    <d v="1899-12-30T23:45:00"/>
    <n v="0.98958333333575865"/>
    <d v="1902-08-20T14:36:00"/>
    <n v="963.60833333332994"/>
    <m/>
    <m/>
    <n v="0"/>
    <n v="4627"/>
    <n v="6"/>
    <n v="6.0631578947219822"/>
    <n v="20481"/>
    <n v="2334"/>
    <n v="2"/>
    <n v="2.0210526315739941"/>
    <n v="9030"/>
    <n v="8"/>
    <n v="29511"/>
    <n v="0.33684210526233233"/>
    <n v="8.0842105262959763"/>
    <n v="2950.7368420980315"/>
    <n v="1.2760630615827706"/>
    <n v="30.625513477986495"/>
    <n v="11178.31241946507"/>
  </r>
  <r>
    <d v="2023-08-09T08:19:00"/>
    <x v="3"/>
    <s v=""/>
    <x v="11"/>
    <x v="17"/>
    <x v="4"/>
    <s v="8/2023"/>
    <s v="9/8/2023"/>
    <d v="1899-12-31T00:43:00"/>
    <n v="1.0298611111138598"/>
    <d v="1902-08-21T15:19:00"/>
    <n v="964.6381944444438"/>
    <m/>
    <m/>
    <n v="0"/>
    <n v="4633"/>
    <n v="6"/>
    <n v="5.8260283209554551"/>
    <n v="20487"/>
    <n v="2336"/>
    <n v="2"/>
    <n v="1.9420094403184851"/>
    <n v="9032"/>
    <n v="8"/>
    <n v="29519"/>
    <n v="0.32366824005308081"/>
    <n v="7.7680377612739404"/>
    <n v="2835.3337828649883"/>
    <n v="1.2750462716663351"/>
    <n v="30.601110519992044"/>
    <n v="11169.405339797097"/>
  </r>
  <r>
    <d v="2023-08-10T07:36:00"/>
    <x v="3"/>
    <s v=""/>
    <x v="11"/>
    <x v="18"/>
    <x v="0"/>
    <s v="8/2023"/>
    <s v="10/8/2023"/>
    <d v="1899-12-30T23:17:00"/>
    <n v="0.97013888888614019"/>
    <d v="1902-08-22T14:36:00"/>
    <n v="965.60833333332994"/>
    <m/>
    <m/>
    <n v="0"/>
    <n v="4639"/>
    <n v="6"/>
    <n v="6.1846814602895348"/>
    <n v="20493"/>
    <n v="2339"/>
    <n v="3"/>
    <n v="3.0923407301447674"/>
    <n v="9035"/>
    <n v="9"/>
    <n v="29528"/>
    <n v="0.38654259126809593"/>
    <n v="9.2770221904343018"/>
    <n v="3386.11309950852"/>
    <n v="1.2741535991991277"/>
    <n v="30.579686380779062"/>
    <n v="11161.585528984358"/>
  </r>
  <r>
    <d v="2023-08-11T13:30:00"/>
    <x v="3"/>
    <s v=""/>
    <x v="11"/>
    <x v="19"/>
    <x v="5"/>
    <s v="8/2023"/>
    <s v="11/8/2023"/>
    <d v="1899-12-31T05:54:00"/>
    <n v="1.2458333333343035"/>
    <d v="1902-08-23T20:30:00"/>
    <n v="966.85416666666424"/>
    <m/>
    <m/>
    <n v="0"/>
    <n v="4647"/>
    <n v="8"/>
    <n v="6.4214046822692472"/>
    <n v="20501"/>
    <n v="2341"/>
    <n v="2"/>
    <n v="1.6053511705673118"/>
    <n v="9037"/>
    <n v="10"/>
    <n v="29538"/>
    <n v="0.3344481605348566"/>
    <n v="8.0267558528365583"/>
    <n v="2929.7658862853436"/>
    <n v="1.2729427481738489"/>
    <n v="30.550625956172372"/>
    <n v="11150.978474002915"/>
  </r>
  <r>
    <d v="2023-08-12T08:23:00"/>
    <x v="3"/>
    <s v=""/>
    <x v="11"/>
    <x v="20"/>
    <x v="6"/>
    <s v="8/2023"/>
    <s v="12/8/2023"/>
    <d v="1899-12-30T18:53:00"/>
    <n v="0.78680555555911269"/>
    <d v="1902-08-24T15:23:00"/>
    <n v="967.64097222222335"/>
    <m/>
    <m/>
    <n v="0"/>
    <n v="4651"/>
    <n v="4"/>
    <n v="5.0838481906213229"/>
    <n v="20505"/>
    <n v="2343"/>
    <n v="2"/>
    <n v="2.5419240953106614"/>
    <n v="9039"/>
    <n v="6"/>
    <n v="29544"/>
    <n v="0.31774051191383268"/>
    <n v="7.6257722859319843"/>
    <n v="2783.4068843651744"/>
    <n v="1.2721660567689304"/>
    <n v="30.531985362454328"/>
    <n v="11144.174657295829"/>
  </r>
  <r>
    <d v="2023-08-13T09:06:00"/>
    <x v="3"/>
    <s v=""/>
    <x v="11"/>
    <x v="21"/>
    <x v="1"/>
    <s v="8/2023"/>
    <s v="13/8/2023"/>
    <d v="1899-12-31T00:43:00"/>
    <n v="1.0298611111065838"/>
    <d v="1902-08-25T16:06:00"/>
    <n v="968.67083333332994"/>
    <m/>
    <m/>
    <n v="0"/>
    <n v="4659"/>
    <n v="8"/>
    <n v="7.768037761328821"/>
    <n v="20513"/>
    <n v="2346"/>
    <n v="3"/>
    <n v="2.913014160498308"/>
    <n v="9042"/>
    <n v="11"/>
    <n v="29555"/>
    <n v="0.44504383007613041"/>
    <n v="10.681051921827128"/>
    <n v="3898.5839514669019"/>
    <n v="1.2712866857936822"/>
    <n v="30.510880459048373"/>
    <n v="11136.471367552656"/>
  </r>
  <r>
    <d v="2023-08-14T09:20:00"/>
    <x v="3"/>
    <s v=""/>
    <x v="11"/>
    <x v="22"/>
    <x v="2"/>
    <s v="8/2023"/>
    <s v="14/8/2023"/>
    <d v="1899-12-31T00:14:00"/>
    <n v="1.0097222222248092"/>
    <d v="1902-08-26T16:20:00"/>
    <n v="969.68055555555475"/>
    <m/>
    <m/>
    <n v="0"/>
    <n v="4663"/>
    <n v="4"/>
    <n v="3.9614855570737566"/>
    <n v="20517"/>
    <n v="2348"/>
    <n v="2"/>
    <n v="1.9807427785368783"/>
    <n v="9044"/>
    <n v="6"/>
    <n v="29561"/>
    <n v="0.24759284731710979"/>
    <n v="5.9422283356106353"/>
    <n v="2168.9133424978818"/>
    <n v="1.2702207198819782"/>
    <n v="30.485297277167476"/>
    <n v="11127.133506166128"/>
  </r>
  <r>
    <d v="2023-08-15T08:14:00"/>
    <x v="3"/>
    <s v=""/>
    <x v="11"/>
    <x v="23"/>
    <x v="3"/>
    <s v="8/2023"/>
    <s v="15/8/2023"/>
    <d v="1899-12-30T22:54:00"/>
    <n v="0.95416666666278616"/>
    <d v="1902-08-27T15:14:00"/>
    <n v="970.63472222221753"/>
    <m/>
    <m/>
    <n v="0"/>
    <n v="4669"/>
    <n v="6"/>
    <n v="6.2882096070124733"/>
    <n v="20523"/>
    <n v="2350"/>
    <n v="2"/>
    <n v="2.0960698690041579"/>
    <n v="9046"/>
    <n v="8"/>
    <n v="29569"/>
    <n v="0.3493449781673596"/>
    <n v="8.3842794760166317"/>
    <n v="3060.2620087460705"/>
    <n v="1.2693154679712793"/>
    <n v="30.463571231310702"/>
    <n v="11119.203499428406"/>
  </r>
  <r>
    <d v="2023-08-16T07:44:00"/>
    <x v="3"/>
    <s v=""/>
    <x v="11"/>
    <x v="24"/>
    <x v="4"/>
    <s v="8/2023"/>
    <s v="16/8/2023"/>
    <d v="1899-12-30T23:30:00"/>
    <n v="0.97916666667151731"/>
    <d v="1902-08-28T14:44:00"/>
    <n v="971.61388888888905"/>
    <m/>
    <m/>
    <n v="0"/>
    <n v="4672"/>
    <n v="3"/>
    <n v="3.0638297872188649"/>
    <n v="20526"/>
    <n v="2353"/>
    <n v="3"/>
    <n v="3.0638297872188649"/>
    <n v="9049"/>
    <n v="6"/>
    <n v="29575"/>
    <n v="0.25531914893490543"/>
    <n v="6.1276595744377298"/>
    <n v="2236.5957446697712"/>
    <n v="1.2682935894173781"/>
    <n v="30.439046146017073"/>
    <n v="11110.251843296232"/>
  </r>
  <r>
    <d v="2023-08-17T07:44:00"/>
    <x v="3"/>
    <s v=""/>
    <x v="11"/>
    <x v="0"/>
    <x v="0"/>
    <s v="8/2023"/>
    <s v="17/8/2023"/>
    <d v="1899-12-31T00:00:00"/>
    <n v="1"/>
    <d v="1902-08-29T14:44:00"/>
    <n v="972.61388888888905"/>
    <m/>
    <m/>
    <n v="0"/>
    <n v="4681"/>
    <n v="9"/>
    <n v="9"/>
    <n v="20535"/>
    <n v="2355"/>
    <n v="2"/>
    <n v="2"/>
    <n v="9051"/>
    <n v="11"/>
    <n v="29586"/>
    <n v="0.45833333333333331"/>
    <n v="11"/>
    <n v="4015"/>
    <n v="1.2674608229256212"/>
    <n v="30.41905975021491"/>
    <n v="11102.956808828441"/>
  </r>
  <r>
    <d v="2023-08-18T08:26:00"/>
    <x v="3"/>
    <s v=""/>
    <x v="11"/>
    <x v="25"/>
    <x v="5"/>
    <s v="8/2023"/>
    <s v="18/8/2023"/>
    <d v="1899-12-31T00:42:00"/>
    <n v="1.0291666666671517"/>
    <d v="1902-08-30T15:26:00"/>
    <n v="973.6430555555562"/>
    <m/>
    <m/>
    <n v="0"/>
    <n v="4685"/>
    <n v="4"/>
    <n v="3.8866396761115283"/>
    <n v="20539"/>
    <n v="2357"/>
    <n v="2"/>
    <n v="1.9433198380557641"/>
    <n v="9053"/>
    <n v="6"/>
    <n v="29592"/>
    <n v="0.24291497975697052"/>
    <n v="5.8299595141672924"/>
    <n v="2127.9352226710616"/>
    <n v="1.2663778506553984"/>
    <n v="30.393068415729562"/>
    <n v="11093.46997174129"/>
  </r>
  <r>
    <d v="2023-08-19T09:26:00"/>
    <x v="3"/>
    <s v=""/>
    <x v="11"/>
    <x v="26"/>
    <x v="6"/>
    <s v="8/2023"/>
    <s v="19/8/2023"/>
    <d v="1899-12-31T01:00:00"/>
    <n v="1.0416666666642413"/>
    <d v="1902-08-31T16:26:00"/>
    <n v="974.68472222222044"/>
    <m/>
    <m/>
    <n v="0"/>
    <n v="4691"/>
    <n v="6"/>
    <n v="5.7600000000134113"/>
    <n v="20545"/>
    <n v="2360"/>
    <n v="3"/>
    <n v="2.8800000000067056"/>
    <n v="9056"/>
    <n v="9"/>
    <n v="29601"/>
    <n v="0.36000000000083821"/>
    <n v="8.640000000020116"/>
    <n v="3153.6000000073423"/>
    <n v="1.2654091850213696"/>
    <n v="30.369820440512871"/>
    <n v="11084.984460787198"/>
  </r>
  <r>
    <d v="2023-08-20T08:57:00"/>
    <x v="3"/>
    <s v=""/>
    <x v="11"/>
    <x v="27"/>
    <x v="1"/>
    <s v="8/2023"/>
    <s v="20/8/2023"/>
    <d v="1899-12-30T23:31:00"/>
    <n v="0.97986111111094942"/>
    <d v="1902-09-01T15:57:00"/>
    <n v="975.66458333333139"/>
    <m/>
    <m/>
    <n v="0"/>
    <n v="4698"/>
    <n v="7"/>
    <n v="7.1438695960323626"/>
    <n v="20552"/>
    <n v="2362"/>
    <n v="2"/>
    <n v="2.0411055988663893"/>
    <n v="9058"/>
    <n v="9"/>
    <n v="29610"/>
    <n v="0.382707299787448"/>
    <n v="9.184975194898751"/>
    <n v="3352.515946138044"/>
    <n v="1.2645226864594457"/>
    <n v="30.348544475026699"/>
    <n v="11077.218733384745"/>
  </r>
  <r>
    <d v="2023-08-21T07:52:00"/>
    <x v="3"/>
    <s v=""/>
    <x v="11"/>
    <x v="28"/>
    <x v="2"/>
    <s v="8/2023"/>
    <s v="21/8/2023"/>
    <d v="1899-12-30T22:55:00"/>
    <n v="0.95486111110949423"/>
    <d v="1902-09-02T14:52:00"/>
    <n v="976.61944444444089"/>
    <m/>
    <m/>
    <n v="0"/>
    <n v="4701"/>
    <n v="3"/>
    <n v="3.1418181818235018"/>
    <n v="20555"/>
    <n v="2365"/>
    <n v="3"/>
    <n v="3.1418181818235018"/>
    <n v="9061"/>
    <n v="6"/>
    <n v="29616"/>
    <n v="0.26181818181862515"/>
    <n v="6.2836363636470036"/>
    <n v="2293.5272727311562"/>
    <n v="1.2635423214433052"/>
    <n v="30.325015714639328"/>
    <n v="11068.630735843355"/>
  </r>
  <r>
    <d v="2023-08-22T07:37:00"/>
    <x v="3"/>
    <s v=""/>
    <x v="11"/>
    <x v="29"/>
    <x v="3"/>
    <s v="8/2023"/>
    <s v="22/8/2023"/>
    <d v="1899-12-30T23:45:00"/>
    <n v="0.98958333333575865"/>
    <d v="1902-09-03T14:37:00"/>
    <n v="977.60902777777665"/>
    <m/>
    <m/>
    <n v="0"/>
    <n v="4706"/>
    <n v="5"/>
    <n v="5.0526315789349852"/>
    <n v="20560"/>
    <n v="2367"/>
    <n v="2"/>
    <n v="2.0210526315739941"/>
    <n v="9063"/>
    <n v="7"/>
    <n v="29623"/>
    <n v="0.29473684210454082"/>
    <n v="7.0736842105089792"/>
    <n v="2581.8947368357776"/>
    <n v="1.2625616494892244"/>
    <n v="30.301479587741387"/>
    <n v="11060.040049525605"/>
  </r>
  <r>
    <d v="2023-08-23T08:24:00"/>
    <x v="3"/>
    <s v=""/>
    <x v="11"/>
    <x v="30"/>
    <x v="4"/>
    <s v="8/2023"/>
    <s v="23/8/2023"/>
    <d v="1899-12-31T00:47:00"/>
    <n v="1.0326388888861402"/>
    <d v="1902-09-04T15:24:00"/>
    <n v="978.64166666666279"/>
    <m/>
    <m/>
    <n v="0"/>
    <n v="4711"/>
    <n v="5"/>
    <n v="4.8419636852852488"/>
    <n v="20565"/>
    <n v="2370"/>
    <n v="3"/>
    <n v="2.9051782111711493"/>
    <n v="9066"/>
    <n v="8"/>
    <n v="29631"/>
    <n v="0.32279757901901657"/>
    <n v="7.7471418964563981"/>
    <n v="2827.7067922065853"/>
    <n v="1.2615700332944522"/>
    <n v="30.277680799066854"/>
    <n v="11051.353491659402"/>
  </r>
  <r>
    <d v="2023-08-24T08:10:00"/>
    <x v="3"/>
    <s v=""/>
    <x v="11"/>
    <x v="1"/>
    <x v="0"/>
    <s v="8/2023"/>
    <s v="24/8/2023"/>
    <d v="1899-12-30T23:46:00"/>
    <n v="0.99027777778246673"/>
    <d v="1902-09-05T15:10:00"/>
    <n v="979.63194444444525"/>
    <m/>
    <m/>
    <n v="0"/>
    <n v="4718"/>
    <n v="7"/>
    <n v="7.0687237026313268"/>
    <n v="20572"/>
    <n v="2373"/>
    <n v="3"/>
    <n v="3.0294530154134254"/>
    <n v="9069"/>
    <n v="10"/>
    <n v="29641"/>
    <n v="0.42075736325186464"/>
    <n v="10.098176718044751"/>
    <n v="3685.8345020863344"/>
    <n v="1.2607200833646413"/>
    <n v="30.257282000751392"/>
    <n v="11043.907930274258"/>
  </r>
  <r>
    <d v="2023-08-25T08:09:00"/>
    <x v="3"/>
    <s v=""/>
    <x v="11"/>
    <x v="2"/>
    <x v="5"/>
    <s v="8/2023"/>
    <s v="25/8/2023"/>
    <d v="1899-12-30T23:59:00"/>
    <n v="0.99930555555329192"/>
    <d v="1902-09-06T15:09:00"/>
    <n v="980.63124999999854"/>
    <m/>
    <m/>
    <n v="0"/>
    <n v="4723"/>
    <n v="5"/>
    <n v="5.0034746351746415"/>
    <n v="20577"/>
    <n v="2375"/>
    <n v="2"/>
    <n v="2.0013898540698567"/>
    <n v="9071"/>
    <n v="7"/>
    <n v="29648"/>
    <n v="0.29186935371852074"/>
    <n v="7.0048644892444987"/>
    <n v="2556.7755385742421"/>
    <n v="1.2597327826676288"/>
    <n v="30.233586784023093"/>
    <n v="11035.259176168429"/>
  </r>
  <r>
    <d v="2023-08-26T07:50:00"/>
    <x v="3"/>
    <s v=""/>
    <x v="11"/>
    <x v="3"/>
    <x v="6"/>
    <s v="8/2023"/>
    <s v="26/8/2023"/>
    <d v="1899-12-30T23:41:00"/>
    <n v="0.98680555555620231"/>
    <d v="1902-09-07T14:50:00"/>
    <n v="981.61805555555475"/>
    <m/>
    <m/>
    <n v="0"/>
    <n v="4728"/>
    <n v="5"/>
    <n v="5.0668543279347507"/>
    <n v="20582"/>
    <n v="2378"/>
    <n v="3"/>
    <n v="3.0401125967608507"/>
    <n v="9074"/>
    <n v="8"/>
    <n v="29656"/>
    <n v="0.33779028852898341"/>
    <n v="8.1069669246956018"/>
    <n v="2959.0429275138945"/>
    <n v="1.2588059680374675"/>
    <n v="30.211343232899221"/>
    <n v="11027.140280008216"/>
  </r>
  <r>
    <d v="2023-08-28T07:45:00"/>
    <x v="3"/>
    <s v=""/>
    <x v="11"/>
    <x v="5"/>
    <x v="2"/>
    <s v="8/2023"/>
    <s v="28/8/2023"/>
    <d v="1899-12-31T23:55:00"/>
    <n v="1.9965277777737356"/>
    <d v="1902-09-09T14:45:00"/>
    <n v="983.61458333332848"/>
    <m/>
    <m/>
    <n v="0"/>
    <n v="4735"/>
    <n v="7"/>
    <n v="3.5060869565288377"/>
    <n v="20589"/>
    <n v="2382"/>
    <n v="4"/>
    <n v="2.0034782608736217"/>
    <n v="9078"/>
    <n v="11"/>
    <n v="29667"/>
    <n v="0.22956521739176913"/>
    <n v="5.509565217402459"/>
    <n v="2010.9913043518975"/>
    <n v="1.2567168288731039"/>
    <n v="30.161203892954493"/>
    <n v="11008.839420928391"/>
  </r>
  <r>
    <d v="2023-08-29T07:38:00"/>
    <x v="3"/>
    <s v=""/>
    <x v="11"/>
    <x v="6"/>
    <x v="3"/>
    <s v="8/2023"/>
    <s v="29/8/2023"/>
    <d v="1899-12-30T23:53:00"/>
    <n v="0.99513888889487134"/>
    <d v="1902-09-10T14:38:00"/>
    <n v="984.60972222222335"/>
    <m/>
    <m/>
    <n v="0"/>
    <n v="4740"/>
    <n v="5"/>
    <n v="5.0244242846871705"/>
    <n v="20594"/>
    <n v="2384"/>
    <n v="2"/>
    <n v="2.0097697138748685"/>
    <n v="9080"/>
    <n v="7"/>
    <n v="29674"/>
    <n v="0.29309141660675164"/>
    <n v="7.0341939985620394"/>
    <n v="2567.4808094751443"/>
    <n v="1.2557428986950541"/>
    <n v="30.137829568681294"/>
    <n v="11000.307792568672"/>
  </r>
  <r>
    <d v="2023-08-30T09:32:00"/>
    <x v="3"/>
    <s v=""/>
    <x v="11"/>
    <x v="7"/>
    <x v="4"/>
    <s v="8/2023"/>
    <s v="30/8/2023"/>
    <d v="1899-12-31T01:54:00"/>
    <n v="1.0791666666627862"/>
    <d v="1902-09-11T16:32:00"/>
    <n v="985.68888888888614"/>
    <m/>
    <m/>
    <n v="0"/>
    <n v="4746"/>
    <n v="6"/>
    <n v="5.5598455598655523"/>
    <n v="20600"/>
    <n v="2386"/>
    <n v="2"/>
    <n v="1.8532818532885174"/>
    <n v="9082"/>
    <n v="8"/>
    <n v="29682"/>
    <n v="0.30888030888141954"/>
    <n v="7.4131274131540694"/>
    <n v="2705.7915058012354"/>
    <n v="1.2547062404184361"/>
    <n v="30.112949770042469"/>
    <n v="10991.2266660655"/>
  </r>
  <r>
    <d v="2023-08-31T08:45:00"/>
    <x v="3"/>
    <s v=""/>
    <x v="11"/>
    <x v="8"/>
    <x v="0"/>
    <s v="8/2023"/>
    <s v="31/8/2023"/>
    <d v="1899-12-30T23:13:00"/>
    <n v="0.96736111111385981"/>
    <d v="1902-09-12T15:45:00"/>
    <n v="986.65625"/>
    <m/>
    <m/>
    <n v="0"/>
    <n v="4751"/>
    <n v="5"/>
    <n v="5.1687006460728941"/>
    <n v="20605"/>
    <n v="2388"/>
    <n v="2"/>
    <n v="2.0674802584291578"/>
    <n v="9084"/>
    <n v="7"/>
    <n v="29689"/>
    <n v="0.30150753768758548"/>
    <n v="7.236180904502052"/>
    <n v="2641.2060301432489"/>
    <n v="1.2537716825557703"/>
    <n v="30.090520381338486"/>
    <n v="10983.039939188548"/>
  </r>
  <r>
    <d v="2023-09-01T07:48:00"/>
    <x v="3"/>
    <s v=""/>
    <x v="8"/>
    <x v="9"/>
    <x v="5"/>
    <s v="9/2023"/>
    <s v="1/9/2023"/>
    <d v="1899-12-30T23:03:00"/>
    <n v="0.96041666666133096"/>
    <d v="1902-09-13T14:48:00"/>
    <n v="987.61666666666133"/>
    <m/>
    <m/>
    <n v="0"/>
    <n v="4755"/>
    <n v="4"/>
    <n v="4.164859002192336"/>
    <n v="20609"/>
    <n v="2390"/>
    <n v="2"/>
    <n v="2.082429501096168"/>
    <n v="9086"/>
    <n v="6"/>
    <n v="29695"/>
    <n v="0.260303687637021"/>
    <n v="6.2472885032885035"/>
    <n v="2280.2603037003037"/>
    <n v="1.2528055757125809"/>
    <n v="30.06733381710194"/>
    <n v="10974.576843242208"/>
  </r>
  <r>
    <d v="2023-09-02T10:33:00"/>
    <x v="3"/>
    <s v=""/>
    <x v="8"/>
    <x v="10"/>
    <x v="6"/>
    <s v="9/2023"/>
    <s v="2/9/2023"/>
    <d v="1899-12-31T02:45:00"/>
    <n v="1.1145833333357587"/>
    <d v="1902-09-14T17:33:00"/>
    <n v="988.73124999999709"/>
    <m/>
    <m/>
    <n v="0"/>
    <n v="4766"/>
    <n v="11"/>
    <n v="9.8691588784831978"/>
    <n v="20620"/>
    <n v="2395"/>
    <n v="5"/>
    <n v="4.4859813084014535"/>
    <n v="9091"/>
    <n v="16"/>
    <n v="29711"/>
    <n v="0.59813084112019377"/>
    <n v="14.35514018688465"/>
    <n v="5239.626168212897"/>
    <n v="1.2520675697600707"/>
    <n v="30.049621674241699"/>
    <n v="10968.11191109822"/>
  </r>
  <r>
    <d v="2023-09-03T10:34:00"/>
    <x v="3"/>
    <s v=""/>
    <x v="8"/>
    <x v="11"/>
    <x v="1"/>
    <s v="9/2023"/>
    <s v="3/9/2023"/>
    <d v="1899-12-31T00:01:00"/>
    <n v="1.0006944444467081"/>
    <d v="1902-09-15T17:34:00"/>
    <n v="989.7319444444438"/>
    <m/>
    <m/>
    <n v="0"/>
    <n v="4772"/>
    <n v="6"/>
    <n v="5.9958362248302954"/>
    <n v="20626"/>
    <n v="2398"/>
    <n v="3"/>
    <n v="2.9979181124151477"/>
    <n v="9094"/>
    <n v="9"/>
    <n v="29720"/>
    <n v="0.37473976405189346"/>
    <n v="8.9937543372454432"/>
    <n v="3282.7203330945867"/>
    <n v="1.2511805244686069"/>
    <n v="30.028332587246567"/>
    <n v="10960.341394344998"/>
  </r>
  <r>
    <d v="2023-09-04T10:37:00"/>
    <x v="3"/>
    <s v=""/>
    <x v="8"/>
    <x v="12"/>
    <x v="2"/>
    <s v="9/2023"/>
    <s v="4/9/2023"/>
    <d v="1899-12-31T00:03:00"/>
    <n v="1.0020833333328483"/>
    <d v="1902-09-16T17:37:00"/>
    <n v="990.73402777777665"/>
    <m/>
    <m/>
    <n v="0"/>
    <n v="4778"/>
    <n v="6"/>
    <n v="5.987525987528886"/>
    <n v="20632"/>
    <n v="2400"/>
    <n v="2"/>
    <n v="1.9958419958429618"/>
    <n v="9096"/>
    <n v="8"/>
    <n v="29728"/>
    <n v="0.33264033264049364"/>
    <n v="7.9833679833718474"/>
    <n v="2913.9293139307242"/>
    <n v="1.2502514619842064"/>
    <n v="30.006035087620955"/>
    <n v="10952.202806981648"/>
  </r>
  <r>
    <d v="2023-09-05T07:37:00"/>
    <x v="3"/>
    <s v=""/>
    <x v="8"/>
    <x v="13"/>
    <x v="3"/>
    <s v="9/2023"/>
    <s v="5/9/2023"/>
    <d v="1899-12-30T21:00:00"/>
    <n v="0.875"/>
    <d v="1902-09-17T14:37:00"/>
    <n v="991.60902777777665"/>
    <m/>
    <m/>
    <n v="0"/>
    <n v="4783"/>
    <n v="5"/>
    <n v="5.7142857142857144"/>
    <n v="20637"/>
    <n v="2402"/>
    <n v="2"/>
    <n v="2.2857142857142856"/>
    <n v="9098"/>
    <n v="7"/>
    <n v="29735"/>
    <n v="0.33333333333333331"/>
    <n v="8"/>
    <n v="2920"/>
    <n v="1.2494423695494921"/>
    <n v="29.986616869187809"/>
    <n v="10945.115157253551"/>
  </r>
  <r>
    <d v="2023-09-06T08:30:00"/>
    <x v="3"/>
    <s v=""/>
    <x v="8"/>
    <x v="14"/>
    <x v="4"/>
    <s v="9/2023"/>
    <s v="6/9/2023"/>
    <d v="1899-12-31T00:53:00"/>
    <n v="1.0368055555518367"/>
    <d v="1902-09-18T15:30:00"/>
    <n v="992.64583333332848"/>
    <m/>
    <m/>
    <n v="0"/>
    <n v="4787"/>
    <n v="4"/>
    <n v="3.8580040187680242"/>
    <n v="20641"/>
    <n v="2404"/>
    <n v="2"/>
    <n v="1.9290020093840121"/>
    <n v="9100"/>
    <n v="6"/>
    <n v="29741"/>
    <n v="0.24112525117300151"/>
    <n v="5.7870060281520361"/>
    <n v="2112.2572002754932"/>
    <n v="1.2483891955422228"/>
    <n v="29.961340693013348"/>
    <n v="10935.889352949873"/>
  </r>
  <r>
    <d v="2023-09-07T08:09:00"/>
    <x v="3"/>
    <s v=""/>
    <x v="8"/>
    <x v="15"/>
    <x v="0"/>
    <s v="9/2023"/>
    <s v="7/9/2023"/>
    <d v="1899-12-30T23:39:00"/>
    <n v="0.98541666667006211"/>
    <d v="1902-09-19T15:09:00"/>
    <n v="993.63124999999854"/>
    <m/>
    <m/>
    <n v="0"/>
    <n v="4795"/>
    <n v="8"/>
    <n v="8.1183932346443317"/>
    <n v="20649"/>
    <n v="2407"/>
    <n v="3"/>
    <n v="3.0443974629916242"/>
    <n v="9103"/>
    <n v="11"/>
    <n v="29752"/>
    <n v="0.46511627906816477"/>
    <n v="11.162790697635955"/>
    <n v="4074.4186046371237"/>
    <n v="1.2476123981272413"/>
    <n v="29.942697555053794"/>
    <n v="10929.084607594636"/>
  </r>
  <r>
    <d v="2023-09-08T07:24:00"/>
    <x v="3"/>
    <s v=""/>
    <x v="8"/>
    <x v="16"/>
    <x v="5"/>
    <s v="9/2023"/>
    <s v="8/9/2023"/>
    <d v="1899-12-30T23:15:00"/>
    <n v="0.96875"/>
    <d v="1902-09-20T14:24:00"/>
    <n v="994.59999999999854"/>
    <m/>
    <m/>
    <n v="0"/>
    <n v="4799"/>
    <n v="4"/>
    <n v="4.129032258064516"/>
    <n v="20653"/>
    <n v="2409"/>
    <n v="2"/>
    <n v="2.064516129032258"/>
    <n v="9105"/>
    <n v="6"/>
    <n v="29758"/>
    <n v="0.25806451612903225"/>
    <n v="6.193548387096774"/>
    <n v="2260.6451612903224"/>
    <n v="1.2466485689389388"/>
    <n v="29.91956565453453"/>
    <n v="10920.641463905104"/>
  </r>
  <r>
    <d v="2023-09-09T07:40:00"/>
    <x v="3"/>
    <s v=""/>
    <x v="8"/>
    <x v="17"/>
    <x v="6"/>
    <s v="9/2023"/>
    <s v="9/9/2023"/>
    <d v="1899-12-31T00:16:00"/>
    <n v="1.0111111111109494"/>
    <d v="1902-09-21T14:40:00"/>
    <n v="995.61111111110949"/>
    <m/>
    <m/>
    <n v="0"/>
    <n v="4804"/>
    <n v="5"/>
    <n v="4.9450549450557357"/>
    <n v="20658"/>
    <n v="2411"/>
    <n v="2"/>
    <n v="1.9780219780222943"/>
    <n v="9107"/>
    <n v="7"/>
    <n v="29765"/>
    <n v="0.28846153846158457"/>
    <n v="6.92307692307803"/>
    <n v="2526.9230769234809"/>
    <n v="1.2456754645388113"/>
    <n v="29.896211148931471"/>
    <n v="10912.117069359987"/>
  </r>
  <r>
    <d v="2023-09-10T07:28:00"/>
    <x v="3"/>
    <s v=""/>
    <x v="8"/>
    <x v="18"/>
    <x v="1"/>
    <s v="9/2023"/>
    <s v="10/9/2023"/>
    <d v="1899-12-30T23:48:00"/>
    <n v="0.99166666666860692"/>
    <d v="1902-09-22T14:28:00"/>
    <n v="996.6027777777781"/>
    <m/>
    <m/>
    <n v="0"/>
    <n v="4811"/>
    <n v="7"/>
    <n v="7.0588235293979533"/>
    <n v="20665"/>
    <n v="2413"/>
    <n v="2"/>
    <n v="2.0168067226851298"/>
    <n v="9109"/>
    <n v="9"/>
    <n v="29774"/>
    <n v="0.37815126050346182"/>
    <n v="9.0756302520830836"/>
    <n v="3312.6050420103256"/>
    <n v="1.2448122371277976"/>
    <n v="29.875493691067142"/>
    <n v="10904.555197239506"/>
  </r>
  <r>
    <d v="2023-09-11T07:35:00"/>
    <x v="3"/>
    <s v=""/>
    <x v="8"/>
    <x v="19"/>
    <x v="2"/>
    <s v="9/2023"/>
    <s v="11/9/2023"/>
    <d v="1899-12-31T00:07:00"/>
    <n v="1.0048611111051287"/>
    <d v="1902-09-23T14:35:00"/>
    <n v="997.60763888888323"/>
    <m/>
    <m/>
    <n v="0"/>
    <n v="4819"/>
    <n v="8"/>
    <n v="7.9612992398538935"/>
    <n v="20673"/>
    <n v="2415"/>
    <n v="2"/>
    <n v="1.9903248099634734"/>
    <n v="9111"/>
    <n v="10"/>
    <n v="29784"/>
    <n v="0.41465100207572364"/>
    <n v="9.9516240498173669"/>
    <n v="3632.3427781833389"/>
    <n v="1.2439760399010202"/>
    <n v="29.855424957624486"/>
    <n v="10897.230109532937"/>
  </r>
  <r>
    <d v="2023-09-12T07:30:00"/>
    <x v="3"/>
    <s v=""/>
    <x v="8"/>
    <x v="20"/>
    <x v="3"/>
    <s v="9/2023"/>
    <s v="12/9/2023"/>
    <d v="1899-12-30T23:55:00"/>
    <n v="0.99652777778101154"/>
    <d v="1902-09-24T14:30:00"/>
    <n v="998.60416666666424"/>
    <m/>
    <m/>
    <n v="0"/>
    <n v="4824"/>
    <n v="5"/>
    <n v="5.0174216027711749"/>
    <n v="20678"/>
    <n v="2418"/>
    <n v="3"/>
    <n v="3.0104529616627049"/>
    <n v="9114"/>
    <n v="8"/>
    <n v="29792"/>
    <n v="0.33449477351807833"/>
    <n v="8.0278745644338798"/>
    <n v="2930.1742160183662"/>
    <n v="1.243068449711058"/>
    <n v="29.833642793065394"/>
    <n v="10889.279619468869"/>
  </r>
  <r>
    <d v="2023-09-13T07:51:00"/>
    <x v="3"/>
    <s v=""/>
    <x v="8"/>
    <x v="21"/>
    <x v="4"/>
    <s v="9/2023"/>
    <s v="13/9/2023"/>
    <d v="1899-12-31T00:21:00"/>
    <n v="1.0145833333299379"/>
    <d v="1902-09-25T14:51:00"/>
    <n v="999.61874999999418"/>
    <m/>
    <m/>
    <n v="0"/>
    <n v="4828"/>
    <n v="4"/>
    <n v="3.94250513348342"/>
    <n v="20682"/>
    <n v="2420"/>
    <n v="2"/>
    <n v="1.97125256674171"/>
    <n v="9116"/>
    <n v="6"/>
    <n v="29798"/>
    <n v="0.24640657084271375"/>
    <n v="5.9137577002251298"/>
    <n v="2158.5215605821722"/>
    <n v="1.2420568675140804"/>
    <n v="29.809364820337926"/>
    <n v="10880.418159423343"/>
  </r>
  <r>
    <d v="2023-09-15T08:11:00"/>
    <x v="3"/>
    <s v=""/>
    <x v="8"/>
    <x v="23"/>
    <x v="5"/>
    <s v="9/2023"/>
    <s v="15/9/2023"/>
    <d v="1900-01-01T00:20:00"/>
    <n v="2.0138888888905058"/>
    <d v="1902-09-27T15:11:00"/>
    <n v="1001.6326388888847"/>
    <m/>
    <m/>
    <n v="0"/>
    <n v="4839"/>
    <n v="11"/>
    <n v="5.4620689655128558"/>
    <n v="20693"/>
    <n v="2424"/>
    <n v="4"/>
    <n v="1.9862068965501294"/>
    <n v="9120"/>
    <n v="15"/>
    <n v="29813"/>
    <n v="0.31034482758595772"/>
    <n v="7.4482758620629852"/>
    <n v="2718.6206896529898"/>
    <n v="1.240183561421601"/>
    <n v="29.764405474118423"/>
    <n v="10864.007998053225"/>
  </r>
  <r>
    <d v="2023-09-16T06:56:00"/>
    <x v="3"/>
    <s v=""/>
    <x v="8"/>
    <x v="24"/>
    <x v="6"/>
    <s v="9/2023"/>
    <s v="16/9/2023"/>
    <d v="1899-12-30T22:45:00"/>
    <n v="0.94791666667151731"/>
    <d v="1902-09-28T13:56:00"/>
    <n v="1002.5805555555562"/>
    <m/>
    <m/>
    <n v="0"/>
    <n v="4845"/>
    <n v="6"/>
    <n v="6.3296703296379402"/>
    <n v="20699"/>
    <n v="2427"/>
    <n v="3"/>
    <n v="3.1648351648189701"/>
    <n v="9123"/>
    <n v="9"/>
    <n v="29822"/>
    <n v="0.39560439560237126"/>
    <n v="9.4945054944569094"/>
    <n v="3465.4945054767718"/>
    <n v="1.2393850314050678"/>
    <n v="29.745240753721628"/>
    <n v="10857.012875108394"/>
  </r>
  <r>
    <d v="2023-09-17T10:49:00"/>
    <x v="3"/>
    <s v=""/>
    <x v="8"/>
    <x v="0"/>
    <x v="1"/>
    <s v="9/2023"/>
    <s v="17/9/2023"/>
    <d v="1899-12-31T03:53:00"/>
    <n v="1.1618055555518367"/>
    <d v="1902-09-29T17:49:00"/>
    <n v="1003.742361111108"/>
    <m/>
    <m/>
    <n v="0"/>
    <n v="4851"/>
    <n v="6"/>
    <n v="5.1643753735969256"/>
    <n v="20705"/>
    <n v="2429"/>
    <n v="2"/>
    <n v="1.7214584578656418"/>
    <n v="9125"/>
    <n v="8"/>
    <n v="29830"/>
    <n v="0.28690974297760696"/>
    <n v="6.8858338314625671"/>
    <n v="2513.3293484838368"/>
    <n v="1.2382825661465566"/>
    <n v="29.718781587517363"/>
    <n v="10847.355279443836"/>
  </r>
  <r>
    <d v="2023-09-18T07:24:00"/>
    <x v="3"/>
    <s v=""/>
    <x v="8"/>
    <x v="25"/>
    <x v="2"/>
    <s v="9/2023"/>
    <s v="18/9/2023"/>
    <d v="1899-12-30T20:35:00"/>
    <n v="0.85763888889050577"/>
    <d v="1902-09-30T14:24:00"/>
    <n v="1004.5999999999985"/>
    <m/>
    <m/>
    <n v="0"/>
    <n v="4857"/>
    <n v="6"/>
    <n v="6.9959514169908594"/>
    <n v="20711"/>
    <n v="2432"/>
    <n v="3"/>
    <n v="3.4979757084954297"/>
    <n v="9128"/>
    <n v="9"/>
    <n v="29839"/>
    <n v="0.43724696356192871"/>
    <n v="10.493927125486289"/>
    <n v="3830.2834008024956"/>
    <n v="1.2375987125887602"/>
    <n v="29.702369102130245"/>
    <n v="10841.36472227754"/>
  </r>
  <r>
    <d v="2023-09-19T07:29:00"/>
    <x v="3"/>
    <s v=""/>
    <x v="8"/>
    <x v="26"/>
    <x v="3"/>
    <s v="9/2023"/>
    <s v="19/9/2023"/>
    <d v="1899-12-31T00:05:00"/>
    <n v="1.0034722222189885"/>
    <d v="1902-10-01T14:29:00"/>
    <n v="1005.6034722222175"/>
    <m/>
    <m/>
    <n v="0"/>
    <n v="4862"/>
    <n v="5"/>
    <n v="4.9826989619537736"/>
    <n v="20716"/>
    <n v="2434"/>
    <n v="2"/>
    <n v="1.9930795847815093"/>
    <n v="9130"/>
    <n v="7"/>
    <n v="29846"/>
    <n v="0.29065743944730343"/>
    <n v="6.9757785467352829"/>
    <n v="2546.1591695583784"/>
    <n v="1.2366537782384737"/>
    <n v="29.679690677723368"/>
    <n v="10833.087097369029"/>
  </r>
  <r>
    <d v="2023-09-20T08:40:00"/>
    <x v="3"/>
    <s v=""/>
    <x v="8"/>
    <x v="27"/>
    <x v="4"/>
    <s v="9/2023"/>
    <s v="20/9/2023"/>
    <d v="1899-12-31T01:11:00"/>
    <n v="1.0493055555562023"/>
    <d v="1902-10-02T15:40:00"/>
    <n v="1006.6527777777737"/>
    <m/>
    <m/>
    <n v="0"/>
    <n v="4866"/>
    <n v="4"/>
    <n v="3.812045003306717"/>
    <n v="20720"/>
    <n v="2436"/>
    <n v="2"/>
    <n v="1.9060225016533585"/>
    <n v="9132"/>
    <n v="6"/>
    <n v="29852"/>
    <n v="0.23825281270666981"/>
    <n v="5.718067504960076"/>
    <n v="2087.0946393104277"/>
    <n v="1.2356130741318225"/>
    <n v="29.654713779163739"/>
    <n v="10823.970529394765"/>
  </r>
  <r>
    <d v="2023-09-21T08:00:00"/>
    <x v="3"/>
    <s v=""/>
    <x v="8"/>
    <x v="28"/>
    <x v="0"/>
    <s v="9/2023"/>
    <s v="21/9/2023"/>
    <d v="1899-12-30T23:20:00"/>
    <n v="0.97222222222626442"/>
    <d v="1902-10-03T15:00:00"/>
    <n v="1007.625"/>
    <m/>
    <m/>
    <n v="0"/>
    <n v="4872"/>
    <n v="6"/>
    <n v="6.1714285714029122"/>
    <n v="20726"/>
    <n v="2438"/>
    <n v="2"/>
    <n v="2.0571428571343042"/>
    <n v="9134"/>
    <n v="8"/>
    <n v="29860"/>
    <n v="0.34285714285571739"/>
    <n v="8.2285714285372169"/>
    <n v="3003.4285714160842"/>
    <n v="1.2347516850680229"/>
    <n v="29.634040441632553"/>
    <n v="10816.424761195882"/>
  </r>
  <r>
    <d v="2023-09-22T08:30:00"/>
    <x v="3"/>
    <s v=""/>
    <x v="8"/>
    <x v="29"/>
    <x v="5"/>
    <s v="9/2023"/>
    <s v="22/9/2023"/>
    <d v="1899-12-31T00:30:00"/>
    <n v="1.0208333333284827"/>
    <d v="1902-10-04T15:30:00"/>
    <n v="1008.6458333333285"/>
    <m/>
    <m/>
    <n v="0"/>
    <n v="4877"/>
    <n v="5"/>
    <n v="4.8979591836967424"/>
    <n v="20731"/>
    <n v="2440"/>
    <n v="2"/>
    <n v="1.9591836734786972"/>
    <n v="9136"/>
    <n v="7"/>
    <n v="29867"/>
    <n v="0.28571428571564333"/>
    <n v="6.8571428571754396"/>
    <n v="2502.8571428690357"/>
    <n v="1.2337911804192976"/>
    <n v="29.61098833006314"/>
    <n v="10808.010740473046"/>
  </r>
  <r>
    <d v="2023-09-23T07:31:00"/>
    <x v="3"/>
    <s v=""/>
    <x v="8"/>
    <x v="30"/>
    <x v="6"/>
    <s v="9/2023"/>
    <s v="23/9/2023"/>
    <d v="1899-12-30T23:01:00"/>
    <n v="0.95902777778246673"/>
    <d v="1902-10-05T14:31:00"/>
    <n v="1009.6048611111109"/>
    <m/>
    <m/>
    <n v="0"/>
    <n v="4884"/>
    <n v="7"/>
    <n v="7.2990586531142041"/>
    <n v="20738"/>
    <n v="2442"/>
    <n v="2"/>
    <n v="2.0854453294612014"/>
    <n v="9138"/>
    <n v="9"/>
    <n v="29876"/>
    <n v="0.39102099927397521"/>
    <n v="9.3845039825754046"/>
    <n v="3425.3439536400228"/>
    <n v="1.2329906295848694"/>
    <n v="29.591775110036867"/>
    <n v="10800.997915163456"/>
  </r>
  <r>
    <d v="2023-09-24T08:36:00"/>
    <x v="3"/>
    <s v=""/>
    <x v="8"/>
    <x v="1"/>
    <x v="1"/>
    <s v="9/2023"/>
    <s v="24/9/2023"/>
    <d v="1899-12-31T01:05:00"/>
    <n v="1.0451388888832298"/>
    <d v="1902-10-06T15:36:00"/>
    <n v="1010.6499999999942"/>
    <m/>
    <m/>
    <n v="0"/>
    <n v="4889"/>
    <n v="5"/>
    <n v="4.7840531561720834"/>
    <n v="20743"/>
    <n v="2445"/>
    <n v="3"/>
    <n v="2.87043189370325"/>
    <n v="9141"/>
    <n v="8"/>
    <n v="29884"/>
    <n v="0.31893687707813889"/>
    <n v="7.6544850498753334"/>
    <n v="2793.8870432044969"/>
    <n v="1.2320453833341649"/>
    <n v="29.56908920001996"/>
    <n v="10792.717558007285"/>
  </r>
  <r>
    <d v="2023-09-25T07:38:00"/>
    <x v="3"/>
    <s v=""/>
    <x v="8"/>
    <x v="2"/>
    <x v="2"/>
    <s v="9/2023"/>
    <s v="25/9/2023"/>
    <d v="1899-12-30T23:02:00"/>
    <n v="0.9597222222291748"/>
    <d v="1902-10-07T14:38:00"/>
    <n v="1011.6097222222234"/>
    <m/>
    <m/>
    <n v="0"/>
    <n v="4897"/>
    <n v="8"/>
    <n v="8.335745296611103"/>
    <n v="20751"/>
    <n v="2447"/>
    <n v="2"/>
    <n v="2.0839363241527757"/>
    <n v="9143"/>
    <n v="10"/>
    <n v="29894"/>
    <n v="0.43415340086516163"/>
    <n v="10.41968162076388"/>
    <n v="3803.183791578816"/>
    <n v="1.2312884168383984"/>
    <n v="29.55092200412156"/>
    <n v="10786.08653150437"/>
  </r>
  <r>
    <d v="2023-09-26T07:27:00"/>
    <x v="3"/>
    <s v=""/>
    <x v="8"/>
    <x v="3"/>
    <x v="3"/>
    <s v="9/2023"/>
    <s v="26/9/2023"/>
    <d v="1899-12-30T23:49:00"/>
    <n v="0.99236111110803904"/>
    <d v="1902-10-08T14:27:00"/>
    <n v="1012.6020833333314"/>
    <m/>
    <m/>
    <n v="0"/>
    <n v="4901"/>
    <n v="4"/>
    <n v="4.0307907627836466"/>
    <n v="20755"/>
    <n v="2449"/>
    <n v="2"/>
    <n v="2.0153953813918233"/>
    <n v="9145"/>
    <n v="6"/>
    <n v="29900"/>
    <n v="0.25192442267397791"/>
    <n v="6.0461861441754703"/>
    <n v="2206.8579426240467"/>
    <n v="1.230328629418024"/>
    <n v="29.527887106032576"/>
    <n v="10777.678793701891"/>
  </r>
  <r>
    <d v="2023-09-27T08:55:00"/>
    <x v="3"/>
    <s v=""/>
    <x v="8"/>
    <x v="4"/>
    <x v="4"/>
    <s v="9/2023"/>
    <s v="27/9/2023"/>
    <d v="1899-12-31T01:28:00"/>
    <n v="1.0611111111138598"/>
    <d v="1902-10-09T15:55:00"/>
    <n v="1013.6631944444453"/>
    <m/>
    <m/>
    <n v="0"/>
    <n v="4906"/>
    <n v="5"/>
    <n v="4.712041884804548"/>
    <n v="20760"/>
    <n v="2451"/>
    <n v="2"/>
    <n v="1.8848167539218192"/>
    <n v="9147"/>
    <n v="7"/>
    <n v="29907"/>
    <n v="0.27486910994693198"/>
    <n v="6.596858638726367"/>
    <n v="2407.8534031351242"/>
    <n v="1.229328446400739"/>
    <n v="29.503882713617735"/>
    <n v="10768.917190470473"/>
  </r>
  <r>
    <d v="2023-09-28T09:17:00"/>
    <x v="3"/>
    <s v=""/>
    <x v="8"/>
    <x v="5"/>
    <x v="0"/>
    <s v="9/2023"/>
    <s v="28/9/2023"/>
    <d v="1899-12-31T00:22:00"/>
    <n v="1.015277777776646"/>
    <d v="1902-10-10T16:17:00"/>
    <n v="1014.6784722222219"/>
    <m/>
    <m/>
    <n v="0"/>
    <n v="4913"/>
    <n v="7"/>
    <n v="6.894664842688945"/>
    <n v="20767"/>
    <n v="2453"/>
    <n v="2"/>
    <n v="1.9699042407682699"/>
    <n v="9149"/>
    <n v="9"/>
    <n v="29916"/>
    <n v="0.3693570451440506"/>
    <n v="8.8645690834572139"/>
    <n v="3235.5677154618829"/>
    <n v="1.2284679670694811"/>
    <n v="29.483231209667551"/>
    <n v="10761.379391528657"/>
  </r>
  <r>
    <d v="2023-09-29T08:15:00"/>
    <x v="3"/>
    <s v=""/>
    <x v="8"/>
    <x v="6"/>
    <x v="5"/>
    <s v="9/2023"/>
    <s v="29/9/2023"/>
    <d v="1899-12-30T22:58:00"/>
    <n v="0.9569444444423425"/>
    <d v="1902-10-11T15:15:00"/>
    <n v="1015.6354166666642"/>
    <m/>
    <m/>
    <n v="0"/>
    <n v="4918"/>
    <n v="5"/>
    <n v="5.2249637155412296"/>
    <n v="20772"/>
    <n v="2456"/>
    <n v="3"/>
    <n v="3.1349782293247381"/>
    <n v="9152"/>
    <n v="8"/>
    <n v="29924"/>
    <n v="0.34833091436941532"/>
    <n v="8.3599419448659678"/>
    <n v="3051.3788098760783"/>
    <n v="1.2276386908852246"/>
    <n v="29.463328581245392"/>
    <n v="10754.114932154567"/>
  </r>
  <r>
    <d v="2023-09-30T06:59:00"/>
    <x v="3"/>
    <s v=""/>
    <x v="8"/>
    <x v="7"/>
    <x v="6"/>
    <s v="9/2023"/>
    <s v="30/9/2023"/>
    <d v="1899-12-30T22:44:00"/>
    <n v="0.94722222222480923"/>
    <d v="1902-10-12T13:59:00"/>
    <n v="1016.5826388888891"/>
    <m/>
    <m/>
    <n v="0"/>
    <n v="4924"/>
    <n v="6"/>
    <n v="6.3343108504225825"/>
    <n v="20778"/>
    <n v="2458"/>
    <n v="2"/>
    <n v="2.111436950140861"/>
    <n v="9154"/>
    <n v="8"/>
    <n v="29932"/>
    <n v="0.35190615835681016"/>
    <n v="8.4457478005634439"/>
    <n v="3082.6979472056569"/>
    <n v="1.2268227087074817"/>
    <n v="29.443745008979562"/>
    <n v="10746.966928277539"/>
  </r>
  <r>
    <d v="2023-10-01T09:03:00"/>
    <x v="3"/>
    <s v=""/>
    <x v="9"/>
    <x v="9"/>
    <x v="1"/>
    <s v="10/2023"/>
    <s v="1/10/2023"/>
    <d v="1899-12-31T02:04:00"/>
    <n v="1.086111111108039"/>
    <d v="1902-10-13T16:03:00"/>
    <n v="1017.6687499999971"/>
    <m/>
    <m/>
    <n v="0"/>
    <n v="4929"/>
    <n v="5"/>
    <n v="4.6035805626728674"/>
    <n v="20783"/>
    <n v="2460"/>
    <n v="2"/>
    <n v="1.8414322250691471"/>
    <n v="9156"/>
    <n v="7"/>
    <n v="29939"/>
    <n v="0.26854219948925062"/>
    <n v="6.4450127877420149"/>
    <n v="2352.4296675258356"/>
    <n v="1.2257999799378108"/>
    <n v="29.419199518507458"/>
    <n v="10738.007824255223"/>
  </r>
  <r>
    <d v="2023-10-02T07:34:00"/>
    <x v="3"/>
    <s v=""/>
    <x v="9"/>
    <x v="10"/>
    <x v="2"/>
    <s v="10/2023"/>
    <s v="2/10/2023"/>
    <d v="1899-12-30T22:31:00"/>
    <n v="0.93819444444670808"/>
    <d v="1902-10-14T14:34:00"/>
    <n v="1018.6069444444438"/>
    <m/>
    <m/>
    <n v="0"/>
    <n v="4936"/>
    <n v="7"/>
    <n v="7.4611398963550553"/>
    <n v="20790"/>
    <n v="2462"/>
    <n v="2"/>
    <n v="2.1317542561014444"/>
    <n v="9158"/>
    <n v="9"/>
    <n v="29948"/>
    <n v="0.3997039230190208"/>
    <n v="9.5928941524565001"/>
    <n v="3501.4063656466224"/>
    <n v="1.2250390988782345"/>
    <n v="29.400938373077629"/>
    <n v="10731.342506173334"/>
  </r>
  <r>
    <d v="2023-10-03T16:54:00"/>
    <x v="3"/>
    <s v=""/>
    <x v="9"/>
    <x v="11"/>
    <x v="3"/>
    <s v="10/2023"/>
    <s v="3/10/2023"/>
    <d v="1899-12-31T09:20:00"/>
    <n v="1.3888888888905058"/>
    <d v="1902-10-15T23:54:00"/>
    <n v="1019.9958333333343"/>
    <m/>
    <m/>
    <n v="0"/>
    <n v="4943"/>
    <n v="7"/>
    <n v="5.0399999999941327"/>
    <n v="20797"/>
    <n v="2465"/>
    <n v="3"/>
    <n v="2.1599999999974853"/>
    <n v="9161"/>
    <n v="10"/>
    <n v="29958"/>
    <n v="0.29999999999965077"/>
    <n v="7.1999999999916184"/>
    <n v="2627.9999999969409"/>
    <n v="1.2237795089032215"/>
    <n v="29.370708213677315"/>
    <n v="10720.308497992221"/>
  </r>
  <r>
    <d v="2023-10-04T08:36:00"/>
    <x v="3"/>
    <s v=""/>
    <x v="9"/>
    <x v="12"/>
    <x v="4"/>
    <s v="10/2023"/>
    <s v="4/10/2023"/>
    <d v="1899-12-30T15:42:00"/>
    <n v="0.65416666665987577"/>
    <d v="1902-10-16T15:36:00"/>
    <n v="1020.6499999999942"/>
    <m/>
    <m/>
    <n v="0"/>
    <n v="4947"/>
    <n v="4"/>
    <n v="6.1146496815921383"/>
    <n v="20801"/>
    <n v="2467"/>
    <n v="2"/>
    <n v="3.0573248407960691"/>
    <n v="9163"/>
    <n v="6"/>
    <n v="29964"/>
    <n v="0.38216560509950864"/>
    <n v="9.1719745223882079"/>
    <n v="3347.770700671696"/>
    <n v="1.2232400920981796"/>
    <n v="29.357762210356313"/>
    <n v="10715.583206780055"/>
  </r>
  <r>
    <d v="2023-10-05T07:29:00"/>
    <x v="3"/>
    <s v=""/>
    <x v="9"/>
    <x v="13"/>
    <x v="0"/>
    <s v="10/2023"/>
    <s v="5/10/2023"/>
    <d v="1899-12-30T22:53:00"/>
    <n v="0.95347222222335404"/>
    <d v="1902-10-17T14:29:00"/>
    <n v="1021.6034722222175"/>
    <m/>
    <m/>
    <n v="0"/>
    <n v="4953"/>
    <n v="6"/>
    <n v="6.2927895120100104"/>
    <n v="20807"/>
    <n v="2469"/>
    <n v="2"/>
    <n v="2.0975965040033366"/>
    <n v="9165"/>
    <n v="8"/>
    <n v="29972"/>
    <n v="0.34959941733388944"/>
    <n v="8.3903860160133465"/>
    <n v="3062.4908958448714"/>
    <n v="1.2224247149599441"/>
    <n v="29.338193159038656"/>
    <n v="10708.440503049109"/>
  </r>
  <r>
    <d v="2023-10-06T07:53:00"/>
    <x v="3"/>
    <s v=""/>
    <x v="9"/>
    <x v="14"/>
    <x v="5"/>
    <s v="10/2023"/>
    <s v="6/10/2023"/>
    <d v="1899-12-31T00:24:00"/>
    <n v="1.0166666666700621"/>
    <d v="1902-10-18T14:53:00"/>
    <n v="1022.6201388888876"/>
    <m/>
    <m/>
    <n v="0"/>
    <n v="4958"/>
    <n v="5"/>
    <n v="4.9180327868688209"/>
    <n v="20812"/>
    <n v="2471"/>
    <n v="2"/>
    <n v="1.9672131147475282"/>
    <n v="9167"/>
    <n v="7"/>
    <n v="29979"/>
    <n v="0.28688524590068121"/>
    <n v="6.885245901616349"/>
    <n v="2513.1147540899674"/>
    <n v="1.2214946219983678"/>
    <n v="29.315870927960823"/>
    <n v="10700.292888705701"/>
  </r>
  <r>
    <d v="2023-10-07T06:58:00"/>
    <x v="3"/>
    <s v=""/>
    <x v="9"/>
    <x v="15"/>
    <x v="6"/>
    <s v="10/2023"/>
    <s v="7/10/2023"/>
    <d v="1899-12-30T23:05:00"/>
    <n v="0.96180555555474712"/>
    <d v="1902-10-19T13:58:00"/>
    <n v="1023.5819444444423"/>
    <m/>
    <m/>
    <n v="0"/>
    <n v="4963"/>
    <n v="5"/>
    <n v="5.1985559566830704"/>
    <n v="20817"/>
    <n v="2474"/>
    <n v="3"/>
    <n v="3.119133574009842"/>
    <n v="9170"/>
    <n v="8"/>
    <n v="29987"/>
    <n v="0.34657039711220466"/>
    <n v="8.3176895306929115"/>
    <n v="3035.9566787029125"/>
    <n v="1.2206725022015579"/>
    <n v="29.296140052837387"/>
    <n v="10693.091119285646"/>
  </r>
  <r>
    <d v="2023-10-08T07:48:00"/>
    <x v="3"/>
    <s v=""/>
    <x v="9"/>
    <x v="16"/>
    <x v="1"/>
    <s v="10/2023"/>
    <s v="8/10/2023"/>
    <d v="1899-12-31T00:50:00"/>
    <n v="1.0347222222189885"/>
    <d v="1902-10-20T14:48:00"/>
    <n v="1024.6166666666613"/>
    <m/>
    <m/>
    <n v="0"/>
    <n v="4970"/>
    <n v="7"/>
    <n v="6.7651006711620818"/>
    <n v="20824"/>
    <n v="2476"/>
    <n v="2"/>
    <n v="1.9328859060463093"/>
    <n v="9172"/>
    <n v="9"/>
    <n v="29996"/>
    <n v="0.36241610738368296"/>
    <n v="8.6979865772083915"/>
    <n v="3174.7651006810629"/>
    <n v="1.2198057810238039"/>
    <n v="29.275338744571293"/>
    <n v="10685.498641768521"/>
  </r>
  <r>
    <d v="2023-10-09T07:43:00"/>
    <x v="3"/>
    <s v=""/>
    <x v="9"/>
    <x v="17"/>
    <x v="2"/>
    <s v="10/2023"/>
    <s v="9/10/2023"/>
    <d v="1899-12-30T23:55:00"/>
    <n v="0.99652777778101154"/>
    <d v="1902-10-21T14:43:00"/>
    <n v="1025.6131944444423"/>
    <m/>
    <m/>
    <n v="0"/>
    <n v="4977"/>
    <n v="7"/>
    <n v="7.0243902438796448"/>
    <n v="20831"/>
    <n v="2478"/>
    <n v="2"/>
    <n v="2.00696864110847"/>
    <n v="9174"/>
    <n v="9"/>
    <n v="30005"/>
    <n v="0.37630662020783812"/>
    <n v="9.0313588849881139"/>
    <n v="3296.4459930206617"/>
    <n v="1.2189862026985236"/>
    <n v="29.255668864764566"/>
    <n v="10678.319135639067"/>
  </r>
  <r>
    <d v="2023-10-10T07:42:00"/>
    <x v="3"/>
    <s v=""/>
    <x v="9"/>
    <x v="18"/>
    <x v="3"/>
    <s v="10/2023"/>
    <s v="10/10/2023"/>
    <d v="1899-12-30T23:59:00"/>
    <n v="0.99930555555329192"/>
    <d v="1902-10-22T14:42:00"/>
    <n v="1026.6124999999956"/>
    <m/>
    <m/>
    <n v="0"/>
    <n v="4982"/>
    <n v="5"/>
    <n v="5.0034746351746415"/>
    <n v="20836"/>
    <n v="2480"/>
    <n v="2"/>
    <n v="2.0013898540698567"/>
    <n v="9176"/>
    <n v="7"/>
    <n v="30012"/>
    <n v="0.29186935371852074"/>
    <n v="7.0048644892444987"/>
    <n v="2556.7755385742421"/>
    <n v="1.2180837463015552"/>
    <n v="29.234009911237326"/>
    <n v="10670.413617601624"/>
  </r>
  <r>
    <d v="2023-10-11T08:01:00"/>
    <x v="3"/>
    <s v=""/>
    <x v="9"/>
    <x v="19"/>
    <x v="4"/>
    <s v="10/2023"/>
    <s v="11/10/2023"/>
    <d v="1899-12-31T00:19:00"/>
    <n v="1.0131944444437977"/>
    <d v="1902-10-23T15:01:00"/>
    <n v="1027.6256944444394"/>
    <m/>
    <m/>
    <n v="0"/>
    <n v="4987"/>
    <n v="5"/>
    <n v="4.9348869088448222"/>
    <n v="20841"/>
    <n v="2482"/>
    <n v="2"/>
    <n v="1.9739547635379291"/>
    <n v="9178"/>
    <n v="7"/>
    <n v="30019"/>
    <n v="0.28786840301594796"/>
    <n v="6.908841672382751"/>
    <n v="2521.7272104197041"/>
    <n v="1.2171665942460463"/>
    <n v="29.211998261905112"/>
    <n v="10662.379365595367"/>
  </r>
  <r>
    <d v="2023-10-12T07:36:00"/>
    <x v="3"/>
    <s v=""/>
    <x v="9"/>
    <x v="20"/>
    <x v="0"/>
    <s v="10/2023"/>
    <s v="12/10/2023"/>
    <d v="1899-12-30T23:35:00"/>
    <n v="0.98263888889050577"/>
    <d v="1902-10-24T14:36:00"/>
    <n v="1028.6083333333299"/>
    <m/>
    <m/>
    <n v="0"/>
    <n v="4993"/>
    <n v="6"/>
    <n v="6.106007067127762"/>
    <n v="20847"/>
    <n v="2484"/>
    <n v="2"/>
    <n v="2.0353356890425873"/>
    <n v="9180"/>
    <n v="8"/>
    <n v="30027"/>
    <n v="0.3392226148404312"/>
    <n v="8.1413427561703493"/>
    <n v="2971.5901060021774"/>
    <n v="1.2163278863837101"/>
    <n v="29.191869273209043"/>
    <n v="10655.032284721301"/>
  </r>
  <r>
    <d v="2023-10-13T08:32:00"/>
    <x v="3"/>
    <s v=""/>
    <x v="9"/>
    <x v="21"/>
    <x v="5"/>
    <s v="10/2023"/>
    <s v="13/10/2023"/>
    <d v="1899-12-31T00:56:00"/>
    <n v="1.038888888891961"/>
    <d v="1902-10-25T15:32:00"/>
    <n v="1029.6472222222219"/>
    <m/>
    <m/>
    <n v="0"/>
    <n v="4999"/>
    <n v="6"/>
    <n v="5.7754010695016387"/>
    <n v="20853"/>
    <n v="2486"/>
    <n v="2"/>
    <n v="1.9251336898338793"/>
    <n v="9182"/>
    <n v="8"/>
    <n v="30035"/>
    <n v="0.32085561497231324"/>
    <n v="7.7005347593355173"/>
    <n v="2810.6951871574638"/>
    <n v="1.2154243767417647"/>
    <n v="29.170185041802352"/>
    <n v="10647.117540257859"/>
  </r>
  <r>
    <d v="2023-10-14T10:01:00"/>
    <x v="3"/>
    <s v=""/>
    <x v="9"/>
    <x v="22"/>
    <x v="6"/>
    <s v="10/2023"/>
    <s v="14/10/2023"/>
    <d v="1899-12-31T01:29:00"/>
    <n v="1.0618055555532919"/>
    <d v="1902-10-26T17:01:00"/>
    <n v="1030.7090277777752"/>
    <m/>
    <m/>
    <n v="0"/>
    <n v="5003"/>
    <n v="4"/>
    <n v="3.7671680837228774"/>
    <n v="20857"/>
    <n v="2489"/>
    <n v="3"/>
    <n v="2.825376062792158"/>
    <n v="9185"/>
    <n v="7"/>
    <n v="30042"/>
    <n v="0.27468933943812646"/>
    <n v="6.5925441465150358"/>
    <n v="2406.2786134779881"/>
    <n v="1.2144552596951563"/>
    <n v="29.14692623268375"/>
    <n v="10638.628074929569"/>
  </r>
  <r>
    <d v="2023-10-15T08:02:00"/>
    <x v="3"/>
    <s v=""/>
    <x v="9"/>
    <x v="23"/>
    <x v="1"/>
    <s v="10/2023"/>
    <s v="15/10/2023"/>
    <d v="1899-12-30T22:01:00"/>
    <n v="0.91736111111094942"/>
    <d v="1902-10-27T15:02:00"/>
    <n v="1031.6263888888861"/>
    <m/>
    <m/>
    <n v="0"/>
    <n v="5009"/>
    <n v="6"/>
    <n v="6.5404996215000173"/>
    <n v="20863"/>
    <n v="2491"/>
    <n v="2"/>
    <n v="2.1801665405000059"/>
    <n v="9187"/>
    <n v="8"/>
    <n v="30050"/>
    <n v="0.36336109008333428"/>
    <n v="8.7206661620000236"/>
    <n v="3183.0431491300087"/>
    <n v="1.2136984346454054"/>
    <n v="29.128762431489729"/>
    <n v="10631.99828749375"/>
  </r>
  <r>
    <d v="2023-10-16T07:38:00"/>
    <x v="3"/>
    <s v=""/>
    <x v="9"/>
    <x v="24"/>
    <x v="2"/>
    <s v="10/2023"/>
    <s v="16/10/2023"/>
    <d v="1899-12-30T23:36:00"/>
    <n v="0.98333333333721384"/>
    <d v="1902-10-28T14:38:00"/>
    <n v="1032.6097222222234"/>
    <m/>
    <m/>
    <n v="0"/>
    <n v="5013"/>
    <n v="4"/>
    <n v="4.0677966101534393"/>
    <n v="20867"/>
    <n v="2493"/>
    <n v="2"/>
    <n v="2.0338983050767196"/>
    <n v="9189"/>
    <n v="6"/>
    <n v="30056"/>
    <n v="0.25423728813458996"/>
    <n v="6.1016949152301585"/>
    <n v="2227.1186440590077"/>
    <n v="1.2127847592198286"/>
    <n v="29.106834221275889"/>
    <n v="10623.994490765699"/>
  </r>
  <r>
    <d v="2023-10-17T07:24:00"/>
    <x v="3"/>
    <s v=""/>
    <x v="9"/>
    <x v="0"/>
    <x v="3"/>
    <s v="10/2023"/>
    <s v="17/10/2023"/>
    <d v="1899-12-30T23:46:00"/>
    <n v="0.99027777777519077"/>
    <d v="1902-10-29T14:24:00"/>
    <n v="1033.5999999999985"/>
    <m/>
    <m/>
    <n v="0"/>
    <n v="5026"/>
    <n v="13"/>
    <n v="13.127629733554631"/>
    <n v="20880"/>
    <n v="2509"/>
    <n v="16"/>
    <n v="16.157082748990316"/>
    <n v="9205"/>
    <n v="29"/>
    <n v="30085"/>
    <n v="1.2201963534393727"/>
    <n v="29.284712482544947"/>
    <n v="10688.920056128905"/>
    <n v="1.2127918601651204"/>
    <n v="29.107004643962888"/>
    <n v="10624.056695046454"/>
  </r>
  <r>
    <d v="2023-10-18T08:46:00"/>
    <x v="3"/>
    <s v=""/>
    <x v="9"/>
    <x v="25"/>
    <x v="4"/>
    <s v="10/2023"/>
    <s v="18/10/2023"/>
    <d v="1899-12-31T01:22:00"/>
    <n v="1.0569444444408873"/>
    <d v="1902-10-30T15:46:00"/>
    <n v="1034.6569444444394"/>
    <m/>
    <m/>
    <n v="0"/>
    <n v="5032"/>
    <n v="6"/>
    <n v="5.6767411301110888"/>
    <n v="20886"/>
    <n v="2512"/>
    <n v="3"/>
    <n v="2.8383705650555444"/>
    <n v="9208"/>
    <n v="9"/>
    <n v="30094"/>
    <n v="0.35479632063194305"/>
    <n v="8.5151116951666346"/>
    <n v="3108.0157687358214"/>
    <n v="1.2119153825811888"/>
    <n v="29.085969181948531"/>
    <n v="10616.378751411214"/>
  </r>
  <r>
    <d v="2023-10-19T09:29:00"/>
    <x v="3"/>
    <s v=""/>
    <x v="9"/>
    <x v="26"/>
    <x v="0"/>
    <s v="10/2023"/>
    <s v="19/10/2023"/>
    <d v="1899-12-31T00:43:00"/>
    <n v="1.0298611111138598"/>
    <d v="1902-10-31T16:29:00"/>
    <n v="1035.6868055555533"/>
    <m/>
    <m/>
    <n v="0"/>
    <n v="5041"/>
    <n v="9"/>
    <n v="8.7390424814331826"/>
    <n v="20895"/>
    <n v="2515"/>
    <n v="3"/>
    <n v="2.9130141604777275"/>
    <n v="9211"/>
    <n v="12"/>
    <n v="30106"/>
    <n v="0.48550236007962128"/>
    <n v="11.65205664191091"/>
    <n v="4253.000674297482"/>
    <n v="1.2111930556011905"/>
    <n v="29.068633334428572"/>
    <n v="10610.051167066429"/>
  </r>
  <r>
    <d v="2023-10-20T09:19:00"/>
    <x v="3"/>
    <s v=""/>
    <x v="9"/>
    <x v="27"/>
    <x v="5"/>
    <s v="10/2023"/>
    <s v="20/10/2023"/>
    <d v="1899-12-30T23:50:00"/>
    <n v="0.99305555555474712"/>
    <d v="1902-11-01T16:19:00"/>
    <n v="1036.679861111108"/>
    <m/>
    <m/>
    <n v="0"/>
    <n v="5047"/>
    <n v="6"/>
    <n v="6.0419580419629604"/>
    <n v="20901"/>
    <n v="2518"/>
    <n v="3"/>
    <n v="3.0209790209814802"/>
    <n v="9214"/>
    <n v="9"/>
    <n v="30115"/>
    <n v="0.37762237762268502"/>
    <n v="9.0629370629444406"/>
    <n v="3307.9720279747207"/>
    <n v="1.2103945622342731"/>
    <n v="29.049469493622556"/>
    <n v="10603.056365172233"/>
  </r>
  <r>
    <d v="2023-10-23T12:43:00"/>
    <x v="3"/>
    <s v=""/>
    <x v="9"/>
    <x v="30"/>
    <x v="2"/>
    <s v="10/2023"/>
    <s v="23/10/2023"/>
    <d v="1900-01-02T03:24:00"/>
    <n v="3.1416666666700621"/>
    <d v="1902-11-04T19:43:00"/>
    <n v="1039.8215277777781"/>
    <m/>
    <m/>
    <n v="0"/>
    <n v="5084"/>
    <n v="37"/>
    <n v="11.777188328899738"/>
    <n v="20938"/>
    <n v="2534"/>
    <n v="16"/>
    <n v="5.0928381962809679"/>
    <n v="9230"/>
    <n v="53"/>
    <n v="30168"/>
    <n v="0.70291777188252946"/>
    <n v="16.870026525180705"/>
    <n v="6157.5596816909574"/>
    <n v="1.2088612963095293"/>
    <n v="29.012671111428702"/>
    <n v="10589.624955671476"/>
  </r>
  <r>
    <d v="2023-10-24T10:20:00"/>
    <x v="3"/>
    <s v=""/>
    <x v="9"/>
    <x v="1"/>
    <x v="3"/>
    <s v="10/2023"/>
    <s v="24/10/2023"/>
    <d v="1899-12-30T21:37:00"/>
    <n v="0.90069444444088731"/>
    <d v="1902-11-05T17:20:00"/>
    <n v="1040.722222222219"/>
    <m/>
    <m/>
    <n v="0"/>
    <n v="5102"/>
    <n v="18"/>
    <n v="19.98457979961632"/>
    <n v="20956"/>
    <n v="2544"/>
    <n v="10"/>
    <n v="11.102544333120177"/>
    <n v="9240"/>
    <n v="28"/>
    <n v="30196"/>
    <n v="1.2952968388640207"/>
    <n v="31.087124132736498"/>
    <n v="11346.800308448823"/>
    <n v="1.2089361020658769"/>
    <n v="29.014466449581043"/>
    <n v="10590.280254097081"/>
  </r>
  <r>
    <d v="2023-10-25T09:03:00"/>
    <x v="3"/>
    <s v=""/>
    <x v="9"/>
    <x v="2"/>
    <x v="4"/>
    <s v="10/2023"/>
    <s v="25/10/2023"/>
    <d v="1899-12-30T22:43:00"/>
    <n v="0.94652777777810115"/>
    <d v="1902-11-06T16:03:00"/>
    <n v="1041.6687499999971"/>
    <m/>
    <m/>
    <n v="0"/>
    <n v="5117"/>
    <n v="15"/>
    <n v="15.84739545120515"/>
    <n v="20971"/>
    <n v="2551"/>
    <n v="7"/>
    <n v="7.3954512105624035"/>
    <n v="9247"/>
    <n v="22"/>
    <n v="30218"/>
    <n v="0.96845194424031478"/>
    <n v="23.242846661767555"/>
    <n v="8483.6390315451572"/>
    <n v="1.2087175825648382"/>
    <n v="29.009221981556117"/>
    <n v="10588.366023267983"/>
  </r>
  <r>
    <d v="2023-10-26T08:36:00"/>
    <x v="3"/>
    <s v=""/>
    <x v="9"/>
    <x v="3"/>
    <x v="0"/>
    <s v="10/2023"/>
    <s v="26/10/2023"/>
    <d v="1899-12-30T23:33:00"/>
    <n v="0.98124999999708962"/>
    <d v="1902-11-07T15:36:00"/>
    <n v="1042.6499999999942"/>
    <m/>
    <m/>
    <n v="0"/>
    <n v="5131"/>
    <n v="14"/>
    <n v="14.267515923609196"/>
    <n v="20985"/>
    <n v="2557"/>
    <n v="6"/>
    <n v="6.1146496815467986"/>
    <n v="9253"/>
    <n v="20"/>
    <n v="30238"/>
    <n v="0.84925690021483313"/>
    <n v="20.382165605155993"/>
    <n v="7439.4904458819374"/>
    <n v="1.2083792899502936"/>
    <n v="29.001102958807049"/>
    <n v="10585.402579964573"/>
  </r>
  <r>
    <d v="2023-10-27T09:19:00"/>
    <x v="3"/>
    <s v=""/>
    <x v="9"/>
    <x v="4"/>
    <x v="5"/>
    <s v="10/2023"/>
    <s v="27/10/2023"/>
    <d v="1899-12-31T00:43:00"/>
    <n v="1.0298611111138598"/>
    <d v="1902-11-08T16:19:00"/>
    <n v="1043.679861111108"/>
    <m/>
    <m/>
    <n v="0"/>
    <n v="5151"/>
    <n v="20"/>
    <n v="19.420094403184851"/>
    <n v="21005"/>
    <n v="2568"/>
    <n v="11"/>
    <n v="10.681051921751667"/>
    <n v="9264"/>
    <n v="31"/>
    <n v="30269"/>
    <n v="1.2542144302056883"/>
    <n v="30.101146324936519"/>
    <n v="10986.918408601829"/>
    <n v="1.2084245182144677"/>
    <n v="29.002188437147225"/>
    <n v="10585.798779558738"/>
  </r>
  <r>
    <d v="2023-10-28T07:23:00"/>
    <x v="3"/>
    <s v=""/>
    <x v="9"/>
    <x v="5"/>
    <x v="6"/>
    <s v="10/2023"/>
    <s v="28/10/2023"/>
    <d v="1899-12-30T22:04:00"/>
    <n v="0.91944444444379769"/>
    <d v="1902-11-09T14:23:00"/>
    <n v="1044.5993055555518"/>
    <m/>
    <m/>
    <n v="0"/>
    <n v="5171"/>
    <n v="20"/>
    <n v="21.752265861042492"/>
    <n v="21025"/>
    <n v="2579"/>
    <n v="11"/>
    <n v="11.96374622357337"/>
    <n v="9275"/>
    <n v="31"/>
    <n v="30300"/>
    <n v="1.4048338368589943"/>
    <n v="33.716012084615862"/>
    <n v="12306.344410884789"/>
    <n v="1.2085973954659692"/>
    <n v="29.00633749118326"/>
    <n v="10587.313184281889"/>
  </r>
  <r>
    <d v="2023-10-29T11:46:00"/>
    <x v="3"/>
    <s v=""/>
    <x v="9"/>
    <x v="6"/>
    <x v="1"/>
    <s v="10/2023"/>
    <s v="29/10/2023"/>
    <d v="1899-12-31T04:23:00"/>
    <n v="1.1826388888875954"/>
    <d v="1902-11-10T18:46:00"/>
    <n v="1045.7819444444394"/>
    <m/>
    <m/>
    <n v="0"/>
    <n v="5197"/>
    <n v="26"/>
    <n v="21.984732824451527"/>
    <n v="21051"/>
    <n v="2589"/>
    <n v="10"/>
    <n v="8.4556664709428944"/>
    <n v="9285"/>
    <n v="36"/>
    <n v="30336"/>
    <n v="1.2683499706414343"/>
    <n v="30.440399295394421"/>
    <n v="11110.745742818965"/>
    <n v="1.2086649676013355"/>
    <n v="29.007959222432053"/>
    <n v="10587.9051161877"/>
  </r>
  <r>
    <d v="2023-10-30T08:30:00"/>
    <x v="3"/>
    <s v=""/>
    <x v="9"/>
    <x v="7"/>
    <x v="2"/>
    <s v="10/2023"/>
    <s v="30/10/2023"/>
    <d v="1899-12-30T20:44:00"/>
    <n v="0.86388888888905058"/>
    <d v="1902-11-11T15:30:00"/>
    <n v="1046.6458333333285"/>
    <m/>
    <m/>
    <n v="0"/>
    <n v="5206"/>
    <n v="9"/>
    <n v="10.418006430866217"/>
    <n v="21060"/>
    <n v="2591"/>
    <n v="2"/>
    <n v="2.3151125401924926"/>
    <n v="9287"/>
    <n v="11"/>
    <n v="30347"/>
    <n v="0.53054662379411288"/>
    <n v="12.73311897105871"/>
    <n v="4647.5884244364288"/>
    <n v="1.2081052568721566"/>
    <n v="28.994526164931763"/>
    <n v="10583.002050200093"/>
  </r>
  <r>
    <d v="2023-10-31T07:29:00"/>
    <x v="3"/>
    <s v=""/>
    <x v="9"/>
    <x v="8"/>
    <x v="3"/>
    <s v="10/2023"/>
    <s v="31/10/2023"/>
    <d v="1899-12-30T22:59:00"/>
    <n v="0.95763888888905058"/>
    <d v="1902-11-12T14:29:00"/>
    <n v="1047.6034722222175"/>
    <m/>
    <m/>
    <n v="0"/>
    <n v="5229"/>
    <n v="23"/>
    <n v="24.017403915877019"/>
    <n v="21083"/>
    <n v="2596"/>
    <n v="5"/>
    <n v="5.2211747643210913"/>
    <n v="9292"/>
    <n v="28"/>
    <n v="30375"/>
    <n v="1.2182741116749212"/>
    <n v="29.23857868019811"/>
    <n v="10672.081218272309"/>
    <n v="1.2081145524606811"/>
    <n v="28.994749259056348"/>
    <n v="10583.083479555567"/>
  </r>
  <r>
    <d v="2023-11-01T11:09:00"/>
    <x v="3"/>
    <s v=""/>
    <x v="10"/>
    <x v="9"/>
    <x v="4"/>
    <s v="11/2023"/>
    <s v="1/11/2023"/>
    <d v="1899-12-31T03:40:00"/>
    <n v="1.1527777777810115"/>
    <d v="1902-11-13T18:09:00"/>
    <n v="1048.7562499999985"/>
    <m/>
    <m/>
    <n v="0"/>
    <n v="5251"/>
    <n v="22"/>
    <n v="19.084337349344054"/>
    <n v="21105"/>
    <n v="2604"/>
    <n v="8"/>
    <n v="6.9397590361251114"/>
    <n v="9300"/>
    <n v="30"/>
    <n v="30405"/>
    <n v="1.0843373493945485"/>
    <n v="26.024096385469168"/>
    <n v="9498.7951806962465"/>
    <n v="1.2079784983402977"/>
    <n v="28.991483960167145"/>
    <n v="10581.891645461008"/>
  </r>
  <r>
    <d v="2023-11-02T09:15:00"/>
    <x v="3"/>
    <s v=""/>
    <x v="10"/>
    <x v="10"/>
    <x v="0"/>
    <s v="11/2023"/>
    <s v="2/11/2023"/>
    <d v="1899-12-30T22:06:00"/>
    <n v="0.92083333332993789"/>
    <d v="1902-11-14T16:15:00"/>
    <n v="1049.6770833333285"/>
    <m/>
    <m/>
    <n v="0"/>
    <n v="5258"/>
    <n v="7"/>
    <n v="7.6018099547791618"/>
    <n v="21112"/>
    <n v="2606"/>
    <n v="2"/>
    <n v="2.1719457013654746"/>
    <n v="9302"/>
    <n v="9"/>
    <n v="30414"/>
    <n v="0.40723981900602652"/>
    <n v="9.7737556561446368"/>
    <n v="3567.4208144927925"/>
    <n v="1.2072760471970603"/>
    <n v="28.974625132729447"/>
    <n v="10575.738173446249"/>
  </r>
  <r>
    <d v="2023-11-03T08:59:00"/>
    <x v="3"/>
    <s v=""/>
    <x v="10"/>
    <x v="11"/>
    <x v="5"/>
    <s v="11/2023"/>
    <s v="3/11/2023"/>
    <d v="1899-12-30T23:44:00"/>
    <n v="0.98888888888905058"/>
    <d v="1902-11-15T15:59:00"/>
    <n v="1050.6659722222175"/>
    <m/>
    <m/>
    <n v="0"/>
    <n v="5289"/>
    <n v="31"/>
    <n v="31.348314606736448"/>
    <n v="21143"/>
    <n v="2622"/>
    <n v="16"/>
    <n v="16.17977528089623"/>
    <n v="9318"/>
    <n v="47"/>
    <n v="30461"/>
    <n v="1.9803370786513617"/>
    <n v="47.528089887632682"/>
    <n v="17347.75280898593"/>
    <n v="1.2080036537672258"/>
    <n v="28.99208769041342"/>
    <n v="10582.112007000898"/>
  </r>
  <r>
    <d v="2023-11-04T10:20:00"/>
    <x v="3"/>
    <s v=""/>
    <x v="10"/>
    <x v="12"/>
    <x v="6"/>
    <s v="11/2023"/>
    <s v="4/11/2023"/>
    <d v="1899-12-31T01:21:00"/>
    <n v="1.0562500000014552"/>
    <d v="1902-11-16T17:20:00"/>
    <n v="1051.722222222219"/>
    <m/>
    <m/>
    <n v="0"/>
    <n v="5312"/>
    <n v="23"/>
    <n v="21.775147928964085"/>
    <n v="21166"/>
    <n v="2638"/>
    <n v="16"/>
    <n v="15.147928994061971"/>
    <n v="9334"/>
    <n v="39"/>
    <n v="30500"/>
    <n v="1.5384615384594189"/>
    <n v="36.923076923026052"/>
    <n v="13476.92307690451"/>
    <n v="1.2083355343088094"/>
    <n v="29.000052823411426"/>
    <n v="10585.01928054517"/>
  </r>
  <r>
    <d v="2023-11-05T08:18:00"/>
    <x v="3"/>
    <s v=""/>
    <x v="10"/>
    <x v="13"/>
    <x v="1"/>
    <s v="11/2023"/>
    <s v="5/11/2023"/>
    <d v="1899-12-30T21:58:00"/>
    <n v="0.91527777777810115"/>
    <d v="1902-11-17T15:18:00"/>
    <n v="1052.6374999999971"/>
    <m/>
    <m/>
    <n v="0"/>
    <n v="5329"/>
    <n v="17"/>
    <n v="18.5735963581118"/>
    <n v="21183"/>
    <n v="2651"/>
    <n v="13"/>
    <n v="14.203338391497258"/>
    <n v="9347"/>
    <n v="30"/>
    <n v="30530"/>
    <n v="1.3657056145670441"/>
    <n v="32.776934749609055"/>
    <n v="11963.581183607304"/>
    <n v="1.2084723690095944"/>
    <n v="29.003336856230263"/>
    <n v="10586.217952524046"/>
  </r>
  <r>
    <d v="2023-11-06T07:39:00"/>
    <x v="3"/>
    <s v=""/>
    <x v="10"/>
    <x v="14"/>
    <x v="2"/>
    <s v="11/2023"/>
    <s v="6/11/2023"/>
    <d v="1899-12-30T23:21:00"/>
    <n v="0.97291666666569654"/>
    <d v="1902-11-18T14:39:00"/>
    <n v="1053.6104166666628"/>
    <m/>
    <m/>
    <n v="0"/>
    <n v="5346"/>
    <n v="17"/>
    <n v="17.473233404728344"/>
    <n v="21200"/>
    <n v="2665"/>
    <n v="14"/>
    <n v="14.389721627423341"/>
    <n v="9361"/>
    <n v="31"/>
    <n v="30561"/>
    <n v="1.3276231263396536"/>
    <n v="31.862955032151685"/>
    <n v="11629.978586735366"/>
    <n v="1.2085823942673353"/>
    <n v="29.005977462416045"/>
    <n v="10587.181773781856"/>
  </r>
  <r>
    <d v="2023-11-07T07:34:00"/>
    <x v="3"/>
    <s v=""/>
    <x v="10"/>
    <x v="15"/>
    <x v="3"/>
    <s v="11/2023"/>
    <s v="7/11/2023"/>
    <d v="1899-12-30T23:55:00"/>
    <n v="0.99652777778101154"/>
    <d v="1902-11-19T14:34:00"/>
    <n v="1054.6069444444438"/>
    <m/>
    <m/>
    <n v="0"/>
    <n v="5363"/>
    <n v="17"/>
    <n v="17.059233449421995"/>
    <n v="21217"/>
    <n v="2683"/>
    <n v="18"/>
    <n v="18.062717769976228"/>
    <n v="9379"/>
    <n v="35"/>
    <n v="30596"/>
    <n v="1.4634146341415926"/>
    <n v="35.121951219398227"/>
    <n v="12819.512195080353"/>
    <n v="1.2088231924216113"/>
    <n v="29.011756618118667"/>
    <n v="10589.291165613313"/>
  </r>
  <r>
    <d v="2023-11-08T08:07:00"/>
    <x v="3"/>
    <s v=""/>
    <x v="10"/>
    <x v="16"/>
    <x v="4"/>
    <s v="11/2023"/>
    <s v="8/11/2023"/>
    <d v="1899-12-31T00:33:00"/>
    <n v="1.022916666661331"/>
    <d v="1902-11-20T15:07:00"/>
    <n v="1055.6298611111051"/>
    <m/>
    <m/>
    <n v="0"/>
    <n v="5382"/>
    <n v="19"/>
    <n v="18.574338085636601"/>
    <n v="21236"/>
    <n v="2700"/>
    <n v="17"/>
    <n v="16.619144602938011"/>
    <n v="9396"/>
    <n v="36"/>
    <n v="30632"/>
    <n v="1.4663951120239422"/>
    <n v="35.193482688574612"/>
    <n v="12845.621181329734"/>
    <n v="1.2090727823765106"/>
    <n v="29.017746777036255"/>
    <n v="10591.477573618233"/>
  </r>
  <r>
    <d v="2023-11-09T07:32:00"/>
    <x v="3"/>
    <s v=""/>
    <x v="10"/>
    <x v="17"/>
    <x v="0"/>
    <s v="11/2023"/>
    <s v="9/11/2023"/>
    <d v="1899-12-30T23:25:00"/>
    <n v="0.97569444444525288"/>
    <d v="1902-11-21T14:32:00"/>
    <n v="1056.6055555555504"/>
    <m/>
    <m/>
    <n v="0"/>
    <n v="5408"/>
    <n v="26"/>
    <n v="26.647686832718133"/>
    <n v="21262"/>
    <n v="2712"/>
    <n v="12"/>
    <n v="12.298932384331446"/>
    <n v="9408"/>
    <n v="38"/>
    <n v="30670"/>
    <n v="1.6227758007103992"/>
    <n v="38.94661921704958"/>
    <n v="14215.516014223096"/>
    <n v="1.2094548054829728"/>
    <n v="29.026915331591347"/>
    <n v="10594.824096030841"/>
  </r>
  <r>
    <d v="2023-11-10T07:42:00"/>
    <x v="3"/>
    <s v=""/>
    <x v="10"/>
    <x v="18"/>
    <x v="5"/>
    <s v="11/2023"/>
    <s v="10/11/2023"/>
    <d v="1899-12-31T00:10:00"/>
    <n v="1.0069444444452529"/>
    <d v="1902-11-22T14:42:00"/>
    <n v="1057.6124999999956"/>
    <m/>
    <m/>
    <n v="0"/>
    <n v="5425"/>
    <n v="17"/>
    <n v="16.8827586206761"/>
    <n v="21279"/>
    <n v="2729"/>
    <n v="17"/>
    <n v="16.8827586206761"/>
    <n v="9425"/>
    <n v="34"/>
    <n v="30704"/>
    <n v="1.4068965517230083"/>
    <n v="33.7655172413522"/>
    <n v="12324.413793093552"/>
    <n v="1.2096427881982661"/>
    <n v="29.031426916758384"/>
    <n v="10596.47082461681"/>
  </r>
  <r>
    <d v="2023-11-11T10:31:00"/>
    <x v="3"/>
    <s v=""/>
    <x v="10"/>
    <x v="19"/>
    <x v="6"/>
    <s v="11/2023"/>
    <s v="11/11/2023"/>
    <d v="1899-12-31T02:49:00"/>
    <n v="1.117361111115315"/>
    <d v="1902-11-23T17:31:00"/>
    <n v="1058.7298611111109"/>
    <m/>
    <m/>
    <n v="0"/>
    <n v="5460"/>
    <n v="35"/>
    <n v="31.32380360460558"/>
    <n v="21314"/>
    <n v="2746"/>
    <n v="17"/>
    <n v="15.214418893665567"/>
    <n v="9442"/>
    <n v="52"/>
    <n v="30756"/>
    <n v="1.9390926040946312"/>
    <n v="46.538222498271146"/>
    <n v="16986.451211868967"/>
    <n v="1.2104126341114978"/>
    <n v="29.049903218675947"/>
    <n v="10603.214674816722"/>
  </r>
  <r>
    <d v="2023-11-12T08:50:00"/>
    <x v="3"/>
    <s v=""/>
    <x v="10"/>
    <x v="20"/>
    <x v="1"/>
    <s v="11/2023"/>
    <s v="12/11/2023"/>
    <d v="1899-12-30T22:19:00"/>
    <n v="0.92986111110803904"/>
    <d v="1902-11-24T15:50:00"/>
    <n v="1059.659722222219"/>
    <m/>
    <m/>
    <n v="0"/>
    <n v="5484"/>
    <n v="24"/>
    <n v="25.810306198740985"/>
    <n v="21338"/>
    <n v="2749"/>
    <n v="3"/>
    <n v="3.2262882748426231"/>
    <n v="9445"/>
    <n v="27"/>
    <n v="30783"/>
    <n v="1.2098581030659836"/>
    <n v="29.036594473583609"/>
    <n v="10598.356982858017"/>
    <n v="1.2104121475054266"/>
    <n v="29.04989154013024"/>
    <n v="10603.210412147537"/>
  </r>
  <r>
    <d v="2023-11-13T07:37:00"/>
    <x v="3"/>
    <s v=""/>
    <x v="10"/>
    <x v="21"/>
    <x v="2"/>
    <s v="11/2023"/>
    <s v="13/11/2023"/>
    <d v="1899-12-30T22:47:00"/>
    <n v="0.9493055555576575"/>
    <d v="1902-11-25T14:37:00"/>
    <n v="1060.6090277777766"/>
    <m/>
    <m/>
    <n v="0"/>
    <n v="5499"/>
    <n v="15"/>
    <n v="15.801024140418562"/>
    <n v="21353"/>
    <n v="2752"/>
    <n v="3"/>
    <n v="3.1602048280837125"/>
    <n v="9448"/>
    <n v="18"/>
    <n v="30801"/>
    <n v="0.79005120702092813"/>
    <n v="18.961228968502272"/>
    <n v="6920.8485735033291"/>
    <n v="1.2100359004948036"/>
    <n v="29.040861611875282"/>
    <n v="10599.914488334478"/>
  </r>
  <r>
    <d v="2023-11-14T07:40:00"/>
    <x v="3"/>
    <s v=""/>
    <x v="10"/>
    <x v="22"/>
    <x v="3"/>
    <s v="11/2023"/>
    <s v="14/11/2023"/>
    <d v="1899-12-31T00:03:00"/>
    <n v="1.0020833333328483"/>
    <d v="1902-11-26T14:40:00"/>
    <n v="1061.6111111111095"/>
    <m/>
    <m/>
    <n v="0"/>
    <n v="5511"/>
    <n v="12"/>
    <n v="11.975051975057772"/>
    <n v="21365"/>
    <n v="2754"/>
    <n v="2"/>
    <n v="1.9958419958429618"/>
    <n v="9450"/>
    <n v="14"/>
    <n v="30815"/>
    <n v="0.58212058212086393"/>
    <n v="13.970893970900734"/>
    <n v="5099.3762993787677"/>
    <n v="1.2094431943063497"/>
    <n v="29.026636663352392"/>
    <n v="10594.722382123622"/>
  </r>
  <r>
    <d v="2023-11-15T08:20:00"/>
    <x v="3"/>
    <s v=""/>
    <x v="10"/>
    <x v="23"/>
    <x v="4"/>
    <s v="11/2023"/>
    <s v="15/11/2023"/>
    <d v="1899-12-31T00:40:00"/>
    <n v="1.0277777777737356"/>
    <d v="1902-11-27T15:20:00"/>
    <n v="1062.6388888888832"/>
    <m/>
    <m/>
    <n v="0"/>
    <n v="5527"/>
    <n v="16"/>
    <n v="15.567567567628794"/>
    <n v="21381"/>
    <n v="2768"/>
    <n v="14"/>
    <n v="13.621621621675194"/>
    <n v="9464"/>
    <n v="30"/>
    <n v="30845"/>
    <n v="1.2162162162209995"/>
    <n v="29.189189189303988"/>
    <n v="10654.054054095956"/>
    <n v="1.2094497451313617"/>
    <n v="29.026793883152685"/>
    <n v="10594.77976735073"/>
  </r>
  <r>
    <d v="2023-11-16T08:34:00"/>
    <x v="3"/>
    <s v=""/>
    <x v="10"/>
    <x v="24"/>
    <x v="0"/>
    <s v="11/2023"/>
    <s v="16/11/2023"/>
    <d v="1899-12-31T00:14:00"/>
    <n v="1.0097222222248092"/>
    <d v="1902-11-28T15:34:00"/>
    <n v="1063.648611111108"/>
    <m/>
    <m/>
    <n v="0"/>
    <n v="5541"/>
    <n v="14"/>
    <n v="13.865199449758149"/>
    <n v="21395"/>
    <n v="2781"/>
    <n v="13"/>
    <n v="12.87482806048971"/>
    <n v="9477"/>
    <n v="27"/>
    <n v="30872"/>
    <n v="1.1141678129269941"/>
    <n v="26.74002751024786"/>
    <n v="9760.1100412404685"/>
    <n v="1.2093592939397575"/>
    <n v="29.02462305455418"/>
    <n v="10593.987414912275"/>
  </r>
  <r>
    <d v="2023-11-17T08:18:00"/>
    <x v="3"/>
    <s v=""/>
    <x v="10"/>
    <x v="0"/>
    <x v="5"/>
    <s v="11/2023"/>
    <s v="17/11/2023"/>
    <d v="1899-12-30T23:44:00"/>
    <n v="0.98888888888905058"/>
    <d v="1902-11-29T15:18:00"/>
    <n v="1064.6374999999971"/>
    <m/>
    <m/>
    <n v="0"/>
    <n v="5567"/>
    <n v="26"/>
    <n v="26.292134831456377"/>
    <n v="21421"/>
    <n v="2795"/>
    <n v="14"/>
    <n v="14.157303370784202"/>
    <n v="9491"/>
    <n v="40"/>
    <n v="30912"/>
    <n v="1.6853932584266906"/>
    <n v="40.449438202240579"/>
    <n v="14764.044943817811"/>
    <n v="1.2098014582428325"/>
    <n v="29.035234997827978"/>
    <n v="10597.860774207213"/>
  </r>
  <r>
    <d v="2023-11-18T08:01:00"/>
    <x v="3"/>
    <s v=""/>
    <x v="10"/>
    <x v="25"/>
    <x v="6"/>
    <s v="11/2023"/>
    <s v="18/11/2023"/>
    <d v="1899-12-30T23:43:00"/>
    <n v="0.9881944444423425"/>
    <d v="1902-11-30T15:01:00"/>
    <n v="1065.6256944444394"/>
    <m/>
    <m/>
    <n v="0"/>
    <n v="5586"/>
    <n v="19"/>
    <n v="19.226985242486435"/>
    <n v="21440"/>
    <n v="2798"/>
    <n v="3"/>
    <n v="3.0358397751294368"/>
    <n v="9494"/>
    <n v="22"/>
    <n v="30934"/>
    <n v="0.92761770906732799"/>
    <n v="22.262825017615871"/>
    <n v="8125.9311314297929"/>
    <n v="1.2095397787293776"/>
    <n v="29.028954689505063"/>
    <n v="10595.568461669349"/>
  </r>
  <r>
    <d v="2023-11-19T09:16:00"/>
    <x v="3"/>
    <s v=""/>
    <x v="10"/>
    <x v="26"/>
    <x v="1"/>
    <s v="11/2023"/>
    <s v="19/11/2023"/>
    <d v="1899-12-31T01:15:00"/>
    <n v="1.0520833333357587"/>
    <d v="1902-12-01T16:16:00"/>
    <n v="1066.6777777777752"/>
    <m/>
    <m/>
    <n v="0"/>
    <n v="5606"/>
    <n v="20"/>
    <n v="19.009900990055186"/>
    <n v="21460"/>
    <n v="2800"/>
    <n v="2"/>
    <n v="1.9009900990055186"/>
    <n v="9496"/>
    <n v="22"/>
    <n v="30956"/>
    <n v="0.87128712871086278"/>
    <n v="20.910891089060705"/>
    <n v="7632.4752475071573"/>
    <n v="1.2092061541025643"/>
    <n v="29.020947698461544"/>
    <n v="10592.645909938463"/>
  </r>
  <r>
    <d v="2023-11-20T07:41:00"/>
    <x v="3"/>
    <s v=""/>
    <x v="10"/>
    <x v="27"/>
    <x v="2"/>
    <s v="11/2023"/>
    <s v="20/11/2023"/>
    <d v="1899-12-30T22:25:00"/>
    <n v="0.93402777778101154"/>
    <d v="1902-12-02T14:41:00"/>
    <n v="1067.6118055555562"/>
    <m/>
    <m/>
    <n v="0"/>
    <n v="5617"/>
    <n v="11"/>
    <n v="11.77695167282168"/>
    <n v="21471"/>
    <n v="2803"/>
    <n v="3"/>
    <n v="3.2118959107695488"/>
    <n v="9499"/>
    <n v="14"/>
    <n v="30970"/>
    <n v="0.62453531598296785"/>
    <n v="14.988847583591228"/>
    <n v="5470.9293680107985"/>
    <n v="1.2086946397105163"/>
    <n v="29.008671353052389"/>
    <n v="10588.165043864123"/>
  </r>
  <r>
    <d v="2023-11-22T08:02:00"/>
    <x v="3"/>
    <s v=""/>
    <x v="10"/>
    <x v="29"/>
    <x v="4"/>
    <s v="11/2023"/>
    <s v="22/11/2023"/>
    <d v="1900-01-01T00:21:00"/>
    <n v="2.0145833333299379"/>
    <d v="1902-12-04T15:02:00"/>
    <n v="1069.6263888888861"/>
    <m/>
    <m/>
    <n v="0"/>
    <n v="5658"/>
    <n v="41"/>
    <n v="20.351602895587558"/>
    <n v="21512"/>
    <n v="2831"/>
    <n v="28"/>
    <n v="13.898655636011016"/>
    <n v="9527"/>
    <n v="69"/>
    <n v="31039"/>
    <n v="1.427094105483274"/>
    <n v="34.250258531598575"/>
    <n v="12501.344364033481"/>
    <n v="1.2091059832677848"/>
    <n v="29.018543598426835"/>
    <n v="10591.768413425794"/>
  </r>
  <r>
    <d v="2023-11-23T07:56:00"/>
    <x v="3"/>
    <s v=""/>
    <x v="10"/>
    <x v="30"/>
    <x v="0"/>
    <s v="11/2023"/>
    <s v="23/11/2023"/>
    <d v="1899-12-30T23:54:00"/>
    <n v="0.99583333333430346"/>
    <d v="1902-12-05T14:56:00"/>
    <n v="1070.6222222222204"/>
    <m/>
    <m/>
    <n v="0"/>
    <n v="5683"/>
    <n v="25"/>
    <n v="25.104602510435793"/>
    <n v="21537"/>
    <n v="2851"/>
    <n v="20"/>
    <n v="20.083682008348635"/>
    <n v="9547"/>
    <n v="45"/>
    <n v="31084"/>
    <n v="1.8828451882826847"/>
    <n v="45.188284518784428"/>
    <n v="16493.723849356316"/>
    <n v="1.2097326580596972"/>
    <n v="29.033583793432737"/>
    <n v="10597.258084602949"/>
  </r>
  <r>
    <d v="2023-11-24T07:15:00"/>
    <x v="3"/>
    <s v=""/>
    <x v="10"/>
    <x v="1"/>
    <x v="5"/>
    <s v="11/2023"/>
    <s v="24/11/2023"/>
    <d v="1899-12-30T23:19:00"/>
    <n v="0.97152777777955635"/>
    <d v="1902-12-06T14:15:00"/>
    <n v="1071.59375"/>
    <m/>
    <m/>
    <n v="0"/>
    <n v="5699"/>
    <n v="16"/>
    <n v="16.468906361656771"/>
    <n v="21553"/>
    <n v="2867"/>
    <n v="16"/>
    <n v="16.468906361656771"/>
    <n v="9563"/>
    <n v="32"/>
    <n v="31116"/>
    <n v="1.3724088634713976"/>
    <n v="32.937812723313542"/>
    <n v="12022.301644009443"/>
    <n v="1.2098801434778805"/>
    <n v="29.037123443469131"/>
    <n v="10598.550056866234"/>
  </r>
  <r>
    <d v="2023-11-25T07:47:00"/>
    <x v="3"/>
    <s v=""/>
    <x v="10"/>
    <x v="2"/>
    <x v="6"/>
    <s v="11/2023"/>
    <s v="25/11/2023"/>
    <d v="1899-12-31T00:32:00"/>
    <n v="1.0222222222218988"/>
    <d v="1902-12-07T14:47:00"/>
    <n v="1072.6159722222219"/>
    <m/>
    <m/>
    <n v="0"/>
    <n v="5728"/>
    <n v="29"/>
    <n v="28.369565217400279"/>
    <n v="21582"/>
    <n v="2885"/>
    <n v="18"/>
    <n v="17.608695652179485"/>
    <n v="9581"/>
    <n v="47"/>
    <n v="31163"/>
    <n v="1.9157608695658235"/>
    <n v="45.978260869579763"/>
    <n v="16782.065217396612"/>
    <n v="1.2105528604456786"/>
    <n v="29.053268650696289"/>
    <n v="10604.443057504146"/>
  </r>
  <r>
    <d v="2023-11-27T09:06:00"/>
    <x v="3"/>
    <s v=""/>
    <x v="10"/>
    <x v="4"/>
    <x v="2"/>
    <s v="11/2023"/>
    <s v="27/11/2023"/>
    <d v="1900-01-01T01:19:00"/>
    <n v="2.054861111108039"/>
    <d v="1902-12-09T16:06:00"/>
    <n v="1074.6708333333299"/>
    <m/>
    <m/>
    <n v="0"/>
    <n v="5812"/>
    <n v="84"/>
    <n v="40.878675228178722"/>
    <n v="21666"/>
    <n v="2926"/>
    <n v="41"/>
    <n v="19.952686718515803"/>
    <n v="9622"/>
    <n v="125"/>
    <n v="31288"/>
    <n v="2.534640081112272"/>
    <n v="60.831361946694528"/>
    <n v="22203.447110543504"/>
    <n v="1.2130846266880206"/>
    <n v="29.114031040512497"/>
    <n v="10626.621329787062"/>
  </r>
  <r>
    <d v="2023-11-28T07:34:00"/>
    <x v="3"/>
    <s v=""/>
    <x v="10"/>
    <x v="5"/>
    <x v="3"/>
    <s v="11/2023"/>
    <s v="28/11/2023"/>
    <d v="1899-12-30T22:28:00"/>
    <n v="0.93611111111385981"/>
    <d v="1902-12-10T14:34:00"/>
    <n v="1075.6069444444438"/>
    <m/>
    <m/>
    <n v="0"/>
    <n v="5842"/>
    <n v="30"/>
    <n v="32.047477744713021"/>
    <n v="21696"/>
    <n v="2942"/>
    <n v="16"/>
    <n v="17.091988130513609"/>
    <n v="9638"/>
    <n v="46"/>
    <n v="31334"/>
    <n v="2.0474777448011099"/>
    <n v="49.139465875226634"/>
    <n v="17935.905044457722"/>
    <n v="1.2138108070766254"/>
    <n v="29.131459369839011"/>
    <n v="10632.982669991239"/>
  </r>
  <r>
    <d v="2023-11-29T07:35:00"/>
    <x v="3"/>
    <s v=""/>
    <x v="10"/>
    <x v="6"/>
    <x v="4"/>
    <s v="11/2023"/>
    <s v="29/11/2023"/>
    <d v="1899-12-31T00:01:00"/>
    <n v="1.0006944444394321"/>
    <d v="1902-12-11T14:35:00"/>
    <n v="1076.6076388888832"/>
    <m/>
    <m/>
    <n v="0"/>
    <n v="5860"/>
    <n v="18"/>
    <n v="17.987508674621672"/>
    <n v="21714"/>
    <n v="2962"/>
    <n v="20"/>
    <n v="19.986120749579637"/>
    <n v="9658"/>
    <n v="38"/>
    <n v="31372"/>
    <n v="1.5822345593417211"/>
    <n v="37.973629424201306"/>
    <n v="13860.374739833476"/>
    <n v="1.2141532527260652"/>
    <n v="29.139678065425567"/>
    <n v="10635.982493880332"/>
  </r>
  <r>
    <d v="2023-11-30T08:28:00"/>
    <x v="3"/>
    <s v=""/>
    <x v="10"/>
    <x v="7"/>
    <x v="0"/>
    <s v="11/2023"/>
    <s v="30/11/2023"/>
    <d v="1899-12-31T00:53:00"/>
    <n v="1.0368055555591127"/>
    <d v="1902-12-12T15:28:00"/>
    <n v="1077.6444444444423"/>
    <m/>
    <m/>
    <n v="0"/>
    <n v="5902"/>
    <n v="42"/>
    <n v="40.509042196779973"/>
    <n v="21756"/>
    <n v="2981"/>
    <n v="19"/>
    <n v="18.325519089019512"/>
    <n v="9677"/>
    <n v="61"/>
    <n v="31433"/>
    <n v="2.4514400535749785"/>
    <n v="58.834561285799488"/>
    <n v="21474.614869316814"/>
    <n v="1.2153436507609212"/>
    <n v="29.168247618262111"/>
    <n v="10646.410380665671"/>
  </r>
  <r>
    <d v="2023-12-01T13:01:00"/>
    <x v="3"/>
    <s v=""/>
    <x v="0"/>
    <x v="9"/>
    <x v="5"/>
    <s v="12/2023"/>
    <s v="1/12/2023"/>
    <d v="1899-12-31T04:33:00"/>
    <n v="1.1895833333328483"/>
    <d v="1902-12-13T20:01:00"/>
    <n v="1078.8340277777752"/>
    <m/>
    <m/>
    <n v="0"/>
    <n v="5949"/>
    <n v="47"/>
    <n v="39.509632224184237"/>
    <n v="21803"/>
    <n v="3000"/>
    <n v="19"/>
    <n v="15.971978984244691"/>
    <n v="9696"/>
    <n v="66"/>
    <n v="31499"/>
    <n v="2.3117338003512051"/>
    <n v="55.48161120842893"/>
    <n v="20250.78809107656"/>
    <n v="1.216552592465763"/>
    <n v="29.19726221917831"/>
    <n v="10657.000710000082"/>
  </r>
  <r>
    <d v="2023-12-02T09:23:00"/>
    <x v="3"/>
    <s v=""/>
    <x v="0"/>
    <x v="10"/>
    <x v="6"/>
    <s v="12/2023"/>
    <s v="2/12/2023"/>
    <d v="1899-12-30T20:22:00"/>
    <n v="0.84861111111240461"/>
    <d v="1902-12-14T16:23:00"/>
    <n v="1079.6826388888876"/>
    <m/>
    <m/>
    <n v="0"/>
    <n v="5981"/>
    <n v="32"/>
    <n v="37.708674304361509"/>
    <n v="21835"/>
    <n v="3024"/>
    <n v="24"/>
    <n v="28.281505728271132"/>
    <n v="9720"/>
    <n v="56"/>
    <n v="31555"/>
    <n v="2.7495908346930267"/>
    <n v="65.990180032632637"/>
    <n v="24086.415711910911"/>
    <n v="1.2177575329170174"/>
    <n v="29.226180790008417"/>
    <n v="10667.555988353071"/>
  </r>
  <r>
    <d v="2023-12-03T10:47:00"/>
    <x v="3"/>
    <s v=""/>
    <x v="0"/>
    <x v="11"/>
    <x v="1"/>
    <s v="12/2023"/>
    <s v="3/12/2023"/>
    <d v="1899-12-31T01:24:00"/>
    <n v="1.0583333333343035"/>
    <d v="1902-12-15T17:47:00"/>
    <n v="1080.7409722222219"/>
    <m/>
    <m/>
    <n v="0"/>
    <n v="6033"/>
    <n v="52"/>
    <n v="49.133858267671499"/>
    <n v="21887"/>
    <n v="3051"/>
    <n v="27"/>
    <n v="25.511811023598661"/>
    <n v="9747"/>
    <n v="79"/>
    <n v="31634"/>
    <n v="3.1102362204695901"/>
    <n v="74.645669291270153"/>
    <n v="27245.669291313607"/>
    <n v="1.2196107737297011"/>
    <n v="29.270658569512825"/>
    <n v="10683.790377872181"/>
  </r>
  <r>
    <d v="2023-12-04T07:24:00"/>
    <x v="3"/>
    <s v=""/>
    <x v="0"/>
    <x v="12"/>
    <x v="2"/>
    <s v="12/2023"/>
    <s v="4/12/2023"/>
    <d v="1899-12-30T20:37:00"/>
    <n v="0.85902777777664596"/>
    <d v="1902-12-16T14:24:00"/>
    <n v="1081.5999999999985"/>
    <m/>
    <m/>
    <n v="0"/>
    <n v="6066"/>
    <n v="33"/>
    <n v="38.415521422847704"/>
    <n v="21920"/>
    <n v="3070"/>
    <n v="19"/>
    <n v="22.11802748588201"/>
    <n v="9766"/>
    <n v="52"/>
    <n v="31686"/>
    <n v="2.5222312045304047"/>
    <n v="60.533548908729713"/>
    <n v="22094.745351686346"/>
    <n v="1.2206453402366881"/>
    <n v="29.295488165680514"/>
    <n v="10692.853180473387"/>
  </r>
  <r>
    <d v="2023-12-05T07:29:00"/>
    <x v="3"/>
    <s v=""/>
    <x v="0"/>
    <x v="13"/>
    <x v="3"/>
    <s v="12/2023"/>
    <s v="5/12/2023"/>
    <d v="1899-12-31T00:05:00"/>
    <n v="1.0034722222189885"/>
    <d v="1902-12-17T14:29:00"/>
    <n v="1082.6034722222175"/>
    <m/>
    <m/>
    <n v="0"/>
    <n v="6096"/>
    <n v="30"/>
    <n v="29.89619377172264"/>
    <n v="21950"/>
    <n v="3091"/>
    <n v="21"/>
    <n v="20.927335640205847"/>
    <n v="9787"/>
    <n v="51"/>
    <n v="31737"/>
    <n v="2.1176470588303538"/>
    <n v="50.82352941192849"/>
    <n v="18550.588235353898"/>
    <n v="1.2214767769824466"/>
    <n v="29.31544264757872"/>
    <n v="10700.136566366233"/>
  </r>
  <r>
    <d v="2023-12-06T07:14:00"/>
    <x v="3"/>
    <s v=""/>
    <x v="0"/>
    <x v="14"/>
    <x v="4"/>
    <s v="12/2023"/>
    <s v="6/12/2023"/>
    <d v="1899-12-30T23:45:00"/>
    <n v="0.98958333333575865"/>
    <d v="1902-12-18T14:14:00"/>
    <n v="1083.5930555555533"/>
    <m/>
    <m/>
    <n v="0"/>
    <n v="6117"/>
    <n v="21"/>
    <n v="21.221052631526938"/>
    <n v="21971"/>
    <n v="3113"/>
    <n v="22"/>
    <n v="22.231578947313935"/>
    <n v="9809"/>
    <n v="43"/>
    <n v="31780"/>
    <n v="1.8105263157850364"/>
    <n v="43.452631578840872"/>
    <n v="15860.210526276918"/>
    <n v="1.2220147221114963"/>
    <n v="29.328353330675913"/>
    <n v="10704.848965696709"/>
  </r>
  <r>
    <d v="2023-12-07T07:43:00"/>
    <x v="3"/>
    <s v=""/>
    <x v="0"/>
    <x v="15"/>
    <x v="0"/>
    <s v="12/2023"/>
    <s v="7/12/2023"/>
    <d v="1899-12-31T00:29:00"/>
    <n v="1.0201388888890506"/>
    <d v="1902-12-19T14:43:00"/>
    <n v="1084.6131944444423"/>
    <m/>
    <m/>
    <n v="0"/>
    <n v="6158"/>
    <n v="41"/>
    <n v="40.190605854316296"/>
    <n v="22012"/>
    <n v="3133"/>
    <n v="20"/>
    <n v="19.605173587471366"/>
    <n v="9829"/>
    <n v="61"/>
    <n v="31841"/>
    <n v="2.4914908100744859"/>
    <n v="59.795779441787666"/>
    <n v="21825.459496252497"/>
    <n v="1.2232087348088148"/>
    <n v="29.357009635411554"/>
    <n v="10715.308516925217"/>
  </r>
  <r>
    <d v="2023-12-08T09:14:00"/>
    <x v="3"/>
    <s v=""/>
    <x v="0"/>
    <x v="16"/>
    <x v="5"/>
    <s v="12/2023"/>
    <s v="8/12/2023"/>
    <d v="1899-12-31T01:31:00"/>
    <n v="1.0631944444467081"/>
    <d v="1902-12-20T16:14:00"/>
    <n v="1085.6763888888891"/>
    <m/>
    <m/>
    <n v="0"/>
    <n v="6181"/>
    <n v="23"/>
    <n v="21.632919660306651"/>
    <n v="22035"/>
    <n v="3149"/>
    <n v="16"/>
    <n v="15.048987589778541"/>
    <n v="9845"/>
    <n v="39"/>
    <n v="31880"/>
    <n v="1.528412802086883"/>
    <n v="36.681907250085196"/>
    <n v="13388.896146281097"/>
    <n v="1.22350761877836"/>
    <n v="29.364182850680638"/>
    <n v="10717.926740498433"/>
  </r>
  <r>
    <d v="2023-12-09T07:55:00"/>
    <x v="3"/>
    <s v=""/>
    <x v="0"/>
    <x v="17"/>
    <x v="6"/>
    <s v="12/2023"/>
    <s v="9/12/2023"/>
    <d v="1899-12-30T22:41:00"/>
    <n v="0.945138888884685"/>
    <d v="1902-12-21T14:55:00"/>
    <n v="1086.6215277777737"/>
    <m/>
    <m/>
    <n v="0"/>
    <n v="6202"/>
    <n v="21"/>
    <n v="22.218956649621237"/>
    <n v="22056"/>
    <n v="3165"/>
    <n v="16"/>
    <n v="16.928728875901896"/>
    <n v="9861"/>
    <n v="37"/>
    <n v="31917"/>
    <n v="1.631153563563464"/>
    <n v="39.14768552552313"/>
    <n v="14288.905216815943"/>
    <n v="1.223862187526966"/>
    <n v="29.372692500647183"/>
    <n v="10721.032762736222"/>
  </r>
  <r>
    <d v="2023-12-10T08:35:00"/>
    <x v="3"/>
    <s v=""/>
    <x v="0"/>
    <x v="18"/>
    <x v="1"/>
    <s v="12/2023"/>
    <s v="10/12/2023"/>
    <d v="1899-12-31T00:40:00"/>
    <n v="1.0277777777810115"/>
    <d v="1902-12-22T15:35:00"/>
    <n v="1087.6493055555547"/>
    <m/>
    <m/>
    <n v="0"/>
    <n v="6231"/>
    <n v="29"/>
    <n v="28.216216216127439"/>
    <n v="22085"/>
    <n v="3170"/>
    <n v="5"/>
    <n v="4.864864864849558"/>
    <n v="9866"/>
    <n v="34"/>
    <n v="31951"/>
    <n v="1.3783783783740415"/>
    <n v="33.081081080976993"/>
    <n v="12074.594594556602"/>
    <n v="1.224008198108179"/>
    <n v="29.376196754596293"/>
    <n v="10722.311815427647"/>
  </r>
  <r>
    <d v="2023-12-11T07:27:00"/>
    <x v="3"/>
    <s v=""/>
    <x v="0"/>
    <x v="19"/>
    <x v="2"/>
    <s v="12/2023"/>
    <s v="11/12/2023"/>
    <d v="1899-12-30T22:52:00"/>
    <n v="0.95277777777664596"/>
    <d v="1902-12-23T14:27:00"/>
    <n v="1088.6020833333314"/>
    <m/>
    <m/>
    <n v="0"/>
    <n v="6256"/>
    <n v="25"/>
    <n v="26.239067055424755"/>
    <n v="22110"/>
    <n v="3173"/>
    <n v="3"/>
    <n v="3.1486880466509706"/>
    <n v="9869"/>
    <n v="28"/>
    <n v="31979"/>
    <n v="1.224489795919822"/>
    <n v="29.387755102075726"/>
    <n v="10726.53061225764"/>
    <n v="1.2240086196172866"/>
    <n v="29.37620687081488"/>
    <n v="10722.315507847432"/>
  </r>
  <r>
    <d v="2023-12-12T07:24:00"/>
    <x v="3"/>
    <s v=""/>
    <x v="0"/>
    <x v="20"/>
    <x v="3"/>
    <s v="12/2023"/>
    <s v="12/12/2023"/>
    <d v="1899-12-30T23:57:00"/>
    <n v="0.99791666666715173"/>
    <d v="1902-12-24T14:24:00"/>
    <n v="1089.5999999999985"/>
    <m/>
    <m/>
    <n v="0"/>
    <n v="6275"/>
    <n v="19"/>
    <n v="19.039665970763188"/>
    <n v="22129"/>
    <n v="3178"/>
    <n v="5"/>
    <n v="5.0104384133587336"/>
    <n v="9874"/>
    <n v="24"/>
    <n v="32003"/>
    <n v="1.0020876826717466"/>
    <n v="24.050104384121923"/>
    <n v="8778.2881002045015"/>
    <n v="1.2238053720019595"/>
    <n v="29.371328928047028"/>
    <n v="10720.535058737165"/>
  </r>
  <r>
    <d v="2023-12-13T07:40:00"/>
    <x v="3"/>
    <s v=""/>
    <x v="0"/>
    <x v="21"/>
    <x v="4"/>
    <s v="12/2023"/>
    <s v="13/12/2023"/>
    <d v="1899-12-31T00:16:00"/>
    <n v="1.0111111111109494"/>
    <d v="1902-12-25T14:40:00"/>
    <n v="1090.6111111111095"/>
    <m/>
    <m/>
    <n v="0"/>
    <n v="6292"/>
    <n v="17"/>
    <n v="16.813186813189503"/>
    <n v="22146"/>
    <n v="3185"/>
    <n v="7"/>
    <n v="6.92307692307803"/>
    <n v="9881"/>
    <n v="24"/>
    <n v="32027"/>
    <n v="0.98901098901114715"/>
    <n v="23.736263736267531"/>
    <n v="8663.7362637376482"/>
    <n v="1.2235876929346461"/>
    <n v="29.366104630431504"/>
    <n v="10718.6281901075"/>
  </r>
  <r>
    <d v="2023-12-14T08:21:00"/>
    <x v="3"/>
    <s v=""/>
    <x v="0"/>
    <x v="22"/>
    <x v="0"/>
    <s v="12/2023"/>
    <s v="14/12/2023"/>
    <d v="1899-12-31T00:41:00"/>
    <n v="1.0284722222204437"/>
    <d v="1902-12-26T15:21:00"/>
    <n v="1091.6395833333299"/>
    <m/>
    <m/>
    <n v="0"/>
    <n v="6328"/>
    <n v="36"/>
    <n v="35.003376097292133"/>
    <n v="22182"/>
    <n v="3201"/>
    <n v="16"/>
    <n v="15.557056043240948"/>
    <n v="9897"/>
    <n v="52"/>
    <n v="32079"/>
    <n v="2.1066846725222117"/>
    <n v="50.560432140533081"/>
    <n v="18454.557731294575"/>
    <n v="1.2244196898014683"/>
    <n v="29.386072555235241"/>
    <n v="10725.916482660863"/>
  </r>
  <r>
    <d v="2023-12-15T08:16:00"/>
    <x v="3"/>
    <s v=""/>
    <x v="0"/>
    <x v="23"/>
    <x v="5"/>
    <s v="12/2023"/>
    <s v="15/12/2023"/>
    <d v="1899-12-30T23:55:00"/>
    <n v="0.99652777778101154"/>
    <d v="1902-12-27T15:16:00"/>
    <n v="1092.6361111111109"/>
    <m/>
    <m/>
    <n v="0"/>
    <n v="6361"/>
    <n v="33"/>
    <n v="33.114982578289755"/>
    <n v="22215"/>
    <n v="3215"/>
    <n v="14"/>
    <n v="14.04878048775929"/>
    <n v="9911"/>
    <n v="47"/>
    <n v="32126"/>
    <n v="1.9651567944187101"/>
    <n v="47.163763066049043"/>
    <n v="17214.773519107901"/>
    <n v="1.2250952716290116"/>
    <n v="29.402286519096279"/>
    <n v="10731.834579470142"/>
  </r>
  <r>
    <d v="2023-12-16T10:19:00"/>
    <x v="3"/>
    <s v=""/>
    <x v="0"/>
    <x v="24"/>
    <x v="6"/>
    <s v="12/2023"/>
    <s v="16/12/2023"/>
    <d v="1899-12-31T02:03:00"/>
    <n v="1.085416666661331"/>
    <d v="1902-12-28T17:19:00"/>
    <n v="1093.7215277777723"/>
    <m/>
    <m/>
    <n v="0"/>
    <n v="6396"/>
    <n v="35"/>
    <n v="32.245681382116288"/>
    <n v="22250"/>
    <n v="3236"/>
    <n v="21"/>
    <n v="19.347408829269771"/>
    <n v="9932"/>
    <n v="56"/>
    <n v="32182"/>
    <n v="2.1497120921410859"/>
    <n v="51.593090211386063"/>
    <n v="18831.477927155913"/>
    <n v="1.2260128676365605"/>
    <n v="29.424308823277453"/>
    <n v="10739.872720496271"/>
  </r>
  <r>
    <d v="2023-12-17T10:14:00"/>
    <x v="3"/>
    <s v=""/>
    <x v="0"/>
    <x v="0"/>
    <x v="1"/>
    <s v="12/2023"/>
    <s v="17/12/2023"/>
    <d v="1899-12-30T23:55:00"/>
    <n v="0.99652777778101154"/>
    <d v="1902-12-29T17:14:00"/>
    <n v="1094.7180555555533"/>
    <m/>
    <m/>
    <n v="0"/>
    <n v="6430"/>
    <n v="34"/>
    <n v="34.118466898843991"/>
    <n v="22284"/>
    <n v="3258"/>
    <n v="22"/>
    <n v="22.076655052193168"/>
    <n v="9954"/>
    <n v="56"/>
    <n v="32238"/>
    <n v="2.3414634146265483"/>
    <n v="56.195121951037159"/>
    <n v="20511.219512128562"/>
    <n v="1.2270282683136349"/>
    <n v="29.448678439527235"/>
    <n v="10748.767630427441"/>
  </r>
  <r>
    <d v="2023-12-18T07:50:00"/>
    <x v="3"/>
    <s v=""/>
    <x v="0"/>
    <x v="25"/>
    <x v="2"/>
    <s v="12/2023"/>
    <s v="18/12/2023"/>
    <d v="1899-12-30T21:36:00"/>
    <n v="0.90000000000145519"/>
    <d v="1902-12-30T14:50:00"/>
    <n v="1095.6180555555547"/>
    <m/>
    <m/>
    <n v="0"/>
    <n v="6468"/>
    <n v="38"/>
    <n v="42.222222222153952"/>
    <n v="22322"/>
    <n v="3280"/>
    <n v="22"/>
    <n v="24.444444444404922"/>
    <n v="9976"/>
    <n v="60"/>
    <n v="32298"/>
    <n v="2.7777777777732866"/>
    <n v="66.666666666558868"/>
    <n v="24333.333333293987"/>
    <n v="1.2283021379358439"/>
    <n v="29.479251310460253"/>
    <n v="10759.926728317992"/>
  </r>
  <r>
    <d v="2023-12-19T07:13:00"/>
    <x v="3"/>
    <s v=""/>
    <x v="0"/>
    <x v="26"/>
    <x v="3"/>
    <s v="12/2023"/>
    <s v="19/12/2023"/>
    <d v="1899-12-30T23:23:00"/>
    <n v="0.97430555555183673"/>
    <d v="1902-12-31T14:13:00"/>
    <n v="1096.5923611111066"/>
    <m/>
    <m/>
    <n v="0"/>
    <n v="6514"/>
    <n v="46"/>
    <n v="47.213114754278571"/>
    <n v="22368"/>
    <n v="3301"/>
    <n v="21"/>
    <n v="21.553813257388043"/>
    <n v="9997"/>
    <n v="67"/>
    <n v="32365"/>
    <n v="2.8652886671527753"/>
    <n v="68.766928011666607"/>
    <n v="25099.928724258312"/>
    <n v="1.2297565754518627"/>
    <n v="29.514157810844701"/>
    <n v="10772.667600958315"/>
  </r>
  <r>
    <d v="2023-12-20T07:35:00"/>
    <x v="3"/>
    <s v=""/>
    <x v="0"/>
    <x v="27"/>
    <x v="4"/>
    <s v="12/2023"/>
    <s v="20/12/2023"/>
    <d v="1899-12-31T00:22:00"/>
    <n v="1.015277777776646"/>
    <d v="1903-01-01T14:35:00"/>
    <n v="1097.6076388888832"/>
    <m/>
    <m/>
    <n v="0"/>
    <n v="6556"/>
    <n v="42"/>
    <n v="41.367989056133666"/>
    <n v="22410"/>
    <n v="3318"/>
    <n v="17"/>
    <n v="16.744186046530295"/>
    <n v="10014"/>
    <n v="59"/>
    <n v="32424"/>
    <n v="2.4213406292776649"/>
    <n v="58.112175102663961"/>
    <n v="21210.943912472347"/>
    <n v="1.230858780618207"/>
    <n v="29.540610734836967"/>
    <n v="10782.322918215494"/>
  </r>
  <r>
    <d v="2023-12-21T08:28:00"/>
    <x v="3"/>
    <s v=""/>
    <x v="0"/>
    <x v="28"/>
    <x v="0"/>
    <s v="12/2023"/>
    <s v="21/12/2023"/>
    <d v="1899-12-31T00:53:00"/>
    <n v="1.0368055555591127"/>
    <d v="1903-01-02T15:28:00"/>
    <n v="1098.6444444444423"/>
    <m/>
    <m/>
    <n v="0"/>
    <n v="6586"/>
    <n v="30"/>
    <n v="28.935030140557124"/>
    <n v="22440"/>
    <n v="3333"/>
    <n v="15"/>
    <n v="14.467515070278562"/>
    <n v="10029"/>
    <n v="45"/>
    <n v="32469"/>
    <n v="1.8084393837848203"/>
    <n v="43.40254521083569"/>
    <n v="15841.929001955026"/>
    <n v="1.2314038512105852"/>
    <n v="29.553692429054042"/>
    <n v="10787.097736604725"/>
  </r>
  <r>
    <d v="2023-12-22T07:48:00"/>
    <x v="3"/>
    <s v=""/>
    <x v="0"/>
    <x v="29"/>
    <x v="5"/>
    <s v="12/2023"/>
    <s v="22/12/2023"/>
    <d v="1899-12-30T23:20:00"/>
    <n v="0.97222222221898846"/>
    <d v="1903-01-03T14:48:00"/>
    <n v="1099.6166666666613"/>
    <m/>
    <m/>
    <n v="0"/>
    <n v="6612"/>
    <n v="26"/>
    <n v="26.742857142946093"/>
    <n v="22466"/>
    <n v="3346"/>
    <n v="13"/>
    <n v="13.371428571473047"/>
    <n v="10042"/>
    <n v="39"/>
    <n v="32508"/>
    <n v="1.6714285714341308"/>
    <n v="40.11428571441914"/>
    <n v="14641.714285762986"/>
    <n v="1.2317928975249011"/>
    <n v="29.563029540597626"/>
    <n v="10790.505782318134"/>
  </r>
  <r>
    <d v="2023-12-23T07:16:00"/>
    <x v="3"/>
    <s v=""/>
    <x v="0"/>
    <x v="30"/>
    <x v="6"/>
    <s v="12/2023"/>
    <s v="23/12/2023"/>
    <d v="1899-12-30T23:28:00"/>
    <n v="0.97777777777810115"/>
    <d v="1903-01-04T14:16:00"/>
    <n v="1100.5944444444394"/>
    <m/>
    <m/>
    <n v="0"/>
    <n v="6640"/>
    <n v="28"/>
    <n v="28.636363636354165"/>
    <n v="22494"/>
    <n v="3360"/>
    <n v="14"/>
    <n v="14.318181818177083"/>
    <n v="10056"/>
    <n v="42"/>
    <n v="32550"/>
    <n v="1.7897727272721353"/>
    <n v="42.95454545453125"/>
    <n v="15678.409090903906"/>
    <n v="1.2322886117098393"/>
    <n v="29.574926681036139"/>
    <n v="10794.84823857819"/>
  </r>
  <r>
    <d v="2023-12-24T07:21:00"/>
    <x v="3"/>
    <s v=""/>
    <x v="0"/>
    <x v="1"/>
    <x v="1"/>
    <s v="12/2023"/>
    <s v="24/12/2023"/>
    <d v="1899-12-31T00:05:00"/>
    <n v="1.0034722222262644"/>
    <d v="1903-01-05T14:21:00"/>
    <n v="1101.5979166666657"/>
    <m/>
    <m/>
    <n v="0"/>
    <n v="6670"/>
    <n v="30"/>
    <n v="29.896193771505871"/>
    <n v="22524"/>
    <n v="3375"/>
    <n v="15"/>
    <n v="14.948096885752935"/>
    <n v="10071"/>
    <n v="45"/>
    <n v="32595"/>
    <n v="1.8685121107191169"/>
    <n v="44.844290657258803"/>
    <n v="16368.166089899463"/>
    <n v="1.2328681631039768"/>
    <n v="29.588835914495448"/>
    <n v="10799.925108790838"/>
  </r>
  <r>
    <d v="2023-12-25T20:51:00"/>
    <x v="3"/>
    <s v=""/>
    <x v="0"/>
    <x v="2"/>
    <x v="2"/>
    <s v="12/2023"/>
    <s v="25/12/2023"/>
    <d v="1899-12-31T13:30:00"/>
    <n v="1.5625"/>
    <d v="1903-01-07T03:51:00"/>
    <n v="1103.1604166666657"/>
    <m/>
    <m/>
    <n v="0"/>
    <n v="6685"/>
    <n v="15"/>
    <n v="9.6"/>
    <n v="22539"/>
    <n v="3378"/>
    <n v="3"/>
    <n v="1.92"/>
    <n v="10074"/>
    <n v="18"/>
    <n v="32613"/>
    <n v="0.48"/>
    <n v="11.52"/>
    <n v="4204.8"/>
    <n v="1.2318018118398475"/>
    <n v="29.563243484156342"/>
    <n v="10790.583871717065"/>
  </r>
  <r>
    <d v="2023-12-26T08:02:00"/>
    <x v="3"/>
    <s v=""/>
    <x v="0"/>
    <x v="3"/>
    <x v="3"/>
    <s v="12/2023"/>
    <s v="26/12/2023"/>
    <d v="1899-12-30T11:11:00"/>
    <n v="0.46597222222044365"/>
    <d v="1903-01-07T15:02:00"/>
    <n v="1103.6263888888861"/>
    <m/>
    <m/>
    <n v="0"/>
    <n v="6695"/>
    <n v="10"/>
    <n v="21.460506706490257"/>
    <n v="22549"/>
    <n v="3396"/>
    <n v="18"/>
    <n v="38.628912071682464"/>
    <n v="10092"/>
    <n v="28"/>
    <n v="32641"/>
    <n v="2.5037257824238637"/>
    <n v="60.089418778172721"/>
    <n v="21932.637854033044"/>
    <n v="1.2323388425279822"/>
    <n v="29.576132220671571"/>
    <n v="10795.288260545123"/>
  </r>
  <r>
    <d v="2023-12-27T07:59:00"/>
    <x v="3"/>
    <s v=""/>
    <x v="0"/>
    <x v="4"/>
    <x v="4"/>
    <s v="12/2023"/>
    <s v="27/12/2023"/>
    <d v="1899-12-30T23:57:00"/>
    <n v="0.99791666666715173"/>
    <d v="1903-01-08T14:59:00"/>
    <n v="1104.6243055555533"/>
    <m/>
    <m/>
    <n v="0"/>
    <n v="6727"/>
    <n v="32"/>
    <n v="32.066805845495892"/>
    <n v="22581"/>
    <n v="3411"/>
    <n v="15"/>
    <n v="15.031315240076202"/>
    <n v="10107"/>
    <n v="47"/>
    <n v="32688"/>
    <n v="1.9624217118988374"/>
    <n v="47.098121085572096"/>
    <n v="17190.814196233816"/>
    <n v="1.2329983987768616"/>
    <n v="29.591961570644681"/>
    <n v="10801.065973285309"/>
  </r>
  <r>
    <d v="2023-12-28T07:29:00"/>
    <x v="3"/>
    <s v=""/>
    <x v="0"/>
    <x v="5"/>
    <x v="0"/>
    <s v="12/2023"/>
    <s v="28/12/2023"/>
    <d v="1899-12-30T23:30:00"/>
    <n v="0.97916666666424135"/>
    <d v="1903-01-09T14:29:00"/>
    <n v="1105.6034722222175"/>
    <m/>
    <m/>
    <n v="0"/>
    <n v="6761"/>
    <n v="34"/>
    <n v="34.723404255405157"/>
    <n v="22615"/>
    <n v="3426"/>
    <n v="15"/>
    <n v="15.319148936208157"/>
    <n v="10122"/>
    <n v="49"/>
    <n v="32737"/>
    <n v="2.0851063829838878"/>
    <n v="50.042553191613315"/>
    <n v="18265.53191493886"/>
    <n v="1.2337530596977948"/>
    <n v="29.610073432747072"/>
    <n v="10807.676802952681"/>
  </r>
  <r>
    <d v="2023-12-29T08:05:00"/>
    <x v="3"/>
    <s v=""/>
    <x v="0"/>
    <x v="6"/>
    <x v="5"/>
    <s v="12/2023"/>
    <s v="29/12/2023"/>
    <d v="1899-12-31T00:36:00"/>
    <n v="1.0250000000014552"/>
    <d v="1903-01-10T15:05:00"/>
    <n v="1106.628472222219"/>
    <m/>
    <m/>
    <n v="0"/>
    <n v="6793"/>
    <n v="32"/>
    <n v="31.21951219507763"/>
    <n v="22647"/>
    <n v="3439"/>
    <n v="13"/>
    <n v="12.682926829250286"/>
    <n v="10135"/>
    <n v="45"/>
    <n v="32782"/>
    <n v="1.8292682926803299"/>
    <n v="43.902439024327919"/>
    <n v="16024.39024387969"/>
    <n v="1.2343046478135262"/>
    <n v="29.623311547524629"/>
    <n v="10812.50871484649"/>
  </r>
  <r>
    <d v="2023-12-30T07:34:00"/>
    <x v="3"/>
    <s v=""/>
    <x v="0"/>
    <x v="7"/>
    <x v="6"/>
    <s v="12/2023"/>
    <s v="30/12/2023"/>
    <d v="1899-12-30T23:29:00"/>
    <n v="0.97847222222480923"/>
    <d v="1903-01-11T14:34:00"/>
    <n v="1107.6069444444438"/>
    <m/>
    <m/>
    <n v="0"/>
    <n v="6820"/>
    <n v="27"/>
    <n v="27.594038324980271"/>
    <n v="22674"/>
    <n v="3453"/>
    <n v="14"/>
    <n v="14.308019872211993"/>
    <n v="10149"/>
    <n v="41"/>
    <n v="32823"/>
    <n v="1.7459190915496778"/>
    <n v="41.902058197192268"/>
    <n v="15294.251241975178"/>
    <n v="1.2347566136703636"/>
    <n v="29.634158728088728"/>
    <n v="10816.467935752386"/>
  </r>
  <r>
    <d v="2023-12-31T08:22:00"/>
    <x v="3"/>
    <n v="2023"/>
    <x v="0"/>
    <x v="8"/>
    <x v="1"/>
    <s v="12/2023"/>
    <s v="31/12/2023"/>
    <d v="1899-12-31T00:48:00"/>
    <n v="1.0333333333328483"/>
    <d v="1903-01-12T15:22:00"/>
    <n v="1108.6402777777766"/>
    <m/>
    <m/>
    <n v="0"/>
    <n v="6853"/>
    <n v="33"/>
    <n v="31.935483870982733"/>
    <n v="22707"/>
    <n v="3467"/>
    <n v="14"/>
    <n v="13.548387096780553"/>
    <n v="10163"/>
    <n v="47"/>
    <n v="32870"/>
    <n v="1.8951612903234702"/>
    <n v="45.483870967763288"/>
    <n v="16601.612903233599"/>
    <n v="1.2353721588382178"/>
    <n v="29.648931812117226"/>
    <n v="10821.860111422788"/>
  </r>
  <r>
    <d v="2024-01-01T13:16:00"/>
    <x v="4"/>
    <s v=""/>
    <x v="1"/>
    <x v="9"/>
    <x v="2"/>
    <s v="1/2024"/>
    <s v="1/1/2024"/>
    <d v="1899-12-31T04:54:00"/>
    <n v="1.2041666666627862"/>
    <d v="1903-01-13T20:16:00"/>
    <n v="1109.8444444444394"/>
    <m/>
    <m/>
    <n v="0"/>
    <n v="6894"/>
    <n v="41"/>
    <n v="34.048442906684116"/>
    <n v="22748"/>
    <n v="3489"/>
    <n v="22"/>
    <n v="18.269896193830501"/>
    <n v="10185"/>
    <n v="63"/>
    <n v="32933"/>
    <n v="2.179930795854776"/>
    <n v="52.318339100514621"/>
    <n v="19096.193771687838"/>
    <n v="1.2363969925715372"/>
    <n v="29.673527821716892"/>
    <n v="10830.837654926665"/>
  </r>
  <r>
    <d v="2024-01-02T07:56:00"/>
    <x v="4"/>
    <s v=""/>
    <x v="1"/>
    <x v="10"/>
    <x v="3"/>
    <s v="1/2024"/>
    <s v="2/1/2024"/>
    <d v="1899-12-30T18:40:00"/>
    <n v="0.77777777778101154"/>
    <d v="1903-01-14T14:56:00"/>
    <n v="1110.6222222222204"/>
    <m/>
    <m/>
    <n v="0"/>
    <n v="6911"/>
    <n v="17"/>
    <n v="21.857142857051983"/>
    <n v="22765"/>
    <n v="3503"/>
    <n v="14"/>
    <n v="17.999999999925162"/>
    <n v="10199"/>
    <n v="31"/>
    <n v="32964"/>
    <n v="1.6607142857073809"/>
    <n v="39.857142856977141"/>
    <n v="14547.857142796656"/>
    <n v="1.2366941454239886"/>
    <n v="29.680659490175724"/>
    <n v="10833.440713914139"/>
  </r>
  <r>
    <d v="2024-01-03T07:51:00"/>
    <x v="4"/>
    <s v=""/>
    <x v="1"/>
    <x v="11"/>
    <x v="4"/>
    <s v="1/2024"/>
    <s v="3/1/2024"/>
    <d v="1899-12-30T23:55:00"/>
    <n v="0.99652777777373558"/>
    <d v="1903-01-15T14:51:00"/>
    <n v="1111.6187499999942"/>
    <m/>
    <m/>
    <n v="0"/>
    <n v="6942"/>
    <n v="31"/>
    <n v="31.108013937408412"/>
    <n v="22796"/>
    <n v="3516"/>
    <n v="13"/>
    <n v="13.045296167300302"/>
    <n v="10212"/>
    <n v="44"/>
    <n v="33008"/>
    <n v="1.8397212543628632"/>
    <n v="44.153310104708716"/>
    <n v="16115.958188218681"/>
    <n v="1.2372347383789095"/>
    <n v="29.693633721093832"/>
    <n v="10838.176308199249"/>
  </r>
  <r>
    <d v="2024-01-04T07:56:00"/>
    <x v="4"/>
    <s v=""/>
    <x v="1"/>
    <x v="12"/>
    <x v="0"/>
    <s v="1/2024"/>
    <s v="4/1/2024"/>
    <d v="1899-12-31T00:05:00"/>
    <n v="1.0034722222262644"/>
    <d v="1903-01-16T14:56:00"/>
    <n v="1112.6222222222204"/>
    <m/>
    <m/>
    <n v="0"/>
    <n v="6972"/>
    <n v="30"/>
    <n v="29.896193771505871"/>
    <n v="22826"/>
    <n v="3532"/>
    <n v="16"/>
    <n v="15.944636678136463"/>
    <n v="10228"/>
    <n v="46"/>
    <n v="33054"/>
    <n v="1.9100346020684305"/>
    <n v="45.840830449642333"/>
    <n v="16731.90311411945"/>
    <n v="1.2378415355117061"/>
    <n v="29.708196852280945"/>
    <n v="10843.491851082545"/>
  </r>
  <r>
    <d v="2024-01-05T07:46:00"/>
    <x v="4"/>
    <s v=""/>
    <x v="1"/>
    <x v="13"/>
    <x v="5"/>
    <s v="1/2024"/>
    <s v="5/1/2024"/>
    <d v="1899-12-30T23:50:00"/>
    <n v="0.99305555555474712"/>
    <d v="1903-01-17T14:46:00"/>
    <n v="1113.6152777777752"/>
    <m/>
    <m/>
    <n v="0"/>
    <n v="7002"/>
    <n v="30"/>
    <n v="30.209790209814802"/>
    <n v="22856"/>
    <n v="3546"/>
    <n v="14"/>
    <n v="14.097902097913575"/>
    <n v="10242"/>
    <n v="44"/>
    <n v="33098"/>
    <n v="1.8461538461553491"/>
    <n v="44.307692307728381"/>
    <n v="16172.307692320859"/>
    <n v="1.2383839920778574"/>
    <n v="29.721215809868578"/>
    <n v="10848.243770602032"/>
  </r>
  <r>
    <d v="2024-01-06T08:15:00"/>
    <x v="4"/>
    <s v=""/>
    <x v="1"/>
    <x v="14"/>
    <x v="6"/>
    <s v="1/2024"/>
    <s v="6/1/2024"/>
    <d v="1899-12-31T00:29:00"/>
    <n v="1.0201388888890506"/>
    <d v="1903-01-18T15:15:00"/>
    <n v="1114.6354166666642"/>
    <m/>
    <m/>
    <n v="0"/>
    <n v="7037"/>
    <n v="35"/>
    <n v="34.30905377807489"/>
    <n v="22891"/>
    <n v="3566"/>
    <n v="20"/>
    <n v="19.605173587471366"/>
    <n v="10262"/>
    <n v="55"/>
    <n v="33153"/>
    <n v="2.2464261402310939"/>
    <n v="53.914227365546253"/>
    <n v="19678.692988424384"/>
    <n v="1.2393065744591401"/>
    <n v="29.743357787019363"/>
    <n v="10856.325592262068"/>
  </r>
  <r>
    <d v="2024-01-07T07:44:00"/>
    <x v="4"/>
    <s v=""/>
    <x v="1"/>
    <x v="15"/>
    <x v="1"/>
    <s v="1/2024"/>
    <s v="7/1/2024"/>
    <d v="1899-12-30T23:29:00"/>
    <n v="0.97847222222480923"/>
    <d v="1903-01-19T14:44:00"/>
    <n v="1115.6138888888891"/>
    <m/>
    <m/>
    <n v="0"/>
    <n v="7074"/>
    <n v="37"/>
    <n v="37.814052519417409"/>
    <n v="22928"/>
    <n v="3586"/>
    <n v="20"/>
    <n v="20.440028388874275"/>
    <n v="10282"/>
    <n v="57"/>
    <n v="33210"/>
    <n v="2.4272533711788205"/>
    <n v="58.254080908291684"/>
    <n v="21262.739531526466"/>
    <n v="1.2403484877533792"/>
    <n v="29.768363706081104"/>
    <n v="10865.452752719602"/>
  </r>
  <r>
    <d v="2024-01-08T07:38:00"/>
    <x v="4"/>
    <s v=""/>
    <x v="1"/>
    <x v="16"/>
    <x v="2"/>
    <s v="1/2024"/>
    <s v="8/1/2024"/>
    <d v="1899-12-30T23:54:00"/>
    <n v="0.99583333333430346"/>
    <d v="1903-01-20T14:38:00"/>
    <n v="1116.6097222222234"/>
    <m/>
    <m/>
    <n v="0"/>
    <n v="7118"/>
    <n v="44"/>
    <n v="44.184100418366995"/>
    <n v="22972"/>
    <n v="3607"/>
    <n v="21"/>
    <n v="21.087866108766068"/>
    <n v="10303"/>
    <n v="65"/>
    <n v="33275"/>
    <n v="2.7196652719638776"/>
    <n v="65.27196652713306"/>
    <n v="23824.267782403567"/>
    <n v="1.2416677964921083"/>
    <n v="29.8000271158106"/>
    <n v="10877.009897270869"/>
  </r>
  <r>
    <d v="2024-01-09T07:27:00"/>
    <x v="4"/>
    <s v=""/>
    <x v="1"/>
    <x v="17"/>
    <x v="3"/>
    <s v="1/2024"/>
    <s v="9/1/2024"/>
    <d v="1899-12-30T23:49:00"/>
    <n v="0.99236111110803904"/>
    <d v="1903-01-21T14:27:00"/>
    <n v="1117.6020833333314"/>
    <m/>
    <m/>
    <n v="0"/>
    <n v="7170"/>
    <n v="52"/>
    <n v="52.400279916187408"/>
    <n v="23024"/>
    <n v="3633"/>
    <n v="26"/>
    <n v="26.200139958093704"/>
    <n v="10329"/>
    <n v="78"/>
    <n v="33353"/>
    <n v="3.275017494761713"/>
    <n v="78.600419874281116"/>
    <n v="28689.153254112607"/>
    <n v="1.2434732845060783"/>
    <n v="29.843358828145877"/>
    <n v="10892.825972273245"/>
  </r>
  <r>
    <d v="2024-01-10T07:49:00"/>
    <x v="4"/>
    <s v=""/>
    <x v="1"/>
    <x v="18"/>
    <x v="4"/>
    <s v="1/2024"/>
    <s v="10/1/2024"/>
    <d v="1899-12-31T00:22:00"/>
    <n v="1.015277777776646"/>
    <d v="1903-01-22T14:49:00"/>
    <n v="1118.617361111108"/>
    <m/>
    <m/>
    <n v="0"/>
    <n v="7226"/>
    <n v="56"/>
    <n v="55.15731874151156"/>
    <n v="23080"/>
    <n v="3659"/>
    <n v="26"/>
    <n v="25.608755129987507"/>
    <n v="10355"/>
    <n v="82"/>
    <n v="33435"/>
    <n v="3.3652530779791276"/>
    <n v="80.76607387149906"/>
    <n v="29479.616963097156"/>
    <n v="1.2453990510358495"/>
    <n v="29.889577224860385"/>
    <n v="10909.695687074041"/>
  </r>
  <r>
    <d v="2024-01-11T08:13:00"/>
    <x v="4"/>
    <s v=""/>
    <x v="1"/>
    <x v="19"/>
    <x v="0"/>
    <s v="1/2024"/>
    <s v="11/1/2024"/>
    <d v="1899-12-31T00:24:00"/>
    <n v="1.0166666666700621"/>
    <d v="1903-01-23T15:13:00"/>
    <n v="1119.6340277777781"/>
    <m/>
    <m/>
    <n v="0"/>
    <n v="7283"/>
    <n v="57"/>
    <n v="56.065573770304553"/>
    <n v="23137"/>
    <n v="3685"/>
    <n v="26"/>
    <n v="25.573770491717866"/>
    <n v="10381"/>
    <n v="83"/>
    <n v="33518"/>
    <n v="3.4016393442509343"/>
    <n v="81.639344262022419"/>
    <n v="29798.360655638182"/>
    <n v="1.2473569922711596"/>
    <n v="29.936567814507832"/>
    <n v="10926.847252295358"/>
  </r>
  <r>
    <d v="2024-01-12T07:44:00"/>
    <x v="4"/>
    <s v=""/>
    <x v="1"/>
    <x v="20"/>
    <x v="5"/>
    <s v="1/2024"/>
    <s v="12/1/2024"/>
    <d v="1899-12-30T23:31:00"/>
    <n v="0.97986111111094942"/>
    <d v="1903-01-24T14:44:00"/>
    <n v="1120.6138888888891"/>
    <m/>
    <m/>
    <n v="0"/>
    <n v="7329"/>
    <n v="46"/>
    <n v="46.945428773926956"/>
    <n v="23183"/>
    <n v="3712"/>
    <n v="27"/>
    <n v="27.554925584696257"/>
    <n v="10408"/>
    <n v="73"/>
    <n v="33591"/>
    <n v="3.1041814316093004"/>
    <n v="74.500354358623213"/>
    <n v="27192.629340897474"/>
    <n v="1.2489805934743108"/>
    <n v="29.975534243383457"/>
    <n v="10941.069998834962"/>
  </r>
  <r>
    <d v="2024-01-13T08:12:00"/>
    <x v="4"/>
    <s v=""/>
    <x v="1"/>
    <x v="21"/>
    <x v="6"/>
    <s v="1/2024"/>
    <s v="13/1/2024"/>
    <d v="1899-12-31T00:28:00"/>
    <n v="1.0194444444423425"/>
    <d v="1903-01-25T15:12:00"/>
    <n v="1121.6333333333314"/>
    <m/>
    <m/>
    <n v="0"/>
    <n v="7383"/>
    <n v="54"/>
    <n v="52.97002724806562"/>
    <n v="23237"/>
    <n v="3741"/>
    <n v="29"/>
    <n v="28.446866485072277"/>
    <n v="10437"/>
    <n v="83"/>
    <n v="33674"/>
    <n v="3.3923705722140789"/>
    <n v="81.416893733137897"/>
    <n v="29717.166212595333"/>
    <n v="1.250928705162117"/>
    <n v="30.022288923890805"/>
    <n v="10958.135457220144"/>
  </r>
  <r>
    <d v="2024-01-14T09:34:00"/>
    <x v="4"/>
    <s v=""/>
    <x v="1"/>
    <x v="22"/>
    <x v="1"/>
    <s v="1/2024"/>
    <s v="14/1/2024"/>
    <d v="1899-12-31T01:22:00"/>
    <n v="1.0569444444408873"/>
    <d v="1903-01-26T16:34:00"/>
    <n v="1122.6902777777723"/>
    <m/>
    <m/>
    <n v="0"/>
    <n v="7449"/>
    <n v="66"/>
    <n v="62.44415243122198"/>
    <n v="23303"/>
    <n v="3769"/>
    <n v="28"/>
    <n v="26.491458607185084"/>
    <n v="10465"/>
    <n v="94"/>
    <n v="33768"/>
    <n v="3.7056504599336275"/>
    <n v="88.93561103840706"/>
    <n v="32461.498029018578"/>
    <n v="1.2532396760262179"/>
    <n v="30.077752224629233"/>
    <n v="10978.37956198967"/>
  </r>
  <r>
    <d v="2024-01-15T07:06:00"/>
    <x v="4"/>
    <s v=""/>
    <x v="1"/>
    <x v="23"/>
    <x v="2"/>
    <s v="1/2024"/>
    <s v="15/1/2024"/>
    <d v="1899-12-30T21:32:00"/>
    <n v="0.89722222222189885"/>
    <d v="1903-01-27T14:06:00"/>
    <n v="1123.5874999999942"/>
    <m/>
    <m/>
    <n v="0"/>
    <n v="7487"/>
    <n v="38"/>
    <n v="42.352941176485857"/>
    <n v="23341"/>
    <n v="3792"/>
    <n v="23"/>
    <n v="25.634674922609857"/>
    <n v="10488"/>
    <n v="61"/>
    <n v="33829"/>
    <n v="2.8328173374623211"/>
    <n v="67.987616099095717"/>
    <n v="24815.479876169939"/>
    <n v="1.2545010216531192"/>
    <n v="30.10802451967486"/>
    <n v="10989.428949681324"/>
  </r>
  <r>
    <d v="2024-01-16T07:21:00"/>
    <x v="4"/>
    <s v=""/>
    <x v="1"/>
    <x v="24"/>
    <x v="3"/>
    <s v="1/2024"/>
    <s v="16/1/2024"/>
    <d v="1899-12-31T00:15:00"/>
    <n v="1.0104166666715173"/>
    <d v="1903-01-28T14:21:00"/>
    <n v="1124.5979166666657"/>
    <m/>
    <m/>
    <n v="0"/>
    <n v="7539"/>
    <n v="52"/>
    <n v="51.463917525526135"/>
    <n v="23393"/>
    <n v="3819"/>
    <n v="27"/>
    <n v="26.721649484407802"/>
    <n v="10515"/>
    <n v="79"/>
    <n v="33908"/>
    <n v="3.2577319587472475"/>
    <n v="78.185567009933933"/>
    <n v="28537.731958625885"/>
    <n v="1.2563008630862522"/>
    <n v="30.151220714070053"/>
    <n v="11005.19556063557"/>
  </r>
  <r>
    <d v="2024-01-17T07:46:00"/>
    <x v="4"/>
    <s v=""/>
    <x v="1"/>
    <x v="0"/>
    <x v="4"/>
    <s v="1/2024"/>
    <s v="17/1/2024"/>
    <d v="1899-12-31T00:25:00"/>
    <n v="1.0173611111094942"/>
    <d v="1903-01-29T14:46:00"/>
    <n v="1125.6152777777752"/>
    <m/>
    <m/>
    <n v="0"/>
    <n v="7593"/>
    <n v="54"/>
    <n v="53.078498293599715"/>
    <n v="23447"/>
    <n v="3838"/>
    <n v="19"/>
    <n v="18.675767918118417"/>
    <n v="10534"/>
    <n v="73"/>
    <n v="33981"/>
    <n v="2.989761092154922"/>
    <n v="71.754266211718132"/>
    <n v="26190.307167277118"/>
    <n v="1.2578676106771265"/>
    <n v="30.188822656251034"/>
    <n v="11018.920269531627"/>
  </r>
  <r>
    <d v="2024-01-18T07:54:00"/>
    <x v="4"/>
    <s v=""/>
    <x v="1"/>
    <x v="25"/>
    <x v="0"/>
    <s v="1/2024"/>
    <s v="18/1/2024"/>
    <d v="1899-12-31T00:08:00"/>
    <n v="1.0055555555591127"/>
    <d v="1903-01-30T14:54:00"/>
    <n v="1126.6208333333343"/>
    <m/>
    <m/>
    <n v="0"/>
    <n v="7623"/>
    <n v="30"/>
    <n v="29.834254143540871"/>
    <n v="23477"/>
    <n v="3850"/>
    <n v="12"/>
    <n v="11.933701657416348"/>
    <n v="10546"/>
    <n v="42"/>
    <n v="34023"/>
    <n v="1.7403314917065509"/>
    <n v="41.767955800957218"/>
    <n v="15245.303867349385"/>
    <n v="1.258298229587741"/>
    <n v="30.199157510105785"/>
    <n v="11022.692491188611"/>
  </r>
  <r>
    <d v="2024-01-19T07:17:00"/>
    <x v="4"/>
    <s v=""/>
    <x v="1"/>
    <x v="26"/>
    <x v="5"/>
    <s v="1/2024"/>
    <s v="19/1/2024"/>
    <d v="1899-12-30T23:23:00"/>
    <n v="0.97430555555183673"/>
    <d v="1903-01-31T14:17:00"/>
    <n v="1127.5951388888861"/>
    <m/>
    <m/>
    <n v="0"/>
    <n v="7663"/>
    <n v="40"/>
    <n v="41.05488239502484"/>
    <n v="23517"/>
    <n v="3876"/>
    <n v="26"/>
    <n v="26.685673556766147"/>
    <n v="10572"/>
    <n v="66"/>
    <n v="34089"/>
    <n v="2.8225231646579578"/>
    <n v="67.740555951790995"/>
    <n v="24725.302922403713"/>
    <n v="1.2596498078198655"/>
    <n v="30.231595387676773"/>
    <n v="11034.532316502022"/>
  </r>
  <r>
    <d v="2024-01-20T07:19:00"/>
    <x v="4"/>
    <s v=""/>
    <x v="1"/>
    <x v="27"/>
    <x v="6"/>
    <s v="1/2024"/>
    <s v="20/1/2024"/>
    <d v="1899-12-31T00:02:00"/>
    <n v="1.0013888888861402"/>
    <d v="1903-02-01T14:19:00"/>
    <n v="1128.5965277777723"/>
    <m/>
    <m/>
    <n v="0"/>
    <n v="7713"/>
    <n v="50"/>
    <n v="49.930651872536501"/>
    <n v="23567"/>
    <n v="3904"/>
    <n v="28"/>
    <n v="27.96116504862044"/>
    <n v="10600"/>
    <n v="78"/>
    <n v="34167"/>
    <n v="3.2454923717148723"/>
    <n v="77.891816921156945"/>
    <n v="28430.513176222285"/>
    <n v="1.2614118198672331"/>
    <n v="30.273883676813593"/>
    <n v="11049.967542036962"/>
  </r>
  <r>
    <d v="2024-01-21T08:14:00"/>
    <x v="4"/>
    <s v=""/>
    <x v="1"/>
    <x v="28"/>
    <x v="1"/>
    <s v="1/2024"/>
    <s v="21/1/2024"/>
    <d v="1899-12-31T00:55:00"/>
    <n v="1.0381944444452529"/>
    <d v="1903-02-02T15:14:00"/>
    <n v="1129.6347222222175"/>
    <m/>
    <m/>
    <n v="0"/>
    <n v="7775"/>
    <n v="62"/>
    <n v="59.719063545104"/>
    <n v="23629"/>
    <n v="3929"/>
    <n v="25"/>
    <n v="24.080267558509679"/>
    <n v="10625"/>
    <n v="87"/>
    <n v="34254"/>
    <n v="3.4916387959839033"/>
    <n v="83.799331103613682"/>
    <n v="30586.755852818995"/>
    <n v="1.2634615171816901"/>
    <n v="30.32307641236056"/>
    <n v="11067.922890511605"/>
  </r>
  <r>
    <d v="2024-01-22T07:47:00"/>
    <x v="4"/>
    <s v=""/>
    <x v="1"/>
    <x v="29"/>
    <x v="2"/>
    <s v="1/2024"/>
    <s v="22/1/2024"/>
    <d v="1899-12-30T23:33:00"/>
    <n v="0.98125000000436557"/>
    <d v="1903-02-03T14:47:00"/>
    <n v="1130.6159722222219"/>
    <m/>
    <m/>
    <n v="0"/>
    <n v="7812"/>
    <n v="37"/>
    <n v="37.707006369258991"/>
    <n v="23666"/>
    <n v="3945"/>
    <n v="16"/>
    <n v="16.30573248400389"/>
    <n v="10641"/>
    <n v="53"/>
    <n v="34307"/>
    <n v="2.2505307855526202"/>
    <n v="54.012738853262881"/>
    <n v="19714.649681440951"/>
    <n v="1.2643181844704863"/>
    <n v="30.343636427291671"/>
    <n v="11075.427295961459"/>
  </r>
  <r>
    <d v="2024-01-23T07:40:00"/>
    <x v="4"/>
    <s v=""/>
    <x v="1"/>
    <x v="30"/>
    <x v="3"/>
    <s v="1/2024"/>
    <s v="23/1/2024"/>
    <d v="1899-12-30T23:53:00"/>
    <n v="0.99513888888759539"/>
    <d v="1903-02-04T14:40:00"/>
    <n v="1131.6111111111095"/>
    <m/>
    <m/>
    <n v="0"/>
    <n v="7844"/>
    <n v="32"/>
    <n v="32.156315422233007"/>
    <n v="23698"/>
    <n v="3961"/>
    <n v="16"/>
    <n v="16.078157711116503"/>
    <n v="10657"/>
    <n v="48"/>
    <n v="34355"/>
    <n v="2.0097697138895629"/>
    <n v="48.23447313334951"/>
    <n v="17605.582693672572"/>
    <n v="1.2649737345966929"/>
    <n v="30.359369630320629"/>
    <n v="11081.16991506703"/>
  </r>
  <r>
    <d v="2024-01-24T07:36:00"/>
    <x v="4"/>
    <s v=""/>
    <x v="1"/>
    <x v="1"/>
    <x v="4"/>
    <s v="1/2024"/>
    <s v="24/1/2024"/>
    <d v="1899-12-30T23:56:00"/>
    <n v="0.99722222222044365"/>
    <d v="1903-02-05T14:36:00"/>
    <n v="1132.6083333333299"/>
    <m/>
    <m/>
    <n v="0"/>
    <n v="7871"/>
    <n v="27"/>
    <n v="27.075208913697313"/>
    <n v="23725"/>
    <n v="3975"/>
    <n v="14"/>
    <n v="14.038997214509719"/>
    <n v="10671"/>
    <n v="41"/>
    <n v="34396"/>
    <n v="1.7130919220086265"/>
    <n v="41.11420612820703"/>
    <n v="15006.685236795565"/>
    <n v="1.2653682870659946"/>
    <n v="30.36883888958387"/>
    <n v="11084.626194698112"/>
  </r>
  <r>
    <d v="2024-01-25T07:47:00"/>
    <x v="4"/>
    <s v=""/>
    <x v="1"/>
    <x v="2"/>
    <x v="0"/>
    <s v="1/2024"/>
    <s v="25/1/2024"/>
    <d v="1899-12-31T00:11:00"/>
    <n v="1.007638888891961"/>
    <d v="1903-02-06T14:47:00"/>
    <n v="1133.6159722222219"/>
    <m/>
    <m/>
    <n v="0"/>
    <n v="7895"/>
    <n v="24"/>
    <n v="23.818056512677213"/>
    <n v="23749"/>
    <n v="3985"/>
    <n v="10"/>
    <n v="9.9241902136155051"/>
    <n v="10681"/>
    <n v="34"/>
    <n v="34430"/>
    <n v="1.4059269469288631"/>
    <n v="33.74224672629272"/>
    <n v="12315.920055096843"/>
    <n v="1.2654932256477709"/>
    <n v="30.371837415546498"/>
    <n v="11085.720656674472"/>
  </r>
  <r>
    <d v="2024-01-26T07:32:00"/>
    <x v="4"/>
    <s v=""/>
    <x v="1"/>
    <x v="3"/>
    <x v="5"/>
    <s v="1/2024"/>
    <s v="26/1/2024"/>
    <d v="1899-12-30T23:45:00"/>
    <n v="0.98958333332848269"/>
    <d v="1903-02-07T14:32:00"/>
    <n v="1134.6055555555504"/>
    <m/>
    <m/>
    <n v="0"/>
    <n v="7914"/>
    <n v="19"/>
    <n v="19.200000000094114"/>
    <n v="23768"/>
    <n v="3997"/>
    <n v="12"/>
    <n v="12.126315789533123"/>
    <n v="10693"/>
    <n v="31"/>
    <n v="34461"/>
    <n v="1.3052631579011349"/>
    <n v="31.326315789627238"/>
    <n v="11434.105263213942"/>
    <n v="1.265527912294538"/>
    <n v="30.37266989506891"/>
    <n v="11086.024511700152"/>
  </r>
  <r>
    <d v="2024-01-27T07:17:00"/>
    <x v="4"/>
    <s v=""/>
    <x v="1"/>
    <x v="4"/>
    <x v="6"/>
    <s v="1/2024"/>
    <s v="27/1/2024"/>
    <d v="1899-12-30T23:45:00"/>
    <n v="0.98958333333575865"/>
    <d v="1903-02-08T14:17:00"/>
    <n v="1135.5951388888861"/>
    <m/>
    <m/>
    <n v="0"/>
    <n v="7940"/>
    <n v="26"/>
    <n v="26.273684210461923"/>
    <n v="23794"/>
    <n v="4013"/>
    <n v="16"/>
    <n v="16.168421052591953"/>
    <n v="10709"/>
    <n v="42"/>
    <n v="34503"/>
    <n v="1.7684210526272448"/>
    <n v="42.442105263053875"/>
    <n v="15491.368421014664"/>
    <n v="1.2659661447711308"/>
    <n v="30.383187474507139"/>
    <n v="11089.863428195105"/>
  </r>
  <r>
    <d v="2024-01-28T07:36:00"/>
    <x v="4"/>
    <s v=""/>
    <x v="1"/>
    <x v="5"/>
    <x v="1"/>
    <s v="1/2024"/>
    <s v="28/1/2024"/>
    <d v="1899-12-31T00:19:00"/>
    <n v="1.0131944444437977"/>
    <d v="1903-02-09T14:36:00"/>
    <n v="1136.6083333333299"/>
    <m/>
    <m/>
    <n v="0"/>
    <n v="7970"/>
    <n v="30"/>
    <n v="29.609321453068933"/>
    <n v="23824"/>
    <n v="4032"/>
    <n v="19"/>
    <n v="18.752570253610326"/>
    <n v="10728"/>
    <n v="49"/>
    <n v="34552"/>
    <n v="2.0150788211116359"/>
    <n v="48.361891706679259"/>
    <n v="17652.090472937929"/>
    <n v="1.2666339181629593"/>
    <n v="30.399214035911026"/>
    <n v="11095.713123107524"/>
  </r>
  <r>
    <d v="2024-01-29T07:34:00"/>
    <x v="4"/>
    <s v=""/>
    <x v="1"/>
    <x v="6"/>
    <x v="2"/>
    <s v="1/2024"/>
    <s v="29/1/2024"/>
    <d v="1899-12-30T23:58:00"/>
    <n v="0.99861111111385981"/>
    <d v="1903-02-10T14:34:00"/>
    <n v="1137.6069444444438"/>
    <m/>
    <m/>
    <n v="0"/>
    <n v="7984"/>
    <n v="14"/>
    <n v="14.019471488139436"/>
    <n v="23838"/>
    <n v="4047"/>
    <n v="15"/>
    <n v="15.020862308720824"/>
    <n v="10743"/>
    <n v="29"/>
    <n v="34581"/>
    <n v="1.2100139082025108"/>
    <n v="29.04033379686026"/>
    <n v="10599.721835853994"/>
    <n v="1.2665842161359684"/>
    <n v="30.398021187263243"/>
    <n v="11095.277733351084"/>
  </r>
  <r>
    <d v="2024-01-30T07:25:00"/>
    <x v="4"/>
    <s v=""/>
    <x v="1"/>
    <x v="7"/>
    <x v="3"/>
    <s v="1/2024"/>
    <s v="30/1/2024"/>
    <d v="1899-12-30T23:51:00"/>
    <n v="0.99375000000145519"/>
    <d v="1903-02-11T14:25:00"/>
    <n v="1138.6006944444453"/>
    <m/>
    <m/>
    <n v="0"/>
    <n v="8002"/>
    <n v="18"/>
    <n v="18.113207547143286"/>
    <n v="23856"/>
    <n v="4060"/>
    <n v="13"/>
    <n v="13.081761006270153"/>
    <n v="10756"/>
    <n v="31"/>
    <n v="34612"/>
    <n v="1.2997903563922266"/>
    <n v="31.194968553413439"/>
    <n v="11386.163521995904"/>
    <n v="1.2666131978518946"/>
    <n v="30.398716748445469"/>
    <n v="11095.531613182597"/>
  </r>
  <r>
    <d v="2024-01-31T07:47:00"/>
    <x v="4"/>
    <s v=""/>
    <x v="1"/>
    <x v="8"/>
    <x v="4"/>
    <s v="1/2024"/>
    <s v="31/1/2024"/>
    <d v="1899-12-31T00:22:00"/>
    <n v="1.015277777776646"/>
    <d v="1903-02-12T14:47:00"/>
    <n v="1139.6159722222219"/>
    <m/>
    <m/>
    <n v="0"/>
    <n v="8020"/>
    <n v="18"/>
    <n v="17.729138166914428"/>
    <n v="23874"/>
    <n v="4073"/>
    <n v="13"/>
    <n v="12.804377564993754"/>
    <n v="10769"/>
    <n v="31"/>
    <n v="34643"/>
    <n v="1.272229822162841"/>
    <n v="30.533515731908182"/>
    <n v="11144.733242146487"/>
    <n v="1.2666182016724692"/>
    <n v="30.398836840139261"/>
    <n v="11095.57544665083"/>
  </r>
  <r>
    <d v="2024-02-01T07:40:00"/>
    <x v="4"/>
    <s v=""/>
    <x v="2"/>
    <x v="9"/>
    <x v="0"/>
    <s v="2/2024"/>
    <s v="1/2/2024"/>
    <d v="1899-12-30T23:53:00"/>
    <n v="0.99513888888759539"/>
    <d v="1903-02-13T14:40:00"/>
    <n v="1140.6111111111095"/>
    <m/>
    <m/>
    <n v="0"/>
    <n v="8047"/>
    <n v="27"/>
    <n v="27.131891137509097"/>
    <n v="23901"/>
    <n v="4087"/>
    <n v="14"/>
    <n v="14.068387997226939"/>
    <n v="10783"/>
    <n v="41"/>
    <n v="34684"/>
    <n v="1.7166782972806682"/>
    <n v="41.200279134736036"/>
    <n v="15038.101884178654"/>
    <n v="1.2670108616238875"/>
    <n v="30.408260678973303"/>
    <n v="11099.015147825256"/>
  </r>
  <r>
    <d v="2024-02-02T07:32:00"/>
    <x v="4"/>
    <s v=""/>
    <x v="2"/>
    <x v="10"/>
    <x v="5"/>
    <s v="2/2024"/>
    <s v="2/2/2024"/>
    <d v="1899-12-30T23:52:00"/>
    <n v="0.99444444444088731"/>
    <d v="1903-02-14T14:32:00"/>
    <n v="1141.6055555555504"/>
    <m/>
    <m/>
    <n v="0"/>
    <n v="8073"/>
    <n v="26"/>
    <n v="26.145251396741568"/>
    <n v="23927"/>
    <n v="4100"/>
    <n v="13"/>
    <n v="13.072625698370784"/>
    <n v="10796"/>
    <n v="39"/>
    <n v="34723"/>
    <n v="1.634078212296348"/>
    <n v="39.21787709511235"/>
    <n v="14314.525139716008"/>
    <n v="1.2673306113709306"/>
    <n v="30.415934672902338"/>
    <n v="11101.816155609353"/>
  </r>
  <r>
    <d v="2024-02-03T08:43:00"/>
    <x v="4"/>
    <s v=""/>
    <x v="2"/>
    <x v="11"/>
    <x v="6"/>
    <s v="2/2024"/>
    <s v="3/2/2024"/>
    <d v="1899-12-31T01:11:00"/>
    <n v="1.0493055555562023"/>
    <d v="1903-02-15T15:43:00"/>
    <n v="1142.6548611111066"/>
    <m/>
    <m/>
    <n v="0"/>
    <n v="8105"/>
    <n v="32"/>
    <n v="30.496360026453736"/>
    <n v="23959"/>
    <n v="4116"/>
    <n v="16"/>
    <n v="15.248180013226868"/>
    <n v="10812"/>
    <n v="48"/>
    <n v="34771"/>
    <n v="1.9060225016533585"/>
    <n v="45.744540039680608"/>
    <n v="16696.757114483422"/>
    <n v="1.2679171252620196"/>
    <n v="30.430011006288474"/>
    <n v="11106.954017295293"/>
  </r>
  <r>
    <d v="2024-02-04T09:16:00"/>
    <x v="4"/>
    <s v=""/>
    <x v="2"/>
    <x v="12"/>
    <x v="1"/>
    <s v="2/2024"/>
    <s v="4/2/2024"/>
    <d v="1899-12-31T00:33:00"/>
    <n v="1.0229166666686069"/>
    <d v="1903-02-16T16:16:00"/>
    <n v="1143.6777777777752"/>
    <m/>
    <m/>
    <n v="0"/>
    <n v="8137"/>
    <n v="32"/>
    <n v="31.283095722954918"/>
    <n v="23991"/>
    <n v="4129"/>
    <n v="13"/>
    <n v="12.708757637450436"/>
    <n v="10825"/>
    <n v="45"/>
    <n v="34816"/>
    <n v="1.8329938900168898"/>
    <n v="43.991853360405358"/>
    <n v="16057.026476547955"/>
    <n v="1.2684225354849394"/>
    <n v="30.442140851638545"/>
    <n v="11111.381410848069"/>
  </r>
  <r>
    <d v="2024-02-05T07:39:00"/>
    <x v="4"/>
    <s v=""/>
    <x v="2"/>
    <x v="13"/>
    <x v="2"/>
    <s v="2/2024"/>
    <s v="5/2/2024"/>
    <d v="1899-12-30T22:23:00"/>
    <n v="0.93263888888759539"/>
    <d v="1903-02-17T14:39:00"/>
    <n v="1144.6104166666628"/>
    <m/>
    <m/>
    <n v="0"/>
    <n v="8163"/>
    <n v="26"/>
    <n v="27.877885331386395"/>
    <n v="24017"/>
    <n v="4146"/>
    <n v="17"/>
    <n v="18.227848101291105"/>
    <n v="10842"/>
    <n v="43"/>
    <n v="34859"/>
    <n v="1.9210722263615623"/>
    <n v="46.105733432677496"/>
    <n v="16828.592702927286"/>
    <n v="1.2689543203382563"/>
    <n v="30.454903688118151"/>
    <n v="11116.039846163125"/>
  </r>
  <r>
    <d v="2024-02-06T07:37:00"/>
    <x v="4"/>
    <s v=""/>
    <x v="2"/>
    <x v="14"/>
    <x v="3"/>
    <s v="2/2024"/>
    <s v="6/2/2024"/>
    <d v="1899-12-30T23:58:00"/>
    <n v="0.99861111111385981"/>
    <d v="1903-02-18T14:37:00"/>
    <n v="1145.6090277777766"/>
    <m/>
    <m/>
    <n v="0"/>
    <n v="8198"/>
    <n v="35"/>
    <n v="35.04867872034859"/>
    <n v="24052"/>
    <n v="4162"/>
    <n v="16"/>
    <n v="16.022253129302214"/>
    <n v="10858"/>
    <n v="51"/>
    <n v="34910"/>
    <n v="2.1279554937354503"/>
    <n v="51.070931849650805"/>
    <n v="18640.890125122543"/>
    <n v="1.2697030994552279"/>
    <n v="30.472874386925472"/>
    <n v="11122.599151227798"/>
  </r>
  <r>
    <d v="2024-02-07T07:59:00"/>
    <x v="4"/>
    <s v=""/>
    <x v="2"/>
    <x v="15"/>
    <x v="4"/>
    <s v="2/2024"/>
    <s v="7/2/2024"/>
    <d v="1899-12-31T00:22:00"/>
    <n v="1.015277777776646"/>
    <d v="1903-02-19T14:59:00"/>
    <n v="1146.6243055555533"/>
    <m/>
    <m/>
    <n v="0"/>
    <n v="8228"/>
    <n v="30"/>
    <n v="29.548563611524049"/>
    <n v="24082"/>
    <n v="4175"/>
    <n v="13"/>
    <n v="12.804377564993754"/>
    <n v="10871"/>
    <n v="43"/>
    <n v="34953"/>
    <n v="1.7647058823549084"/>
    <n v="42.352941176517803"/>
    <n v="15458.823529428997"/>
    <n v="1.270141399361292"/>
    <n v="30.483393584671006"/>
    <n v="11126.438658404917"/>
  </r>
  <r>
    <d v="2024-02-08T08:04:00"/>
    <x v="4"/>
    <s v=""/>
    <x v="2"/>
    <x v="16"/>
    <x v="0"/>
    <s v="2/2024"/>
    <s v="8/2/2024"/>
    <d v="1899-12-31T00:05:00"/>
    <n v="1.0034722222189885"/>
    <d v="1903-02-20T15:04:00"/>
    <n v="1147.6277777777723"/>
    <m/>
    <m/>
    <n v="0"/>
    <n v="8257"/>
    <n v="29"/>
    <n v="28.899653979331884"/>
    <n v="24111"/>
    <n v="4185"/>
    <n v="10"/>
    <n v="9.9653979239075472"/>
    <n v="10881"/>
    <n v="39"/>
    <n v="34992"/>
    <n v="1.6193771626349764"/>
    <n v="38.865051903239433"/>
    <n v="14185.743944682394"/>
    <n v="1.2704467670024702"/>
    <n v="30.490722408059284"/>
    <n v="11129.113678941638"/>
  </r>
  <r>
    <d v="2024-02-09T08:05:00"/>
    <x v="4"/>
    <s v=""/>
    <x v="2"/>
    <x v="17"/>
    <x v="5"/>
    <s v="2/2024"/>
    <s v="9/2/2024"/>
    <d v="1899-12-31T00:01:00"/>
    <n v="1.0006944444467081"/>
    <d v="1903-02-21T15:05:00"/>
    <n v="1148.628472222219"/>
    <m/>
    <m/>
    <n v="0"/>
    <n v="8282"/>
    <n v="25"/>
    <n v="24.982650936792897"/>
    <n v="24136"/>
    <n v="4198"/>
    <n v="13"/>
    <n v="12.990978487132306"/>
    <n v="10894"/>
    <n v="38"/>
    <n v="35030"/>
    <n v="1.5822345593302169"/>
    <n v="37.973629423925203"/>
    <n v="13860.374739732699"/>
    <n v="1.2707183990568498"/>
    <n v="30.497241577364395"/>
    <n v="11131.493175738004"/>
  </r>
  <r>
    <d v="2024-02-10T08:11:00"/>
    <x v="4"/>
    <s v=""/>
    <x v="2"/>
    <x v="18"/>
    <x v="6"/>
    <s v="2/2024"/>
    <s v="10/2/2024"/>
    <d v="1899-12-31T00:06:00"/>
    <n v="1.0041666666656965"/>
    <d v="1903-02-22T15:11:00"/>
    <n v="1149.6326388888847"/>
    <m/>
    <m/>
    <n v="0"/>
    <n v="8308"/>
    <n v="26"/>
    <n v="25.892116182597629"/>
    <n v="24162"/>
    <n v="4210"/>
    <n v="12"/>
    <n v="11.950207468891213"/>
    <n v="10906"/>
    <n v="38"/>
    <n v="35068"/>
    <n v="1.5767634854787018"/>
    <n v="37.84232365148884"/>
    <n v="13812.448132793426"/>
    <n v="1.2709857194719858"/>
    <n v="30.503657267327657"/>
    <n v="11133.834902574596"/>
  </r>
  <r>
    <d v="2024-02-11T09:10:00"/>
    <x v="4"/>
    <s v=""/>
    <x v="2"/>
    <x v="19"/>
    <x v="1"/>
    <s v="2/2024"/>
    <s v="11/2/2024"/>
    <d v="1899-12-31T00:59:00"/>
    <n v="1.0409722222248092"/>
    <d v="1903-02-23T16:10:00"/>
    <n v="1150.6736111111095"/>
    <m/>
    <m/>
    <n v="0"/>
    <n v="8337"/>
    <n v="29"/>
    <n v="27.858572381518492"/>
    <n v="24191"/>
    <n v="4224"/>
    <n v="14"/>
    <n v="13.448965977284789"/>
    <n v="10920"/>
    <n v="43"/>
    <n v="35111"/>
    <n v="1.7211474316168034"/>
    <n v="41.307538358803278"/>
    <n v="15077.251500963197"/>
    <n v="1.2713929642661019"/>
    <n v="30.513431142386448"/>
    <n v="11137.402366971053"/>
  </r>
  <r>
    <d v="2024-02-12T07:31:00"/>
    <x v="4"/>
    <s v=""/>
    <x v="2"/>
    <x v="20"/>
    <x v="2"/>
    <s v="2/2024"/>
    <s v="12/2/2024"/>
    <d v="1899-12-30T22:21:00"/>
    <n v="0.93125000000145519"/>
    <d v="1903-02-24T14:31:00"/>
    <n v="1151.6048611111109"/>
    <m/>
    <m/>
    <n v="0"/>
    <n v="8359"/>
    <n v="22"/>
    <n v="23.624161073788589"/>
    <n v="24213"/>
    <n v="4240"/>
    <n v="16"/>
    <n v="17.181208053664427"/>
    <n v="10936"/>
    <n v="38"/>
    <n v="35149"/>
    <n v="1.7002237136438756"/>
    <n v="40.805369127453012"/>
    <n v="14893.95973152035"/>
    <n v="1.2717397400125792"/>
    <n v="30.521753760301902"/>
    <n v="11140.440122510194"/>
  </r>
  <r>
    <d v="2024-02-13T07:37:00"/>
    <x v="4"/>
    <s v=""/>
    <x v="2"/>
    <x v="21"/>
    <x v="3"/>
    <s v="2/2024"/>
    <s v="13/2/2024"/>
    <d v="1899-12-31T00:06:00"/>
    <n v="1.0041666666656965"/>
    <d v="1903-02-25T14:37:00"/>
    <n v="1152.6090277777766"/>
    <m/>
    <m/>
    <n v="0"/>
    <n v="8392"/>
    <n v="33"/>
    <n v="32.863070539450838"/>
    <n v="24246"/>
    <n v="4260"/>
    <n v="20"/>
    <n v="19.917012448152022"/>
    <n v="10956"/>
    <n v="53"/>
    <n v="35202"/>
    <n v="2.1991701244834525"/>
    <n v="52.78008298760286"/>
    <n v="19264.730290475043"/>
    <n v="1.272547728372287"/>
    <n v="30.54114548093489"/>
    <n v="11147.518100541234"/>
  </r>
  <r>
    <d v="2024-02-14T07:34:00"/>
    <x v="4"/>
    <s v=""/>
    <x v="2"/>
    <x v="22"/>
    <x v="4"/>
    <s v="2/2024"/>
    <s v="14/2/2024"/>
    <d v="1899-12-30T23:57:00"/>
    <n v="0.99791666666715173"/>
    <d v="1903-02-26T14:34:00"/>
    <n v="1153.6069444444438"/>
    <m/>
    <m/>
    <n v="0"/>
    <n v="8418"/>
    <n v="26"/>
    <n v="26.054279749465415"/>
    <n v="24272"/>
    <n v="4272"/>
    <n v="12"/>
    <n v="12.025052192060961"/>
    <n v="10968"/>
    <n v="38"/>
    <n v="35240"/>
    <n v="1.5866388308969324"/>
    <n v="38.079331941526377"/>
    <n v="13898.956158657127"/>
    <n v="1.2728194298799544"/>
    <n v="30.54766631711891"/>
    <n v="11149.898205748403"/>
  </r>
  <r>
    <d v="2024-02-15T08:51:00"/>
    <x v="4"/>
    <s v=""/>
    <x v="2"/>
    <x v="23"/>
    <x v="0"/>
    <s v="2/2024"/>
    <s v="15/2/2024"/>
    <d v="1899-12-31T01:17:00"/>
    <n v="1.0534722222218988"/>
    <d v="1903-02-27T15:51:00"/>
    <n v="1154.6604166666657"/>
    <m/>
    <m/>
    <n v="0"/>
    <n v="8433"/>
    <n v="15"/>
    <n v="14.238628872779586"/>
    <n v="24287"/>
    <n v="4279"/>
    <n v="7"/>
    <n v="6.6446934739638062"/>
    <n v="10975"/>
    <n v="22"/>
    <n v="35262"/>
    <n v="0.870138431114308"/>
    <n v="20.883322346743391"/>
    <n v="7622.4126565613378"/>
    <n v="1.2724520376661981"/>
    <n v="30.538848903988754"/>
    <n v="11146.679849955895"/>
  </r>
  <r>
    <d v="2024-02-16T08:11:00"/>
    <x v="4"/>
    <s v=""/>
    <x v="2"/>
    <x v="24"/>
    <x v="5"/>
    <s v="2/2024"/>
    <s v="16/2/2024"/>
    <d v="1899-12-30T23:20:00"/>
    <n v="0.97222222221898846"/>
    <d v="1903-02-28T15:11:00"/>
    <n v="1155.6326388888847"/>
    <m/>
    <m/>
    <n v="0"/>
    <n v="8443"/>
    <n v="10"/>
    <n v="10.285714285748497"/>
    <n v="24297"/>
    <n v="4283"/>
    <n v="4"/>
    <n v="4.1142857142993989"/>
    <n v="10979"/>
    <n v="14"/>
    <n v="35276"/>
    <n v="0.60000000000199571"/>
    <n v="14.400000000047896"/>
    <n v="5256.0000000174823"/>
    <n v="1.271886310468477"/>
    <n v="30.525271451243448"/>
    <n v="11141.724079703859"/>
  </r>
  <r>
    <d v="2024-02-17T09:06:00"/>
    <x v="4"/>
    <s v=""/>
    <x v="2"/>
    <x v="0"/>
    <x v="6"/>
    <s v="2/2024"/>
    <s v="17/2/2024"/>
    <d v="1899-12-31T00:55:00"/>
    <n v="1.0381944444452529"/>
    <d v="1903-03-01T16:06:00"/>
    <n v="1156.6708333333299"/>
    <m/>
    <m/>
    <n v="0"/>
    <n v="8463"/>
    <n v="20"/>
    <n v="19.264214046807741"/>
    <n v="24317"/>
    <n v="4297"/>
    <n v="14"/>
    <n v="13.48494983276542"/>
    <n v="10993"/>
    <n v="34"/>
    <n v="35310"/>
    <n v="1.3645484949822151"/>
    <n v="32.74916387957316"/>
    <n v="11953.444816044204"/>
    <n v="1.2719694813779527"/>
    <n v="30.527267553070864"/>
    <n v="11142.452656870866"/>
  </r>
  <r>
    <d v="2024-02-18T07:33:00"/>
    <x v="4"/>
    <s v=""/>
    <x v="2"/>
    <x v="25"/>
    <x v="1"/>
    <s v="2/2024"/>
    <s v="18/2/2024"/>
    <d v="1899-12-30T22:27:00"/>
    <n v="0.93541666666715173"/>
    <d v="1903-03-02T14:33:00"/>
    <n v="1157.6062499999971"/>
    <m/>
    <m/>
    <n v="0"/>
    <n v="8477"/>
    <n v="14"/>
    <n v="14.966592427609166"/>
    <n v="24331"/>
    <n v="4312"/>
    <n v="15"/>
    <n v="16.035634743866964"/>
    <n v="11008"/>
    <n v="29"/>
    <n v="35339"/>
    <n v="1.2917594654781721"/>
    <n v="31.002227171476129"/>
    <n v="11315.812917588786"/>
    <n v="1.2719854728957598"/>
    <n v="30.527651349498232"/>
    <n v="11142.592742566854"/>
  </r>
  <r>
    <d v="2024-02-19T07:43:00"/>
    <x v="4"/>
    <s v=""/>
    <x v="2"/>
    <x v="26"/>
    <x v="2"/>
    <s v="2/2024"/>
    <s v="19/2/2024"/>
    <d v="1899-12-31T00:10:00"/>
    <n v="1.0069444444452529"/>
    <d v="1903-03-03T14:43:00"/>
    <n v="1158.6131944444423"/>
    <m/>
    <m/>
    <n v="0"/>
    <n v="8504"/>
    <n v="27"/>
    <n v="26.813793103426747"/>
    <n v="24358"/>
    <n v="4324"/>
    <n v="12"/>
    <n v="11.917241379300776"/>
    <n v="11020"/>
    <n v="39"/>
    <n v="35378"/>
    <n v="1.6137931034469801"/>
    <n v="38.731034482727523"/>
    <n v="14136.827586195546"/>
    <n v="1.2722825360539414"/>
    <n v="30.534780865294593"/>
    <n v="11145.195015832527"/>
  </r>
  <r>
    <d v="2024-02-20T07:38:00"/>
    <x v="4"/>
    <s v=""/>
    <x v="2"/>
    <x v="27"/>
    <x v="3"/>
    <s v="2/2024"/>
    <s v="20/2/2024"/>
    <d v="1899-12-30T23:55:00"/>
    <n v="0.99652777778101154"/>
    <d v="1903-03-04T14:38:00"/>
    <n v="1159.6097222222234"/>
    <m/>
    <m/>
    <n v="0"/>
    <n v="8530"/>
    <n v="26"/>
    <n v="26.090592334410108"/>
    <n v="24384"/>
    <n v="4337"/>
    <n v="13"/>
    <n v="13.045296167205054"/>
    <n v="11033"/>
    <n v="39"/>
    <n v="35417"/>
    <n v="1.6306620209006317"/>
    <n v="39.135888501615163"/>
    <n v="14284.599303089535"/>
    <n v="1.2725905147684973"/>
    <n v="30.542172354443935"/>
    <n v="11147.892909372036"/>
  </r>
  <r>
    <d v="2024-02-21T07:33:00"/>
    <x v="4"/>
    <s v=""/>
    <x v="2"/>
    <x v="28"/>
    <x v="4"/>
    <s v="2/2024"/>
    <s v="21/2/2024"/>
    <d v="1899-12-30T23:55:00"/>
    <n v="0.99652777777373558"/>
    <d v="1903-03-05T14:33:00"/>
    <n v="1160.6062499999971"/>
    <m/>
    <m/>
    <n v="0"/>
    <n v="8556"/>
    <n v="26"/>
    <n v="26.090592334600604"/>
    <n v="24410"/>
    <n v="4354"/>
    <n v="17"/>
    <n v="17.05923344954655"/>
    <n v="11050"/>
    <n v="43"/>
    <n v="35460"/>
    <n v="1.7979094076727982"/>
    <n v="43.149825784147154"/>
    <n v="15749.686411213712"/>
    <n v="1.2730415677151521"/>
    <n v="30.552997625163648"/>
    <n v="11151.844133184732"/>
  </r>
  <r>
    <d v="2024-02-22T08:00:00"/>
    <x v="4"/>
    <s v=""/>
    <x v="2"/>
    <x v="29"/>
    <x v="0"/>
    <s v="2/2024"/>
    <s v="22/2/2024"/>
    <d v="1899-12-31T00:27:00"/>
    <n v="1.0187500000029104"/>
    <d v="1903-03-06T15:00:00"/>
    <n v="1161.625"/>
    <m/>
    <m/>
    <n v="0"/>
    <n v="8585"/>
    <n v="29"/>
    <n v="28.466257668630334"/>
    <n v="24439"/>
    <n v="4365"/>
    <n v="11"/>
    <n v="10.797546012239092"/>
    <n v="11061"/>
    <n v="40"/>
    <n v="35500"/>
    <n v="1.635991820036226"/>
    <n v="39.263803680869422"/>
    <n v="14331.288343517339"/>
    <n v="1.2733598766096346"/>
    <n v="30.560637038631228"/>
    <n v="11154.632519100398"/>
  </r>
  <r>
    <d v="2024-02-23T07:31:00"/>
    <x v="4"/>
    <s v=""/>
    <x v="2"/>
    <x v="30"/>
    <x v="5"/>
    <s v="2/2024"/>
    <s v="23/2/2024"/>
    <d v="1899-12-30T23:31:00"/>
    <n v="0.97986111111094942"/>
    <d v="1903-03-07T14:31:00"/>
    <n v="1162.6048611111109"/>
    <m/>
    <m/>
    <n v="0"/>
    <n v="8615"/>
    <n v="30"/>
    <n v="30.616583982995838"/>
    <n v="24469"/>
    <n v="4383"/>
    <n v="18"/>
    <n v="18.369950389797502"/>
    <n v="11079"/>
    <n v="48"/>
    <n v="35548"/>
    <n v="2.0411055988663893"/>
    <n v="48.986534372793344"/>
    <n v="17880.085046069569"/>
    <n v="1.2740069444154083"/>
    <n v="30.576166665969801"/>
    <n v="11160.300833078978"/>
  </r>
  <r>
    <d v="2024-02-24T07:41:00"/>
    <x v="4"/>
    <s v=""/>
    <x v="2"/>
    <x v="1"/>
    <x v="6"/>
    <s v="2/2024"/>
    <s v="24/2/2024"/>
    <d v="1899-12-31T00:10:00"/>
    <n v="1.0069444444452529"/>
    <d v="1903-03-08T14:41:00"/>
    <n v="1163.6118055555562"/>
    <m/>
    <m/>
    <n v="0"/>
    <n v="8653"/>
    <n v="38"/>
    <n v="37.737931034452458"/>
    <n v="24507"/>
    <n v="4405"/>
    <n v="22"/>
    <n v="21.848275862051423"/>
    <n v="11101"/>
    <n v="60"/>
    <n v="35608"/>
    <n v="2.4827586206876617"/>
    <n v="59.586206896503882"/>
    <n v="21748.965517223918"/>
    <n v="1.2750529511500643"/>
    <n v="30.601270827601542"/>
    <n v="11169.463852074563"/>
  </r>
  <r>
    <d v="2024-02-25T08:08:00"/>
    <x v="4"/>
    <s v=""/>
    <x v="2"/>
    <x v="2"/>
    <x v="1"/>
    <s v="2/2024"/>
    <s v="25/2/2024"/>
    <d v="1899-12-31T00:27:00"/>
    <n v="1.0187499999956344"/>
    <d v="1903-03-09T15:08:00"/>
    <n v="1164.6305555555518"/>
    <m/>
    <m/>
    <n v="0"/>
    <n v="8691"/>
    <n v="38"/>
    <n v="37.300613497092357"/>
    <n v="24545"/>
    <n v="4422"/>
    <n v="17"/>
    <n v="16.687116564488687"/>
    <n v="11118"/>
    <n v="55"/>
    <n v="35663"/>
    <n v="2.2494887525658767"/>
    <n v="53.98773006158104"/>
    <n v="19705.521472477081"/>
    <n v="1.2759053300164376"/>
    <n v="30.621727920394502"/>
    <n v="11176.930690943993"/>
  </r>
  <r>
    <d v="2024-02-26T08:16:00"/>
    <x v="4"/>
    <s v=""/>
    <x v="2"/>
    <x v="3"/>
    <x v="2"/>
    <s v="2/2024"/>
    <s v="26/2/2024"/>
    <d v="1899-12-31T00:08:00"/>
    <n v="1.0055555555591127"/>
    <d v="1903-03-10T15:16:00"/>
    <n v="1165.6361111111109"/>
    <m/>
    <m/>
    <n v="0"/>
    <n v="8723"/>
    <n v="32"/>
    <n v="31.823204419776928"/>
    <n v="24577"/>
    <n v="4436"/>
    <n v="14"/>
    <n v="13.922651933652407"/>
    <n v="11132"/>
    <n v="46"/>
    <n v="35709"/>
    <n v="1.9060773480595556"/>
    <n v="45.745856353429332"/>
    <n v="16697.237569001707"/>
    <n v="1.2764489584847569"/>
    <n v="30.634775003634168"/>
    <n v="11181.692876326471"/>
  </r>
  <r>
    <d v="2024-02-27T07:49:00"/>
    <x v="4"/>
    <s v=""/>
    <x v="2"/>
    <x v="4"/>
    <x v="3"/>
    <s v="2/2024"/>
    <s v="27/2/2024"/>
    <d v="1899-12-30T23:33:00"/>
    <n v="0.98124999999708962"/>
    <d v="1903-03-11T14:49:00"/>
    <n v="1166.617361111108"/>
    <m/>
    <m/>
    <n v="0"/>
    <n v="8758"/>
    <n v="35"/>
    <n v="35.668789809022989"/>
    <n v="24612"/>
    <n v="4455"/>
    <n v="19"/>
    <n v="19.363057324898197"/>
    <n v="11151"/>
    <n v="54"/>
    <n v="35763"/>
    <n v="2.2929936305800496"/>
    <n v="55.031847133921183"/>
    <n v="20086.624203881231"/>
    <n v="1.2773039812992131"/>
    <n v="30.655295551181112"/>
    <n v="11189.182876181107"/>
  </r>
  <r>
    <d v="2024-02-28T07:55:00"/>
    <x v="4"/>
    <s v=""/>
    <x v="2"/>
    <x v="5"/>
    <x v="4"/>
    <s v="2/2024"/>
    <s v="28/2/2024"/>
    <d v="1899-12-31T00:06:00"/>
    <n v="1.0041666666656965"/>
    <d v="1903-03-12T14:55:00"/>
    <n v="1167.6215277777737"/>
    <m/>
    <m/>
    <n v="0"/>
    <n v="8797"/>
    <n v="39"/>
    <n v="38.838174273896442"/>
    <n v="24651"/>
    <n v="4477"/>
    <n v="22"/>
    <n v="21.908713692967225"/>
    <n v="11173"/>
    <n v="61"/>
    <n v="35824"/>
    <n v="2.531120331952653"/>
    <n v="60.746887966863667"/>
    <n v="22172.61410790524"/>
    <n v="1.2783822764106803"/>
    <n v="30.681174633856326"/>
    <n v="11198.628741357559"/>
  </r>
  <r>
    <d v="2024-02-29T06:57:00"/>
    <x v="4"/>
    <s v=""/>
    <x v="2"/>
    <x v="6"/>
    <x v="0"/>
    <s v="2/2024"/>
    <s v="29/2/2024"/>
    <d v="1899-12-30T23:02:00"/>
    <n v="0.95972222222189885"/>
    <d v="1903-03-13T13:57:00"/>
    <n v="1168.5812499999956"/>
    <m/>
    <m/>
    <n v="0"/>
    <n v="8829"/>
    <n v="32"/>
    <n v="33.342981186697195"/>
    <n v="24683"/>
    <n v="4490"/>
    <n v="13"/>
    <n v="13.545586107095737"/>
    <n v="11186"/>
    <n v="45"/>
    <n v="35869"/>
    <n v="1.9536903039080389"/>
    <n v="46.888567293792931"/>
    <n v="17114.327062234421"/>
    <n v="1.2789368875006957"/>
    <n v="30.694485300016694"/>
    <n v="11203.487134506093"/>
  </r>
  <r>
    <d v="2024-03-01T08:07:00"/>
    <x v="4"/>
    <s v=""/>
    <x v="3"/>
    <x v="9"/>
    <x v="5"/>
    <s v="3/2024"/>
    <s v="1/3/2024"/>
    <d v="1899-12-31T01:10:00"/>
    <n v="1.0486111111094942"/>
    <d v="1903-03-14T15:07:00"/>
    <n v="1169.6298611111051"/>
    <m/>
    <m/>
    <n v="0"/>
    <n v="8862"/>
    <n v="33"/>
    <n v="31.470198675545213"/>
    <n v="24716"/>
    <n v="4494"/>
    <n v="4"/>
    <n v="3.814569536429723"/>
    <n v="11190"/>
    <n v="37"/>
    <n v="35906"/>
    <n v="1.4701986754989558"/>
    <n v="35.284768211974935"/>
    <n v="12878.94039737085"/>
    <n v="1.2791083598978137"/>
    <n v="30.698600637547528"/>
    <n v="11204.989232704847"/>
  </r>
  <r>
    <d v="2024-03-02T08:31:00"/>
    <x v="4"/>
    <s v=""/>
    <x v="3"/>
    <x v="10"/>
    <x v="6"/>
    <s v="3/2024"/>
    <s v="2/3/2024"/>
    <d v="1899-12-31T00:24:00"/>
    <n v="1.0166666666700621"/>
    <d v="1903-03-15T15:31:00"/>
    <n v="1170.6465277777752"/>
    <m/>
    <m/>
    <n v="0"/>
    <n v="8896"/>
    <n v="34"/>
    <n v="33.442622950707978"/>
    <n v="24750"/>
    <n v="4497"/>
    <n v="3"/>
    <n v="2.9508196721212925"/>
    <n v="11193"/>
    <n v="37"/>
    <n v="35943"/>
    <n v="1.5163934426178864"/>
    <n v="36.393442622829276"/>
    <n v="13283.606557332685"/>
    <n v="1.2793144339162088"/>
    <n v="30.703546413989013"/>
    <n v="11206.794441105989"/>
  </r>
  <r>
    <d v="2024-03-03T08:10:00"/>
    <x v="4"/>
    <s v=""/>
    <x v="3"/>
    <x v="11"/>
    <x v="1"/>
    <s v="3/2024"/>
    <s v="3/3/2024"/>
    <d v="1899-12-30T23:39:00"/>
    <n v="0.98541666667006211"/>
    <d v="1903-03-16T15:10:00"/>
    <n v="1171.6319444444453"/>
    <m/>
    <m/>
    <n v="0"/>
    <n v="8935"/>
    <n v="39"/>
    <n v="39.57716701889111"/>
    <n v="24789"/>
    <n v="4516"/>
    <n v="19"/>
    <n v="19.281183932280285"/>
    <n v="11212"/>
    <n v="58"/>
    <n v="36001"/>
    <n v="2.4524312896321416"/>
    <n v="58.858350951171403"/>
    <n v="21483.298097177561"/>
    <n v="1.2803010994873001"/>
    <n v="30.727226387695204"/>
    <n v="11215.43763150875"/>
  </r>
  <r>
    <d v="2024-03-04T07:32:00"/>
    <x v="4"/>
    <s v=""/>
    <x v="3"/>
    <x v="12"/>
    <x v="2"/>
    <s v="3/2024"/>
    <s v="4/3/2024"/>
    <d v="1899-12-30T23:22:00"/>
    <n v="0.97361111110512866"/>
    <d v="1903-03-17T14:32:00"/>
    <n v="1172.6055555555504"/>
    <m/>
    <m/>
    <n v="0"/>
    <n v="8971"/>
    <n v="36"/>
    <n v="36.975748930327057"/>
    <n v="24825"/>
    <n v="4536"/>
    <n v="20"/>
    <n v="20.542082739070587"/>
    <n v="11232"/>
    <n v="56"/>
    <n v="36057"/>
    <n v="2.3965763195582355"/>
    <n v="57.517831669397644"/>
    <n v="20994.008559330141"/>
    <n v="1.2812279396784994"/>
    <n v="30.749470552283984"/>
    <n v="11223.556751583654"/>
  </r>
  <r>
    <d v="2024-03-05T07:26:00"/>
    <x v="4"/>
    <s v=""/>
    <x v="3"/>
    <x v="13"/>
    <x v="3"/>
    <s v="3/2024"/>
    <s v="5/3/2024"/>
    <d v="1899-12-30T23:54:00"/>
    <n v="0.99583333333430346"/>
    <d v="1903-03-18T14:26:00"/>
    <n v="1173.6013888888847"/>
    <m/>
    <m/>
    <n v="0"/>
    <n v="9009"/>
    <n v="38"/>
    <n v="38.158995815862404"/>
    <n v="24863"/>
    <n v="4555"/>
    <n v="19"/>
    <n v="19.079497907931202"/>
    <n v="11251"/>
    <n v="57"/>
    <n v="36114"/>
    <n v="2.3849372384914003"/>
    <n v="57.23849372379361"/>
    <n v="20892.050209184668"/>
    <n v="1.2821644676346478"/>
    <n v="30.771947223231546"/>
    <n v="11231.760736479515"/>
  </r>
  <r>
    <d v="2024-03-06T08:10:00"/>
    <x v="4"/>
    <s v=""/>
    <x v="3"/>
    <x v="14"/>
    <x v="4"/>
    <s v="3/2024"/>
    <s v="6/3/2024"/>
    <d v="1899-12-31T00:44:00"/>
    <n v="1.0305555555605679"/>
    <d v="1903-03-19T15:10:00"/>
    <n v="1174.6319444444453"/>
    <m/>
    <m/>
    <n v="0"/>
    <n v="9045"/>
    <n v="36"/>
    <n v="34.932614555086161"/>
    <n v="24899"/>
    <n v="4576"/>
    <n v="21"/>
    <n v="20.377358490466928"/>
    <n v="11272"/>
    <n v="57"/>
    <n v="36171"/>
    <n v="2.3045822102313789"/>
    <n v="55.309973045553093"/>
    <n v="20188.140161626878"/>
    <n v="1.2830614790685018"/>
    <n v="30.793475497644039"/>
    <n v="11239.618556640075"/>
  </r>
  <r>
    <d v="2024-03-07T07:28:00"/>
    <x v="4"/>
    <s v=""/>
    <x v="3"/>
    <x v="15"/>
    <x v="0"/>
    <s v="3/2024"/>
    <s v="7/3/2024"/>
    <d v="1899-12-30T23:18:00"/>
    <n v="0.97083333333284827"/>
    <d v="1903-03-20T14:28:00"/>
    <n v="1175.6027777777781"/>
    <m/>
    <m/>
    <n v="0"/>
    <n v="9075"/>
    <n v="30"/>
    <n v="30.901287553663508"/>
    <n v="24929"/>
    <n v="4596"/>
    <n v="20"/>
    <n v="20.600858369109005"/>
    <n v="11292"/>
    <n v="50"/>
    <n v="36221"/>
    <n v="2.1459227467821882"/>
    <n v="51.502145922772513"/>
    <n v="18798.283261811968"/>
    <n v="1.2837740449934663"/>
    <n v="30.810577079843192"/>
    <n v="11245.860634142766"/>
  </r>
  <r>
    <d v="2024-03-08T08:20:00"/>
    <x v="4"/>
    <s v=""/>
    <x v="3"/>
    <x v="16"/>
    <x v="5"/>
    <s v="3/2024"/>
    <s v="8/3/2024"/>
    <d v="1899-12-31T00:52:00"/>
    <n v="1.0361111111051287"/>
    <d v="1903-03-21T15:20:00"/>
    <n v="1176.6388888888832"/>
    <m/>
    <m/>
    <n v="0"/>
    <n v="9106"/>
    <n v="31"/>
    <n v="29.919571045749162"/>
    <n v="24960"/>
    <n v="4612"/>
    <n v="16"/>
    <n v="15.442359249418923"/>
    <n v="11308"/>
    <n v="47"/>
    <n v="36268"/>
    <n v="1.8900804289653368"/>
    <n v="45.361930295168087"/>
    <n v="16557.104557736351"/>
    <n v="1.2843079392809147"/>
    <n v="30.823390542741951"/>
    <n v="11250.537548100812"/>
  </r>
  <r>
    <d v="2024-03-09T07:56:00"/>
    <x v="4"/>
    <s v=""/>
    <x v="3"/>
    <x v="17"/>
    <x v="6"/>
    <s v="3/2024"/>
    <s v="9/3/2024"/>
    <d v="1899-12-30T23:36:00"/>
    <n v="0.98333333333721384"/>
    <d v="1903-03-22T14:56:00"/>
    <n v="1177.6222222222204"/>
    <m/>
    <m/>
    <n v="0"/>
    <n v="9138"/>
    <n v="32"/>
    <n v="32.542372881227514"/>
    <n v="24992"/>
    <n v="4628"/>
    <n v="16"/>
    <n v="16.271186440613757"/>
    <n v="11324"/>
    <n v="48"/>
    <n v="36316"/>
    <n v="2.0338983050767196"/>
    <n v="48.813559321841268"/>
    <n v="17816.949152472062"/>
    <n v="1.2849338591889514"/>
    <n v="30.838412620534836"/>
    <n v="11256.020606495214"/>
  </r>
  <r>
    <d v="2024-03-10T08:21:00"/>
    <x v="4"/>
    <s v=""/>
    <x v="3"/>
    <x v="18"/>
    <x v="1"/>
    <s v="3/2024"/>
    <s v="10/3/2024"/>
    <d v="1899-12-31T00:25:00"/>
    <n v="1.0173611111094942"/>
    <d v="1903-03-23T15:21:00"/>
    <n v="1178.6395833333299"/>
    <m/>
    <m/>
    <n v="0"/>
    <n v="9173"/>
    <n v="35"/>
    <n v="34.402730375481298"/>
    <n v="25027"/>
    <n v="4647"/>
    <n v="19"/>
    <n v="18.675767918118417"/>
    <n v="11343"/>
    <n v="54"/>
    <n v="36370"/>
    <n v="2.2116040955666549"/>
    <n v="53.078498293599715"/>
    <n v="19373.651877163895"/>
    <n v="1.28573372903436"/>
    <n v="30.85760949682464"/>
    <n v="11263.027466340993"/>
  </r>
  <r>
    <d v="2024-03-11T07:41:00"/>
    <x v="4"/>
    <s v=""/>
    <x v="3"/>
    <x v="19"/>
    <x v="2"/>
    <s v="3/2024"/>
    <s v="11/3/2024"/>
    <d v="1899-12-30T23:20:00"/>
    <n v="0.97222222222626442"/>
    <d v="1903-03-24T14:41:00"/>
    <n v="1179.6118055555562"/>
    <m/>
    <m/>
    <n v="0"/>
    <n v="9197"/>
    <n v="24"/>
    <n v="24.685714285611649"/>
    <n v="25051"/>
    <n v="4665"/>
    <n v="18"/>
    <n v="18.514285714208739"/>
    <n v="11361"/>
    <n v="42"/>
    <n v="36412"/>
    <n v="1.7999999999925163"/>
    <n v="43.199999999820385"/>
    <n v="15767.99999993444"/>
    <n v="1.2861575812664352"/>
    <n v="30.867781950394445"/>
    <n v="11266.740411893972"/>
  </r>
  <r>
    <d v="2024-03-12T07:38:00"/>
    <x v="4"/>
    <s v=""/>
    <x v="3"/>
    <x v="20"/>
    <x v="3"/>
    <s v="3/2024"/>
    <s v="12/3/2024"/>
    <d v="1899-12-30T23:57:00"/>
    <n v="0.99791666666715173"/>
    <d v="1903-03-25T14:38:00"/>
    <n v="1180.6097222222234"/>
    <m/>
    <m/>
    <n v="0"/>
    <n v="9217"/>
    <n v="20"/>
    <n v="20.041753653434935"/>
    <n v="25071"/>
    <n v="4680"/>
    <n v="15"/>
    <n v="15.031315240076202"/>
    <n v="11376"/>
    <n v="35"/>
    <n v="36447"/>
    <n v="1.4613778705629641"/>
    <n v="35.073068893511135"/>
    <n v="12801.670146131564"/>
    <n v="1.2863056871508236"/>
    <n v="30.871336491619768"/>
    <n v="11268.037819441215"/>
  </r>
  <r>
    <d v="2024-03-13T08:52:00"/>
    <x v="4"/>
    <s v=""/>
    <x v="3"/>
    <x v="21"/>
    <x v="4"/>
    <s v="3/2024"/>
    <s v="13/3/2024"/>
    <d v="1899-12-31T01:14:00"/>
    <n v="1.0513888888817746"/>
    <d v="1903-03-26T15:52:00"/>
    <n v="1181.6611111111051"/>
    <m/>
    <m/>
    <n v="0"/>
    <n v="9235"/>
    <n v="18"/>
    <n v="17.120211360749927"/>
    <n v="25089"/>
    <n v="4695"/>
    <n v="15"/>
    <n v="14.266842800624939"/>
    <n v="11391"/>
    <n v="33"/>
    <n v="36480"/>
    <n v="1.3077939233906193"/>
    <n v="31.387054161374866"/>
    <n v="11456.274768901827"/>
    <n v="1.2863248064165858"/>
    <n v="30.87179535399806"/>
    <n v="11268.205304209292"/>
  </r>
  <r>
    <d v="2024-03-14T07:56:00"/>
    <x v="4"/>
    <s v=""/>
    <x v="3"/>
    <x v="22"/>
    <x v="0"/>
    <s v="3/2024"/>
    <s v="14/3/2024"/>
    <d v="1899-12-30T23:04:00"/>
    <n v="0.961111111115315"/>
    <d v="1903-03-27T14:56:00"/>
    <n v="1182.6222222222204"/>
    <m/>
    <m/>
    <n v="0"/>
    <n v="9248"/>
    <n v="13"/>
    <n v="13.52601156063448"/>
    <n v="25102"/>
    <n v="4700"/>
    <n v="5"/>
    <n v="5.2023121387055689"/>
    <n v="11396"/>
    <n v="18"/>
    <n v="36498"/>
    <n v="0.78034682080583528"/>
    <n v="18.728323699340049"/>
    <n v="6835.8381502591174"/>
    <n v="1.2859136006614322"/>
    <n v="30.861926415874375"/>
    <n v="11264.603141794147"/>
  </r>
  <r>
    <d v="2024-03-15T07:59:00"/>
    <x v="4"/>
    <s v=""/>
    <x v="3"/>
    <x v="23"/>
    <x v="5"/>
    <s v="3/2024"/>
    <s v="15/3/2024"/>
    <d v="1899-12-31T00:03:00"/>
    <n v="1.0020833333328483"/>
    <d v="1903-03-28T14:59:00"/>
    <n v="1183.6243055555533"/>
    <m/>
    <m/>
    <n v="0"/>
    <n v="9256"/>
    <n v="8"/>
    <n v="7.9833679833718474"/>
    <n v="25110"/>
    <n v="4703"/>
    <n v="3"/>
    <n v="2.993762993764443"/>
    <n v="11399"/>
    <n v="11"/>
    <n v="36509"/>
    <n v="0.45738045738067878"/>
    <n v="10.977130977136291"/>
    <n v="4006.6528066547462"/>
    <n v="1.2852121456050445"/>
    <n v="30.845091494521064"/>
    <n v="11258.458395500189"/>
  </r>
  <r>
    <d v="2024-03-16T08:15:00"/>
    <x v="4"/>
    <s v=""/>
    <x v="3"/>
    <x v="24"/>
    <x v="6"/>
    <s v="3/2024"/>
    <s v="16/3/2024"/>
    <d v="1899-12-31T00:16:00"/>
    <n v="1.0111111111109494"/>
    <d v="1903-03-29T15:15:00"/>
    <n v="1184.6354166666642"/>
    <m/>
    <m/>
    <n v="0"/>
    <n v="9280"/>
    <n v="24"/>
    <n v="23.736263736267531"/>
    <n v="25134"/>
    <n v="4707"/>
    <n v="4"/>
    <n v="3.9560439560445886"/>
    <n v="11403"/>
    <n v="28"/>
    <n v="36537"/>
    <n v="1.1538461538463383"/>
    <n v="27.69230769231212"/>
    <n v="10107.692307693924"/>
    <n v="1.2851000219828561"/>
    <n v="30.842400527588545"/>
    <n v="11257.476192569819"/>
  </r>
  <r>
    <d v="2024-03-17T08:47:00"/>
    <x v="4"/>
    <s v=""/>
    <x v="3"/>
    <x v="0"/>
    <x v="1"/>
    <s v="3/2024"/>
    <s v="17/3/2024"/>
    <d v="1899-12-31T00:32:00"/>
    <n v="1.0222222222218988"/>
    <d v="1903-03-30T15:47:00"/>
    <n v="1185.6576388888861"/>
    <m/>
    <m/>
    <n v="0"/>
    <n v="9298"/>
    <n v="18"/>
    <n v="17.608695652179485"/>
    <n v="25152"/>
    <n v="4709"/>
    <n v="2"/>
    <n v="1.9565217391310536"/>
    <n v="11405"/>
    <n v="20"/>
    <n v="36557"/>
    <n v="0.81521739130460569"/>
    <n v="19.565217391310536"/>
    <n v="7141.3043478283462"/>
    <n v="1.2846949097049429"/>
    <n v="30.83267783291863"/>
    <n v="11253.927409015299"/>
  </r>
  <r>
    <d v="2024-03-18T07:29:00"/>
    <x v="4"/>
    <s v=""/>
    <x v="3"/>
    <x v="25"/>
    <x v="2"/>
    <s v="3/2024"/>
    <s v="18/3/2024"/>
    <d v="1899-12-30T22:42:00"/>
    <n v="0.94583333333139308"/>
    <d v="1903-03-31T14:29:00"/>
    <n v="1186.6034722222175"/>
    <m/>
    <m/>
    <n v="0"/>
    <n v="9309"/>
    <n v="11"/>
    <n v="11.629955947160422"/>
    <n v="25163"/>
    <n v="4712"/>
    <n v="3"/>
    <n v="3.1718061674073876"/>
    <n v="11408"/>
    <n v="14"/>
    <n v="36571"/>
    <n v="0.61674008810699199"/>
    <n v="14.80176211456781"/>
    <n v="5402.6431718172507"/>
    <n v="1.2841624875856619"/>
    <n v="30.819899702055885"/>
    <n v="11249.263391250399"/>
  </r>
  <r>
    <d v="2024-03-19T07:33:00"/>
    <x v="4"/>
    <s v=""/>
    <x v="3"/>
    <x v="26"/>
    <x v="3"/>
    <s v="3/2024"/>
    <s v="19/3/2024"/>
    <d v="1899-12-31T00:04:00"/>
    <n v="1.0027777777795563"/>
    <d v="1903-04-01T14:33:00"/>
    <n v="1187.6062499999971"/>
    <m/>
    <m/>
    <n v="0"/>
    <n v="9322"/>
    <n v="13"/>
    <n v="12.963988919644597"/>
    <n v="25176"/>
    <n v="4715"/>
    <n v="3"/>
    <n v="2.9916897506872147"/>
    <n v="11411"/>
    <n v="16"/>
    <n v="36587"/>
    <n v="0.66481994459715876"/>
    <n v="15.95567867033181"/>
    <n v="5823.8227146711106"/>
    <n v="1.2836395340066096"/>
    <n v="30.80734881615863"/>
    <n v="11244.682317897899"/>
  </r>
  <r>
    <d v="2024-03-20T07:52:00"/>
    <x v="4"/>
    <s v=""/>
    <x v="3"/>
    <x v="27"/>
    <x v="4"/>
    <s v="3/2024"/>
    <s v="20/3/2024"/>
    <d v="1899-12-31T00:19:00"/>
    <n v="1.0131944444437977"/>
    <d v="1903-04-02T14:52:00"/>
    <n v="1188.6194444444409"/>
    <m/>
    <m/>
    <n v="0"/>
    <n v="9333"/>
    <n v="11"/>
    <n v="10.856751199458609"/>
    <n v="25187"/>
    <n v="4729"/>
    <n v="14"/>
    <n v="13.817683344765502"/>
    <n v="11425"/>
    <n v="25"/>
    <n v="36612"/>
    <n v="1.0281014393426713"/>
    <n v="24.674434544224113"/>
    <n v="9006.1686086418013"/>
    <n v="1.2834217100604615"/>
    <n v="30.802121041451077"/>
    <n v="11242.774180129643"/>
  </r>
  <r>
    <d v="2024-03-21T07:23:00"/>
    <x v="4"/>
    <s v=""/>
    <x v="3"/>
    <x v="28"/>
    <x v="0"/>
    <s v="3/2024"/>
    <s v="21/3/2024"/>
    <d v="1899-12-30T23:31:00"/>
    <n v="0.97986111111094942"/>
    <d v="1903-04-03T14:23:00"/>
    <n v="1189.5993055555518"/>
    <m/>
    <m/>
    <n v="0"/>
    <n v="9348"/>
    <n v="15"/>
    <n v="15.308291991497919"/>
    <n v="25202"/>
    <n v="4733"/>
    <n v="4"/>
    <n v="4.0822111977327786"/>
    <n v="11429"/>
    <n v="19"/>
    <n v="36631"/>
    <n v="0.8079376328846124"/>
    <n v="19.390503189230699"/>
    <n v="7077.5336640692049"/>
    <n v="1.2830300585573029"/>
    <n v="30.792721405375271"/>
    <n v="11239.343312961973"/>
  </r>
  <r>
    <d v="2024-03-22T08:00:00"/>
    <x v="4"/>
    <s v=""/>
    <x v="3"/>
    <x v="29"/>
    <x v="5"/>
    <s v="3/2024"/>
    <s v="22/3/2024"/>
    <d v="1899-12-31T00:37:00"/>
    <n v="1.0256944444481633"/>
    <d v="1903-04-04T15:00:00"/>
    <n v="1190.625"/>
    <m/>
    <m/>
    <n v="0"/>
    <n v="9357"/>
    <n v="9"/>
    <n v="8.7745429925206579"/>
    <n v="25211"/>
    <n v="4738"/>
    <n v="5"/>
    <n v="4.8747461069559206"/>
    <n v="11434"/>
    <n v="14"/>
    <n v="36645"/>
    <n v="0.5687203791448574"/>
    <n v="13.649289099476579"/>
    <n v="4981.9905213089514"/>
    <n v="1.2824146981627296"/>
    <n v="30.777952755905513"/>
    <n v="11233.952755905513"/>
  </r>
  <r>
    <d v="2024-03-23T07:45:00"/>
    <x v="4"/>
    <s v=""/>
    <x v="3"/>
    <x v="30"/>
    <x v="6"/>
    <s v="3/2024"/>
    <s v="23/3/2024"/>
    <d v="1899-12-30T23:45:00"/>
    <n v="0.98958333332848269"/>
    <d v="1903-04-05T14:45:00"/>
    <n v="1191.6145833333285"/>
    <m/>
    <m/>
    <n v="0"/>
    <n v="9366"/>
    <n v="9"/>
    <n v="9.0947368421498425"/>
    <n v="25220"/>
    <n v="4740"/>
    <n v="2"/>
    <n v="2.0210526315888542"/>
    <n v="11436"/>
    <n v="11"/>
    <n v="36656"/>
    <n v="0.46315789473911234"/>
    <n v="11.115789473738698"/>
    <n v="4057.2631579146246"/>
    <n v="1.2817343415359115"/>
    <n v="30.761624196861877"/>
    <n v="11227.992831854584"/>
  </r>
  <r>
    <d v="2024-03-24T07:47:00"/>
    <x v="4"/>
    <s v=""/>
    <x v="3"/>
    <x v="1"/>
    <x v="1"/>
    <s v="3/2024"/>
    <s v="24/3/2024"/>
    <d v="1899-12-31T00:02:00"/>
    <n v="1.0013888888934162"/>
    <d v="1903-04-06T14:47:00"/>
    <n v="1192.6159722222219"/>
    <m/>
    <m/>
    <n v="0"/>
    <n v="9395"/>
    <n v="29"/>
    <n v="28.959778085860751"/>
    <n v="25249"/>
    <n v="4742"/>
    <n v="2"/>
    <n v="1.9972260748869484"/>
    <n v="11438"/>
    <n v="31"/>
    <n v="36687"/>
    <n v="1.2898751733644875"/>
    <n v="30.957004160747701"/>
    <n v="11299.306518672911"/>
    <n v="1.281741177046025"/>
    <n v="30.761788249104598"/>
    <n v="11228.052710923179"/>
  </r>
  <r>
    <d v="2024-03-25T07:37:00"/>
    <x v="4"/>
    <s v=""/>
    <x v="3"/>
    <x v="2"/>
    <x v="2"/>
    <s v="3/2024"/>
    <s v="25/3/2024"/>
    <d v="1899-12-30T23:50:00"/>
    <n v="0.99305555555474712"/>
    <d v="1903-04-07T14:37:00"/>
    <n v="1193.6090277777766"/>
    <m/>
    <m/>
    <n v="0"/>
    <n v="9423"/>
    <n v="28"/>
    <n v="28.195804195827151"/>
    <n v="25277"/>
    <n v="4761"/>
    <n v="19"/>
    <n v="19.132867132882708"/>
    <n v="11457"/>
    <n v="47"/>
    <n v="36734"/>
    <n v="1.9720279720295775"/>
    <n v="47.328671328709859"/>
    <n v="17274.965034979097"/>
    <n v="1.2823154799548766"/>
    <n v="30.77557151891704"/>
    <n v="11233.083604404719"/>
  </r>
  <r>
    <d v="2024-03-26T07:22:00"/>
    <x v="4"/>
    <s v=""/>
    <x v="3"/>
    <x v="3"/>
    <x v="3"/>
    <s v="3/2024"/>
    <s v="26/3/2024"/>
    <d v="1899-12-30T23:45:00"/>
    <n v="0.98958333332848269"/>
    <d v="1903-04-08T14:22:00"/>
    <n v="1194.5986111111051"/>
    <m/>
    <m/>
    <n v="0"/>
    <n v="9442"/>
    <n v="19"/>
    <n v="19.200000000094114"/>
    <n v="25296"/>
    <n v="4774"/>
    <n v="13"/>
    <n v="13.136842105327551"/>
    <n v="11470"/>
    <n v="32"/>
    <n v="36766"/>
    <n v="1.347368421059236"/>
    <n v="32.336842105421667"/>
    <n v="11802.947368478908"/>
    <n v="1.2823693686047564"/>
    <n v="30.776864846514151"/>
    <n v="11233.555668977666"/>
  </r>
  <r>
    <d v="2024-03-27T08:25:00"/>
    <x v="4"/>
    <s v=""/>
    <x v="3"/>
    <x v="4"/>
    <x v="4"/>
    <s v="3/2024"/>
    <s v="27/3/2024"/>
    <d v="1899-12-31T01:03:00"/>
    <n v="1.0437500000043656"/>
    <d v="1903-04-09T15:25:00"/>
    <n v="1195.6423611111095"/>
    <m/>
    <m/>
    <n v="0"/>
    <n v="9475"/>
    <n v="33"/>
    <n v="31.61676646693363"/>
    <n v="25329"/>
    <n v="4793"/>
    <n v="19"/>
    <n v="18.203592814295121"/>
    <n v="11489"/>
    <n v="52"/>
    <n v="36818"/>
    <n v="2.075848303384531"/>
    <n v="49.820359281228747"/>
    <n v="18184.431137648491"/>
    <n v="1.2830620453324444"/>
    <n v="30.793489087978667"/>
    <n v="11239.623517112213"/>
  </r>
  <r>
    <d v="2024-03-28T07:22:00"/>
    <x v="4"/>
    <s v=""/>
    <x v="3"/>
    <x v="5"/>
    <x v="0"/>
    <s v="3/2024"/>
    <s v="28/3/2024"/>
    <d v="1899-12-30T22:57:00"/>
    <n v="0.95624999999563443"/>
    <d v="1903-04-10T14:22:00"/>
    <n v="1196.5986111111051"/>
    <m/>
    <m/>
    <n v="0"/>
    <n v="9504"/>
    <n v="29"/>
    <n v="30.326797385759367"/>
    <n v="25358"/>
    <n v="4808"/>
    <n v="15"/>
    <n v="15.686274509875535"/>
    <n v="11504"/>
    <n v="44"/>
    <n v="36862"/>
    <n v="1.9172113289847874"/>
    <n v="46.013071895634901"/>
    <n v="16794.771241906739"/>
    <n v="1.2835688194895085"/>
    <n v="30.805651667748204"/>
    <n v="11244.062858728095"/>
  </r>
  <r>
    <d v="2024-03-29T08:08:00"/>
    <x v="4"/>
    <s v=""/>
    <x v="3"/>
    <x v="6"/>
    <x v="5"/>
    <s v="3/2024"/>
    <s v="29/3/2024"/>
    <d v="1899-12-31T00:46:00"/>
    <n v="1.0319444444467081"/>
    <d v="1903-04-11T15:08:00"/>
    <n v="1197.6305555555518"/>
    <m/>
    <m/>
    <n v="0"/>
    <n v="9538"/>
    <n v="34"/>
    <n v="32.947510094140377"/>
    <n v="25392"/>
    <n v="4821"/>
    <n v="13"/>
    <n v="12.597577388936028"/>
    <n v="11517"/>
    <n v="47"/>
    <n v="36909"/>
    <n v="1.8977119784615168"/>
    <n v="45.545087483076408"/>
    <n v="16623.956931322889"/>
    <n v="1.2840979990583299"/>
    <n v="30.818351977399914"/>
    <n v="11248.698471750968"/>
  </r>
  <r>
    <d v="2024-03-30T08:09:00"/>
    <x v="4"/>
    <s v=""/>
    <x v="3"/>
    <x v="7"/>
    <x v="6"/>
    <s v="3/2024"/>
    <s v="30/3/2024"/>
    <d v="1899-12-31T00:01:00"/>
    <n v="1.0006944444467081"/>
    <d v="1903-04-12T15:09:00"/>
    <n v="1198.6312499999985"/>
    <m/>
    <m/>
    <n v="0"/>
    <n v="9564"/>
    <n v="26"/>
    <n v="25.981956974264612"/>
    <n v="25418"/>
    <n v="4825"/>
    <n v="4"/>
    <n v="3.9972241498868635"/>
    <n v="11521"/>
    <n v="30"/>
    <n v="36939"/>
    <n v="1.2491325468396448"/>
    <n v="29.979181124151477"/>
    <n v="10942.40111031529"/>
    <n v="1.2840688076503946"/>
    <n v="30.817651383609466"/>
    <n v="11248.442755017455"/>
  </r>
  <r>
    <d v="2024-04-01T08:22:00"/>
    <x v="4"/>
    <s v=""/>
    <x v="4"/>
    <x v="9"/>
    <x v="2"/>
    <s v="4/2024"/>
    <s v="1/4/2024"/>
    <d v="1900-01-01T00:13:00"/>
    <n v="2.0090277777781012"/>
    <d v="1903-04-14T15:22:00"/>
    <n v="1200.6402777777766"/>
    <m/>
    <m/>
    <n v="0"/>
    <n v="9615"/>
    <n v="51"/>
    <n v="25.385413066017346"/>
    <n v="25469"/>
    <n v="4841"/>
    <n v="16"/>
    <n v="7.9640511579662263"/>
    <n v="11537"/>
    <n v="67"/>
    <n v="37006"/>
    <n v="1.3895610093326487"/>
    <n v="33.349464223983574"/>
    <n v="12172.554441754004"/>
    <n v="1.284245327435247"/>
    <n v="30.821887858445926"/>
    <n v="11249.989068332763"/>
  </r>
  <r>
    <d v="2024-04-02T07:33:00"/>
    <x v="4"/>
    <s v=""/>
    <x v="4"/>
    <x v="10"/>
    <x v="3"/>
    <s v="4/2024"/>
    <s v="2/4/2024"/>
    <d v="1899-12-30T23:11:00"/>
    <n v="0.96597222222044365"/>
    <d v="1903-04-15T14:33:00"/>
    <n v="1201.6062499999971"/>
    <m/>
    <m/>
    <n v="0"/>
    <n v="9645"/>
    <n v="30"/>
    <n v="31.056793673673287"/>
    <n v="25499"/>
    <n v="4858"/>
    <n v="17"/>
    <n v="17.59884974841486"/>
    <n v="11554"/>
    <n v="47"/>
    <n v="37053"/>
    <n v="2.0273184759203393"/>
    <n v="48.655643422088147"/>
    <n v="17759.309849062174"/>
    <n v="1.2848426845316456"/>
    <n v="30.836224428759497"/>
    <n v="11255.221916497216"/>
  </r>
  <r>
    <d v="2024-04-03T08:39:00"/>
    <x v="4"/>
    <s v=""/>
    <x v="4"/>
    <x v="11"/>
    <x v="4"/>
    <s v="4/2024"/>
    <s v="3/4/2024"/>
    <d v="1899-12-31T01:06:00"/>
    <n v="1.0458333333372138"/>
    <d v="1903-04-16T15:39:00"/>
    <n v="1202.6520833333343"/>
    <m/>
    <m/>
    <n v="0"/>
    <n v="9659"/>
    <n v="14"/>
    <n v="13.386454183217262"/>
    <n v="25513"/>
    <n v="4873"/>
    <n v="15"/>
    <n v="14.342629482018495"/>
    <n v="11569"/>
    <n v="29"/>
    <n v="37082"/>
    <n v="1.15537848605149"/>
    <n v="27.729083665235759"/>
    <n v="10121.115537811052"/>
    <n v="1.2847301017023132"/>
    <n v="30.833522440855514"/>
    <n v="11254.235690912263"/>
  </r>
  <r>
    <d v="2024-04-04T07:29:00"/>
    <x v="4"/>
    <s v=""/>
    <x v="4"/>
    <x v="12"/>
    <x v="0"/>
    <s v="4/2024"/>
    <s v="4/4/2024"/>
    <d v="1899-12-30T22:50:00"/>
    <n v="0.95138888888322981"/>
    <d v="1903-04-17T14:29:00"/>
    <n v="1203.6034722222175"/>
    <m/>
    <m/>
    <n v="0"/>
    <n v="9679"/>
    <n v="20"/>
    <n v="21.021897810344022"/>
    <n v="25533"/>
    <n v="4884"/>
    <n v="11"/>
    <n v="11.562043795689211"/>
    <n v="11580"/>
    <n v="31"/>
    <n v="37113"/>
    <n v="1.357664233584718"/>
    <n v="32.583941606033235"/>
    <n v="11893.138686202132"/>
    <n v="1.2847877525186282"/>
    <n v="30.834906060447075"/>
    <n v="11254.740712063181"/>
  </r>
  <r>
    <d v="2024-04-05T07:58:00"/>
    <x v="4"/>
    <s v=""/>
    <x v="4"/>
    <x v="13"/>
    <x v="5"/>
    <s v="4/2024"/>
    <s v="5/4/2024"/>
    <d v="1899-12-31T00:29:00"/>
    <n v="1.0201388888890506"/>
    <d v="1903-04-18T14:58:00"/>
    <n v="1204.6236111111066"/>
    <m/>
    <m/>
    <n v="0"/>
    <n v="9687"/>
    <n v="8"/>
    <n v="7.842069434988546"/>
    <n v="25541"/>
    <n v="4895"/>
    <n v="11"/>
    <n v="10.782845473109251"/>
    <n v="11591"/>
    <n v="19"/>
    <n v="37132"/>
    <n v="0.77603812117074156"/>
    <n v="18.624914908097796"/>
    <n v="6798.093941455696"/>
    <n v="1.2843569164642301"/>
    <n v="30.824565995141523"/>
    <n v="11250.966588226656"/>
  </r>
  <r>
    <d v="2024-04-06T06:35:00"/>
    <x v="4"/>
    <s v=""/>
    <x v="4"/>
    <x v="14"/>
    <x v="6"/>
    <s v="4/2024"/>
    <s v="6/4/2024"/>
    <d v="1899-12-30T22:37:00"/>
    <n v="0.94236111111240461"/>
    <d v="1903-04-19T13:35:00"/>
    <n v="1205.565972222219"/>
    <m/>
    <m/>
    <n v="0"/>
    <n v="9696"/>
    <n v="9"/>
    <n v="9.550478997776132"/>
    <n v="25550"/>
    <n v="4898"/>
    <n v="3"/>
    <n v="3.1834929992587107"/>
    <n v="11594"/>
    <n v="12"/>
    <n v="37144"/>
    <n v="0.53058216654311841"/>
    <n v="12.733971997034843"/>
    <n v="4647.8997789177174"/>
    <n v="1.2837677093803948"/>
    <n v="30.810425025129472"/>
    <n v="11245.805134172257"/>
  </r>
  <r>
    <d v="2024-04-07T08:40:00"/>
    <x v="4"/>
    <s v=""/>
    <x v="4"/>
    <x v="15"/>
    <x v="1"/>
    <s v="4/2024"/>
    <s v="7/4/2024"/>
    <d v="1899-12-31T02:05:00"/>
    <n v="1.0868055555547471"/>
    <d v="1903-04-20T15:40:00"/>
    <n v="1206.6527777777737"/>
    <m/>
    <m/>
    <n v="0"/>
    <n v="9704"/>
    <n v="8"/>
    <n v="7.3610223642227277"/>
    <n v="25558"/>
    <n v="4900"/>
    <n v="2"/>
    <n v="1.8402555910556819"/>
    <n v="11596"/>
    <n v="10"/>
    <n v="37154"/>
    <n v="0.38338658146993376"/>
    <n v="9.2012779552784103"/>
    <n v="3358.4664536766199"/>
    <n v="1.2829567559479318"/>
    <n v="30.790962142750367"/>
    <n v="11238.701182103883"/>
  </r>
  <r>
    <d v="2024-04-08T08:40:00"/>
    <x v="4"/>
    <s v=""/>
    <x v="4"/>
    <x v="16"/>
    <x v="2"/>
    <s v="4/2024"/>
    <s v="8/4/2024"/>
    <d v="1899-12-31T00:00:00"/>
    <n v="1"/>
    <d v="1903-04-21T15:40:00"/>
    <n v="1207.6527777777737"/>
    <m/>
    <m/>
    <n v="0"/>
    <n v="9720"/>
    <n v="16"/>
    <n v="16"/>
    <n v="25574"/>
    <n v="4910"/>
    <n v="10"/>
    <n v="10"/>
    <n v="11606"/>
    <n v="26"/>
    <n v="37180"/>
    <n v="1.0833333333333333"/>
    <n v="26"/>
    <n v="9490"/>
    <n v="1.2827914572575401"/>
    <n v="30.786994974180963"/>
    <n v="11237.253165576052"/>
  </r>
  <r>
    <d v="2024-04-09T07:15:00"/>
    <x v="4"/>
    <s v=""/>
    <x v="4"/>
    <x v="17"/>
    <x v="3"/>
    <s v="4/2024"/>
    <s v="9/4/2024"/>
    <d v="1899-12-30T22:35:00"/>
    <n v="0.94097222222626442"/>
    <d v="1903-04-22T14:15:00"/>
    <n v="1208.59375"/>
    <m/>
    <m/>
    <n v="0"/>
    <n v="9733"/>
    <n v="13"/>
    <n v="13.815498154922201"/>
    <n v="25587"/>
    <n v="4925"/>
    <n v="15"/>
    <n v="15.940959409525616"/>
    <n v="11621"/>
    <n v="28"/>
    <n v="37208"/>
    <n v="1.2398523985186591"/>
    <n v="29.756457564447818"/>
    <n v="10861.107011023454"/>
    <n v="1.2827580262874381"/>
    <n v="30.786192630898512"/>
    <n v="11236.960310277957"/>
  </r>
  <r>
    <d v="2024-04-10T07:51:00"/>
    <x v="4"/>
    <s v=""/>
    <x v="4"/>
    <x v="18"/>
    <x v="4"/>
    <s v="4/2024"/>
    <s v="10/4/2024"/>
    <d v="1899-12-31T00:36:00"/>
    <n v="1.0249999999941792"/>
    <d v="1903-04-23T14:51:00"/>
    <n v="1209.6187499999942"/>
    <m/>
    <m/>
    <n v="0"/>
    <n v="9756"/>
    <n v="23"/>
    <n v="22.43902439037133"/>
    <n v="25610"/>
    <n v="4940"/>
    <n v="15"/>
    <n v="14.634146341546518"/>
    <n v="11636"/>
    <n v="38"/>
    <n v="37246"/>
    <n v="1.5447154471632436"/>
    <n v="37.073170731917848"/>
    <n v="13531.707317150014"/>
    <n v="1.2829800023078959"/>
    <n v="30.791520055389501"/>
    <n v="11238.904820217167"/>
  </r>
  <r>
    <d v="2024-04-11T07:21:00"/>
    <x v="4"/>
    <s v=""/>
    <x v="4"/>
    <x v="19"/>
    <x v="0"/>
    <s v="4/2024"/>
    <s v="11/4/2024"/>
    <d v="1899-12-30T23:30:00"/>
    <n v="0.97916666667151731"/>
    <d v="1903-04-24T14:21:00"/>
    <n v="1210.5979166666657"/>
    <m/>
    <m/>
    <n v="0"/>
    <n v="9772"/>
    <n v="16"/>
    <n v="16.340425531833947"/>
    <n v="25626"/>
    <n v="4950"/>
    <n v="10"/>
    <n v="10.212765957396217"/>
    <n v="11646"/>
    <n v="26"/>
    <n v="37272"/>
    <n v="1.1063829787179233"/>
    <n v="26.553191489230162"/>
    <n v="9691.91489356901"/>
    <n v="1.2828371655191058"/>
    <n v="30.788091972458538"/>
    <n v="11237.653569947366"/>
  </r>
  <r>
    <d v="2024-04-12T08:27:00"/>
    <x v="4"/>
    <s v=""/>
    <x v="4"/>
    <x v="20"/>
    <x v="5"/>
    <s v="4/2024"/>
    <s v="12/4/2024"/>
    <d v="1899-12-31T01:06:00"/>
    <n v="1.0458333333299379"/>
    <d v="1903-04-25T15:27:00"/>
    <n v="1211.6437499999956"/>
    <m/>
    <m/>
    <n v="0"/>
    <n v="9782"/>
    <n v="10"/>
    <n v="9.5617529880788528"/>
    <n v="25636"/>
    <n v="4953"/>
    <n v="3"/>
    <n v="2.8685258964236557"/>
    <n v="11649"/>
    <n v="13"/>
    <n v="37285"/>
    <n v="0.51792828685427117"/>
    <n v="12.430278884502508"/>
    <n v="4537.0517928434156"/>
    <n v="1.2821769325073251"/>
    <n v="30.772246380175801"/>
    <n v="11231.869928764167"/>
  </r>
  <r>
    <d v="2024-04-13T08:03:00"/>
    <x v="4"/>
    <s v=""/>
    <x v="4"/>
    <x v="21"/>
    <x v="6"/>
    <s v="4/2024"/>
    <s v="13/4/2024"/>
    <d v="1899-12-30T23:36:00"/>
    <n v="0.98333333333721384"/>
    <d v="1903-04-26T15:03:00"/>
    <n v="1212.6270833333328"/>
    <m/>
    <m/>
    <n v="0"/>
    <n v="9792"/>
    <n v="10"/>
    <n v="10.169491525383597"/>
    <n v="25646"/>
    <n v="4955"/>
    <n v="2"/>
    <n v="2.0338983050767196"/>
    <n v="11651"/>
    <n v="12"/>
    <n v="37297"/>
    <n v="0.50847457626917991"/>
    <n v="12.203389830460317"/>
    <n v="4454.2372881180154"/>
    <n v="1.2815495283140432"/>
    <n v="30.757188679537038"/>
    <n v="11226.373868031018"/>
  </r>
  <r>
    <d v="2024-04-14T07:52:00"/>
    <x v="4"/>
    <s v=""/>
    <x v="4"/>
    <x v="22"/>
    <x v="1"/>
    <s v="4/2024"/>
    <s v="14/4/2024"/>
    <d v="1899-12-30T23:49:00"/>
    <n v="0.99236111110803904"/>
    <d v="1903-04-27T14:52:00"/>
    <n v="1213.6194444444409"/>
    <m/>
    <m/>
    <n v="0"/>
    <n v="9799"/>
    <n v="7"/>
    <n v="7.0538838348713817"/>
    <n v="25653"/>
    <n v="4957"/>
    <n v="2"/>
    <n v="2.0153953813918233"/>
    <n v="11653"/>
    <n v="9"/>
    <n v="37306"/>
    <n v="0.37788663401096689"/>
    <n v="9.0692792162632045"/>
    <n v="3310.2869139360696"/>
    <n v="1.2808106147131093"/>
    <n v="30.739454753114625"/>
    <n v="11219.900984886839"/>
  </r>
  <r>
    <d v="2024-04-15T07:47:00"/>
    <x v="4"/>
    <s v=""/>
    <x v="4"/>
    <x v="23"/>
    <x v="2"/>
    <s v="4/2024"/>
    <s v="15/4/2024"/>
    <d v="1899-12-30T23:55:00"/>
    <n v="0.99652777778101154"/>
    <d v="1903-04-28T14:47:00"/>
    <n v="1214.6159722222219"/>
    <m/>
    <m/>
    <n v="0"/>
    <n v="9807"/>
    <n v="8"/>
    <n v="8.0278745644338798"/>
    <n v="25661"/>
    <n v="4960"/>
    <n v="3"/>
    <n v="3.0104529616627049"/>
    <n v="11656"/>
    <n v="11"/>
    <n v="37317"/>
    <n v="0.4599303135873577"/>
    <n v="11.038327526096584"/>
    <n v="4028.9895470252532"/>
    <n v="1.2801371261035299"/>
    <n v="30.723291026484716"/>
    <n v="11214.001224666921"/>
  </r>
  <r>
    <d v="2024-04-16T07:30:00"/>
    <x v="4"/>
    <s v=""/>
    <x v="4"/>
    <x v="24"/>
    <x v="3"/>
    <s v="4/2024"/>
    <s v="16/4/2024"/>
    <d v="1899-12-30T23:43:00"/>
    <n v="0.9881944444423425"/>
    <d v="1903-04-29T14:30:00"/>
    <n v="1215.6041666666642"/>
    <m/>
    <m/>
    <n v="0"/>
    <n v="9815"/>
    <n v="8"/>
    <n v="8.0955727336784982"/>
    <n v="25669"/>
    <n v="4963"/>
    <n v="3"/>
    <n v="3.0358397751294368"/>
    <n v="11659"/>
    <n v="11"/>
    <n v="37328"/>
    <n v="0.46380885453366399"/>
    <n v="11.131412508807935"/>
    <n v="4062.9655657148965"/>
    <n v="1.2794735128279859"/>
    <n v="30.707364307871661"/>
    <n v="11208.187972373156"/>
  </r>
  <r>
    <d v="2024-04-17T07:41:00"/>
    <x v="4"/>
    <s v=""/>
    <x v="4"/>
    <x v="0"/>
    <x v="4"/>
    <s v="4/2024"/>
    <s v="17/4/2024"/>
    <d v="1899-12-31T00:11:00"/>
    <n v="1.007638888891961"/>
    <d v="1903-04-30T14:41:00"/>
    <n v="1216.6118055555562"/>
    <m/>
    <m/>
    <n v="0"/>
    <n v="9841"/>
    <n v="26"/>
    <n v="25.802894555400311"/>
    <n v="25695"/>
    <n v="4977"/>
    <n v="14"/>
    <n v="13.893866299061706"/>
    <n v="11673"/>
    <n v="40"/>
    <n v="37368"/>
    <n v="1.6540317022692508"/>
    <n v="39.696760854462021"/>
    <n v="14489.317711878637"/>
    <n v="1.2797837345405407"/>
    <n v="30.714809628972979"/>
    <n v="11210.905514575137"/>
  </r>
  <r>
    <d v="2024-04-18T08:30:00"/>
    <x v="4"/>
    <s v=""/>
    <x v="4"/>
    <x v="25"/>
    <x v="0"/>
    <s v="4/2024"/>
    <s v="18/4/2024"/>
    <d v="1899-12-31T00:49:00"/>
    <n v="1.0340277777722804"/>
    <d v="1903-05-01T15:30:00"/>
    <n v="1217.6458333333285"/>
    <m/>
    <m/>
    <n v="0"/>
    <n v="9864"/>
    <n v="23"/>
    <n v="22.243116185477557"/>
    <n v="25718"/>
    <n v="4991"/>
    <n v="14"/>
    <n v="13.539288112899383"/>
    <n v="11687"/>
    <n v="37"/>
    <n v="37405"/>
    <n v="1.4909335124323724"/>
    <n v="35.782404298376939"/>
    <n v="13060.577568907584"/>
    <n v="1.2799630434410714"/>
    <n v="30.719113042585711"/>
    <n v="11212.476260543785"/>
  </r>
  <r>
    <d v="2024-04-19T07:29:00"/>
    <x v="4"/>
    <s v=""/>
    <x v="4"/>
    <x v="26"/>
    <x v="5"/>
    <s v="4/2024"/>
    <s v="19/4/2024"/>
    <d v="1899-12-30T22:59:00"/>
    <n v="0.95763888888905058"/>
    <d v="1903-05-02T14:29:00"/>
    <n v="1218.6034722222175"/>
    <m/>
    <m/>
    <n v="0"/>
    <n v="9882"/>
    <n v="18"/>
    <n v="18.796229151555927"/>
    <n v="25736"/>
    <n v="5005"/>
    <n v="14"/>
    <n v="14.619289340099055"/>
    <n v="11701"/>
    <n v="32"/>
    <n v="37437"/>
    <n v="1.3923132704856243"/>
    <n v="33.415518491654979"/>
    <n v="12196.664249454067"/>
    <n v="1.2800513338070894"/>
    <n v="30.721232011370144"/>
    <n v="11213.249684150103"/>
  </r>
  <r>
    <d v="2024-04-20T08:35:00"/>
    <x v="4"/>
    <s v=""/>
    <x v="4"/>
    <x v="27"/>
    <x v="6"/>
    <s v="4/2024"/>
    <s v="20/4/2024"/>
    <d v="1899-12-31T01:06:00"/>
    <n v="1.0458333333372138"/>
    <d v="1903-05-03T15:35:00"/>
    <n v="1219.6493055555547"/>
    <m/>
    <m/>
    <n v="0"/>
    <n v="9899"/>
    <n v="17"/>
    <n v="16.25498007962096"/>
    <n v="25753"/>
    <n v="5016"/>
    <n v="11"/>
    <n v="10.517928286813563"/>
    <n v="11712"/>
    <n v="28"/>
    <n v="37465"/>
    <n v="1.1155378486014385"/>
    <n v="26.772908366434525"/>
    <n v="9772.1115537486021"/>
    <n v="1.2799102656444399"/>
    <n v="30.717846375466557"/>
    <n v="11212.013927045293"/>
  </r>
  <r>
    <d v="2024-04-21T07:31:00"/>
    <x v="4"/>
    <s v=""/>
    <x v="4"/>
    <x v="28"/>
    <x v="1"/>
    <s v="4/2024"/>
    <s v="21/4/2024"/>
    <d v="1899-12-30T22:56:00"/>
    <n v="0.95555555555620231"/>
    <d v="1903-05-04T14:31:00"/>
    <n v="1220.6048611111109"/>
    <m/>
    <m/>
    <n v="0"/>
    <n v="9914"/>
    <n v="15"/>
    <n v="15.697674418594026"/>
    <n v="25768"/>
    <n v="5031"/>
    <n v="15"/>
    <n v="15.697674418594026"/>
    <n v="11727"/>
    <n v="30"/>
    <n v="37495"/>
    <n v="1.3081395348828355"/>
    <n v="31.395348837188052"/>
    <n v="11459.302325573639"/>
    <n v="1.2799323650444254"/>
    <n v="30.71837676106621"/>
    <n v="11212.207517789167"/>
  </r>
  <r>
    <d v="2024-04-22T07:38:00"/>
    <x v="4"/>
    <s v=""/>
    <x v="4"/>
    <x v="29"/>
    <x v="2"/>
    <s v="4/2024"/>
    <s v="22/4/2024"/>
    <d v="1899-12-31T00:07:00"/>
    <n v="1.0048611111124046"/>
    <d v="1903-05-05T14:38:00"/>
    <n v="1221.6097222222234"/>
    <m/>
    <m/>
    <n v="0"/>
    <n v="9939"/>
    <n v="25"/>
    <n v="24.879060124363274"/>
    <n v="25793"/>
    <n v="5045"/>
    <n v="14"/>
    <n v="13.932273669643434"/>
    <n v="11741"/>
    <n v="39"/>
    <n v="37534"/>
    <n v="1.6171389080836129"/>
    <n v="38.811333794006707"/>
    <n v="14166.136834812449"/>
    <n v="1.280209741472714"/>
    <n v="30.725033795345137"/>
    <n v="11214.637335300975"/>
  </r>
  <r>
    <d v="2024-04-23T07:28:00"/>
    <x v="4"/>
    <s v=""/>
    <x v="4"/>
    <x v="30"/>
    <x v="3"/>
    <s v="4/2024"/>
    <s v="23/4/2024"/>
    <d v="1899-12-30T23:50:00"/>
    <n v="0.99305555555474712"/>
    <d v="1903-05-06T14:28:00"/>
    <n v="1222.6027777777781"/>
    <m/>
    <m/>
    <n v="0"/>
    <n v="9964"/>
    <n v="25"/>
    <n v="25.174825174845669"/>
    <n v="25818"/>
    <n v="5062"/>
    <n v="17"/>
    <n v="17.118881118895054"/>
    <n v="11758"/>
    <n v="42"/>
    <n v="37576"/>
    <n v="1.7622377622391969"/>
    <n v="42.293706293740726"/>
    <n v="15437.202797215365"/>
    <n v="1.280601267332671"/>
    <n v="30.734430415984107"/>
    <n v="11218.0671018342"/>
  </r>
  <r>
    <d v="2024-04-24T07:35:00"/>
    <x v="4"/>
    <s v=""/>
    <x v="4"/>
    <x v="1"/>
    <x v="4"/>
    <s v="4/2024"/>
    <s v="24/4/2024"/>
    <d v="1899-12-31T00:07:00"/>
    <n v="1.0048611111051287"/>
    <d v="1903-05-07T14:35:00"/>
    <n v="1223.6076388888832"/>
    <m/>
    <m/>
    <n v="0"/>
    <n v="9987"/>
    <n v="23"/>
    <n v="22.888735314579947"/>
    <n v="25841"/>
    <n v="5076"/>
    <n v="14"/>
    <n v="13.932273669744314"/>
    <n v="11772"/>
    <n v="37"/>
    <n v="37613"/>
    <n v="1.5342087076801774"/>
    <n v="36.821008984324259"/>
    <n v="13439.668279278354"/>
    <n v="1.2808095369169665"/>
    <n v="30.739428886007197"/>
    <n v="11219.891543392627"/>
  </r>
  <r>
    <d v="2024-04-25T08:19:00"/>
    <x v="4"/>
    <s v=""/>
    <x v="4"/>
    <x v="2"/>
    <x v="0"/>
    <s v="4/2024"/>
    <s v="25/4/2024"/>
    <d v="1899-12-31T00:44:00"/>
    <n v="1.0305555555605679"/>
    <d v="1903-05-08T15:19:00"/>
    <n v="1224.6381944444438"/>
    <m/>
    <m/>
    <n v="0"/>
    <n v="10011"/>
    <n v="24"/>
    <n v="23.288409703390776"/>
    <n v="25865"/>
    <n v="5089"/>
    <n v="13"/>
    <n v="12.614555256003337"/>
    <n v="11785"/>
    <n v="37"/>
    <n v="37650"/>
    <n v="1.4959568733080879"/>
    <n v="35.902964959394112"/>
    <n v="13104.582210178851"/>
    <n v="1.2809905873560168"/>
    <n v="30.743774096544403"/>
    <n v="11221.477545238708"/>
  </r>
  <r>
    <d v="2024-04-26T08:23:00"/>
    <x v="4"/>
    <s v=""/>
    <x v="4"/>
    <x v="3"/>
    <x v="5"/>
    <s v="4/2024"/>
    <s v="26/4/2024"/>
    <d v="1899-12-31T00:04:00"/>
    <n v="1.0027777777795563"/>
    <d v="1903-05-09T15:23:00"/>
    <n v="1225.6409722222234"/>
    <m/>
    <m/>
    <n v="0"/>
    <n v="10029"/>
    <n v="18"/>
    <n v="17.950138504123288"/>
    <n v="25883"/>
    <n v="5102"/>
    <n v="13"/>
    <n v="12.963988919644597"/>
    <n v="11798"/>
    <n v="31"/>
    <n v="37681"/>
    <n v="1.2880886426569951"/>
    <n v="30.914127423767884"/>
    <n v="11283.656509675278"/>
    <n v="1.2809963947435656"/>
    <n v="30.743913473845573"/>
    <n v="11221.528417953634"/>
  </r>
  <r>
    <d v="2024-04-27T08:50:00"/>
    <x v="4"/>
    <s v=""/>
    <x v="4"/>
    <x v="4"/>
    <x v="6"/>
    <s v="4/2024"/>
    <s v="27/4/2024"/>
    <d v="1899-12-31T00:27:00"/>
    <n v="1.0187499999956344"/>
    <d v="1903-05-10T15:50:00"/>
    <n v="1226.659722222219"/>
    <m/>
    <m/>
    <n v="0"/>
    <n v="10049"/>
    <n v="20"/>
    <n v="19.631901840574926"/>
    <n v="25903"/>
    <n v="5114"/>
    <n v="12"/>
    <n v="11.779141104344955"/>
    <n v="11810"/>
    <n v="32"/>
    <n v="37713"/>
    <n v="1.3087934560383283"/>
    <n v="31.411042944919881"/>
    <n v="11465.030674895757"/>
    <n v="1.2810194804091994"/>
    <n v="30.744467529820788"/>
    <n v="11221.730648384588"/>
  </r>
  <r>
    <d v="2024-04-28T07:51:00"/>
    <x v="4"/>
    <s v=""/>
    <x v="4"/>
    <x v="5"/>
    <x v="1"/>
    <s v="4/2024"/>
    <s v="28/4/2024"/>
    <d v="1899-12-30T23:01:00"/>
    <n v="0.95902777777519077"/>
    <d v="1903-05-11T14:51:00"/>
    <n v="1227.6187499999942"/>
    <m/>
    <m/>
    <n v="0"/>
    <n v="10070"/>
    <n v="21"/>
    <n v="21.897175959508743"/>
    <n v="25924"/>
    <n v="5118"/>
    <n v="4"/>
    <n v="4.170890658954046"/>
    <n v="11814"/>
    <n v="25"/>
    <n v="37738"/>
    <n v="1.0861694424359496"/>
    <n v="26.06806661846279"/>
    <n v="9514.8443157389192"/>
    <n v="1.2808672616532406"/>
    <n v="30.740814279677775"/>
    <n v="11220.397212082387"/>
  </r>
  <r>
    <d v="2024-04-29T07:34:00"/>
    <x v="4"/>
    <s v=""/>
    <x v="4"/>
    <x v="6"/>
    <x v="2"/>
    <s v="4/2024"/>
    <s v="29/4/2024"/>
    <d v="1899-12-30T23:43:00"/>
    <n v="0.98819444444961846"/>
    <d v="1903-05-12T14:34:00"/>
    <n v="1228.6069444444438"/>
    <m/>
    <m/>
    <n v="0"/>
    <n v="10091"/>
    <n v="21"/>
    <n v="21.25087842574959"/>
    <n v="25945"/>
    <n v="5121"/>
    <n v="3"/>
    <n v="3.0358397751070845"/>
    <n v="11817"/>
    <n v="24"/>
    <n v="37762"/>
    <n v="1.0119465917023616"/>
    <n v="24.286718200856676"/>
    <n v="8864.6521433126873"/>
    <n v="1.2806509630939293"/>
    <n v="30.735623114254302"/>
    <n v="11218.50243670282"/>
  </r>
  <r>
    <d v="2024-05-01T11:25:00"/>
    <x v="4"/>
    <s v=""/>
    <x v="5"/>
    <x v="9"/>
    <x v="4"/>
    <s v="5/2024"/>
    <s v="1/5/2024"/>
    <d v="1900-01-01T03:51:00"/>
    <n v="2.1604166666656965"/>
    <d v="1903-05-14T18:25:00"/>
    <n v="1230.7673611111095"/>
    <m/>
    <m/>
    <n v="0"/>
    <n v="10119"/>
    <n v="28"/>
    <n v="12.96046287367988"/>
    <n v="25973"/>
    <n v="5127"/>
    <n v="6"/>
    <n v="2.7772420443599741"/>
    <n v="11823"/>
    <n v="34"/>
    <n v="37796"/>
    <n v="0.65573770491832728"/>
    <n v="15.737704918039855"/>
    <n v="5744.2622950845471"/>
    <n v="1.2795540271003032"/>
    <n v="30.709296650407278"/>
    <n v="11208.893277398656"/>
  </r>
  <r>
    <d v="2024-05-02T07:28:00"/>
    <x v="4"/>
    <s v=""/>
    <x v="5"/>
    <x v="10"/>
    <x v="0"/>
    <s v="5/2024"/>
    <s v="2/5/2024"/>
    <d v="1899-12-30T20:03:00"/>
    <n v="0.83541666666860692"/>
    <d v="1903-05-15T14:28:00"/>
    <n v="1231.6027777777781"/>
    <m/>
    <m/>
    <n v="0"/>
    <n v="10138"/>
    <n v="19"/>
    <n v="22.743142144585583"/>
    <n v="25992"/>
    <n v="5129"/>
    <n v="2"/>
    <n v="2.3940149625879563"/>
    <n v="11825"/>
    <n v="21"/>
    <n v="37817"/>
    <n v="1.0473815461322309"/>
    <n v="25.13715710717354"/>
    <n v="9175.0623441183416"/>
    <n v="1.2793965406414853"/>
    <n v="30.70551697539565"/>
    <n v="11207.513696019412"/>
  </r>
  <r>
    <d v="2024-05-03T07:39:00"/>
    <x v="4"/>
    <s v=""/>
    <x v="5"/>
    <x v="11"/>
    <x v="5"/>
    <s v="5/2024"/>
    <s v="3/5/2024"/>
    <d v="1899-12-31T00:11:00"/>
    <n v="1.007638888884685"/>
    <d v="1903-05-16T14:39:00"/>
    <n v="1232.6104166666628"/>
    <m/>
    <m/>
    <n v="0"/>
    <n v="10160"/>
    <n v="22"/>
    <n v="21.833218470111763"/>
    <n v="26014"/>
    <n v="5134"/>
    <n v="5"/>
    <n v="4.9620951068435826"/>
    <n v="11830"/>
    <n v="27"/>
    <n v="37844"/>
    <n v="1.1164713990398061"/>
    <n v="26.795313576955348"/>
    <n v="9780.2894555887015"/>
    <n v="1.2792633519985572"/>
    <n v="30.702320447965374"/>
    <n v="11206.346963507362"/>
  </r>
  <r>
    <d v="2024-05-04T07:27:00"/>
    <x v="4"/>
    <s v=""/>
    <x v="5"/>
    <x v="12"/>
    <x v="6"/>
    <s v="5/2024"/>
    <s v="4/5/2024"/>
    <d v="1899-12-30T23:48:00"/>
    <n v="0.99166666666860692"/>
    <d v="1903-05-17T14:27:00"/>
    <n v="1233.6020833333314"/>
    <m/>
    <m/>
    <n v="0"/>
    <n v="10181"/>
    <n v="21"/>
    <n v="21.176470588193862"/>
    <n v="26035"/>
    <n v="5137"/>
    <n v="3"/>
    <n v="3.0252100840276945"/>
    <n v="11833"/>
    <n v="24"/>
    <n v="37868"/>
    <n v="1.0084033613425649"/>
    <n v="24.201680672221556"/>
    <n v="8833.6134453608684"/>
    <n v="1.2790456133714125"/>
    <n v="30.697094720913903"/>
    <n v="11204.439573133575"/>
  </r>
  <r>
    <d v="2024-05-05T07:52:00"/>
    <x v="4"/>
    <s v=""/>
    <x v="5"/>
    <x v="13"/>
    <x v="1"/>
    <s v="5/2024"/>
    <s v="5/5/2024"/>
    <d v="1899-12-31T00:25:00"/>
    <n v="1.0173611111094942"/>
    <d v="1903-05-18T14:52:00"/>
    <n v="1234.6194444444409"/>
    <m/>
    <m/>
    <n v="0"/>
    <n v="10206"/>
    <n v="25"/>
    <n v="24.573378839629498"/>
    <n v="26060"/>
    <n v="5145"/>
    <n v="8"/>
    <n v="7.8634812286814393"/>
    <n v="11841"/>
    <n v="33"/>
    <n v="37901"/>
    <n v="1.3515358361796224"/>
    <n v="32.436860068310935"/>
    <n v="11839.453924933492"/>
    <n v="1.2791053473517517"/>
    <n v="30.698528336442042"/>
    <n v="11204.962842801346"/>
  </r>
  <r>
    <d v="2024-05-06T07:40:00"/>
    <x v="4"/>
    <s v=""/>
    <x v="5"/>
    <x v="14"/>
    <x v="2"/>
    <s v="5/2024"/>
    <s v="6/5/2024"/>
    <d v="1899-12-30T23:48:00"/>
    <n v="0.99166666666860692"/>
    <d v="1903-05-19T14:40:00"/>
    <n v="1235.6111111111095"/>
    <m/>
    <m/>
    <n v="0"/>
    <n v="10220"/>
    <n v="14"/>
    <n v="14.117647058795907"/>
    <n v="26074"/>
    <n v="5156"/>
    <n v="11"/>
    <n v="11.092436974768212"/>
    <n v="11852"/>
    <n v="25"/>
    <n v="37926"/>
    <n v="1.0504201680651717"/>
    <n v="25.210084033564119"/>
    <n v="9201.6806722509027"/>
    <n v="1.2789218110696479"/>
    <n v="30.694123465671549"/>
    <n v="11203.355064970116"/>
  </r>
  <r>
    <d v="2024-05-07T07:29:00"/>
    <x v="4"/>
    <s v=""/>
    <x v="5"/>
    <x v="15"/>
    <x v="3"/>
    <s v="5/2024"/>
    <s v="7/5/2024"/>
    <d v="1899-12-30T23:49:00"/>
    <n v="0.99236111110803904"/>
    <d v="1903-05-20T14:29:00"/>
    <n v="1236.6034722222175"/>
    <m/>
    <m/>
    <n v="0"/>
    <n v="10240"/>
    <n v="20"/>
    <n v="20.153953813918235"/>
    <n v="26094"/>
    <n v="5160"/>
    <n v="4"/>
    <n v="4.0307907627836466"/>
    <n v="11856"/>
    <n v="24"/>
    <n v="37950"/>
    <n v="1.0076976906959116"/>
    <n v="24.184744576701881"/>
    <n v="8827.4317704961868"/>
    <n v="1.2787041566027961"/>
    <n v="30.688899758467109"/>
    <n v="11201.448411840494"/>
  </r>
  <r>
    <d v="2024-05-08T08:10:00"/>
    <x v="4"/>
    <s v=""/>
    <x v="5"/>
    <x v="16"/>
    <x v="4"/>
    <s v="5/2024"/>
    <s v="8/5/2024"/>
    <d v="1899-12-31T00:41:00"/>
    <n v="1.0284722222277196"/>
    <d v="1903-05-21T15:10:00"/>
    <n v="1237.6319444444453"/>
    <m/>
    <m/>
    <n v="0"/>
    <n v="10256"/>
    <n v="16"/>
    <n v="15.557056043130888"/>
    <n v="26110"/>
    <n v="5162"/>
    <n v="2"/>
    <n v="1.9446320053913611"/>
    <n v="11858"/>
    <n v="18"/>
    <n v="37968"/>
    <n v="0.72923700202176045"/>
    <n v="17.501688048522251"/>
    <n v="6388.1161377106218"/>
    <n v="1.2782475493634229"/>
    <n v="30.677941184722147"/>
    <n v="11197.448532423583"/>
  </r>
  <r>
    <d v="2024-05-09T07:31:00"/>
    <x v="4"/>
    <s v=""/>
    <x v="5"/>
    <x v="17"/>
    <x v="0"/>
    <s v="5/2024"/>
    <s v="9/5/2024"/>
    <d v="1899-12-30T23:21:00"/>
    <n v="0.97291666666569654"/>
    <d v="1903-05-22T14:31:00"/>
    <n v="1238.6048611111109"/>
    <n v="7.3"/>
    <n v="21.3"/>
    <n v="14"/>
    <n v="10264"/>
    <n v="8"/>
    <n v="8.2226980728133388"/>
    <n v="26118"/>
    <n v="5165"/>
    <n v="3"/>
    <n v="3.0835117773050018"/>
    <n v="11861"/>
    <n v="11"/>
    <n v="37979"/>
    <n v="0.47109207708826417"/>
    <n v="11.306209850118341"/>
    <n v="4126.7665952931948"/>
    <n v="1.2776135335959871"/>
    <n v="30.662724806303693"/>
    <n v="11191.894554300849"/>
  </r>
  <r>
    <d v="2024-05-10T07:59:00"/>
    <x v="4"/>
    <s v=""/>
    <x v="5"/>
    <x v="18"/>
    <x v="5"/>
    <s v="5/2024"/>
    <s v="10/5/2024"/>
    <d v="1899-12-31T00:28:00"/>
    <n v="1.0194444444423425"/>
    <d v="1903-05-23T14:59:00"/>
    <n v="1239.6243055555533"/>
    <n v="7.8"/>
    <n v="21.1"/>
    <n v="13.3"/>
    <n v="10270"/>
    <n v="6"/>
    <n v="5.8855585831184021"/>
    <n v="26124"/>
    <n v="5167"/>
    <n v="2"/>
    <n v="1.9618528610394674"/>
    <n v="11863"/>
    <n v="8"/>
    <n v="37987"/>
    <n v="0.32697547683991124"/>
    <n v="7.8474114441578697"/>
    <n v="2864.3051771176224"/>
    <n v="1.2768317461775796"/>
    <n v="30.643961908261911"/>
    <n v="11185.046096515598"/>
  </r>
  <r>
    <d v="2024-05-11T07:29:00"/>
    <x v="4"/>
    <s v=""/>
    <x v="5"/>
    <x v="19"/>
    <x v="6"/>
    <s v="5/2024"/>
    <s v="11/5/2024"/>
    <d v="1899-12-30T23:30:00"/>
    <n v="0.97916666666424135"/>
    <d v="1903-05-24T14:29:00"/>
    <n v="1240.6034722222175"/>
    <m/>
    <m/>
    <n v="0"/>
    <n v="10277"/>
    <n v="7"/>
    <n v="7.1489361702304732"/>
    <n v="26131"/>
    <n v="5169"/>
    <n v="2"/>
    <n v="2.042553191494421"/>
    <n v="11865"/>
    <n v="9"/>
    <n v="37996"/>
    <n v="0.38297872340520395"/>
    <n v="9.1914893617248943"/>
    <n v="3354.8936170295865"/>
    <n v="1.2761262579983244"/>
    <n v="30.627030191959786"/>
    <n v="11178.866020065321"/>
  </r>
  <r>
    <d v="2024-05-12T07:51:00"/>
    <x v="4"/>
    <s v=""/>
    <x v="5"/>
    <x v="20"/>
    <x v="1"/>
    <s v="5/2024"/>
    <s v="12/5/2024"/>
    <d v="1899-12-31T00:22:00"/>
    <n v="1.015277777776646"/>
    <d v="1903-05-25T14:51:00"/>
    <n v="1241.6187499999942"/>
    <m/>
    <m/>
    <n v="0"/>
    <n v="10284"/>
    <n v="7"/>
    <n v="6.894664842688945"/>
    <n v="26138"/>
    <n v="5172"/>
    <n v="3"/>
    <n v="2.9548563611524048"/>
    <n v="11868"/>
    <n v="10"/>
    <n v="38006"/>
    <n v="0.41039671682672291"/>
    <n v="9.8495212038413502"/>
    <n v="3595.0752394020928"/>
    <n v="1.2754183466811699"/>
    <n v="30.610040320348077"/>
    <n v="11172.664716927047"/>
  </r>
  <r>
    <d v="2024-05-13T07:32:00"/>
    <x v="4"/>
    <s v=""/>
    <x v="5"/>
    <x v="21"/>
    <x v="2"/>
    <s v="5/2024"/>
    <s v="13/5/2024"/>
    <d v="1899-12-30T23:41:00"/>
    <n v="0.98680555555620231"/>
    <d v="1903-05-26T14:32:00"/>
    <n v="1242.6055555555504"/>
    <m/>
    <m/>
    <n v="0"/>
    <n v="10289"/>
    <n v="5"/>
    <n v="5.0668543279347507"/>
    <n v="26143"/>
    <n v="5174"/>
    <n v="2"/>
    <n v="2.0267417311739004"/>
    <n v="11870"/>
    <n v="7"/>
    <n v="38013"/>
    <n v="0.29556650246286048"/>
    <n v="7.0935960591086511"/>
    <n v="2589.1625615746575"/>
    <n v="1.2746402049457064"/>
    <n v="30.59136491869695"/>
    <n v="11165.848195324386"/>
  </r>
  <r>
    <d v="2024-05-14T07:40:00"/>
    <x v="4"/>
    <s v=""/>
    <x v="5"/>
    <x v="22"/>
    <x v="3"/>
    <s v="5/2024"/>
    <s v="14/5/2024"/>
    <d v="1899-12-31T00:08:00"/>
    <n v="1.0055555555591127"/>
    <d v="1903-05-27T14:40:00"/>
    <n v="1243.6111111111095"/>
    <m/>
    <m/>
    <n v="0"/>
    <n v="10298"/>
    <n v="9"/>
    <n v="8.9502762430622607"/>
    <n v="26152"/>
    <n v="5177"/>
    <n v="3"/>
    <n v="2.983425414354087"/>
    <n v="11873"/>
    <n v="12"/>
    <n v="38025"/>
    <n v="0.49723756905901451"/>
    <n v="11.933701657416348"/>
    <n v="4355.8011049569668"/>
    <n v="1.2740116149207075"/>
    <n v="30.576278758096979"/>
    <n v="11160.341746705397"/>
  </r>
  <r>
    <d v="2024-05-15T08:07:00"/>
    <x v="4"/>
    <s v=""/>
    <x v="5"/>
    <x v="23"/>
    <x v="4"/>
    <s v="5/2024"/>
    <s v="15/5/2024"/>
    <d v="1899-12-31T00:27:00"/>
    <n v="1.0187499999956344"/>
    <d v="1903-05-28T15:07:00"/>
    <n v="1244.6298611111051"/>
    <m/>
    <m/>
    <n v="0"/>
    <n v="10303"/>
    <n v="5"/>
    <n v="4.9079754601437315"/>
    <n v="26157"/>
    <n v="5179"/>
    <n v="2"/>
    <n v="1.9631901840574926"/>
    <n v="11875"/>
    <n v="7"/>
    <n v="38032"/>
    <n v="0.28629856850838431"/>
    <n v="6.8711656442012234"/>
    <n v="2507.9754601334466"/>
    <n v="1.2732031555566279"/>
    <n v="30.556875733359071"/>
    <n v="11153.259642676061"/>
  </r>
  <r>
    <d v="2024-05-16T08:07:00"/>
    <x v="4"/>
    <s v=""/>
    <x v="5"/>
    <x v="24"/>
    <x v="0"/>
    <s v="5/2024"/>
    <s v="16/5/2024"/>
    <d v="1899-12-31T00:00:00"/>
    <n v="1"/>
    <d v="1903-05-29T15:07:00"/>
    <n v="1245.6298611111051"/>
    <m/>
    <m/>
    <n v="0"/>
    <n v="10315"/>
    <n v="12"/>
    <n v="12"/>
    <n v="26169"/>
    <n v="5183"/>
    <n v="4"/>
    <n v="4"/>
    <n v="11879"/>
    <n v="16"/>
    <n v="38048"/>
    <n v="0.66666666666666663"/>
    <n v="16"/>
    <n v="5840"/>
    <n v="1.272716223998686"/>
    <n v="30.545189375968462"/>
    <n v="11148.994122228489"/>
  </r>
  <r>
    <d v="2024-05-17T07:43:00"/>
    <x v="4"/>
    <s v=""/>
    <x v="5"/>
    <x v="0"/>
    <x v="5"/>
    <s v="5/2024"/>
    <s v="17/5/2024"/>
    <d v="1899-12-30T23:36:00"/>
    <n v="0.98333333333721384"/>
    <d v="1903-05-30T14:43:00"/>
    <n v="1246.6131944444423"/>
    <m/>
    <m/>
    <n v="0"/>
    <n v="10331"/>
    <n v="16"/>
    <n v="16.271186440613757"/>
    <n v="26185"/>
    <n v="5188"/>
    <n v="5"/>
    <n v="5.0847457626917985"/>
    <n v="11884"/>
    <n v="21"/>
    <n v="38069"/>
    <n v="0.88983050847106471"/>
    <n v="21.355932203305553"/>
    <n v="7794.9152542065267"/>
    <n v="1.2724142022580089"/>
    <n v="30.537940854192215"/>
    <n v="11146.348411780158"/>
  </r>
  <r>
    <d v="2024-05-18T08:04:00"/>
    <x v="4"/>
    <s v=""/>
    <x v="5"/>
    <x v="25"/>
    <x v="6"/>
    <s v="5/2024"/>
    <s v="18/5/2024"/>
    <d v="1899-12-31T00:21:00"/>
    <n v="1.0145833333299379"/>
    <d v="1903-05-31T15:04:00"/>
    <n v="1247.6277777777723"/>
    <m/>
    <m/>
    <n v="0"/>
    <n v="10344"/>
    <n v="13"/>
    <n v="12.813141683821115"/>
    <n v="26198"/>
    <n v="5198"/>
    <n v="10"/>
    <n v="9.8562628337085503"/>
    <n v="11894"/>
    <n v="23"/>
    <n v="38092"/>
    <n v="0.9445585215637361"/>
    <n v="22.669404517529664"/>
    <n v="8274.3326488983275"/>
    <n v="1.2721475867535335"/>
    <n v="30.531542082084801"/>
    <n v="11144.012859960952"/>
  </r>
  <r>
    <d v="2024-05-20T09:03:00"/>
    <x v="4"/>
    <s v=""/>
    <x v="5"/>
    <x v="27"/>
    <x v="2"/>
    <s v="5/2024"/>
    <s v="20/5/2024"/>
    <d v="1900-01-01T00:59:00"/>
    <n v="2.0409722222248092"/>
    <d v="1903-06-02T16:03:00"/>
    <n v="1249.6687499999971"/>
    <m/>
    <m/>
    <n v="0"/>
    <n v="10356"/>
    <n v="12"/>
    <n v="5.8795508676346024"/>
    <n v="26210"/>
    <n v="5203"/>
    <n v="5"/>
    <n v="2.4498128615144177"/>
    <n v="11899"/>
    <n v="17"/>
    <n v="38109"/>
    <n v="0.34705682204787586"/>
    <n v="8.329363729149021"/>
    <n v="3040.2177611393927"/>
    <n v="1.2706367187304666"/>
    <n v="30.495281249531196"/>
    <n v="11130.777656078886"/>
  </r>
  <r>
    <d v="2024-05-21T07:28:00"/>
    <x v="4"/>
    <s v=""/>
    <x v="5"/>
    <x v="28"/>
    <x v="3"/>
    <s v="5/2024"/>
    <s v="21/5/2024"/>
    <d v="1899-12-30T22:25:00"/>
    <n v="0.93402777778101154"/>
    <d v="1903-06-03T14:28:00"/>
    <n v="1250.6027777777781"/>
    <m/>
    <m/>
    <n v="0"/>
    <n v="10365"/>
    <n v="9"/>
    <n v="9.6356877323086465"/>
    <n v="26219"/>
    <n v="5205"/>
    <n v="2"/>
    <n v="2.1412639405130327"/>
    <n v="11901"/>
    <n v="11"/>
    <n v="38120"/>
    <n v="0.49070631970090334"/>
    <n v="11.77695167282168"/>
    <n v="4298.5873605799134"/>
    <n v="1.2700542182991754"/>
    <n v="30.481301239180208"/>
    <n v="11125.674952300777"/>
  </r>
  <r>
    <d v="2024-05-22T08:17:00"/>
    <x v="4"/>
    <s v=""/>
    <x v="5"/>
    <x v="29"/>
    <x v="4"/>
    <s v="5/2024"/>
    <s v="22/5/2024"/>
    <d v="1899-12-31T00:49:00"/>
    <n v="1.0340277777722804"/>
    <d v="1903-06-04T15:17:00"/>
    <n v="1251.6368055555504"/>
    <m/>
    <m/>
    <n v="0"/>
    <n v="10375"/>
    <n v="10"/>
    <n v="9.670920080642416"/>
    <n v="26229"/>
    <n v="5209"/>
    <n v="4"/>
    <n v="3.8683680322569662"/>
    <n v="11905"/>
    <n v="14"/>
    <n v="38134"/>
    <n v="0.56413700470414097"/>
    <n v="13.539288112899383"/>
    <n v="4941.8401612082753"/>
    <n v="1.2694710315437006"/>
    <n v="30.467304757048812"/>
    <n v="11120.566236322817"/>
  </r>
  <r>
    <d v="2024-05-23T07:12:00"/>
    <x v="4"/>
    <s v=""/>
    <x v="5"/>
    <x v="30"/>
    <x v="0"/>
    <s v="5/2024"/>
    <s v="23/5/2024"/>
    <d v="1899-12-30T22:55:00"/>
    <n v="0.95486111111677019"/>
    <d v="1903-06-05T14:12:00"/>
    <n v="1252.5916666666672"/>
    <m/>
    <m/>
    <n v="0"/>
    <n v="10383"/>
    <n v="8"/>
    <n v="8.3781818181321643"/>
    <n v="26237"/>
    <n v="5212"/>
    <n v="3"/>
    <n v="3.1418181817995614"/>
    <n v="11908"/>
    <n v="11"/>
    <n v="38145"/>
    <n v="0.47999999999715526"/>
    <n v="11.519999999931725"/>
    <n v="4204.79999997508"/>
    <n v="1.2688692111688429"/>
    <n v="30.452861068052226"/>
    <n v="11115.294289839063"/>
  </r>
  <r>
    <d v="2024-05-24T08:27:00"/>
    <x v="4"/>
    <s v=""/>
    <x v="5"/>
    <x v="1"/>
    <x v="5"/>
    <s v="5/2024"/>
    <s v="24/5/2024"/>
    <d v="1899-12-31T01:15:00"/>
    <n v="1.0520833333284827"/>
    <d v="1903-06-06T15:27:00"/>
    <n v="1253.6437499999956"/>
    <m/>
    <m/>
    <n v="0"/>
    <n v="10391"/>
    <n v="8"/>
    <n v="7.6039603960746618"/>
    <n v="26245"/>
    <n v="5215"/>
    <n v="3"/>
    <n v="2.8514851485279982"/>
    <n v="11911"/>
    <n v="11"/>
    <n v="38156"/>
    <n v="0.4356435643584442"/>
    <n v="10.455445544602661"/>
    <n v="3816.2376237799713"/>
    <n v="1.2681699512587519"/>
    <n v="30.436078830210043"/>
    <n v="11109.168773026666"/>
  </r>
  <r>
    <d v="2024-05-25T07:51:00"/>
    <x v="4"/>
    <s v=""/>
    <x v="5"/>
    <x v="2"/>
    <x v="6"/>
    <s v="5/2024"/>
    <s v="25/5/2024"/>
    <d v="1899-12-30T23:24:00"/>
    <n v="0.97499999999854481"/>
    <d v="1903-06-07T14:51:00"/>
    <n v="1254.6187499999942"/>
    <m/>
    <m/>
    <n v="0"/>
    <n v="10400"/>
    <n v="9"/>
    <n v="9.2307692307830074"/>
    <n v="26254"/>
    <n v="5219"/>
    <n v="4"/>
    <n v="4.1025641025702253"/>
    <n v="11915"/>
    <n v="13"/>
    <n v="38169"/>
    <n v="0.55555555555638469"/>
    <n v="13.333333333353233"/>
    <n v="4866.6666666739302"/>
    <n v="1.2676161582951055"/>
    <n v="30.422787799082531"/>
    <n v="11104.317546665125"/>
  </r>
  <r>
    <d v="2024-05-27T07:37:00"/>
    <x v="4"/>
    <s v=""/>
    <x v="5"/>
    <x v="4"/>
    <x v="2"/>
    <s v="5/2024"/>
    <s v="27/5/2024"/>
    <d v="1899-12-31T23:46:00"/>
    <n v="1.9902777777824667"/>
    <d v="1903-06-09T14:37:00"/>
    <n v="1256.6090277777766"/>
    <m/>
    <m/>
    <n v="0"/>
    <n v="10413"/>
    <n v="13"/>
    <n v="6.5317515701172004"/>
    <n v="26267"/>
    <n v="5224"/>
    <n v="5"/>
    <n v="2.5122121423527695"/>
    <n v="11920"/>
    <n v="18"/>
    <n v="38187"/>
    <n v="0.37683182135291543"/>
    <n v="9.0439637124699708"/>
    <n v="3301.0467550515395"/>
    <n v="1.2662052912462287"/>
    <n v="30.388926989909489"/>
    <n v="11091.958351316964"/>
  </r>
  <r>
    <d v="2024-05-28T07:27:00"/>
    <x v="4"/>
    <s v=""/>
    <x v="5"/>
    <x v="5"/>
    <x v="3"/>
    <s v="5/2024"/>
    <s v="28/5/2024"/>
    <d v="1899-12-30T23:50:00"/>
    <n v="0.99305555555474712"/>
    <d v="1903-06-10T14:27:00"/>
    <n v="1257.6020833333314"/>
    <m/>
    <m/>
    <n v="0"/>
    <n v="10420"/>
    <n v="7"/>
    <n v="7.0489510489567877"/>
    <n v="26274"/>
    <n v="5227"/>
    <n v="3"/>
    <n v="3.0209790209814802"/>
    <n v="11923"/>
    <n v="10"/>
    <n v="38197"/>
    <n v="0.41958041958076114"/>
    <n v="10.069930069938268"/>
    <n v="3675.524475527468"/>
    <n v="1.2655367606009471"/>
    <n v="30.372882254422734"/>
    <n v="11086.102022864297"/>
  </r>
  <r>
    <d v="2024-05-29T07:53:00"/>
    <x v="4"/>
    <s v=""/>
    <x v="5"/>
    <x v="6"/>
    <x v="4"/>
    <s v="5/2024"/>
    <s v="29/5/2024"/>
    <d v="1899-12-31T00:26:00"/>
    <n v="1.0180555555562023"/>
    <d v="1903-06-11T14:53:00"/>
    <n v="1258.6201388888876"/>
    <m/>
    <m/>
    <n v="0"/>
    <n v="10426"/>
    <n v="6"/>
    <n v="5.8935879945392298"/>
    <n v="26280"/>
    <n v="5230"/>
    <n v="3"/>
    <n v="2.9467939972696149"/>
    <n v="11926"/>
    <n v="9"/>
    <n v="38206"/>
    <n v="0.36834924965870186"/>
    <n v="8.8403819918088455"/>
    <n v="3226.7394270102286"/>
    <n v="1.2648110557582639"/>
    <n v="30.355465338198332"/>
    <n v="11079.744848442391"/>
  </r>
  <r>
    <d v="2024-05-30T08:03:00"/>
    <x v="4"/>
    <s v=""/>
    <x v="5"/>
    <x v="7"/>
    <x v="0"/>
    <s v="5/2024"/>
    <s v="30/5/2024"/>
    <d v="1899-12-31T00:10:00"/>
    <n v="1.0069444444452529"/>
    <d v="1903-06-12T15:03:00"/>
    <n v="1259.6270833333328"/>
    <m/>
    <m/>
    <n v="0"/>
    <n v="10439"/>
    <n v="13"/>
    <n v="12.910344827575841"/>
    <n v="26293"/>
    <n v="5232"/>
    <n v="2"/>
    <n v="1.9862068965501294"/>
    <n v="11928"/>
    <n v="15"/>
    <n v="38221"/>
    <n v="0.62068965517191543"/>
    <n v="14.89655172412597"/>
    <n v="5437.2413793059795"/>
    <n v="1.2642961458500455"/>
    <n v="30.343107500401089"/>
    <n v="11075.234237646398"/>
  </r>
  <r>
    <d v="2024-05-31T08:13:00"/>
    <x v="4"/>
    <s v=""/>
    <x v="5"/>
    <x v="8"/>
    <x v="5"/>
    <s v="5/2024"/>
    <s v="31/5/2024"/>
    <d v="1899-12-31T00:10:00"/>
    <n v="1.0069444444452529"/>
    <d v="1903-06-13T15:13:00"/>
    <n v="1260.6340277777781"/>
    <m/>
    <m/>
    <n v="0"/>
    <n v="10448"/>
    <n v="9"/>
    <n v="8.9379310344755822"/>
    <n v="26302"/>
    <n v="5235"/>
    <n v="3"/>
    <n v="2.9793103448251941"/>
    <n v="11931"/>
    <n v="12"/>
    <n v="38233"/>
    <n v="0.49655172413753235"/>
    <n v="11.917241379300776"/>
    <n v="4349.7931034447829"/>
    <n v="1.2636829020670262"/>
    <n v="30.328389649608628"/>
    <n v="11069.862222107149"/>
  </r>
  <r>
    <d v="2024-06-01T07:34:00"/>
    <x v="4"/>
    <s v=""/>
    <x v="6"/>
    <x v="9"/>
    <x v="6"/>
    <s v="6/2024"/>
    <s v="1/6/2024"/>
    <d v="1899-12-30T23:21:00"/>
    <n v="0.97291666666569654"/>
    <d v="1903-06-14T14:34:00"/>
    <n v="1261.6069444444438"/>
    <m/>
    <m/>
    <n v="0"/>
    <n v="10456"/>
    <n v="8"/>
    <n v="8.2226980728133388"/>
    <n v="26310"/>
    <n v="5238"/>
    <n v="3"/>
    <n v="3.0835117773050018"/>
    <n v="11934"/>
    <n v="11"/>
    <n v="38244"/>
    <n v="0.47109207708826417"/>
    <n v="11.306209850118341"/>
    <n v="4126.7665952931948"/>
    <n v="1.2630716777654607"/>
    <n v="30.313720266371057"/>
    <n v="11064.507897225436"/>
  </r>
  <r>
    <d v="2024-06-02T09:09:00"/>
    <x v="4"/>
    <s v=""/>
    <x v="6"/>
    <x v="10"/>
    <x v="1"/>
    <s v="6/2024"/>
    <s v="2/6/2024"/>
    <d v="1899-12-31T01:35:00"/>
    <n v="1.0659722222189885"/>
    <d v="1903-06-15T16:09:00"/>
    <n v="1262.6729166666628"/>
    <m/>
    <m/>
    <n v="0"/>
    <n v="10463"/>
    <n v="7"/>
    <n v="6.5667752443195955"/>
    <n v="26317"/>
    <n v="5241"/>
    <n v="3"/>
    <n v="2.8143322475655408"/>
    <n v="11937"/>
    <n v="10"/>
    <n v="38254"/>
    <n v="0.39087947882854734"/>
    <n v="9.3811074918851372"/>
    <n v="3424.1042345380752"/>
    <n v="1.2623353567085736"/>
    <n v="30.296048561005765"/>
    <n v="11058.057724767104"/>
  </r>
  <r>
    <d v="2024-06-03T07:41:00"/>
    <x v="4"/>
    <s v=""/>
    <x v="6"/>
    <x v="11"/>
    <x v="2"/>
    <s v="6/2024"/>
    <s v="3/6/2024"/>
    <d v="1899-12-30T22:32:00"/>
    <n v="0.93888888889341615"/>
    <d v="1903-06-16T14:41:00"/>
    <n v="1263.6118055555562"/>
    <m/>
    <m/>
    <n v="0"/>
    <n v="10473"/>
    <n v="10"/>
    <n v="10.650887573913138"/>
    <n v="26327"/>
    <n v="5243"/>
    <n v="2"/>
    <n v="2.1301775147826278"/>
    <n v="11939"/>
    <n v="12"/>
    <n v="38266"/>
    <n v="0.53254437869565696"/>
    <n v="12.781065088695767"/>
    <n v="4665.0887573739546"/>
    <n v="1.2617931073900261"/>
    <n v="30.283034577360624"/>
    <n v="11053.307620736628"/>
  </r>
  <r>
    <d v="2024-06-04T07:30:00"/>
    <x v="4"/>
    <s v=""/>
    <x v="6"/>
    <x v="12"/>
    <x v="3"/>
    <s v="6/2024"/>
    <s v="4/6/2024"/>
    <d v="1899-12-30T23:49:00"/>
    <n v="0.99236111110803904"/>
    <d v="1903-06-17T14:30:00"/>
    <n v="1264.6041666666642"/>
    <m/>
    <m/>
    <n v="0"/>
    <n v="10476"/>
    <n v="3"/>
    <n v="3.0230930720877351"/>
    <n v="26330"/>
    <n v="5245"/>
    <n v="2"/>
    <n v="2.0153953813918233"/>
    <n v="11941"/>
    <n v="5"/>
    <n v="38271"/>
    <n v="0.20993701889498162"/>
    <n v="5.0384884534795589"/>
    <n v="1839.0482855200389"/>
    <n v="1.2609676941071835"/>
    <n v="30.263224658572405"/>
    <n v="11046.077000378928"/>
  </r>
  <r>
    <d v="2024-06-05T08:04:00"/>
    <x v="4"/>
    <s v=""/>
    <x v="6"/>
    <x v="13"/>
    <x v="4"/>
    <s v="6/2024"/>
    <s v="5/6/2024"/>
    <d v="1899-12-31T00:34:00"/>
    <n v="1.023611111108039"/>
    <d v="1903-06-18T15:04:00"/>
    <n v="1265.6277777777723"/>
    <m/>
    <m/>
    <n v="0"/>
    <n v="10484"/>
    <n v="8"/>
    <n v="7.8154681139990325"/>
    <n v="26338"/>
    <n v="5248"/>
    <n v="3"/>
    <n v="2.9308005427496373"/>
    <n v="11944"/>
    <n v="11"/>
    <n v="38282"/>
    <n v="0.44776119403119458"/>
    <n v="10.74626865674867"/>
    <n v="3922.3880597132647"/>
    <n v="1.2603099910891882"/>
    <n v="30.247439786140518"/>
    <n v="11040.315521941289"/>
  </r>
  <r>
    <d v="2024-06-06T07:47:00"/>
    <x v="4"/>
    <s v=""/>
    <x v="6"/>
    <x v="14"/>
    <x v="0"/>
    <s v="6/2024"/>
    <s v="6/6/2024"/>
    <d v="1899-12-30T23:43:00"/>
    <n v="0.98819444444961846"/>
    <d v="1903-06-19T14:47:00"/>
    <n v="1266.6159722222219"/>
    <m/>
    <m/>
    <n v="0"/>
    <n v="10491"/>
    <n v="7"/>
    <n v="7.0836261419165307"/>
    <n v="26345"/>
    <n v="5250"/>
    <n v="2"/>
    <n v="2.0238931834047231"/>
    <n v="11946"/>
    <n v="9"/>
    <n v="38291"/>
    <n v="0.37947997188838556"/>
    <n v="9.1075193253212543"/>
    <n v="3324.2445537422577"/>
    <n v="1.2596227809555978"/>
    <n v="30.230946742934346"/>
    <n v="11034.295561171037"/>
  </r>
  <r>
    <d v="2024-06-07T07:56:00"/>
    <x v="4"/>
    <s v=""/>
    <x v="6"/>
    <x v="15"/>
    <x v="5"/>
    <s v="6/2024"/>
    <s v="7/6/2024"/>
    <d v="1899-12-31T00:09:00"/>
    <n v="1.0062499999985448"/>
    <d v="1903-06-20T14:56:00"/>
    <n v="1267.6222222222204"/>
    <m/>
    <m/>
    <n v="0"/>
    <n v="10497"/>
    <n v="6"/>
    <n v="5.9627329192632814"/>
    <n v="26351"/>
    <n v="5252"/>
    <n v="2"/>
    <n v="1.9875776397544271"/>
    <n v="11948"/>
    <n v="8"/>
    <n v="38299"/>
    <n v="0.33126293995907119"/>
    <n v="7.9503105590177086"/>
    <n v="2901.8633540414635"/>
    <n v="1.2588858405062866"/>
    <n v="30.213260172150875"/>
    <n v="11027.839962835069"/>
  </r>
  <r>
    <d v="2024-06-08T07:15:00"/>
    <x v="4"/>
    <s v=""/>
    <x v="6"/>
    <x v="16"/>
    <x v="6"/>
    <s v="6/2024"/>
    <s v="8/6/2024"/>
    <d v="1899-12-30T23:19:00"/>
    <n v="0.97152777777955635"/>
    <d v="1903-06-21T14:15:00"/>
    <n v="1268.59375"/>
    <m/>
    <m/>
    <n v="0"/>
    <n v="10502"/>
    <n v="5"/>
    <n v="5.1465332380177404"/>
    <n v="26356"/>
    <n v="5255"/>
    <n v="3"/>
    <n v="3.0879199428106445"/>
    <n v="11951"/>
    <n v="8"/>
    <n v="38307"/>
    <n v="0.34310221586784939"/>
    <n v="8.2344531808283854"/>
    <n v="3005.5754110023609"/>
    <n v="1.2581845054809706"/>
    <n v="30.196428131543293"/>
    <n v="11021.696268013302"/>
  </r>
  <r>
    <d v="2024-06-09T08:09:00"/>
    <x v="4"/>
    <s v=""/>
    <x v="6"/>
    <x v="17"/>
    <x v="1"/>
    <s v="6/2024"/>
    <s v="9/6/2024"/>
    <d v="1899-12-31T00:54:00"/>
    <n v="1.0374999999985448"/>
    <d v="1903-06-22T15:09:00"/>
    <n v="1269.6312499999985"/>
    <m/>
    <m/>
    <n v="0"/>
    <n v="10510"/>
    <n v="8"/>
    <n v="7.7108433735047912"/>
    <n v="26364"/>
    <n v="5257"/>
    <n v="2"/>
    <n v="1.9277108433761978"/>
    <n v="11953"/>
    <n v="10"/>
    <n v="38317"/>
    <n v="0.40160642570337451"/>
    <n v="9.6385542168809888"/>
    <n v="3518.072289161561"/>
    <n v="1.2574845386537772"/>
    <n v="30.179628927690654"/>
    <n v="11015.56455860709"/>
  </r>
  <r>
    <d v="2024-06-10T07:27:00"/>
    <x v="4"/>
    <s v=""/>
    <x v="6"/>
    <x v="18"/>
    <x v="2"/>
    <s v="6/2024"/>
    <s v="10/6/2024"/>
    <d v="1899-12-30T23:18:00"/>
    <n v="0.97083333333284827"/>
    <d v="1903-06-23T14:27:00"/>
    <n v="1270.6020833333314"/>
    <m/>
    <m/>
    <n v="0"/>
    <n v="10516"/>
    <n v="6"/>
    <n v="6.1802575107327016"/>
    <n v="26370"/>
    <n v="5260"/>
    <n v="3"/>
    <n v="3.0901287553663508"/>
    <n v="11956"/>
    <n v="9"/>
    <n v="38326"/>
    <n v="0.38626609442079385"/>
    <n v="9.2703862660990524"/>
    <n v="3383.6909871261541"/>
    <n v="1.2568188637604567"/>
    <n v="30.163652730250959"/>
    <n v="11009.7332465416"/>
  </r>
  <r>
    <d v="2024-06-11T07:31:00"/>
    <x v="4"/>
    <s v=""/>
    <x v="6"/>
    <x v="19"/>
    <x v="3"/>
    <s v="6/2024"/>
    <s v="11/6/2024"/>
    <d v="1899-12-31T00:04:00"/>
    <n v="1.0027777777795563"/>
    <d v="1903-06-24T14:31:00"/>
    <n v="1271.6048611111109"/>
    <m/>
    <m/>
    <n v="0"/>
    <n v="10522"/>
    <n v="6"/>
    <n v="5.9833795013744293"/>
    <n v="26376"/>
    <n v="5263"/>
    <n v="3"/>
    <n v="2.9916897506872147"/>
    <n v="11959"/>
    <n v="9"/>
    <n v="38335"/>
    <n v="0.37396121883590183"/>
    <n v="8.975069252061644"/>
    <n v="3275.9002770024999"/>
    <n v="1.2561226490365687"/>
    <n v="30.146943576877646"/>
    <n v="11003.63440556034"/>
  </r>
  <r>
    <d v="2024-06-12T07:51:00"/>
    <x v="4"/>
    <s v=""/>
    <x v="6"/>
    <x v="20"/>
    <x v="4"/>
    <s v="6/2024"/>
    <s v="12/6/2024"/>
    <d v="1899-12-31T00:20:00"/>
    <n v="1.0138888888832298"/>
    <d v="1903-06-25T14:51:00"/>
    <n v="1272.6187499999942"/>
    <m/>
    <m/>
    <n v="0"/>
    <n v="10527"/>
    <n v="5"/>
    <n v="4.9315068493425942"/>
    <n v="26381"/>
    <n v="5265"/>
    <n v="2"/>
    <n v="1.9726027397370376"/>
    <n v="11961"/>
    <n v="7"/>
    <n v="38342"/>
    <n v="0.28767123287831797"/>
    <n v="6.9041095890796313"/>
    <n v="2520.0000000140653"/>
    <n v="1.2553510887163501"/>
    <n v="30.128426129192405"/>
    <n v="10996.875537155229"/>
  </r>
  <r>
    <d v="2024-06-13T08:02:00"/>
    <x v="4"/>
    <s v=""/>
    <x v="6"/>
    <x v="21"/>
    <x v="0"/>
    <s v="6/2024"/>
    <s v="13/6/2024"/>
    <d v="1899-12-31T00:11:00"/>
    <n v="1.007638888891961"/>
    <d v="1903-06-26T15:02:00"/>
    <n v="1273.6263888888861"/>
    <m/>
    <m/>
    <n v="0"/>
    <n v="10534"/>
    <n v="7"/>
    <n v="6.9469331495308531"/>
    <n v="26388"/>
    <n v="5268"/>
    <n v="3"/>
    <n v="2.9772570640846516"/>
    <n v="11964"/>
    <n v="10"/>
    <n v="38352"/>
    <n v="0.4135079255673127"/>
    <n v="9.9241902136155051"/>
    <n v="3622.3294279696593"/>
    <n v="1.2546850583035563"/>
    <n v="30.112441399285352"/>
    <n v="10991.041110739154"/>
  </r>
  <r>
    <d v="2024-06-14T08:25:00"/>
    <x v="4"/>
    <s v=""/>
    <x v="6"/>
    <x v="22"/>
    <x v="5"/>
    <s v="6/2024"/>
    <s v="14/6/2024"/>
    <d v="1899-12-31T00:23:00"/>
    <n v="1.015972222223354"/>
    <d v="1903-06-27T15:25:00"/>
    <n v="1274.6423611111095"/>
    <m/>
    <m/>
    <n v="0"/>
    <n v="10542"/>
    <n v="8"/>
    <n v="7.874231032116997"/>
    <n v="26396"/>
    <n v="5270"/>
    <n v="2"/>
    <n v="1.9685577580292493"/>
    <n v="11966"/>
    <n v="10"/>
    <n v="38362"/>
    <n v="0.41011619958942691"/>
    <n v="9.8427887901462459"/>
    <n v="3592.6179084033797"/>
    <n v="1.2540118824180002"/>
    <n v="30.096285178032002"/>
    <n v="10985.144089981681"/>
  </r>
  <r>
    <d v="2024-06-15T07:43:00"/>
    <x v="4"/>
    <s v=""/>
    <x v="6"/>
    <x v="23"/>
    <x v="6"/>
    <s v="6/2024"/>
    <s v="15/6/2024"/>
    <d v="1899-12-30T23:18:00"/>
    <n v="0.97083333333284827"/>
    <d v="1903-06-28T14:43:00"/>
    <n v="1275.6131944444423"/>
    <m/>
    <m/>
    <n v="0"/>
    <n v="10549"/>
    <n v="7"/>
    <n v="7.2103004291881518"/>
    <n v="26403"/>
    <n v="5272"/>
    <n v="2"/>
    <n v="2.0600858369109005"/>
    <n v="11968"/>
    <n v="9"/>
    <n v="38371"/>
    <n v="0.38626609442079385"/>
    <n v="9.2703862660990524"/>
    <n v="3383.6909871261541"/>
    <n v="1.2533514654988933"/>
    <n v="30.080435171973441"/>
    <n v="10979.358837770305"/>
  </r>
  <r>
    <d v="2024-06-16T10:30:00"/>
    <x v="4"/>
    <s v=""/>
    <x v="6"/>
    <x v="24"/>
    <x v="1"/>
    <s v="6/2024"/>
    <s v="16/6/2024"/>
    <d v="1899-12-31T02:47:00"/>
    <n v="1.1159722222218988"/>
    <d v="1903-06-29T17:30:00"/>
    <n v="1276.7291666666642"/>
    <m/>
    <m/>
    <n v="0"/>
    <n v="10556"/>
    <n v="7"/>
    <n v="6.272557560673877"/>
    <n v="26410"/>
    <n v="5274"/>
    <n v="2"/>
    <n v="1.7921593030496792"/>
    <n v="11970"/>
    <n v="9"/>
    <n v="38380"/>
    <n v="0.33602986932181483"/>
    <n v="8.0647168637235573"/>
    <n v="2943.6216552590986"/>
    <n v="1.2525496467209527"/>
    <n v="30.061191521302867"/>
    <n v="10972.334905275546"/>
  </r>
  <r>
    <d v="2024-06-17T07:34:00"/>
    <x v="4"/>
    <s v=""/>
    <x v="6"/>
    <x v="0"/>
    <x v="2"/>
    <s v="6/2024"/>
    <s v="17/6/2024"/>
    <d v="1899-12-30T21:04:00"/>
    <n v="0.87777777777955635"/>
    <d v="1903-06-30T14:34:00"/>
    <n v="1277.6069444444438"/>
    <m/>
    <m/>
    <n v="0"/>
    <n v="10563"/>
    <n v="7"/>
    <n v="7.9746835442876387"/>
    <n v="26417"/>
    <n v="5276"/>
    <n v="2"/>
    <n v="2.2784810126536112"/>
    <n v="11972"/>
    <n v="9"/>
    <n v="38389"/>
    <n v="0.42721518987255208"/>
    <n v="10.25316455694125"/>
    <n v="3742.4050632835565"/>
    <n v="1.2519826020217926"/>
    <n v="30.047582448523023"/>
    <n v="10967.367593710904"/>
  </r>
  <r>
    <d v="2024-06-18T07:48:00"/>
    <x v="4"/>
    <s v=""/>
    <x v="6"/>
    <x v="25"/>
    <x v="3"/>
    <s v="6/2024"/>
    <s v="18/6/2024"/>
    <d v="1899-12-31T00:14:00"/>
    <n v="1.0097222222175333"/>
    <d v="1903-07-01T14:48:00"/>
    <n v="1278.6166666666613"/>
    <m/>
    <m/>
    <n v="0"/>
    <n v="10568"/>
    <n v="5"/>
    <n v="4.9518569463778785"/>
    <n v="26422"/>
    <n v="5278"/>
    <n v="2"/>
    <n v="1.9807427785511513"/>
    <n v="11974"/>
    <n v="7"/>
    <n v="38396"/>
    <n v="0.28885832187204291"/>
    <n v="6.9325997249290303"/>
    <n v="2530.3988995990962"/>
    <n v="1.2512220238017702"/>
    <n v="30.029328571242484"/>
    <n v="10960.704928503506"/>
  </r>
  <r>
    <d v="2024-06-19T08:40:00"/>
    <x v="4"/>
    <s v=""/>
    <x v="6"/>
    <x v="26"/>
    <x v="4"/>
    <s v="6/2024"/>
    <s v="19/6/2024"/>
    <d v="1899-12-31T00:52:00"/>
    <n v="1.0361111111124046"/>
    <d v="1903-07-02T15:40:00"/>
    <n v="1279.6527777777737"/>
    <m/>
    <m/>
    <n v="0"/>
    <n v="10571"/>
    <n v="3"/>
    <n v="2.895442359245715"/>
    <n v="26425"/>
    <n v="5280"/>
    <n v="2"/>
    <n v="1.9302949061638099"/>
    <n v="11976"/>
    <n v="5"/>
    <n v="38401"/>
    <n v="0.20107238605873021"/>
    <n v="4.8257372654095247"/>
    <n v="1761.3941018744765"/>
    <n v="1.250371737124875"/>
    <n v="30.008921690997003"/>
    <n v="10953.256417213906"/>
  </r>
  <r>
    <d v="2024-06-20T07:35:00"/>
    <x v="4"/>
    <s v=""/>
    <x v="6"/>
    <x v="27"/>
    <x v="0"/>
    <s v="6/2024"/>
    <s v="20/6/2024"/>
    <d v="1899-12-30T22:55:00"/>
    <n v="0.95486111110949423"/>
    <d v="1903-07-03T14:35:00"/>
    <n v="1280.6076388888832"/>
    <m/>
    <m/>
    <n v="0"/>
    <n v="10577"/>
    <n v="6"/>
    <n v="6.2836363636470036"/>
    <n v="26431"/>
    <n v="5282"/>
    <n v="2"/>
    <n v="2.0945454545490012"/>
    <n v="11978"/>
    <n v="8"/>
    <n v="38409"/>
    <n v="0.3490909090915002"/>
    <n v="8.3781818181960048"/>
    <n v="3058.0363636415418"/>
    <n v="1.2496997139487331"/>
    <n v="29.992793134769595"/>
    <n v="10947.369494190902"/>
  </r>
  <r>
    <d v="2024-06-21T07:42:00"/>
    <x v="4"/>
    <s v=""/>
    <x v="6"/>
    <x v="28"/>
    <x v="5"/>
    <s v="6/2024"/>
    <s v="21/6/2024"/>
    <d v="1899-12-31T00:07:00"/>
    <n v="1.0048611111124046"/>
    <d v="1903-07-04T14:42:00"/>
    <n v="1281.6124999999956"/>
    <m/>
    <m/>
    <n v="0"/>
    <n v="10582"/>
    <n v="5"/>
    <n v="4.9758120248726554"/>
    <n v="26436"/>
    <n v="5285"/>
    <n v="3"/>
    <n v="2.9854872149235931"/>
    <n v="11981"/>
    <n v="8"/>
    <n v="38417"/>
    <n v="0.33172080165817702"/>
    <n v="7.9612992397962481"/>
    <n v="2905.8742225256306"/>
    <n v="1.2489799633924754"/>
    <n v="29.975519121419406"/>
    <n v="10941.064479318084"/>
  </r>
  <r>
    <d v="2024-06-22T07:17:00"/>
    <x v="4"/>
    <s v=""/>
    <x v="6"/>
    <x v="29"/>
    <x v="6"/>
    <s v="6/2024"/>
    <s v="22/6/2024"/>
    <d v="1899-12-30T23:35:00"/>
    <n v="0.98263888889050577"/>
    <d v="1903-07-05T14:17:00"/>
    <n v="1282.5951388888861"/>
    <m/>
    <m/>
    <n v="0"/>
    <n v="10588"/>
    <n v="6"/>
    <n v="6.106007067127762"/>
    <n v="26442"/>
    <n v="5287"/>
    <n v="2"/>
    <n v="2.0353356890425873"/>
    <n v="11983"/>
    <n v="8"/>
    <n v="38425"/>
    <n v="0.3392226148404312"/>
    <n v="8.1413427561703493"/>
    <n v="2971.5901060021774"/>
    <n v="1.2482829679626348"/>
    <n v="29.958791231103238"/>
    <n v="10934.958799352682"/>
  </r>
  <r>
    <d v="2024-06-23T11:09:00"/>
    <x v="4"/>
    <s v=""/>
    <x v="6"/>
    <x v="30"/>
    <x v="1"/>
    <s v="6/2024"/>
    <s v="23/6/2024"/>
    <d v="1899-12-31T03:52:00"/>
    <n v="1.1611111111124046"/>
    <d v="1903-07-06T18:09:00"/>
    <n v="1283.7562499999985"/>
    <m/>
    <m/>
    <n v="0"/>
    <n v="10594"/>
    <n v="6"/>
    <n v="5.167464114826779"/>
    <n v="26448"/>
    <n v="5289"/>
    <n v="2"/>
    <n v="1.7224880382755932"/>
    <n v="11985"/>
    <n v="8"/>
    <n v="38433"/>
    <n v="0.28708133971259886"/>
    <n v="6.8899521531023726"/>
    <n v="2514.8325358823658"/>
    <n v="1.2474135958442281"/>
    <n v="29.937926300261474"/>
    <n v="10927.343099595439"/>
  </r>
  <r>
    <d v="2024-06-24T07:44:00"/>
    <x v="4"/>
    <s v=""/>
    <x v="6"/>
    <x v="1"/>
    <x v="2"/>
    <s v="6/2024"/>
    <s v="24/6/2024"/>
    <d v="1899-12-30T20:35:00"/>
    <n v="0.85763888889050577"/>
    <d v="1903-07-07T14:44:00"/>
    <n v="1284.6138888888891"/>
    <m/>
    <m/>
    <n v="0"/>
    <n v="10600"/>
    <n v="6"/>
    <n v="6.9959514169908594"/>
    <n v="26454"/>
    <n v="5291"/>
    <n v="2"/>
    <n v="2.33198380566362"/>
    <n v="11987"/>
    <n v="8"/>
    <n v="38441"/>
    <n v="0.38866396761060329"/>
    <n v="9.3279352226544798"/>
    <n v="3404.6963562688852"/>
    <n v="1.2468402740987887"/>
    <n v="29.924166578370929"/>
    <n v="10922.320801105388"/>
  </r>
  <r>
    <d v="2024-06-25T07:31:00"/>
    <x v="4"/>
    <s v=""/>
    <x v="6"/>
    <x v="2"/>
    <x v="3"/>
    <s v="6/2024"/>
    <s v="25/6/2024"/>
    <d v="1899-12-30T23:47:00"/>
    <n v="0.99097222222189885"/>
    <d v="1903-07-08T14:31:00"/>
    <n v="1285.6048611111109"/>
    <m/>
    <m/>
    <n v="0"/>
    <n v="10606"/>
    <n v="6"/>
    <n v="6.0546601261407282"/>
    <n v="26460"/>
    <n v="5293"/>
    <n v="2"/>
    <n v="2.0182200420469094"/>
    <n v="11989"/>
    <n v="8"/>
    <n v="38449"/>
    <n v="0.33637000700781822"/>
    <n v="8.0728801681876377"/>
    <n v="2946.6012613884877"/>
    <n v="1.2461384637905526"/>
    <n v="29.907323130973264"/>
    <n v="10916.172942805242"/>
  </r>
  <r>
    <d v="2024-06-26T07:39:00"/>
    <x v="4"/>
    <s v=""/>
    <x v="6"/>
    <x v="3"/>
    <x v="4"/>
    <s v="6/2024"/>
    <s v="26/6/2024"/>
    <d v="1899-12-31T00:08:00"/>
    <n v="1.0055555555518367"/>
    <d v="1903-07-09T14:39:00"/>
    <n v="1286.6104166666628"/>
    <m/>
    <m/>
    <n v="0"/>
    <n v="10612"/>
    <n v="6"/>
    <n v="5.9668508287513484"/>
    <n v="26466"/>
    <n v="5296"/>
    <n v="3"/>
    <n v="2.9834254143756742"/>
    <n v="11992"/>
    <n v="9"/>
    <n v="38458"/>
    <n v="0.37292817679695928"/>
    <n v="8.9502762431270231"/>
    <n v="3266.8508287413633"/>
    <n v="1.2454560027721457"/>
    <n v="29.890944066531496"/>
    <n v="10910.194584283996"/>
  </r>
  <r>
    <d v="2024-06-27T07:58:00"/>
    <x v="4"/>
    <s v=""/>
    <x v="6"/>
    <x v="4"/>
    <x v="0"/>
    <s v="6/2024"/>
    <s v="27/6/2024"/>
    <d v="1899-12-31T00:19:00"/>
    <n v="1.0131944444437977"/>
    <d v="1903-07-10T14:58:00"/>
    <n v="1287.6236111111066"/>
    <m/>
    <m/>
    <n v="0"/>
    <n v="10618"/>
    <n v="6"/>
    <n v="5.9218642906137866"/>
    <n v="26472"/>
    <n v="5299"/>
    <n v="3"/>
    <n v="2.9609321453068933"/>
    <n v="11995"/>
    <n v="9"/>
    <n v="38467"/>
    <n v="0.37011651816336166"/>
    <n v="8.8827964359206799"/>
    <n v="3242.2206991110484"/>
    <n v="1.2447672229958548"/>
    <n v="29.874413351900515"/>
    <n v="10904.160873443689"/>
  </r>
  <r>
    <d v="2024-06-28T08:34:00"/>
    <x v="4"/>
    <s v=""/>
    <x v="6"/>
    <x v="5"/>
    <x v="5"/>
    <s v="6/2024"/>
    <s v="28/6/2024"/>
    <d v="1899-12-31T00:36:00"/>
    <n v="1.0250000000014552"/>
    <d v="1903-07-11T15:34:00"/>
    <n v="1288.648611111108"/>
    <m/>
    <m/>
    <n v="0"/>
    <n v="10625"/>
    <n v="7"/>
    <n v="6.8292682926732313"/>
    <n v="26479"/>
    <n v="5302"/>
    <n v="3"/>
    <n v="2.9268292682885275"/>
    <n v="11998"/>
    <n v="10"/>
    <n v="38477"/>
    <n v="0.4065040650400733"/>
    <n v="9.7560975609617593"/>
    <n v="3560.9756097510422"/>
    <n v="1.2441004626940182"/>
    <n v="29.858411104656437"/>
    <n v="10898.320053199599"/>
  </r>
  <r>
    <d v="2024-06-29T07:55:00"/>
    <x v="4"/>
    <s v=""/>
    <x v="6"/>
    <x v="6"/>
    <x v="6"/>
    <s v="6/2024"/>
    <s v="29/6/2024"/>
    <d v="1899-12-30T23:21:00"/>
    <n v="0.97291666666569654"/>
    <d v="1903-07-12T14:55:00"/>
    <n v="1289.6215277777737"/>
    <m/>
    <m/>
    <n v="0"/>
    <n v="10632"/>
    <n v="7"/>
    <n v="7.1948608137116707"/>
    <n v="26486"/>
    <n v="5304"/>
    <n v="2"/>
    <n v="2.0556745182033347"/>
    <n v="12000"/>
    <n v="9"/>
    <n v="38486"/>
    <n v="0.38543897216312523"/>
    <n v="9.250535331915005"/>
    <n v="3376.4453961489767"/>
    <n v="1.2434526710302103"/>
    <n v="29.842864104725049"/>
    <n v="10892.645398224642"/>
  </r>
  <r>
    <d v="2024-06-30T08:56:00"/>
    <x v="4"/>
    <s v=""/>
    <x v="6"/>
    <x v="7"/>
    <x v="1"/>
    <s v="6/2024"/>
    <s v="30/6/2024"/>
    <d v="1899-12-31T01:01:00"/>
    <n v="1.0423611111109494"/>
    <d v="1903-07-13T15:56:00"/>
    <n v="1290.6638888888847"/>
    <m/>
    <m/>
    <n v="0"/>
    <n v="10639"/>
    <n v="7"/>
    <n v="6.7155229846779241"/>
    <n v="26493"/>
    <n v="5306"/>
    <n v="2"/>
    <n v="1.9187208527651212"/>
    <n v="12002"/>
    <n v="9"/>
    <n v="38495"/>
    <n v="0.35976015989346022"/>
    <n v="8.6342438374430444"/>
    <n v="3151.4990006667113"/>
    <n v="1.2427389866111151"/>
    <n v="29.82573567866676"/>
    <n v="10886.393522713368"/>
  </r>
  <r>
    <d v="2024-07-01T07:26:00"/>
    <x v="4"/>
    <s v=""/>
    <x v="7"/>
    <x v="9"/>
    <x v="2"/>
    <s v="7/2024"/>
    <s v="1/7/2024"/>
    <d v="1899-12-30T22:30:00"/>
    <n v="0.9375"/>
    <d v="1903-07-14T14:26:00"/>
    <n v="1291.6013888888847"/>
    <m/>
    <m/>
    <n v="0"/>
    <n v="10643"/>
    <n v="4"/>
    <n v="4.2666666666666666"/>
    <n v="26497"/>
    <n v="5308"/>
    <n v="2"/>
    <n v="2.1333333333333333"/>
    <n v="12004"/>
    <n v="6"/>
    <n v="38501"/>
    <n v="0.26666666666666666"/>
    <n v="6.4"/>
    <n v="2336"/>
    <n v="1.2420305112193883"/>
    <n v="29.808732269265317"/>
    <n v="10880.187278281841"/>
  </r>
  <r>
    <d v="2024-07-02T07:25:00"/>
    <x v="4"/>
    <s v=""/>
    <x v="7"/>
    <x v="10"/>
    <x v="3"/>
    <s v="7/2024"/>
    <s v="2/7/2024"/>
    <d v="1899-12-30T23:59:00"/>
    <n v="0.99930555556056788"/>
    <d v="1903-07-15T14:25:00"/>
    <n v="1292.6006944444453"/>
    <m/>
    <m/>
    <n v="0"/>
    <n v="10658"/>
    <n v="15"/>
    <n v="15.010423905414633"/>
    <n v="26512"/>
    <n v="5310"/>
    <n v="2"/>
    <n v="2.0013898540552844"/>
    <n v="12006"/>
    <n v="17"/>
    <n v="38518"/>
    <n v="0.70882557331124663"/>
    <n v="17.01181375946992"/>
    <n v="6209.3120222065209"/>
    <n v="1.241618292148956"/>
    <n v="29.798839011574945"/>
    <n v="10876.576239224854"/>
  </r>
  <r>
    <d v="2024-07-03T09:04:00"/>
    <x v="4"/>
    <s v=""/>
    <x v="7"/>
    <x v="11"/>
    <x v="4"/>
    <s v="7/2024"/>
    <s v="3/7/2024"/>
    <d v="1899-12-31T01:39:00"/>
    <n v="1.0687499999985448"/>
    <d v="1903-07-16T16:04:00"/>
    <n v="1293.6694444444438"/>
    <m/>
    <m/>
    <n v="0"/>
    <n v="10667"/>
    <n v="9"/>
    <n v="8.4210526315904133"/>
    <n v="26521"/>
    <n v="5313"/>
    <n v="3"/>
    <n v="2.8070175438634712"/>
    <n v="12009"/>
    <n v="12"/>
    <n v="38530"/>
    <n v="0.46783625731057854"/>
    <n v="11.228070175453885"/>
    <n v="4098.2456140406684"/>
    <n v="1.2409790410997148"/>
    <n v="29.783496986393157"/>
    <n v="10870.976400033502"/>
  </r>
  <r>
    <d v="2024-07-04T07:02:00"/>
    <x v="4"/>
    <s v=""/>
    <x v="7"/>
    <x v="12"/>
    <x v="0"/>
    <s v="7/2024"/>
    <s v="4/7/2024"/>
    <d v="1899-12-30T21:58:00"/>
    <n v="0.91527777777810115"/>
    <d v="1903-07-17T14:02:00"/>
    <n v="1294.5847222222219"/>
    <m/>
    <m/>
    <n v="0"/>
    <n v="10676"/>
    <n v="9"/>
    <n v="9.8330804248827164"/>
    <n v="26530"/>
    <n v="5316"/>
    <n v="3"/>
    <n v="3.2776934749609059"/>
    <n v="12012"/>
    <n v="12"/>
    <n v="38542"/>
    <n v="0.54628224582681761"/>
    <n v="13.110773899843624"/>
    <n v="4785.4324734429229"/>
    <n v="1.2404878870422844"/>
    <n v="29.771709289014826"/>
    <n v="10866.673890490412"/>
  </r>
  <r>
    <d v="2024-07-05T07:55:00"/>
    <x v="4"/>
    <s v=""/>
    <x v="7"/>
    <x v="13"/>
    <x v="5"/>
    <s v="7/2024"/>
    <s v="5/7/2024"/>
    <d v="1899-12-31T00:53:00"/>
    <n v="1.0368055555518367"/>
    <d v="1903-07-18T14:55:00"/>
    <n v="1295.6215277777737"/>
    <m/>
    <m/>
    <n v="0"/>
    <n v="10686"/>
    <n v="10"/>
    <n v="9.6450100469200599"/>
    <n v="26540"/>
    <n v="5319"/>
    <n v="3"/>
    <n v="2.8935030140760181"/>
    <n v="12015"/>
    <n v="13"/>
    <n v="38555"/>
    <n v="0.52243804420816997"/>
    <n v="12.538513060996078"/>
    <n v="4576.5572672635681"/>
    <n v="1.2399132762857847"/>
    <n v="29.757918630858835"/>
    <n v="10861.640300263474"/>
  </r>
  <r>
    <d v="2024-07-06T05:15:00"/>
    <x v="4"/>
    <s v=""/>
    <x v="7"/>
    <x v="14"/>
    <x v="6"/>
    <s v="7/2024"/>
    <s v="6/7/2024"/>
    <d v="1899-12-30T21:20:00"/>
    <n v="0.88888888889050577"/>
    <d v="1903-07-19T12:15:00"/>
    <n v="1296.5104166666642"/>
    <m/>
    <m/>
    <n v="0"/>
    <n v="10695"/>
    <n v="9"/>
    <n v="10.124999999981583"/>
    <n v="26549"/>
    <n v="5321"/>
    <n v="2"/>
    <n v="2.2499999999959073"/>
    <n v="12017"/>
    <n v="11"/>
    <n v="38566"/>
    <n v="0.51562499999906208"/>
    <n v="12.37499999997749"/>
    <n v="4516.8749999917836"/>
    <n v="1.2394167034909436"/>
    <n v="29.746000883782646"/>
    <n v="10857.290322580666"/>
  </r>
  <r>
    <d v="2024-07-07T07:58:00"/>
    <x v="4"/>
    <s v=""/>
    <x v="7"/>
    <x v="15"/>
    <x v="1"/>
    <s v="7/2024"/>
    <s v="7/7/2024"/>
    <d v="1899-12-31T02:43:00"/>
    <n v="1.1131944444423425"/>
    <d v="1903-07-20T14:58:00"/>
    <n v="1297.6236111111066"/>
    <m/>
    <m/>
    <n v="0"/>
    <n v="10704"/>
    <n v="9"/>
    <n v="8.0848409232841369"/>
    <n v="26558"/>
    <n v="5324"/>
    <n v="3"/>
    <n v="2.6949469744280456"/>
    <n v="12020"/>
    <n v="12"/>
    <n v="38578"/>
    <n v="0.44915782907134094"/>
    <n v="10.779787897712183"/>
    <n v="3934.6225826649465"/>
    <n v="1.2387387628453337"/>
    <n v="29.729730308288012"/>
    <n v="10851.351562525124"/>
  </r>
  <r>
    <d v="2024-07-08T07:48:00"/>
    <x v="4"/>
    <s v=""/>
    <x v="7"/>
    <x v="16"/>
    <x v="2"/>
    <s v="7/2024"/>
    <s v="8/7/2024"/>
    <d v="1899-12-30T23:50:00"/>
    <n v="0.99305555555474712"/>
    <d v="1903-07-21T14:48:00"/>
    <n v="1298.6166666666613"/>
    <m/>
    <m/>
    <n v="0"/>
    <n v="10710"/>
    <n v="6"/>
    <n v="6.0419580419629604"/>
    <n v="26564"/>
    <n v="5326"/>
    <n v="2"/>
    <n v="2.0139860139876538"/>
    <n v="12022"/>
    <n v="8"/>
    <n v="38586"/>
    <n v="0.3356643356646089"/>
    <n v="8.055944055950615"/>
    <n v="2940.4195804219744"/>
    <n v="1.238048179473034"/>
    <n v="29.713156307352818"/>
    <n v="10845.302052183779"/>
  </r>
  <r>
    <d v="2024-07-09T08:10:00"/>
    <x v="4"/>
    <s v=""/>
    <x v="7"/>
    <x v="17"/>
    <x v="3"/>
    <s v="7/2024"/>
    <s v="9/7/2024"/>
    <d v="1899-12-31T00:22:00"/>
    <n v="1.0152777777839219"/>
    <d v="1903-07-22T15:10:00"/>
    <n v="1299.6319444444453"/>
    <m/>
    <m/>
    <n v="0"/>
    <n v="10721"/>
    <n v="11"/>
    <n v="10.83447332414784"/>
    <n v="26575"/>
    <n v="5329"/>
    <n v="3"/>
    <n v="2.9548563611312288"/>
    <n v="12025"/>
    <n v="14"/>
    <n v="38600"/>
    <n v="0.57455540355329449"/>
    <n v="13.789329685279068"/>
    <n v="5033.1053351268592"/>
    <n v="1.2375298562092893"/>
    <n v="29.700716549022943"/>
    <n v="10840.761540393374"/>
  </r>
  <r>
    <d v="2024-07-10T08:04:00"/>
    <x v="4"/>
    <s v=""/>
    <x v="7"/>
    <x v="18"/>
    <x v="4"/>
    <s v="7/2024"/>
    <s v="10/7/2024"/>
    <d v="1899-12-30T23:54:00"/>
    <n v="0.9958333333270275"/>
    <d v="1903-07-23T15:04:00"/>
    <n v="1300.6277777777723"/>
    <m/>
    <m/>
    <n v="0"/>
    <n v="10732"/>
    <n v="11"/>
    <n v="11.046025104672456"/>
    <n v="26586"/>
    <n v="5331"/>
    <n v="2"/>
    <n v="2.0083682008495374"/>
    <n v="12027"/>
    <n v="13"/>
    <n v="38613"/>
    <n v="0.54393305439674977"/>
    <n v="13.054393305521995"/>
    <n v="4764.853556515528"/>
    <n v="1.2369987997249243"/>
    <n v="29.687971193398184"/>
    <n v="10836.109485590337"/>
  </r>
  <r>
    <d v="2024-07-11T07:41:00"/>
    <x v="4"/>
    <s v=""/>
    <x v="7"/>
    <x v="19"/>
    <x v="0"/>
    <s v="7/2024"/>
    <s v="11/7/2024"/>
    <d v="1899-12-30T23:37:00"/>
    <n v="0.98402777778392192"/>
    <d v="1903-07-24T14:41:00"/>
    <n v="1301.6118055555562"/>
    <m/>
    <m/>
    <n v="0"/>
    <n v="10739"/>
    <n v="7"/>
    <n v="7.1136203245850824"/>
    <n v="26593"/>
    <n v="5333"/>
    <n v="2"/>
    <n v="2.0324629498814519"/>
    <n v="12029"/>
    <n v="9"/>
    <n v="38622"/>
    <n v="0.38108680310277226"/>
    <n v="9.1460832744665339"/>
    <n v="3338.3203951802848"/>
    <n v="1.2363517241710458"/>
    <n v="29.672441380105102"/>
    <n v="10830.441103738362"/>
  </r>
  <r>
    <d v="2024-07-12T08:14:00"/>
    <x v="4"/>
    <s v=""/>
    <x v="7"/>
    <x v="20"/>
    <x v="5"/>
    <s v="7/2024"/>
    <s v="12/7/2024"/>
    <d v="1899-12-31T00:33:00"/>
    <n v="1.022916666661331"/>
    <d v="1903-07-25T15:14:00"/>
    <n v="1302.6347222222175"/>
    <m/>
    <m/>
    <n v="0"/>
    <n v="10752"/>
    <n v="13"/>
    <n v="12.708757637540833"/>
    <n v="26606"/>
    <n v="5337"/>
    <n v="4"/>
    <n v="3.9103869653971794"/>
    <n v="12033"/>
    <n v="17"/>
    <n v="38639"/>
    <n v="0.69246435845575049"/>
    <n v="16.619144602938011"/>
    <n v="6065.9877800723743"/>
    <n v="1.2359246271179076"/>
    <n v="29.662191050829783"/>
    <n v="10826.69973355287"/>
  </r>
  <r>
    <d v="2024-07-13T08:03:00"/>
    <x v="4"/>
    <s v=""/>
    <x v="7"/>
    <x v="21"/>
    <x v="6"/>
    <s v="7/2024"/>
    <s v="13/7/2024"/>
    <d v="1899-12-30T23:49:00"/>
    <n v="0.992361111115315"/>
    <d v="1903-07-26T15:03:00"/>
    <n v="1303.6270833333328"/>
    <m/>
    <m/>
    <n v="0"/>
    <n v="10758"/>
    <n v="6"/>
    <n v="6.0461861441311395"/>
    <n v="26612"/>
    <n v="5340"/>
    <n v="3"/>
    <n v="3.0230930720655698"/>
    <n v="12036"/>
    <n v="9"/>
    <n v="38648"/>
    <n v="0.37788663400819622"/>
    <n v="9.0692792161967102"/>
    <n v="3310.2869139117993"/>
    <n v="1.23527146215447"/>
    <n v="29.646515091707283"/>
    <n v="10820.978008473157"/>
  </r>
  <r>
    <d v="2024-07-14T08:20:00"/>
    <x v="4"/>
    <s v=""/>
    <x v="7"/>
    <x v="22"/>
    <x v="1"/>
    <s v="7/2024"/>
    <s v="14/7/2024"/>
    <d v="1899-12-31T00:17:00"/>
    <n v="1.0118055555503815"/>
    <d v="1903-07-27T15:20:00"/>
    <n v="1304.6388888888832"/>
    <m/>
    <m/>
    <n v="0"/>
    <n v="10764"/>
    <n v="6"/>
    <n v="5.9299931366123415"/>
    <n v="26618"/>
    <n v="5342"/>
    <n v="2"/>
    <n v="1.9766643788707805"/>
    <n v="12038"/>
    <n v="8"/>
    <n v="38656"/>
    <n v="0.32944406314513008"/>
    <n v="7.906657515483122"/>
    <n v="2885.9299931513397"/>
    <n v="1.2345689526689005"/>
    <n v="29.629654864053613"/>
    <n v="10814.824025379568"/>
  </r>
  <r>
    <d v="2024-07-15T08:04:00"/>
    <x v="4"/>
    <s v=""/>
    <x v="7"/>
    <x v="23"/>
    <x v="2"/>
    <s v="7/2024"/>
    <s v="15/7/2024"/>
    <d v="1899-12-30T23:44:00"/>
    <n v="0.98888888888905058"/>
    <d v="1903-07-28T15:04:00"/>
    <n v="1305.6277777777723"/>
    <m/>
    <m/>
    <n v="0"/>
    <n v="10773"/>
    <n v="9"/>
    <n v="9.1011235955041307"/>
    <n v="26627"/>
    <n v="5345"/>
    <n v="3"/>
    <n v="3.0337078651680431"/>
    <n v="12041"/>
    <n v="12"/>
    <n v="38668"/>
    <n v="0.50561797752800719"/>
    <n v="12.134831460672173"/>
    <n v="4429.2134831453432"/>
    <n v="1.2340168416215325"/>
    <n v="29.616404198916779"/>
    <n v="10809.987532604624"/>
  </r>
  <r>
    <d v="2024-07-16T07:38:00"/>
    <x v="4"/>
    <s v=""/>
    <x v="7"/>
    <x v="24"/>
    <x v="3"/>
    <s v="7/2024"/>
    <s v="16/7/2024"/>
    <d v="1899-12-30T23:34:00"/>
    <n v="0.98194444445107365"/>
    <d v="1903-07-29T14:38:00"/>
    <n v="1306.6097222222234"/>
    <m/>
    <m/>
    <n v="0"/>
    <n v="10784"/>
    <n v="11"/>
    <n v="11.202263083375575"/>
    <n v="26638"/>
    <n v="5346"/>
    <n v="1"/>
    <n v="1.0183875530341431"/>
    <n v="12042"/>
    <n v="12"/>
    <n v="38680"/>
    <n v="0.50919377651707154"/>
    <n v="12.220650636409717"/>
    <n v="4460.5374822895465"/>
    <n v="1.2334721219781037"/>
    <n v="29.603330927474492"/>
    <n v="10805.215788528189"/>
  </r>
  <r>
    <d v="2024-07-17T07:39:00"/>
    <x v="4"/>
    <s v=""/>
    <x v="7"/>
    <x v="0"/>
    <x v="4"/>
    <s v="7/2024"/>
    <s v="17/7/2024"/>
    <d v="1899-12-31T00:01:00"/>
    <n v="1.0006944444394321"/>
    <d v="1903-07-30T14:39:00"/>
    <n v="1307.6104166666628"/>
    <m/>
    <m/>
    <n v="0"/>
    <n v="10790"/>
    <n v="6"/>
    <n v="5.9958362248738908"/>
    <n v="26644"/>
    <n v="5349"/>
    <n v="3"/>
    <n v="2.9979181124369454"/>
    <n v="12045"/>
    <n v="9"/>
    <n v="38689"/>
    <n v="0.37473976405461817"/>
    <n v="8.9937543373108362"/>
    <n v="3282.7203331184551"/>
    <n v="1.2328149471125005"/>
    <n v="29.587558730700014"/>
    <n v="10799.458936705505"/>
  </r>
  <r>
    <d v="2024-07-18T08:36:00"/>
    <x v="4"/>
    <s v=""/>
    <x v="7"/>
    <x v="25"/>
    <x v="0"/>
    <s v="7/2024"/>
    <s v="18/7/2024"/>
    <d v="1899-12-31T00:57:00"/>
    <n v="1.0395833333313931"/>
    <d v="1903-07-31T15:36:00"/>
    <n v="1308.6499999999942"/>
    <m/>
    <m/>
    <n v="0"/>
    <n v="10803"/>
    <n v="13"/>
    <n v="12.50501002006342"/>
    <n v="26657"/>
    <n v="5351"/>
    <n v="2"/>
    <n v="1.9238476953943722"/>
    <n v="12047"/>
    <n v="15"/>
    <n v="38704"/>
    <n v="0.60120240481074128"/>
    <n v="14.428857715457791"/>
    <n v="5266.533066142094"/>
    <n v="1.2323131980794513"/>
    <n v="29.575516753906829"/>
    <n v="10795.063615175992"/>
  </r>
  <r>
    <d v="2024-07-19T07:30:00"/>
    <x v="4"/>
    <s v=""/>
    <x v="7"/>
    <x v="26"/>
    <x v="5"/>
    <s v="7/2024"/>
    <s v="19/7/2024"/>
    <d v="1899-12-30T22:54:00"/>
    <n v="0.95416666667006211"/>
    <d v="1903-08-01T14:30:00"/>
    <n v="1309.6041666666642"/>
    <m/>
    <m/>
    <n v="0"/>
    <n v="10812"/>
    <n v="9"/>
    <n v="9.432314410446784"/>
    <n v="26666"/>
    <n v="5354"/>
    <n v="3"/>
    <n v="3.1441048034822612"/>
    <n v="12050"/>
    <n v="12"/>
    <n v="38716"/>
    <n v="0.52401746724704357"/>
    <n v="12.576419213929045"/>
    <n v="4590.3930130841018"/>
    <n v="1.2317971397209739"/>
    <n v="29.563131353303376"/>
    <n v="10790.542943955732"/>
  </r>
  <r>
    <d v="2024-07-20T07:30:00"/>
    <x v="4"/>
    <s v=""/>
    <x v="7"/>
    <x v="27"/>
    <x v="6"/>
    <s v="7/2024"/>
    <s v="20/7/2024"/>
    <d v="1899-12-31T00:00:00"/>
    <n v="1"/>
    <d v="1903-08-02T14:30:00"/>
    <n v="1310.6041666666642"/>
    <m/>
    <m/>
    <n v="0"/>
    <n v="10819"/>
    <n v="7"/>
    <n v="7"/>
    <n v="26673"/>
    <n v="5357"/>
    <n v="3"/>
    <n v="3"/>
    <n v="12053"/>
    <n v="10"/>
    <n v="38726"/>
    <n v="0.41666666666666669"/>
    <n v="10"/>
    <n v="3650"/>
    <n v="1.2311751895595249"/>
    <n v="29.548204549428593"/>
    <n v="10785.094660541437"/>
  </r>
  <r>
    <d v="2024-07-21T07:59:00"/>
    <x v="4"/>
    <s v=""/>
    <x v="7"/>
    <x v="28"/>
    <x v="1"/>
    <s v="7/2024"/>
    <s v="21/7/2024"/>
    <d v="1899-12-31T00:29:00"/>
    <n v="1.0201388888890506"/>
    <d v="1903-08-03T14:59:00"/>
    <n v="1311.6243055555533"/>
    <m/>
    <m/>
    <n v="0"/>
    <n v="10827"/>
    <n v="8"/>
    <n v="7.842069434988546"/>
    <n v="26681"/>
    <n v="5359"/>
    <n v="2"/>
    <n v="1.9605173587471365"/>
    <n v="12055"/>
    <n v="10"/>
    <n v="38736"/>
    <n v="0.40844111640565345"/>
    <n v="9.8025867937356832"/>
    <n v="3577.9441797135246"/>
    <n v="1.2305352936535985"/>
    <n v="29.532847047686364"/>
    <n v="10779.489172405523"/>
  </r>
  <r>
    <d v="2024-07-22T07:29:00"/>
    <x v="4"/>
    <s v=""/>
    <x v="7"/>
    <x v="29"/>
    <x v="2"/>
    <s v="7/2024"/>
    <s v="22/7/2024"/>
    <d v="1899-12-30T23:30:00"/>
    <n v="0.97916666666424135"/>
    <d v="1903-08-04T14:29:00"/>
    <n v="1312.6034722222175"/>
    <m/>
    <m/>
    <n v="0"/>
    <n v="10833"/>
    <n v="6"/>
    <n v="6.1276595744832631"/>
    <n v="26687"/>
    <n v="5361"/>
    <n v="2"/>
    <n v="2.042553191494421"/>
    <n v="12057"/>
    <n v="8"/>
    <n v="38744"/>
    <n v="0.34042553191573682"/>
    <n v="8.1702127659776842"/>
    <n v="2982.1276595818549"/>
    <n v="1.2298712958608069"/>
    <n v="29.516911100659367"/>
    <n v="10773.672551740668"/>
  </r>
  <r>
    <d v="2024-07-23T07:34:00"/>
    <x v="4"/>
    <s v=""/>
    <x v="7"/>
    <x v="30"/>
    <x v="3"/>
    <s v="7/2024"/>
    <s v="23/7/2024"/>
    <d v="1899-12-31T00:05:00"/>
    <n v="1.0034722222262644"/>
    <d v="1903-08-05T14:34:00"/>
    <n v="1313.6069444444438"/>
    <m/>
    <m/>
    <n v="0"/>
    <n v="10842"/>
    <n v="9"/>
    <n v="8.9688581314517606"/>
    <n v="26696"/>
    <n v="5364"/>
    <n v="3"/>
    <n v="2.989619377150587"/>
    <n v="12060"/>
    <n v="12"/>
    <n v="38756"/>
    <n v="0.49826989619176448"/>
    <n v="11.958477508602348"/>
    <n v="4364.8442906398568"/>
    <n v="1.2293124211643731"/>
    <n v="29.503498107944953"/>
    <n v="10768.776809399908"/>
  </r>
  <r>
    <d v="2024-07-24T07:47:00"/>
    <x v="4"/>
    <s v=""/>
    <x v="7"/>
    <x v="1"/>
    <x v="4"/>
    <s v="7/2024"/>
    <s v="24/7/2024"/>
    <d v="1899-12-31T00:13:00"/>
    <n v="1.0090277777781012"/>
    <d v="1903-08-06T14:47:00"/>
    <n v="1314.6159722222219"/>
    <m/>
    <m/>
    <n v="0"/>
    <n v="10850"/>
    <n v="8"/>
    <n v="7.9284239504448095"/>
    <n v="26704"/>
    <n v="5366"/>
    <n v="2"/>
    <n v="1.9821059876112024"/>
    <n v="12062"/>
    <n v="10"/>
    <n v="38766"/>
    <n v="0.4129387474190005"/>
    <n v="9.9105299380560119"/>
    <n v="3617.3434273904445"/>
    <n v="1.2286858170980439"/>
    <n v="29.488459610353051"/>
    <n v="10763.287757778864"/>
  </r>
  <r>
    <d v="2024-07-25T08:20:00"/>
    <x v="4"/>
    <s v=""/>
    <x v="7"/>
    <x v="2"/>
    <x v="0"/>
    <s v="7/2024"/>
    <s v="25/7/2024"/>
    <d v="1899-12-31T00:33:00"/>
    <n v="1.022916666661331"/>
    <d v="1903-08-07T15:20:00"/>
    <n v="1315.6388888888832"/>
    <m/>
    <m/>
    <n v="0"/>
    <n v="10857"/>
    <n v="7"/>
    <n v="6.8431771894450639"/>
    <n v="26711"/>
    <n v="5368"/>
    <n v="2"/>
    <n v="1.9551934826985897"/>
    <n v="12064"/>
    <n v="9"/>
    <n v="38775"/>
    <n v="0.36659877800598556"/>
    <n v="8.798370672143653"/>
    <n v="3211.4052953324335"/>
    <n v="1.2280155395561989"/>
    <n v="29.472372949348774"/>
    <n v="10757.416126512302"/>
  </r>
  <r>
    <d v="2024-07-26T08:12:00"/>
    <x v="4"/>
    <s v=""/>
    <x v="7"/>
    <x v="3"/>
    <x v="5"/>
    <s v="7/2024"/>
    <s v="26/7/2024"/>
    <d v="1899-12-30T23:52:00"/>
    <n v="0.99444444444816327"/>
    <d v="1903-08-08T15:12:00"/>
    <n v="1316.6333333333314"/>
    <m/>
    <m/>
    <n v="0"/>
    <n v="10864"/>
    <n v="7"/>
    <n v="7.0391061452250732"/>
    <n v="26718"/>
    <n v="5370"/>
    <n v="2"/>
    <n v="2.0111731843500209"/>
    <n v="12066"/>
    <n v="9"/>
    <n v="38784"/>
    <n v="0.37709497206562892"/>
    <n v="9.0502793295750941"/>
    <n v="3303.3519552949092"/>
    <n v="1.2273728448821508"/>
    <n v="29.456948277171616"/>
    <n v="10751.786121167639"/>
  </r>
  <r>
    <d v="2024-07-27T07:40:00"/>
    <x v="4"/>
    <s v=""/>
    <x v="7"/>
    <x v="4"/>
    <x v="6"/>
    <s v="7/2024"/>
    <s v="27/7/2024"/>
    <d v="1899-12-30T23:28:00"/>
    <n v="0.97777777777810115"/>
    <d v="1903-08-09T14:40:00"/>
    <n v="1317.6111111111095"/>
    <m/>
    <m/>
    <n v="0"/>
    <n v="10875"/>
    <n v="11"/>
    <n v="11.249999999996279"/>
    <n v="26729"/>
    <n v="5373"/>
    <n v="3"/>
    <n v="3.0681818181808036"/>
    <n v="12069"/>
    <n v="14"/>
    <n v="38798"/>
    <n v="0.59659090909071177"/>
    <n v="14.318181818177083"/>
    <n v="5226.136363634635"/>
    <n v="1.2269047518657519"/>
    <n v="29.445714044778043"/>
    <n v="10747.685626343986"/>
  </r>
  <r>
    <d v="2024-07-28T08:06:00"/>
    <x v="4"/>
    <s v=""/>
    <x v="7"/>
    <x v="5"/>
    <x v="1"/>
    <s v="7/2024"/>
    <s v="28/7/2024"/>
    <d v="1899-12-31T00:26:00"/>
    <n v="1.0180555555562023"/>
    <d v="1903-08-10T15:06:00"/>
    <n v="1318.6291666666657"/>
    <m/>
    <m/>
    <n v="0"/>
    <n v="10883"/>
    <n v="8"/>
    <n v="7.858117326052307"/>
    <n v="26737"/>
    <n v="5376"/>
    <n v="3"/>
    <n v="2.9467939972696149"/>
    <n v="12072"/>
    <n v="11"/>
    <n v="38809"/>
    <n v="0.45020463847174674"/>
    <n v="10.804911323321921"/>
    <n v="3943.792633012501"/>
    <n v="1.2263050958855639"/>
    <n v="29.431322301253534"/>
    <n v="10742.43263995754"/>
  </r>
  <r>
    <d v="2024-07-29T07:35:00"/>
    <x v="4"/>
    <s v=""/>
    <x v="7"/>
    <x v="6"/>
    <x v="2"/>
    <s v="7/2024"/>
    <s v="29/7/2024"/>
    <d v="1899-12-30T23:29:00"/>
    <n v="0.97847222221753327"/>
    <d v="1903-08-11T14:35:00"/>
    <n v="1319.6076388888832"/>
    <m/>
    <m/>
    <n v="0"/>
    <n v="10892"/>
    <n v="9"/>
    <n v="9.1980127750618212"/>
    <n v="26746"/>
    <n v="5378"/>
    <n v="2"/>
    <n v="2.0440028389026268"/>
    <n v="12074"/>
    <n v="11"/>
    <n v="38820"/>
    <n v="0.46841731724851865"/>
    <n v="11.242015613964448"/>
    <n v="4103.3356990970233"/>
    <n v="1.2257431317705494"/>
    <n v="29.417835162493187"/>
    <n v="10737.509834310013"/>
  </r>
  <r>
    <d v="2024-07-30T08:21:00"/>
    <x v="4"/>
    <s v=""/>
    <x v="7"/>
    <x v="7"/>
    <x v="3"/>
    <s v="7/2024"/>
    <s v="30/7/2024"/>
    <d v="1899-12-31T00:46:00"/>
    <n v="1.0319444444467081"/>
    <d v="1903-08-12T15:21:00"/>
    <n v="1320.6395833333299"/>
    <m/>
    <m/>
    <n v="0"/>
    <n v="10899"/>
    <n v="7"/>
    <n v="6.7833109017347839"/>
    <n v="26753"/>
    <n v="5381"/>
    <n v="3"/>
    <n v="2.9071332436006219"/>
    <n v="12077"/>
    <n v="10"/>
    <n v="38830"/>
    <n v="0.40376850605564191"/>
    <n v="9.6904441453354053"/>
    <n v="3537.0121130474231"/>
    <n v="1.2251008428681209"/>
    <n v="29.402420228834906"/>
    <n v="10731.883383524741"/>
  </r>
  <r>
    <d v="2024-07-31T07:43:00"/>
    <x v="4"/>
    <s v=""/>
    <x v="7"/>
    <x v="8"/>
    <x v="4"/>
    <s v="7/2024"/>
    <s v="31/7/2024"/>
    <d v="1899-12-30T23:22:00"/>
    <n v="0.97361111111240461"/>
    <d v="1903-08-13T14:43:00"/>
    <n v="1321.6131944444423"/>
    <m/>
    <m/>
    <n v="0"/>
    <n v="10907"/>
    <n v="8"/>
    <n v="8.2168330955668303"/>
    <n v="26761"/>
    <n v="5384"/>
    <n v="3"/>
    <n v="3.0813124108375609"/>
    <n v="12080"/>
    <n v="11"/>
    <n v="38841"/>
    <n v="0.47075606276684961"/>
    <n v="11.29814550640439"/>
    <n v="4123.8231098376027"/>
    <n v="1.2245451292428307"/>
    <n v="29.389083101827936"/>
    <n v="10727.015332167197"/>
  </r>
  <r>
    <d v="2024-08-01T07:37:00"/>
    <x v="4"/>
    <s v=""/>
    <x v="11"/>
    <x v="9"/>
    <x v="0"/>
    <s v="8/2024"/>
    <s v="1/8/2024"/>
    <d v="1899-12-30T23:54:00"/>
    <n v="0.99583333333430346"/>
    <d v="1903-08-14T14:37:00"/>
    <n v="1322.6090277777766"/>
    <m/>
    <m/>
    <n v="0"/>
    <n v="10915"/>
    <n v="8"/>
    <n v="8.0334728033394533"/>
    <n v="26769"/>
    <n v="5386"/>
    <n v="2"/>
    <n v="2.0083682008348633"/>
    <n v="12082"/>
    <n v="10"/>
    <n v="38851"/>
    <n v="0.41841004184059655"/>
    <n v="10.041841004174318"/>
    <n v="3665.2719665236259"/>
    <n v="1.2239381651481169"/>
    <n v="29.374515963554806"/>
    <n v="10721.698326697504"/>
  </r>
  <r>
    <d v="2024-08-02T08:57:00"/>
    <x v="4"/>
    <n v="2024"/>
    <x v="11"/>
    <x v="10"/>
    <x v="5"/>
    <s v="8/2024"/>
    <s v="2/8/2024"/>
    <d v="1899-12-31T01:20:00"/>
    <n v="1.0555555555547471"/>
    <d v="1903-08-15T15:57:00"/>
    <n v="1323.6645833333314"/>
    <m/>
    <m/>
    <n v="0"/>
    <n v="10924"/>
    <n v="9"/>
    <n v="8.5263157894802148"/>
    <n v="26778"/>
    <n v="5389"/>
    <n v="3"/>
    <n v="2.8421052631600716"/>
    <n v="12085"/>
    <n v="12"/>
    <n v="38863"/>
    <n v="0.47368421052667858"/>
    <n v="11.368421052640286"/>
    <n v="4149.4736842137045"/>
    <n v="1.2233398755664138"/>
    <n v="29.360157013593934"/>
    <n v="10716.4573099617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2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C721" firstHeaderRow="0" firstDataRow="1" firstDataCol="1"/>
  <pivotFields count="46">
    <pivotField axis="axisRow" numFmtId="165" showAll="0">
      <items count="7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8"/>
        <item x="209"/>
        <item x="210"/>
        <item x="207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t="default"/>
      </items>
    </pivotField>
    <pivotField dataField="1" showAll="0"/>
    <pivotField showAll="0"/>
    <pivotField showAll="0"/>
    <pivotField numFmtId="166" showAll="0"/>
    <pivotField numFmtId="168" showAll="0"/>
    <pivotField numFmtId="168" showAll="0"/>
    <pivotField numFmtId="168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showAll="0"/>
    <pivotField numFmtId="167" showAll="0"/>
    <pivotField showAll="0"/>
    <pivotField showAll="0"/>
    <pivotField showAll="0"/>
    <pivotField showAll="0" defaultSubtotal="0"/>
    <pivotField showAll="0" defaultSubtotal="0"/>
  </pivotFields>
  <rowFields count="1">
    <field x="0"/>
  </rowFields>
  <rowItems count="7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Conso HP + HC / heure" fld="27" baseField="0" baseItem="0"/>
    <dataField name="Somme de T° station" fld="1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2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C14" firstHeaderRow="0" firstDataRow="1" firstDataCol="1"/>
  <pivotFields count="46">
    <pivotField numFmtId="165" showAll="0"/>
    <pivotField dataField="1" showAll="0"/>
    <pivotField showAll="0"/>
    <pivotField showAll="0"/>
    <pivotField numFmtId="166" showAll="0"/>
    <pivotField numFmtId="168" showAll="0"/>
    <pivotField numFmtId="168" showAll="0"/>
    <pivotField numFmtId="168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showAll="0"/>
    <pivotField numFmtId="167" showAll="0"/>
    <pivotField showAll="0"/>
    <pivotField showAll="0"/>
    <pivotField showAll="0"/>
    <pivotField axis="axisRow" showAll="0" sortType="ascending" defaultSubtotal="0">
      <items count="12">
        <item x="1"/>
        <item x="2"/>
        <item x="3"/>
        <item x="4"/>
        <item x="5"/>
        <item x="6"/>
        <item x="7"/>
        <item x="11"/>
        <item x="8"/>
        <item x="9"/>
        <item x="10"/>
        <item x="0"/>
      </items>
    </pivotField>
    <pivotField showAll="0" defaultSubtotal="0"/>
  </pivotFields>
  <rowFields count="1">
    <field x="4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Conso HP + HC / jour" fld="28" subtotal="average" baseField="44" baseItem="0" numFmtId="2"/>
    <dataField name="Moyenne de T° station" fld="1" subtotal="average" baseField="44" baseItem="3"/>
  </dataFields>
  <formats count="3">
    <format dxfId="174">
      <pivotArea type="all" dataOnly="0" outline="0" fieldPosition="0"/>
    </format>
    <format dxfId="173">
      <pivotArea outline="0" collapsedLevelsAreSubtotals="1" fieldPosition="0"/>
    </format>
    <format dxfId="172">
      <pivotArea type="all" dataOnly="0" outline="0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" cacheId="2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C47" firstHeaderRow="0" firstDataRow="1" firstDataCol="1"/>
  <pivotFields count="46">
    <pivotField numFmtId="165" showAll="0"/>
    <pivotField dataField="1" showAll="0"/>
    <pivotField showAll="0"/>
    <pivotField showAll="0"/>
    <pivotField numFmtId="166" showAll="0"/>
    <pivotField numFmtId="168" showAll="0"/>
    <pivotField numFmtId="168" showAll="0"/>
    <pivotField numFmtId="168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showAll="0"/>
    <pivotField numFmtId="167" showAll="0"/>
    <pivotField showAll="0"/>
    <pivotField showAll="0"/>
    <pivotField showAll="0"/>
    <pivotField axis="axisRow" showAll="0" sortType="ascending">
      <items count="13">
        <item x="1"/>
        <item x="2"/>
        <item x="3"/>
        <item x="4"/>
        <item x="5"/>
        <item x="6"/>
        <item x="7"/>
        <item x="11"/>
        <item x="8"/>
        <item x="9"/>
        <item x="10"/>
        <item x="0"/>
        <item t="default"/>
      </items>
    </pivotField>
    <pivotField axis="axisRow" showAll="0" sortType="ascending" defaultSubtotal="0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44"/>
    <field x="45"/>
  </rowFields>
  <rowItems count="46">
    <i>
      <x/>
    </i>
    <i r="1">
      <x v="3"/>
    </i>
    <i r="1">
      <x v="1"/>
    </i>
    <i r="1">
      <x v="2"/>
    </i>
    <i>
      <x v="1"/>
    </i>
    <i r="1">
      <x v="3"/>
    </i>
    <i r="1">
      <x v="2"/>
    </i>
    <i r="1">
      <x v="1"/>
    </i>
    <i>
      <x v="2"/>
    </i>
    <i r="1">
      <x v="2"/>
    </i>
    <i r="1">
      <x v="3"/>
    </i>
    <i r="1">
      <x v="1"/>
    </i>
    <i>
      <x v="3"/>
    </i>
    <i r="1">
      <x v="2"/>
    </i>
    <i r="1">
      <x v="3"/>
    </i>
    <i r="1">
      <x v="1"/>
    </i>
    <i>
      <x v="4"/>
    </i>
    <i r="1">
      <x v="2"/>
    </i>
    <i r="1">
      <x v="3"/>
    </i>
    <i r="1">
      <x v="1"/>
    </i>
    <i>
      <x v="5"/>
    </i>
    <i r="1">
      <x v="3"/>
    </i>
    <i r="1">
      <x v="2"/>
    </i>
    <i r="1">
      <x v="1"/>
    </i>
    <i>
      <x v="6"/>
    </i>
    <i r="1">
      <x v="3"/>
    </i>
    <i r="1">
      <x v="2"/>
    </i>
    <i r="1">
      <x v="1"/>
    </i>
    <i>
      <x v="7"/>
    </i>
    <i r="1">
      <x v="3"/>
    </i>
    <i r="1">
      <x v="2"/>
    </i>
    <i>
      <x v="8"/>
    </i>
    <i r="1">
      <x v="3"/>
    </i>
    <i r="1">
      <x v="2"/>
    </i>
    <i r="1">
      <x v="1"/>
    </i>
    <i>
      <x v="9"/>
    </i>
    <i r="1">
      <x v="2"/>
    </i>
    <i r="1">
      <x v="1"/>
    </i>
    <i>
      <x v="10"/>
    </i>
    <i r="1">
      <x v="2"/>
    </i>
    <i r="1">
      <x v="1"/>
    </i>
    <i>
      <x v="11"/>
    </i>
    <i r="1">
      <x v="1"/>
    </i>
    <i r="1">
      <x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Conso HP + HC / jour" fld="28" subtotal="average" baseField="44" baseItem="0"/>
    <dataField name="Moyenne de T° station" fld="1" subtotal="average" baseField="44" baseItem="3"/>
  </dataFields>
  <formats count="3">
    <format dxfId="171">
      <pivotArea type="all" dataOnly="0" outline="0" fieldPosition="0"/>
    </format>
    <format dxfId="170">
      <pivotArea type="all" dataOnly="0" outline="0" fieldPosition="0"/>
    </format>
    <format dxfId="169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2" cacheId="2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B9" firstHeaderRow="1" firstDataRow="1" firstDataCol="1"/>
  <pivotFields count="31">
    <pivotField numFmtId="165" showAll="0"/>
    <pivotField showAll="0"/>
    <pivotField showAll="0"/>
    <pivotField showAll="0"/>
    <pivotField showAll="0"/>
    <pivotField axis="axisRow" showAll="0" defaultSubtotal="0">
      <items count="7">
        <item x="3"/>
        <item x="4"/>
        <item x="0"/>
        <item x="5"/>
        <item x="6"/>
        <item x="1"/>
        <item x="2"/>
      </items>
    </pivotField>
    <pivotField showAll="0" defaultSubtotal="0"/>
    <pivotField showAll="0"/>
    <pivotField showAll="0"/>
    <pivotField showAll="0"/>
    <pivotField numFmtId="166" showAll="0"/>
    <pivotField numFmtId="168" showAll="0"/>
    <pivotField showAll="0"/>
    <pivotField showAll="0"/>
    <pivotField showAll="0"/>
    <pivotField numFmtId="172" showAll="0"/>
    <pivotField showAll="0"/>
    <pivotField showAll="0"/>
    <pivotField numFmtId="1" showAll="0"/>
    <pivotField numFmtId="172" showAll="0"/>
    <pivotField showAll="0"/>
    <pivotField showAll="0"/>
    <pivotField numFmtI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oyenne de Conso HP + HC / jour" fld="26" subtotal="average" baseField="5" baseItem="0"/>
  </dataFields>
  <formats count="2">
    <format dxfId="122">
      <pivotArea type="all" dataOnly="0" outline="0" fieldPosition="0"/>
    </format>
    <format dxfId="121">
      <pivotArea collapsedLevelsAreSubtotals="1" fieldPosition="0">
        <references count="1">
          <reference field="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2" cacheId="2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2">
  <location ref="A4:B139" firstHeaderRow="1" firstDataRow="1" firstDataCol="1" rowPageCount="1" colPageCount="1"/>
  <pivotFields count="31">
    <pivotField numFmtId="165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 defaultSubtotal="0"/>
    <pivotField axis="axisPage" multipleItemSelectionAllowed="1" showAll="0">
      <items count="13">
        <item h="1" x="1"/>
        <item h="1" x="2"/>
        <item h="1" x="3"/>
        <item x="4"/>
        <item h="1" x="5"/>
        <item h="1" x="6"/>
        <item h="1" x="7"/>
        <item h="1" x="11"/>
        <item h="1" x="8"/>
        <item h="1" x="9"/>
        <item h="1" x="10"/>
        <item h="1" x="0"/>
        <item t="default"/>
      </items>
    </pivotField>
    <pivotField axis="axisRow" showAll="0" defaultSubtotal="0">
      <items count="31"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0"/>
        <item x="25"/>
        <item x="26"/>
        <item x="27"/>
        <item x="28"/>
        <item x="29"/>
        <item x="3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showAll="0" defaultSubtotal="0"/>
    <pivotField showAll="0" defaultSubtotal="0"/>
    <pivotField showAll="0"/>
    <pivotField showAll="0"/>
    <pivotField numFmtId="166" showAll="0"/>
    <pivotField numFmtId="168" showAll="0"/>
    <pivotField showAll="0"/>
    <pivotField showAll="0"/>
    <pivotField showAll="0"/>
    <pivotField numFmtId="1" showAll="0"/>
    <pivotField showAll="0"/>
    <pivotField showAll="0" defaultSubtotal="0"/>
    <pivotField showAll="0"/>
    <pivotField numFmtId="1" showAll="0"/>
    <pivotField showAl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4"/>
    <field x="1"/>
  </rowFields>
  <rowItems count="135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4"/>
    </i>
    <i>
      <x v="9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2"/>
    </i>
    <i r="1">
      <x v="3"/>
    </i>
    <i r="1">
      <x v="4"/>
    </i>
    <i>
      <x v="17"/>
    </i>
    <i r="1">
      <x v="3"/>
    </i>
    <i r="1">
      <x v="4"/>
    </i>
    <i>
      <x v="18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2"/>
    </i>
    <i r="1">
      <x v="3"/>
    </i>
    <i r="1">
      <x v="4"/>
    </i>
    <i>
      <x v="21"/>
    </i>
    <i r="1">
      <x v="2"/>
    </i>
    <i r="1">
      <x v="3"/>
    </i>
    <i r="1">
      <x v="4"/>
    </i>
    <i>
      <x v="22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2"/>
    </i>
    <i r="1">
      <x v="3"/>
    </i>
    <i r="1">
      <x v="4"/>
    </i>
    <i>
      <x v="29"/>
    </i>
    <i r="1">
      <x v="2"/>
    </i>
    <i r="1">
      <x v="3"/>
    </i>
    <i t="grand">
      <x/>
    </i>
  </rowItems>
  <colItems count="1">
    <i/>
  </colItems>
  <pageFields count="1">
    <pageField fld="3" hier="-1"/>
  </pageFields>
  <dataFields count="1">
    <dataField name="Moyenne de Conso HP + HC / jour" fld="26" subtotal="average" baseField="2" baseItem="5"/>
  </dataFields>
  <formats count="2">
    <format dxfId="112">
      <pivotArea type="all" dataOnly="0" outline="0" fieldPosition="0"/>
    </format>
    <format dxfId="111">
      <pivotArea type="all" dataOnly="0" outline="0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2" cacheId="2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D58" firstHeaderRow="0" firstDataRow="1" firstDataCol="1"/>
  <pivotFields count="31">
    <pivotField numFmtId="165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 defaultSubtotal="0"/>
    <pivotField axis="axisRow" showAll="0">
      <items count="13">
        <item x="1"/>
        <item x="2"/>
        <item x="3"/>
        <item x="4"/>
        <item x="5"/>
        <item x="6"/>
        <item x="7"/>
        <item x="11"/>
        <item x="8"/>
        <item x="9"/>
        <item x="10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showAll="0"/>
    <pivotField numFmtId="166" showAll="0"/>
    <pivotField numFmtId="168" showAll="0"/>
    <pivotField dataField="1" showAll="0"/>
    <pivotField dataField="1" showAll="0"/>
    <pivotField showAll="0"/>
    <pivotField numFmtId="1" showAll="0"/>
    <pivotField showAll="0"/>
    <pivotField showAll="0" defaultSubtotal="0"/>
    <pivotField showAll="0"/>
    <pivotField numFmtId="1" showAll="0"/>
    <pivotField showAl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3"/>
    <field x="1"/>
  </rowFields>
  <rowItems count="57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>
      <x v="9"/>
    </i>
    <i r="1">
      <x v="1"/>
    </i>
    <i r="1">
      <x v="2"/>
    </i>
    <i r="1">
      <x v="3"/>
    </i>
    <i>
      <x v="10"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de Min" fld="12" subtotal="min" baseField="2" baseItem="0"/>
    <dataField name="Max de Max" fld="13" subtotal="max" baseField="2" baseItem="0"/>
    <dataField name="Moyenne de Conso HP + HC / jour" fld="26" subtotal="average" baseField="2" baseItem="5"/>
  </dataFields>
  <formats count="2">
    <format dxfId="103">
      <pivotArea type="all" dataOnly="0" outline="0" fieldPosition="0"/>
    </format>
    <format dxfId="102">
      <pivotArea type="all" dataOnly="0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2" cacheId="2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2">
  <location ref="A1:D7" firstHeaderRow="0" firstDataRow="1" firstDataCol="1"/>
  <pivotFields count="31">
    <pivotField numFmtId="165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numFmtId="166" showAll="0"/>
    <pivotField numFmtId="168" showAll="0"/>
    <pivotField dataField="1" showAll="0"/>
    <pivotField dataField="1" showAll="0"/>
    <pivotField showAll="0"/>
    <pivotField numFmtId="1" showAll="0"/>
    <pivotField showAll="0"/>
    <pivotField showAll="0" defaultSubtotal="0"/>
    <pivotField showAll="0"/>
    <pivotField numFmtId="1" showAll="0"/>
    <pivotField showAl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de Min" fld="12" subtotal="min" baseField="2" baseItem="0"/>
    <dataField name="Max de Max" fld="13" subtotal="max" baseField="2" baseItem="0"/>
    <dataField name="Moyenne de Conso HP + HC / jour" fld="26" subtotal="average" baseField="2" baseItem="5"/>
  </dataFields>
  <formats count="2">
    <format dxfId="85">
      <pivotArea type="all" dataOnly="0" outline="0" fieldPosition="0"/>
    </format>
    <format dxfId="84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au1" displayName="Tableau1" ref="A4:AT724" totalsRowShown="0" headerRowDxfId="222" dataDxfId="221">
  <autoFilter ref="A4:AT724"/>
  <tableColumns count="46">
    <tableColumn id="1" name="Date" dataDxfId="220"/>
    <tableColumn id="38" name="T° station_x000a_Niort" dataDxfId="219"/>
    <tableColumn id="15" name="Diff heure_x000a_Instantané" dataDxfId="218">
      <calculatedColumnFormula>IF(ISERROR(Tableau1[[#This Row],[Date]]-A4),"",Tableau1[[#This Row],[Date]]-A4)</calculatedColumnFormula>
    </tableColumn>
    <tableColumn id="16" name="Diff jour_x000a_Instantané" dataDxfId="217">
      <calculatedColumnFormula>IF(ISERROR(Tableau1[[#This Row],[Date]]-A4),"",Tableau1[[#This Row],[Date]]-A4)</calculatedColumnFormula>
    </tableColumn>
    <tableColumn id="25" name="Diff heure_x000d__x000a_Cumul" dataDxfId="216">
      <calculatedColumnFormula>Tableau1[[#This Row],[Date]]-$A$5</calculatedColumnFormula>
    </tableColumn>
    <tableColumn id="24" name="Diff jour_x000d__x000a_Cumul" dataDxfId="215">
      <calculatedColumnFormula>Tableau1[[#This Row],[Date]]-$A$5</calculatedColumnFormula>
    </tableColumn>
    <tableColumn id="40" name="Diff jour_x000d__x000a_Cumul_x000a_depuis le 24/01" dataDxfId="214">
      <calculatedColumnFormula>Tableau1[[#This Row],[Diff jour_x000D_
Cumul]]-F$6</calculatedColumnFormula>
    </tableColumn>
    <tableColumn id="42" name="Diff jour_x000d__x000a_Cumul_x000a_depuis_x000a_précédente facture_x000a_16/02/2021" dataDxfId="213">
      <calculatedColumnFormula>Tableau1[[#This Row],[Diff jour_x000D_
Cumul]]-F$59</calculatedColumnFormula>
    </tableColumn>
    <tableColumn id="2" name="Index HP_x000a_kWh" dataDxfId="212" dataCellStyle="Milliers"/>
    <tableColumn id="3" name="Différence HP_x000a_Instantané" dataDxfId="211">
      <calculatedColumnFormula>IF(ISERROR(Tableau1[[#This Row],[Index HP
kWh]]-I4),"",Tableau1[[#This Row],[Index HP
kWh]]-I4)</calculatedColumnFormula>
    </tableColumn>
    <tableColumn id="17" name="Conso HP / heure_x000a_Instantané" dataDxfId="210">
      <calculatedColumnFormula>IF(ISERROR(Tableau1[[#This Row],[Différence HP
Instantané]]/(Tableau1[[#This Row],[Diff jour
Instantané]]*24)),"",Tableau1[[#This Row],[Différence HP
Instantané]]/(Tableau1[[#This Row],[Diff jour
Instantané]]*24))</calculatedColumnFormula>
    </tableColumn>
    <tableColumn id="4" name="Conso HP / jour_x000a_Instantané" dataDxfId="209">
      <calculatedColumnFormula>Tableau1[[#This Row],[Différence HP
Instantané]]/Tableau1[[#This Row],[Diff jour
Instantané]]</calculatedColumnFormula>
    </tableColumn>
    <tableColumn id="5" name="Conso HP / an_x000a_Instantané" dataDxfId="208">
      <calculatedColumnFormula>Tableau1[[#This Row],[Conso HP / jour
Instantané]]*365</calculatedColumnFormula>
    </tableColumn>
    <tableColumn id="28" name="Différence HP_x000a_Cumul" dataDxfId="207">
      <calculatedColumnFormula>Tableau1[[#This Row],[Index HP
kWh]]-$I$5</calculatedColumnFormula>
    </tableColumn>
    <tableColumn id="26" name="Conso HP / heure_x000a_Cumul" dataDxfId="206">
      <calculatedColumnFormula>Tableau1[[#This Row],[Différence HP
Cumul]]/(Tableau1[[#This Row],[Diff jour_x000D_
Cumul]]*24)</calculatedColumnFormula>
    </tableColumn>
    <tableColumn id="6" name="Conso HP / jour_x000a_Cumul" dataDxfId="205">
      <calculatedColumnFormula>Tableau1[[#This Row],[Différence HP
Cumul]]/Tableau1[[#This Row],[Diff jour_x000D_
Cumul]]</calculatedColumnFormula>
    </tableColumn>
    <tableColumn id="7" name="Conso HP / an_x000a_Cumul" dataDxfId="204">
      <calculatedColumnFormula>Tableau1[[#This Row],[Conso HP / jour
Cumul]]*365</calculatedColumnFormula>
    </tableColumn>
    <tableColumn id="8" name="Index HC_x000d__x000a_kWh" dataDxfId="203" dataCellStyle="Milliers"/>
    <tableColumn id="9" name="Différence_x000d_ HC_x000a_Instantané" dataDxfId="202">
      <calculatedColumnFormula>Tableau1[[#This Row],[Index HC_x000D_
kWh]]-R4</calculatedColumnFormula>
    </tableColumn>
    <tableColumn id="18" name="Conso HC / heure_x000a_Instantané" dataDxfId="201">
      <calculatedColumnFormula>Tableau1[[#This Row],[Différence_x000D_ HC
Instantané]]/(Tableau1[[#This Row],[Diff jour
Instantané]]*24)</calculatedColumnFormula>
    </tableColumn>
    <tableColumn id="10" name="Conso HC / jour_x000d__x000a_Instantané" dataDxfId="200">
      <calculatedColumnFormula>Tableau1[[#This Row],[Différence_x000D_ HC
Instantané]]/Tableau1[[#This Row],[Diff jour
Instantané]]</calculatedColumnFormula>
    </tableColumn>
    <tableColumn id="11" name="Conso HC / an_x000d__x000a_Instantané" dataDxfId="199">
      <calculatedColumnFormula>Tableau1[[#This Row],[Conso HC / jour_x000D_
Instantané]]*365</calculatedColumnFormula>
    </tableColumn>
    <tableColumn id="29" name="Différence HC_x000a_Cumul" dataDxfId="198">
      <calculatedColumnFormula>Tableau1[[#This Row],[Index HC_x000D_
kWh]]-$R$5</calculatedColumnFormula>
    </tableColumn>
    <tableColumn id="27" name="Conso HC / heure_x000a_Cumul" dataDxfId="197">
      <calculatedColumnFormula>Tableau1[[#This Row],[Différence HC
Cumul]]/(Tableau1[[#This Row],[Diff jour_x000D_
Cumul]]*24)</calculatedColumnFormula>
    </tableColumn>
    <tableColumn id="12" name="Conso HC / jour_x000d__x000a_Cumul" dataDxfId="196">
      <calculatedColumnFormula>Tableau1[[#This Row],[Différence HC
Cumul]]/Tableau1[[#This Row],[Diff jour_x000D_
Cumul]]</calculatedColumnFormula>
    </tableColumn>
    <tableColumn id="13" name="Conso HC / an_x000d__x000a_Cumul" dataDxfId="195">
      <calculatedColumnFormula>Tableau1[[#This Row],[Conso HC / jour_x000D_
Cumul]]*365</calculatedColumnFormula>
    </tableColumn>
    <tableColumn id="14" name="Conso HP + HC_x000a_Instantané" dataDxfId="194">
      <calculatedColumnFormula>Tableau1[[#This Row],[Différence HP
Instantané]]+Tableau1[[#This Row],[Différence_x000D_ HC
Instantané]]</calculatedColumnFormula>
    </tableColumn>
    <tableColumn id="19" name="Conso HP + HC / heure_x000d__x000a_Instantané" dataDxfId="193">
      <calculatedColumnFormula>Tableau1[[#This Row],[Conso HP + HC
Instantané]]/(Tableau1[[#This Row],[Diff jour
Instantané]]*24)</calculatedColumnFormula>
    </tableColumn>
    <tableColumn id="20" name="Conso HP + HC / jour_x000d__x000a_Instantané" dataDxfId="192">
      <calculatedColumnFormula>IF(ISERROR(Tableau1[[#This Row],[Date]]-A4),"",Tableau1[[#This Row],[Conso HP + HC
Instantané]]/Tableau1[[#This Row],[Diff jour
Instantané]])</calculatedColumnFormula>
    </tableColumn>
    <tableColumn id="21" name="Conso HP + HC / an_x000d__x000a_Instantané" dataDxfId="191">
      <calculatedColumnFormula>Tableau1[[#This Row],[Conso HP + HC / jour_x000D_
Instantané]]*365</calculatedColumnFormula>
    </tableColumn>
    <tableColumn id="30" name="Conso HP + HC_x000a_Cumul" dataDxfId="190">
      <calculatedColumnFormula>Tableau1[[#This Row],[Différence HP
Cumul]]+Tableau1[[#This Row],[Différence HC
Cumul]]</calculatedColumnFormula>
    </tableColumn>
    <tableColumn id="43" name="Conso HP + HC_x000a_Cumul depuis_x000a_le 24/01" dataDxfId="189">
      <calculatedColumnFormula>(Tableau1[[#This Row],[Conso HP + HC
Cumul]]-AE$6)/Tableau1[[#This Row],[Diff jour_x000D_
Cumul
depuis le 24/01]]</calculatedColumnFormula>
    </tableColumn>
    <tableColumn id="41" name="Conso HP + HC_x000a_Cumul depuis_x000a_précédente facture_x000a_16/02/2021" dataDxfId="188">
      <calculatedColumnFormula>(Tableau1[[#This Row],[Conso HP + HC
Cumul]]-AE$59)/Tableau1[[#This Row],[Diff jour_x000D_
Cumul
depuis
précédente facture
16/02/2021]]</calculatedColumnFormula>
    </tableColumn>
    <tableColumn id="31" name="Conso HP + HC / heure_x000a_Cumul" dataDxfId="187">
      <calculatedColumnFormula>Tableau1[[#This Row],[Conso HP + HC
Cumul]]/(Tableau1[[#This Row],[Diff jour_x000D_
Cumul]]*24)</calculatedColumnFormula>
    </tableColumn>
    <tableColumn id="22" name="Conso HP + HC / jour_x000d__x000a_Cumul" dataDxfId="186">
      <calculatedColumnFormula>Tableau1[[#This Row],[Conso HP + HC
Cumul]]/Tableau1[[#This Row],[Diff jour_x000D_
Cumul]]</calculatedColumnFormula>
    </tableColumn>
    <tableColumn id="23" name="Conso HP + HC / an_x000d__x000a_Cumul" dataDxfId="185">
      <calculatedColumnFormula>Tableau1[[#This Row],[Conso HP + HC / jour_x000D_
Cumul]]*365</calculatedColumnFormula>
    </tableColumn>
    <tableColumn id="32" name="Montant_x000a_Tarif HP/HC" dataDxfId="184">
      <calculatedColumnFormula>(Tableau1[[#This Row],[Différence HP
Cumul]]*0.1799)+(Tableau1[[#This Row],[Différence HC
Cumul]]*0.1346)</calculatedColumnFormula>
    </tableColumn>
    <tableColumn id="36" name="Montant_x000a_Tarif HP/HC_x000a_jour" dataDxfId="183">
      <calculatedColumnFormula>Tableau1[[#This Row],[Montant
Tarif HP/HC]]/Tableau1[[#This Row],[Diff jour_x000D_
Cumul]]</calculatedColumnFormula>
    </tableColumn>
    <tableColumn id="39" name="Montant_x000a_Tarif HP/HC_x000a_jour après le 24/01" dataDxfId="182">
      <calculatedColumnFormula>(Tableau1[[#This Row],[Montant
Tarif HP/HC]]-AK$6)/Tableau1[[#This Row],[Diff jour_x000D_
Cumul
depuis le 24/01]]</calculatedColumnFormula>
    </tableColumn>
    <tableColumn id="44" name="Montant_x000a_Tarif HP/HC_x000a_jour depuis_x000a_précédente facture_x000a_16/02/2021" dataDxfId="181">
      <calculatedColumnFormula>(Tableau1[[#This Row],[Montant
Tarif HP/HC]]-AK$59)/Tableau1[[#This Row],[Diff jour_x000D_
Cumul
depuis
précédente facture
16/02/2021]]</calculatedColumnFormula>
    </tableColumn>
    <tableColumn id="33" name="Montant_x000a_Tarif normal" dataDxfId="180">
      <calculatedColumnFormula>Tableau1[[#This Row],[Conso HP + HC
Cumul]]*0.1599</calculatedColumnFormula>
    </tableColumn>
    <tableColumn id="37" name="Montant_x000a_Tarif normal_x000a_jour" dataDxfId="179">
      <calculatedColumnFormula>Tableau1[[#This Row],[Montant
Tarif normal]]/Tableau1[[#This Row],[Diff jour_x000D_
Cumul]]</calculatedColumnFormula>
    </tableColumn>
    <tableColumn id="34" name="Projection_x000a_Tarif HP/HC" dataDxfId="178">
      <calculatedColumnFormula>(Tableau1[[#This Row],[Conso HP / an
Cumul]]*0.1799)+(Tableau1[[#This Row],[Conso HC / an_x000D_
Cumul]]*0.1346)</calculatedColumnFormula>
    </tableColumn>
    <tableColumn id="35" name="Projection_x000a_Tarif normal" dataDxfId="177">
      <calculatedColumnFormula>Tableau1[[#This Row],[Conso HP + HC / an_x000D_
Cumul]]*0.1599</calculatedColumnFormula>
    </tableColumn>
    <tableColumn id="45" name="Mois" dataDxfId="176">
      <calculatedColumnFormula>MONTH(Tableau1[[#This Row],[Date]])</calculatedColumnFormula>
    </tableColumn>
    <tableColumn id="46" name="Année" dataDxfId="175">
      <calculatedColumnFormula>YEAR(Tableau1[[#This Row],[Date]])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SuiviConso" displayName="tabSuiviConso" ref="A3:AE21" totalsRowShown="0" headerRowDxfId="168" dataDxfId="167">
  <autoFilter ref="A3:AE21"/>
  <tableColumns count="31">
    <tableColumn id="1" name="Date" dataDxfId="13"/>
    <tableColumn id="24" name="Année" dataDxfId="12">
      <calculatedColumnFormula>YEAR([1]!tabSuiviConso[[#This Row],[Date]])</calculatedColumnFormula>
    </tableColumn>
    <tableColumn id="27" name="Année last" dataDxfId="11">
      <calculatedColumnFormula>IF(B5&lt;&gt;[1]!tabSuiviConso[[#This Row],[Année]],[1]!tabSuiviConso[[#This Row],[Année]],"")</calculatedColumnFormula>
    </tableColumn>
    <tableColumn id="23" name="Mois" dataDxfId="10">
      <calculatedColumnFormula>MONTH([1]!tabSuiviConso[[#This Row],[Date]])</calculatedColumnFormula>
    </tableColumn>
    <tableColumn id="28" name="Jour" dataDxfId="9">
      <calculatedColumnFormula>DAY([1]!tabSuiviConso[[#This Row],[Date]])</calculatedColumnFormula>
    </tableColumn>
    <tableColumn id="30" name="Jour lettre" dataDxfId="8">
      <calculatedColumnFormula>TEXT([1]!tabSuiviConso[[#This Row],[Date]]-1,"jjjj")</calculatedColumnFormula>
    </tableColumn>
    <tableColumn id="31" name="Mois Année" dataDxfId="7">
      <calculatedColumnFormula>[1]!tabSuiviConso[[#This Row],[Mois]]&amp;"/"&amp;[1]!tabSuiviConso[[#This Row],[Année]]</calculatedColumnFormula>
    </tableColumn>
    <tableColumn id="29" name="Jour Mois Année" dataDxfId="6">
      <calculatedColumnFormula>[1]!tabSuiviConso[[#This Row],[Jour]]&amp;"/"&amp;[1]!tabSuiviConso[[#This Row],[Mois]]&amp;"/"&amp;[1]!tabSuiviConso[[#This Row],[Année]]</calculatedColumnFormula>
    </tableColumn>
    <tableColumn id="7" name="Diff heure_x000a_instantannée" dataDxfId="5">
      <calculatedColumnFormula>IF(ISERROR([1]!tabSuiviConso[[#This Row],[Date]]-A3),"",[1]!tabSuiviConso[[#This Row],[Date]]-A3)</calculatedColumnFormula>
    </tableColumn>
    <tableColumn id="10" name="Diff jour_x000a_Instantané" dataDxfId="4">
      <calculatedColumnFormula>IF(ISERROR([1]!tabSuiviConso[[#This Row],[Date]]-A3),"",[1]!tabSuiviConso[[#This Row],[Date]]-A3)</calculatedColumnFormula>
    </tableColumn>
    <tableColumn id="9" name="Diff heure_x000d__x000a_Cumul" dataDxfId="3">
      <calculatedColumnFormula>[1]!tabSuiviConso[[#This Row],[Date]]-$A$4</calculatedColumnFormula>
    </tableColumn>
    <tableColumn id="8" name="Diff jour_x000d__x000a_Cumul" dataDxfId="2">
      <calculatedColumnFormula>[1]!tabSuiviConso[[#This Row],[Date]]-$A$4</calculatedColumnFormula>
    </tableColumn>
    <tableColumn id="3" name="Min" dataDxfId="1"/>
    <tableColumn id="4" name="Max" dataDxfId="0"/>
    <tableColumn id="2" name="Max-Min" dataDxfId="166">
      <calculatedColumnFormula>tabSuiviConso[[#This Row],[Max]]-tabSuiviConso[[#This Row],[Min]]</calculatedColumnFormula>
    </tableColumn>
    <tableColumn id="5" name="Index HP_x000a_kWh" dataDxfId="165" dataCellStyle="Milliers"/>
    <tableColumn id="12" name="Diff HP_x000a_instantannée" dataDxfId="164">
      <calculatedColumnFormula>IF(ISERROR(tabSuiviConso[[#This Row],[Index HP
kWh]]-P3),"",tabSuiviConso[[#This Row],[Index HP
kWh]]-P3)</calculatedColumnFormula>
    </tableColumn>
    <tableColumn id="25" name="Diff HP / jour_x000a_instantannée" dataDxfId="163">
      <calculatedColumnFormula>IF(ISERROR(tabSuiviConso[[#This Row],[Date]]-A4),"",tabSuiviConso[[#This Row],[Diff HP
instantannée]]/tabSuiviConso[[#This Row],[Diff jour
Instantané]])</calculatedColumnFormula>
    </tableColumn>
    <tableColumn id="11" name="Diff HP_x000a_cumul" dataDxfId="162">
      <calculatedColumnFormula>SUM($Q$4:Q4)</calculatedColumnFormula>
    </tableColumn>
    <tableColumn id="6" name="Index HC_x000d__x000a_kWh" dataDxfId="161" dataCellStyle="Milliers"/>
    <tableColumn id="13" name="Diff HC_x000a_instantannée" dataDxfId="160">
      <calculatedColumnFormula>IF(ISERROR(tabSuiviConso[[#This Row],[Index HC_x000D_
kWh]]-T3),"",tabSuiviConso[[#This Row],[Index HC_x000D_
kWh]]-T3)</calculatedColumnFormula>
    </tableColumn>
    <tableColumn id="26" name="Diff HC / jour_x000a_instantannée" dataDxfId="159">
      <calculatedColumnFormula>IF(ISERROR(tabSuiviConso[[#This Row],[Date]]-A4),"",tabSuiviConso[[#This Row],[Diff HC
instantannée]]/tabSuiviConso[[#This Row],[Diff jour
Instantané]])</calculatedColumnFormula>
    </tableColumn>
    <tableColumn id="14" name="Diff HC_x000a_cumul" dataDxfId="158">
      <calculatedColumnFormula>SUM($U$4:U4)</calculatedColumnFormula>
    </tableColumn>
    <tableColumn id="15" name="HP + HC_x000a_instantanné" dataDxfId="157">
      <calculatedColumnFormula>tabSuiviConso[[#This Row],[Diff HP
instantannée]]+tabSuiviConso[[#This Row],[Diff HC
instantannée]]</calculatedColumnFormula>
    </tableColumn>
    <tableColumn id="16" name="HP + HC_x000a_cumul" dataDxfId="156">
      <calculatedColumnFormula>tabSuiviConso[[#This Row],[Diff HP
cumul]]+tabSuiviConso[[#This Row],[Diff HC
cumul]]</calculatedColumnFormula>
    </tableColumn>
    <tableColumn id="17" name=" HP + HC / heure_x000d__x000a_Instantané" dataDxfId="155">
      <calculatedColumnFormula>tabSuiviConso[[#This Row],[HP + HC
instantanné]]/(tabSuiviConso[[#This Row],[Diff jour
Instantané]]*24)</calculatedColumnFormula>
    </tableColumn>
    <tableColumn id="18" name="Conso HP + HC / jour_x000d__x000a_Instantané" dataDxfId="154">
      <calculatedColumnFormula>IF(ISERROR(tabSuiviConso[[#This Row],[Date]]-A4),"",tabSuiviConso[[#This Row],[HP + HC
instantanné]]/tabSuiviConso[[#This Row],[Diff jour
Instantané]])</calculatedColumnFormula>
    </tableColumn>
    <tableColumn id="19" name="Conso HP + HC / an_x000d__x000a_Instantané" dataDxfId="153">
      <calculatedColumnFormula>tabSuiviConso[[#This Row],[Conso HP + HC / jour_x000D_
Instantané]]*365</calculatedColumnFormula>
    </tableColumn>
    <tableColumn id="20" name=" HP + HC / heure_x000d__x000a_cumul" dataDxfId="152">
      <calculatedColumnFormula>tabSuiviConso[[#This Row],[HP + HC
cumul]]/(tabSuiviConso[[#This Row],[Diff jour_x000D_
Cumul]]*24)</calculatedColumnFormula>
    </tableColumn>
    <tableColumn id="21" name="Conso HP + HC / jour_x000d__x000a_cumul" dataDxfId="151">
      <calculatedColumnFormula>tabSuiviConso[[#This Row],[HP + HC
cumul]]/tabSuiviConso[[#This Row],[Diff jour_x000D_
Cumul]]</calculatedColumnFormula>
    </tableColumn>
    <tableColumn id="22" name="Conso HP + HC / an_x000d__x000a_cumul" dataDxfId="150">
      <calculatedColumnFormula>tabSuiviConso[[#This Row],[Conso HP + HC / jour_x000D_
cumul]]*365</calculatedColumnFormula>
    </tableColumn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6" name="Tableau6" displayName="Tableau6" ref="A1:U368" totalsRowShown="0" headerRowDxfId="149" dataDxfId="148">
  <autoFilter ref="A1:U368"/>
  <tableColumns count="21">
    <tableColumn id="1" name="Mois" dataDxfId="147"/>
    <tableColumn id="2" name="Jour" dataDxfId="146"/>
    <tableColumn id="3" name="Jours Mois" dataDxfId="145">
      <calculatedColumnFormula>Tableau6[Jour]&amp;"/"&amp;Tableau6[Mois]</calculatedColumnFormula>
    </tableColumn>
    <tableColumn id="9" name="Position 2021" dataDxfId="144">
      <calculatedColumnFormula>MATCH(Tableau6[Jours Mois]&amp;"/"&amp;Tableau6[[#Headers],[2021]],tabSuiviConso[Jour Mois Année],0)</calculatedColumnFormula>
    </tableColumn>
    <tableColumn id="5" name="2021" dataDxfId="143">
      <calculatedColumnFormula>IF(ISNA(Tableau6[[#This Row],[Position 2021]]),"",INDEX(tabSuiviConso[HP + HC
cumul],Tableau6[[#This Row],[Position 2021]],1))</calculatedColumnFormula>
    </tableColumn>
    <tableColumn id="12" name="Cumul 2021" dataDxfId="142">
      <calculatedColumnFormula>IF(ISNA(Tableau6[[#This Row],[Position 2021]]),Tableau6[[#This Row],[Position 2021]],Tableau6[[#This Row],[2021]]-E$2)</calculatedColumnFormula>
    </tableColumn>
    <tableColumn id="10" name="Position 2022" dataDxfId="141">
      <calculatedColumnFormula>MATCH(Tableau6[Jours Mois]&amp;"/"&amp;Tableau6[[#Headers],[2022]],tabSuiviConso[Jour Mois Année],0)</calculatedColumnFormula>
    </tableColumn>
    <tableColumn id="6" name="2022" dataDxfId="140">
      <calculatedColumnFormula>IF(ISNA(Tableau6[[#This Row],[Position 2022]]),"",INDEX(tabSuiviConso[HP + HC
cumul],Tableau6[[#This Row],[Position 2022]],1))</calculatedColumnFormula>
    </tableColumn>
    <tableColumn id="13" name="Cumul 2022" dataDxfId="139">
      <calculatedColumnFormula>IF(ISNA(Tableau6[[#This Row],[Position 2022]]),Tableau6[[#This Row],[Position 2022]],Tableau6[[#This Row],[2022]]-H$2)</calculatedColumnFormula>
    </tableColumn>
    <tableColumn id="11" name="Position 2023" dataDxfId="138">
      <calculatedColumnFormula>MATCH(Tableau6[Jours Mois]&amp;"/"&amp;Tableau6[[#Headers],[2023]],tabSuiviConso[Jour Mois Année],0)</calculatedColumnFormula>
    </tableColumn>
    <tableColumn id="4" name="Ecart 2021 2022" dataDxfId="137">
      <calculatedColumnFormula>Tableau6[[#This Row],[Cumul 2022]]-Tableau6[[#This Row],[Cumul 2021]]</calculatedColumnFormula>
    </tableColumn>
    <tableColumn id="21" name="Ecart % _x000a_2021 2022" dataDxfId="136">
      <calculatedColumnFormula>Tableau6[[#This Row],[Ecart 2021 2022]]/Tableau6[[#This Row],[Cumul 2021]]</calculatedColumnFormula>
    </tableColumn>
    <tableColumn id="7" name="2023" dataDxfId="135">
      <calculatedColumnFormula>IF(ISNA(Tableau6[[#This Row],[Position 2023]]),"",INDEX(tabSuiviConso[HP + HC
cumul],Tableau6[[#This Row],[Position 2023]],1))</calculatedColumnFormula>
    </tableColumn>
    <tableColumn id="14" name="Cumul 2023" dataDxfId="134">
      <calculatedColumnFormula>IF(ISNA(Tableau6[[#This Row],[Position 2023]]),Tableau6[[#This Row],[Position 2023]],Tableau6[[#This Row],[2023]]-M$2)</calculatedColumnFormula>
    </tableColumn>
    <tableColumn id="8" name="Ecart 2022 2023" dataDxfId="133">
      <calculatedColumnFormula>Tableau6[[#This Row],[Cumul 2023]]-Tableau6[[#This Row],[Cumul 2022]]</calculatedColumnFormula>
    </tableColumn>
    <tableColumn id="19" name="Ecart % _x000a_2022 2023" dataDxfId="132" dataCellStyle="Pourcentage">
      <calculatedColumnFormula>Tableau6[[#This Row],[Ecart 2022 2023]]/Tableau6[[#This Row],[Cumul 2022]]</calculatedColumnFormula>
    </tableColumn>
    <tableColumn id="18" name="Position 2024" dataDxfId="131"/>
    <tableColumn id="15" name="2024" dataDxfId="130">
      <calculatedColumnFormula>IF(ISNA(Tableau6[[#This Row],[Position 2024]]),"",INDEX(tabSuiviConso[HP + HC
cumul],Tableau6[[#This Row],[Position 2024]],1))</calculatedColumnFormula>
    </tableColumn>
    <tableColumn id="16" name="Cumul 2024" dataDxfId="129">
      <calculatedColumnFormula>IF(ISNA(Tableau6[[#This Row],[Position 2024]]),Tableau6[[#This Row],[Position 2024]],Tableau6[[#This Row],[2024]]-R$2)</calculatedColumnFormula>
    </tableColumn>
    <tableColumn id="17" name="Ecart 2023 2024" dataDxfId="128">
      <calculatedColumnFormula>Tableau6[[#This Row],[Cumul 2024]]-Tableau6[[#This Row],[Cumul 2023]]</calculatedColumnFormula>
    </tableColumn>
    <tableColumn id="22" name="Ecart % _x000a_2023 2024" dataDxfId="127">
      <calculatedColumnFormula>Tableau6[[#This Row],[Ecart 2023 2024]]/Tableau6[[#This Row],[Cumul 2023]]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0" name="Tableau791011" displayName="Tableau791011" ref="A1:B8" totalsRowShown="0" headerRowDxfId="126" dataDxfId="125">
  <autoFilter ref="A1:B8"/>
  <tableColumns count="2">
    <tableColumn id="2" name="Jour" dataDxfId="124"/>
    <tableColumn id="3" name="Moyenne_x000a_Conso HP + HC / jour" dataDxfId="123" dataCellStyle="Milliers">
      <calculatedColumnFormula>AVERAGEIF(tabSuiviConso[Jour lettre],Tableau791011[[#This Row],[Jour]],tabSuiviConso[Conso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au7" displayName="Tableau7" ref="A1:F32" totalsRowShown="0" headerRowDxfId="120" dataDxfId="119">
  <autoFilter ref="A1:F32"/>
  <tableColumns count="6">
    <tableColumn id="1" name="Jour" dataDxfId="118"/>
    <tableColumn id="2" name="Mois" dataDxfId="117"/>
    <tableColumn id="3" name="2021" dataDxfId="116">
      <calculatedColumnFormula>INDEX(tabSuiviConso[Conso HP + HC / jour_x000D_
Instantané],MATCH(Tableau7[[#This Row],[Jour]]&amp;"/"&amp;Tableau7[[#This Row],[Mois]]&amp;"/"&amp;Tableau7[[#Headers],[2021]],tabSuiviConso[Jour Mois Année],0),1)</calculatedColumnFormula>
    </tableColumn>
    <tableColumn id="4" name="2022" dataDxfId="115">
      <calculatedColumnFormula>INDEX(tabSuiviConso[Conso HP + HC / jour_x000D_
Instantané],MATCH(Tableau7[[#This Row],[Jour]]&amp;"/"&amp;Tableau7[[#This Row],[Mois]]&amp;"/"&amp;Tableau7[[#Headers],[2022]],tabSuiviConso[Jour Mois Année],0),1)</calculatedColumnFormula>
    </tableColumn>
    <tableColumn id="5" name="2023" dataDxfId="114">
      <calculatedColumnFormula>INDEX(tabSuiviConso[Conso HP + HC / jour_x000D_
Instantané],MATCH(Tableau7[[#This Row],[Jour]]&amp;"/"&amp;Tableau7[[#This Row],[Mois]]&amp;"/"&amp;Tableau7[[#Headers],[2023]],tabSuiviConso[Jour Mois Année],0),1)</calculatedColumnFormula>
    </tableColumn>
    <tableColumn id="6" name="2024" dataDxfId="113">
      <calculatedColumnFormula>INDEX(tabSuiviConso[Conso HP + HC / jour_x000D_
Instantané],MATCH(Tableau7[[#This Row],[Jour]]&amp;"/"&amp;Tableau7[[#This Row],[Mois]]&amp;"/"&amp;Tableau7[[#Headers],[2024]],tabSuiviConso[Jour Mois Année],0),1)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au79" displayName="Tableau79" ref="A1:E13" totalsRowShown="0" headerRowDxfId="110" dataDxfId="109">
  <autoFilter ref="A1:E13"/>
  <tableColumns count="5">
    <tableColumn id="2" name="Mois" dataDxfId="108"/>
    <tableColumn id="3" name="2021" dataDxfId="107" dataCellStyle="Milliers">
      <calculatedColumnFormula>AVERAGEIF(tabSuiviConso[Mois Année],Tableau79[[#This Row],[Mois]]&amp;"/"&amp;Tableau79[[#Headers],[2021]],tabSuiviConso[Conso HP + HC / jour_x000D_
Instantané])</calculatedColumnFormula>
    </tableColumn>
    <tableColumn id="4" name="2022" dataDxfId="106" dataCellStyle="Milliers">
      <calculatedColumnFormula>AVERAGEIF(tabSuiviConso[Mois Année],Tableau79[[#This Row],[Mois]]&amp;"/"&amp;Tableau79[[#Headers],[2022]],tabSuiviConso[Conso HP + HC / jour_x000D_
Instantané])</calculatedColumnFormula>
    </tableColumn>
    <tableColumn id="5" name="2023" dataDxfId="105" dataCellStyle="Milliers">
      <calculatedColumnFormula>AVERAGEIF(tabSuiviConso[Mois Année],Tableau79[[#This Row],[Mois]]&amp;"/"&amp;Tableau79[[#Headers],[2023]],tabSuiviConso[Conso HP + HC / jour_x000D_
Instantané])</calculatedColumnFormula>
    </tableColumn>
    <tableColumn id="6" name="2024" dataDxfId="104" dataCellStyle="Milliers">
      <calculatedColumnFormula>AVERAGEIF(tabSuiviConso[Mois Année],Tableau79[[#This Row],[Mois]]&amp;"/"&amp;Tableau79[[#Headers],[2024]],tabSuiviConso[Conso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1" name="Tableau791012" displayName="Tableau791012" ref="A1:F13" totalsRowShown="0" headerRowDxfId="101" dataDxfId="100">
  <autoFilter ref="A1:F13"/>
  <tableColumns count="6">
    <tableColumn id="2" name="Mois" dataDxfId="99"/>
    <tableColumn id="5" name="Min_x000a_Température Min" dataDxfId="98">
      <calculatedColumnFormula>MIN(IF(tabSuiviConso[Mois]=Tableau791012[[#This Row],[Mois]],tabSuiviConso[Min]))</calculatedColumnFormula>
    </tableColumn>
    <tableColumn id="4" name="Moyenne_x000a_Température Min" dataDxfId="97">
      <calculatedColumnFormula>AVERAGEIF(tabSuiviConso[Mois],Tableau791012[[#This Row],[Mois]],tabSuiviConso[Min])</calculatedColumnFormula>
    </tableColumn>
    <tableColumn id="1" name="Moyenne_x000a_Température Max" dataDxfId="96">
      <calculatedColumnFormula>AVERAGEIF(tabSuiviConso[Mois],Tableau791012[[#This Row],[Mois]],tabSuiviConso[Max])</calculatedColumnFormula>
    </tableColumn>
    <tableColumn id="7" name="Max_x000a_Température Max" dataDxfId="95">
      <calculatedColumnFormula>MAX(IF(tabSuiviConso[Mois]=Tableau791012[[#This Row],[Mois]],tabSuiviConso[Max]))</calculatedColumnFormula>
    </tableColumn>
    <tableColumn id="3" name="Moyenne_x000a_Conso HP + HC / jour" dataDxfId="94" dataCellStyle="Milliers">
      <calculatedColumnFormula>AVERAGEIF(tabSuiviConso[Mois],Tableau791012[[#This Row],[Mois]],tabSuiviConso[Conso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au7910" displayName="Tableau7910" ref="A1:F5" totalsRowShown="0" headerRowDxfId="93" dataDxfId="92">
  <autoFilter ref="A1:F5"/>
  <tableColumns count="6">
    <tableColumn id="2" name="Année" dataDxfId="91"/>
    <tableColumn id="5" name="Min_x000a_Température Min" dataDxfId="90">
      <calculatedColumnFormula array="1">MIN(IF(tabSuiviConso[Année]=Tableau7910[[#This Row],[Année]],tabSuiviConso[Min]))</calculatedColumnFormula>
    </tableColumn>
    <tableColumn id="4" name="Moyenne_x000a_Température Min" dataDxfId="89">
      <calculatedColumnFormula>AVERAGEIF(tabSuiviConso[Année],Tableau7910[[#This Row],[Année]],tabSuiviConso[Min])</calculatedColumnFormula>
    </tableColumn>
    <tableColumn id="1" name="Moyenne_x000a_Température Max" dataDxfId="88">
      <calculatedColumnFormula>AVERAGEIF(tabSuiviConso[Année],Tableau7910[[#This Row],[Année]],tabSuiviConso[Max])</calculatedColumnFormula>
    </tableColumn>
    <tableColumn id="7" name="Max_x000a_Température Max" dataDxfId="87">
      <calculatedColumnFormula array="1">MAX(IF(tabSuiviConso[Année]=Tableau7910[[#This Row],[Année]],tabSuiviConso[Max]))</calculatedColumnFormula>
    </tableColumn>
    <tableColumn id="3" name="Moyenne_x000a_Conso HP + HC / jour" dataDxfId="86" dataCellStyle="Milliers">
      <calculatedColumnFormula>AVERAGEIF(tabSuiviConso[Année],Tableau7910[[#This Row],[Année]],tabSuiviConso[Conso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Tableau4" displayName="Tableau4" ref="A1:Q5" totalsRowShown="0" headerRowDxfId="83" dataDxfId="82">
  <autoFilter ref="A1:Q5"/>
  <tableColumns count="17">
    <tableColumn id="1" name="Année" dataDxfId="81"/>
    <tableColumn id="2" name="1er jour" dataDxfId="80">
      <calculatedColumnFormula>MATCH(Tableau4[[#This Row],[Année]],tabSuiviConso[Année],0)</calculatedColumnFormula>
    </tableColumn>
    <tableColumn id="11" name="Date 1er jour" dataDxfId="79">
      <calculatedColumnFormula>INDEX(tabSuiviConso[Date],Tableau4[[#This Row],[1er jour]],1)</calculatedColumnFormula>
    </tableColumn>
    <tableColumn id="3" name="Dernier jour" dataDxfId="78">
      <calculatedColumnFormula>MATCH(Tableau4[[#This Row],[Année]],tabSuiviConso[Année last],0)</calculatedColumnFormula>
    </tableColumn>
    <tableColumn id="12" name="Date Dernier jour" dataDxfId="77">
      <calculatedColumnFormula>INDEX(tabSuiviConso[Date],Tableau4[[#This Row],[Dernier jour]],1)</calculatedColumnFormula>
    </tableColumn>
    <tableColumn id="13" name="Ecart Date" dataDxfId="76">
      <calculatedColumnFormula>Tableau4[[#This Row],[Date Dernier jour]]-Tableau4[[#This Row],[Date 1er jour]]</calculatedColumnFormula>
    </tableColumn>
    <tableColumn id="4" name="Diff HP Cumul_x000a_1er jour" dataDxfId="75">
      <calculatedColumnFormula>INDEX(tabSuiviConso[Diff HP
cumul],Tableau4[[#This Row],[1er jour]],1)</calculatedColumnFormula>
    </tableColumn>
    <tableColumn id="5" name="Diff HP Cumul_x000a_Dernier jour" dataDxfId="74">
      <calculatedColumnFormula>INDEX(tabSuiviConso[Diff HP
cumul],Tableau4[[#This Row],[Dernier jour]],1)</calculatedColumnFormula>
    </tableColumn>
    <tableColumn id="6" name="Ecart HP" dataDxfId="73">
      <calculatedColumnFormula>Tableau4[[#This Row],[Diff HP Cumul
Dernier jour]]-Tableau4[[#This Row],[Diff HP Cumul
1er jour]]</calculatedColumnFormula>
    </tableColumn>
    <tableColumn id="7" name="Diff HC Cumul_x000a_1er jour" dataDxfId="72">
      <calculatedColumnFormula>INDEX(tabSuiviConso[Diff HC
cumul],Tableau4[[#This Row],[1er jour]],1)</calculatedColumnFormula>
    </tableColumn>
    <tableColumn id="8" name="Diff HC Cumul_x000a_Dernier jour" dataDxfId="71">
      <calculatedColumnFormula>INDEX(tabSuiviConso[Diff HC
cumul],Tableau4[[#This Row],[Dernier jour]],1)</calculatedColumnFormula>
    </tableColumn>
    <tableColumn id="9" name="Ecart HC" dataDxfId="70">
      <calculatedColumnFormula>Tableau4[[#This Row],[Diff HC Cumul
Dernier jour]]-Tableau4[[#This Row],[Diff HC Cumul
1er jour]]</calculatedColumnFormula>
    </tableColumn>
    <tableColumn id="10" name="Ecart HP + HC" dataDxfId="69">
      <calculatedColumnFormula>Tableau4[[#This Row],[Ecart HP]]+Tableau4[[#This Row],[Ecart HC]]</calculatedColumnFormula>
    </tableColumn>
    <tableColumn id="14" name="HP+HC/heure" dataDxfId="68">
      <calculatedColumnFormula>Tableau4[[#This Row],[Ecart HP + HC]]/(Tableau4[[#This Row],[Ecart Date]]*24)</calculatedColumnFormula>
    </tableColumn>
    <tableColumn id="15" name="HP+HC/jour" dataDxfId="67">
      <calculatedColumnFormula>Tableau4[[#This Row],[Ecart HP + HC]]/Tableau4[[#This Row],[Ecart Date]]</calculatedColumnFormula>
    </tableColumn>
    <tableColumn id="16" name="HP+HC/an" dataDxfId="66">
      <calculatedColumnFormula>Tableau4[[#This Row],[HP+HC/jour]]*365</calculatedColumnFormula>
    </tableColumn>
    <tableColumn id="17" name="Diff an-1" dataDxfId="65" dataCellStyle="Pourcentage">
      <calculatedColumnFormula>(Tableau4[[#This Row],[HP+HC/an]]-P1)/P1</calculatedColumnFormula>
    </tableColumn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id="5" name="Tableau46" displayName="Tableau46" ref="A1:R5" totalsRowShown="0" headerRowDxfId="64" dataDxfId="63">
  <autoFilter ref="A1:R5"/>
  <tableColumns count="18">
    <tableColumn id="1" name="Année" dataDxfId="62"/>
    <tableColumn id="17" name="Année + 1" dataDxfId="61"/>
    <tableColumn id="2" name="1er jour" dataDxfId="60">
      <calculatedColumnFormula>MATCH(Tableau46[[#This Row],[Année]],tabSuiviConso[Année],0)</calculatedColumnFormula>
    </tableColumn>
    <tableColumn id="11" name="Date 1er jour" dataDxfId="59">
      <calculatedColumnFormula>INDEX(tabSuiviConso[Date],Tableau46[[#This Row],[1er jour]],1)</calculatedColumnFormula>
    </tableColumn>
    <tableColumn id="3" name="Dernier jour" dataDxfId="58">
      <calculatedColumnFormula>MATCH(Tableau46[[#This Row],[Année]],tabSuiviConso[Année last],0)</calculatedColumnFormula>
    </tableColumn>
    <tableColumn id="12" name="Date Dernier jour" dataDxfId="57">
      <calculatedColumnFormula>INDEX(tabSuiviConso[Date],Tableau46[[#This Row],[Dernier jour]],1)</calculatedColumnFormula>
    </tableColumn>
    <tableColumn id="13" name="Ecart Date" dataDxfId="56">
      <calculatedColumnFormula>Tableau46[[#This Row],[Date Dernier jour]]-Tableau46[[#This Row],[Date 1er jour]]</calculatedColumnFormula>
    </tableColumn>
    <tableColumn id="4" name="Diff HP Cumul_x000a_1er jour" dataDxfId="55">
      <calculatedColumnFormula>INDEX(tabSuiviConso[Diff HP
cumul],Tableau46[[#This Row],[1er jour]],1)</calculatedColumnFormula>
    </tableColumn>
    <tableColumn id="5" name="Diff HP Cumul_x000a_Dernier jour" dataDxfId="54">
      <calculatedColumnFormula>INDEX(tabSuiviConso[Diff HP
cumul],Tableau46[[#This Row],[Dernier jour]],1)</calculatedColumnFormula>
    </tableColumn>
    <tableColumn id="6" name="Ecart HP" dataDxfId="53">
      <calculatedColumnFormula>Tableau46[[#This Row],[Diff HP Cumul
Dernier jour]]-Tableau46[[#This Row],[Diff HP Cumul
1er jour]]</calculatedColumnFormula>
    </tableColumn>
    <tableColumn id="7" name="Diff HC Cumul_x000a_1er jour" dataDxfId="52">
      <calculatedColumnFormula>INDEX(tabSuiviConso[Diff HC
cumul],Tableau46[[#This Row],[1er jour]],1)</calculatedColumnFormula>
    </tableColumn>
    <tableColumn id="8" name="Diff HC Cumul_x000a_Dernier jour" dataDxfId="51">
      <calculatedColumnFormula>INDEX(tabSuiviConso[Diff HC
cumul],Tableau46[[#This Row],[Dernier jour]],1)</calculatedColumnFormula>
    </tableColumn>
    <tableColumn id="9" name="Ecart HC" dataDxfId="50">
      <calculatedColumnFormula>Tableau46[[#This Row],[Diff HC Cumul
Dernier jour]]-Tableau46[[#This Row],[Diff HC Cumul
1er jour]]</calculatedColumnFormula>
    </tableColumn>
    <tableColumn id="10" name="Ecart HP + HC" dataDxfId="49">
      <calculatedColumnFormula>Tableau46[[#This Row],[Ecart HP]]+Tableau46[[#This Row],[Ecart HC]]</calculatedColumnFormula>
    </tableColumn>
    <tableColumn id="14" name="HP+HC/heure" dataDxfId="48">
      <calculatedColumnFormula>Tableau46[[#This Row],[Ecart HP + HC]]/(Tableau46[[#This Row],[Ecart Date]]*24)</calculatedColumnFormula>
    </tableColumn>
    <tableColumn id="15" name="HP+HC/jour" dataDxfId="47">
      <calculatedColumnFormula>Tableau46[[#This Row],[Ecart HP + HC]]/Tableau46[[#This Row],[Ecart Date]]</calculatedColumnFormula>
    </tableColumn>
    <tableColumn id="16" name="HP+HC/an" dataDxfId="46">
      <calculatedColumnFormula>Tableau46[[#This Row],[HP+HC/jour]]*365</calculatedColumnFormula>
    </tableColumn>
    <tableColumn id="18" name="Diff an-1" dataDxfId="45" dataCellStyle="Pourcentage">
      <calculatedColumnFormula>(Tableau46[[#This Row],[HP+HC/an]]-Q1)/Q1</calculatedColumnFormula>
    </tableColumn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id="3" name="Tableau3" displayName="Tableau3" ref="A2:AC13" totalsRowShown="0" headerRowDxfId="44" dataDxfId="43" dataCellStyle="Milliers">
  <autoFilter ref="A2:AC13"/>
  <tableColumns count="29">
    <tableColumn id="1" name="Date Début" dataDxfId="42"/>
    <tableColumn id="2" name="Date Fin" dataDxfId="41"/>
    <tableColumn id="3" name="HP Début" dataDxfId="40" dataCellStyle="Milliers"/>
    <tableColumn id="4" name="HP Fin" dataDxfId="39" dataCellStyle="Milliers"/>
    <tableColumn id="5" name="HC Début" dataDxfId="38" dataCellStyle="Milliers"/>
    <tableColumn id="6" name="HC Fin" dataDxfId="37" dataCellStyle="Milliers"/>
    <tableColumn id="7" name="Montant TTC" dataDxfId="36"/>
    <tableColumn id="27" name="Ecart montant_x000a_période équivalente" dataDxfId="35" dataCellStyle="Pourcentage"/>
    <tableColumn id="8" name="Diff jour" dataDxfId="34" dataCellStyle="Milliers">
      <calculatedColumnFormula>Tableau3[Date Fin]-Tableau3[Date Début]</calculatedColumnFormula>
    </tableColumn>
    <tableColumn id="9" name="Montant / jour" dataDxfId="33" dataCellStyle="Milliers">
      <calculatedColumnFormula>Tableau3[Montant TTC]/Tableau3[Diff jour]</calculatedColumnFormula>
    </tableColumn>
    <tableColumn id="15" name="Projection € 365j" dataDxfId="32" dataCellStyle="Milliers">
      <calculatedColumnFormula>Tableau3[[#This Row],[Montant / jour]]*365</calculatedColumnFormula>
    </tableColumn>
    <tableColumn id="10" name="Diff HP" dataDxfId="31" dataCellStyle="Milliers">
      <calculatedColumnFormula>Tableau3[[#This Row],[HP Fin]]-Tableau3[[#This Row],[HP Début]]</calculatedColumnFormula>
    </tableColumn>
    <tableColumn id="11" name="Diff HC" dataDxfId="30" dataCellStyle="Milliers">
      <calculatedColumnFormula>Tableau3[[#This Row],[HC Fin]]-Tableau3[[#This Row],[HC Début]]</calculatedColumnFormula>
    </tableColumn>
    <tableColumn id="12" name="Total conso" dataDxfId="29" dataCellStyle="Milliers">
      <calculatedColumnFormula>Tableau3[[#This Row],[Diff HP]]+Tableau3[[#This Row],[Diff HC]]</calculatedColumnFormula>
    </tableColumn>
    <tableColumn id="26" name="Ecart conso_x000a_période équivalente" dataDxfId="28" dataCellStyle="Pourcentage"/>
    <tableColumn id="14" name="Kwh / jour" dataDxfId="27" dataCellStyle="Milliers">
      <calculatedColumnFormula>Tableau3[[#This Row],[Total conso]]/Tableau3[[#This Row],[Diff jour]]</calculatedColumnFormula>
    </tableColumn>
    <tableColumn id="16" name="Projection Kwh 365j" dataDxfId="26" dataCellStyle="Milliers">
      <calculatedColumnFormula>Tableau3[[#This Row],[Kwh / jour]]*365</calculatedColumnFormula>
    </tableColumn>
    <tableColumn id="13" name="Montant / Kwh" dataDxfId="25" dataCellStyle="Milliers">
      <calculatedColumnFormula>Tableau3[[#This Row],[Montant TTC]]/Tableau3[[#This Row],[Total conso]]</calculatedColumnFormula>
    </tableColumn>
    <tableColumn id="28" name="Ecart montant Kwh_x000a_période équivalente" dataDxfId="24" dataCellStyle="Pourcentage"/>
    <tableColumn id="29" name="Ecart montant Kwh_x000a_depuis entrée" dataDxfId="23" dataCellStyle="Pourcentage">
      <calculatedColumnFormula>(Tableau3[[#This Row],[Montant / Kwh]]-$R$3)/$R$3</calculatedColumnFormula>
    </tableColumn>
    <tableColumn id="17" name="Total jour_x000a_depuis entrée" dataDxfId="22" dataCellStyle="Milliers">
      <calculatedColumnFormula>Tableau3[[#This Row],[Date Fin]]-$A$3</calculatedColumnFormula>
    </tableColumn>
    <tableColumn id="18" name="Total HP + HC_x000a_depuis entrée" dataDxfId="21" dataCellStyle="Milliers">
      <calculatedColumnFormula>(Tableau3[[#This Row],[HP Fin]]-$C$3)+(Tableau3[[#This Row],[HC Fin]]-$E$3)</calculatedColumnFormula>
    </tableColumn>
    <tableColumn id="19" name="Kwh / jour_x000a_depuis entrée" dataDxfId="20" dataCellStyle="Milliers">
      <calculatedColumnFormula>Tableau3[[#This Row],[Total HP + HC
depuis entrée]]/Tableau3[[#This Row],[Total jour
depuis entrée]]</calculatedColumnFormula>
    </tableColumn>
    <tableColumn id="20" name="Projection Kwh 365j_x000a_depuis entrée" dataDxfId="19" dataCellStyle="Milliers">
      <calculatedColumnFormula>Tableau3[[#This Row],[Kwh / jour
depuis entrée]]*365</calculatedColumnFormula>
    </tableColumn>
    <tableColumn id="21" name="Montant TTC_x000a_depuis entrée" dataDxfId="18" dataCellStyle="Milliers"/>
    <tableColumn id="25" name="Montant / Kwh_x000a_depuis entrée" dataDxfId="17" dataCellStyle="Milliers">
      <calculatedColumnFormula>Tableau3[[#This Row],[Montant TTC
depuis entrée]]/Tableau3[[#This Row],[Total HP + HC
depuis entrée]]</calculatedColumnFormula>
    </tableColumn>
    <tableColumn id="22" name="Montant TTC / jour_x000a_depuis entrée" dataDxfId="16" dataCellStyle="Milliers">
      <calculatedColumnFormula>Tableau3[[#This Row],[Montant TTC
depuis entrée]]/Tableau3[[#This Row],[Total jour
depuis entrée]]</calculatedColumnFormula>
    </tableColumn>
    <tableColumn id="23" name="Projection € 365j_x000a_depuis entrée" dataDxfId="15" dataCellStyle="Milliers">
      <calculatedColumnFormula>Tableau3[[#This Row],[Montant TTC / jour
depuis entrée]]*365</calculatedColumnFormula>
    </tableColumn>
    <tableColumn id="24" name="Projection € mois_x000a_depuis l'entrée" dataDxfId="14" dataCellStyle="Milliers">
      <calculatedColumnFormula>Tableau3[[#This Row],[Projection € 365j
depuis entrée]]/12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24"/>
  <sheetViews>
    <sheetView showGridLines="0"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1" sqref="D1:F1"/>
    </sheetView>
  </sheetViews>
  <sheetFormatPr baseColWidth="10" defaultRowHeight="12.75" x14ac:dyDescent="0.2"/>
  <cols>
    <col min="1" max="1" width="13.7109375" style="1" bestFit="1" customWidth="1"/>
    <col min="2" max="2" width="12.85546875" style="1" bestFit="1" customWidth="1"/>
    <col min="3" max="4" width="13.85546875" style="1" bestFit="1" customWidth="1"/>
    <col min="5" max="5" width="13.42578125" style="1" bestFit="1" customWidth="1"/>
    <col min="6" max="6" width="11.85546875" style="1" bestFit="1" customWidth="1"/>
    <col min="7" max="7" width="12.5703125" style="1" bestFit="1" customWidth="1"/>
    <col min="8" max="8" width="12.5703125" style="1" customWidth="1"/>
    <col min="9" max="9" width="12.42578125" style="1" bestFit="1" customWidth="1"/>
    <col min="10" max="10" width="16.28515625" style="1" bestFit="1" customWidth="1"/>
    <col min="11" max="11" width="19.28515625" style="1" bestFit="1" customWidth="1"/>
    <col min="12" max="12" width="17.7109375" style="31" bestFit="1" customWidth="1"/>
    <col min="13" max="13" width="16.42578125" style="1" bestFit="1" customWidth="1"/>
    <col min="14" max="14" width="16.28515625" style="1" bestFit="1" customWidth="1"/>
    <col min="15" max="15" width="19.28515625" style="1" bestFit="1" customWidth="1"/>
    <col min="16" max="16" width="17.7109375" style="1" bestFit="1" customWidth="1"/>
    <col min="17" max="17" width="16.42578125" style="1" bestFit="1" customWidth="1"/>
    <col min="18" max="18" width="12.42578125" style="1" bestFit="1" customWidth="1"/>
    <col min="19" max="19" width="16.28515625" style="1" bestFit="1" customWidth="1"/>
    <col min="20" max="20" width="14.140625" style="1" bestFit="1" customWidth="1"/>
    <col min="21" max="21" width="17.7109375" style="31" bestFit="1" customWidth="1"/>
    <col min="22" max="22" width="16.42578125" style="1" bestFit="1" customWidth="1"/>
    <col min="23" max="23" width="16.28515625" style="1" bestFit="1" customWidth="1"/>
    <col min="24" max="24" width="19.28515625" style="1" bestFit="1" customWidth="1"/>
    <col min="25" max="25" width="17.7109375" style="1" bestFit="1" customWidth="1"/>
    <col min="26" max="26" width="16.42578125" style="1" bestFit="1" customWidth="1"/>
    <col min="27" max="27" width="16.7109375" style="1" bestFit="1" customWidth="1"/>
    <col min="28" max="28" width="23.28515625" style="1" bestFit="1" customWidth="1"/>
    <col min="29" max="29" width="21.7109375" style="1" bestFit="1" customWidth="1"/>
    <col min="30" max="30" width="20.28515625" style="1" bestFit="1" customWidth="1"/>
    <col min="31" max="31" width="16.7109375" style="1" bestFit="1" customWidth="1"/>
    <col min="32" max="33" width="16.7109375" style="1" customWidth="1"/>
    <col min="34" max="34" width="23.28515625" style="1" bestFit="1" customWidth="1"/>
    <col min="35" max="35" width="21.7109375" style="1" bestFit="1" customWidth="1"/>
    <col min="36" max="36" width="20.28515625" style="1" bestFit="1" customWidth="1"/>
    <col min="37" max="37" width="14.5703125" style="1" bestFit="1" customWidth="1"/>
    <col min="38" max="38" width="14.5703125" style="1" customWidth="1"/>
    <col min="39" max="39" width="15.28515625" style="1" bestFit="1" customWidth="1"/>
    <col min="40" max="40" width="15.28515625" style="1" customWidth="1"/>
    <col min="41" max="41" width="15" style="1" bestFit="1" customWidth="1"/>
    <col min="42" max="42" width="15" style="1" customWidth="1"/>
    <col min="43" max="43" width="14.5703125" style="1" bestFit="1" customWidth="1"/>
    <col min="44" max="44" width="15" style="1" bestFit="1" customWidth="1"/>
    <col min="45" max="45" width="11.42578125" style="1"/>
    <col min="46" max="46" width="11.42578125" style="31"/>
    <col min="47" max="16384" width="11.42578125" style="1"/>
  </cols>
  <sheetData>
    <row r="1" spans="1:46" ht="15.75" x14ac:dyDescent="0.2">
      <c r="A1" s="1">
        <f ca="1">DAY(TODAY())</f>
        <v>8</v>
      </c>
      <c r="B1" s="1">
        <f ca="1">MONTH(TODAY())-1</f>
        <v>8</v>
      </c>
      <c r="C1" s="1">
        <f ca="1">YEAR(TODAY())</f>
        <v>2024</v>
      </c>
      <c r="D1" s="144" t="str">
        <f ca="1">HYPERLINK(CONCATENATE("https://www.meteociel.fr/temps-reel/obs_villes.php?code2=79049004&amp;jour2=",A1,"&amp;mois2=",B1,"&amp;annee2=",C1,"&amp;affint=1"),"meteociel détaillé")</f>
        <v>meteociel détaillé</v>
      </c>
      <c r="E1" s="145"/>
      <c r="F1" s="145"/>
      <c r="G1" s="144"/>
      <c r="H1" s="145"/>
      <c r="I1" s="145"/>
      <c r="L1" s="1"/>
      <c r="P1" s="14"/>
      <c r="Q1" s="14"/>
      <c r="AB1" s="10">
        <f>CORREL(AB6:AB22,$B6:$B22)</f>
        <v>-0.65512148138832393</v>
      </c>
      <c r="AD1" s="10">
        <f>CORREL(AD6:AD22,$B6:$B22)</f>
        <v>-0.65512148138832416</v>
      </c>
      <c r="AH1" s="10">
        <f>CORREL(AH6:AH22,$B6:$B22)</f>
        <v>-0.15883316693259364</v>
      </c>
      <c r="AJ1" s="10">
        <f>CORREL(AJ6:AJ22,$B6:$B22)</f>
        <v>-0.158833166932592</v>
      </c>
    </row>
    <row r="2" spans="1:46" ht="15.75" x14ac:dyDescent="0.2">
      <c r="D2" s="145" t="s">
        <v>41</v>
      </c>
      <c r="E2" s="145"/>
      <c r="F2" s="145"/>
      <c r="G2" s="1" t="s">
        <v>42</v>
      </c>
      <c r="I2" s="1" t="s">
        <v>43</v>
      </c>
      <c r="L2" s="1"/>
      <c r="N2" s="22">
        <f>N3/AE3</f>
        <v>0.70305986696230593</v>
      </c>
      <c r="P2" s="14"/>
      <c r="Q2" s="14"/>
      <c r="W2" s="22">
        <f>W3/AE3</f>
        <v>0.29694013303769401</v>
      </c>
      <c r="AB2" s="10">
        <f>PEARSON(AB6:AB22,$B6:$B22)</f>
        <v>-0.65512148138832393</v>
      </c>
      <c r="AD2" s="10">
        <f>PEARSON(AD6:AD22,$B6:$B22)</f>
        <v>-0.65512148138832416</v>
      </c>
      <c r="AH2" s="10">
        <f>PEARSON(AH6:AH22,$B6:$B22)</f>
        <v>-0.15883316693259364</v>
      </c>
      <c r="AJ2" s="10">
        <f>PEARSON(AJ6:AJ22,$B6:$B22)</f>
        <v>-0.158833166932592</v>
      </c>
    </row>
    <row r="3" spans="1:46" x14ac:dyDescent="0.2">
      <c r="N3" s="23">
        <f>MAX(Tableau1[Différence HP
Cumul])</f>
        <v>15854</v>
      </c>
      <c r="W3" s="23">
        <f>MAX(Tableau1[Différence HC
Cumul])</f>
        <v>6696</v>
      </c>
      <c r="AE3" s="23">
        <f>MAX(Tableau1[Conso HP + HC
Cumul])</f>
        <v>22550</v>
      </c>
    </row>
    <row r="4" spans="1:46" ht="76.5" x14ac:dyDescent="0.2">
      <c r="A4" s="1" t="s">
        <v>0</v>
      </c>
      <c r="B4" s="4" t="s">
        <v>37</v>
      </c>
      <c r="C4" s="4" t="s">
        <v>18</v>
      </c>
      <c r="D4" s="4" t="s">
        <v>19</v>
      </c>
      <c r="E4" s="4" t="s">
        <v>20</v>
      </c>
      <c r="F4" s="4" t="s">
        <v>21</v>
      </c>
      <c r="G4" s="4" t="s">
        <v>39</v>
      </c>
      <c r="H4" s="4" t="s">
        <v>45</v>
      </c>
      <c r="I4" s="2" t="s">
        <v>1</v>
      </c>
      <c r="J4" s="5" t="s">
        <v>24</v>
      </c>
      <c r="K4" s="5" t="s">
        <v>11</v>
      </c>
      <c r="L4" s="6" t="s">
        <v>3</v>
      </c>
      <c r="M4" s="5" t="s">
        <v>4</v>
      </c>
      <c r="N4" s="2" t="s">
        <v>25</v>
      </c>
      <c r="O4" s="2" t="s">
        <v>22</v>
      </c>
      <c r="P4" s="2" t="s">
        <v>2</v>
      </c>
      <c r="Q4" s="2" t="s">
        <v>5</v>
      </c>
      <c r="R4" s="3" t="s">
        <v>6</v>
      </c>
      <c r="S4" s="7" t="s">
        <v>26</v>
      </c>
      <c r="T4" s="7" t="s">
        <v>12</v>
      </c>
      <c r="U4" s="8" t="s">
        <v>7</v>
      </c>
      <c r="V4" s="7" t="s">
        <v>8</v>
      </c>
      <c r="W4" s="3" t="s">
        <v>27</v>
      </c>
      <c r="X4" s="3" t="s">
        <v>23</v>
      </c>
      <c r="Y4" s="3" t="s">
        <v>9</v>
      </c>
      <c r="Z4" s="3" t="s">
        <v>10</v>
      </c>
      <c r="AA4" s="9" t="s">
        <v>28</v>
      </c>
      <c r="AB4" s="9" t="s">
        <v>13</v>
      </c>
      <c r="AC4" s="9" t="s">
        <v>14</v>
      </c>
      <c r="AD4" s="9" t="s">
        <v>15</v>
      </c>
      <c r="AE4" s="4" t="s">
        <v>29</v>
      </c>
      <c r="AF4" s="18" t="s">
        <v>40</v>
      </c>
      <c r="AG4" s="18" t="s">
        <v>44</v>
      </c>
      <c r="AH4" s="4" t="s">
        <v>30</v>
      </c>
      <c r="AI4" s="4" t="s">
        <v>16</v>
      </c>
      <c r="AJ4" s="4" t="s">
        <v>17</v>
      </c>
      <c r="AK4" s="15" t="s">
        <v>31</v>
      </c>
      <c r="AL4" s="15" t="s">
        <v>35</v>
      </c>
      <c r="AM4" s="17" t="s">
        <v>38</v>
      </c>
      <c r="AN4" s="17" t="s">
        <v>46</v>
      </c>
      <c r="AO4" s="15" t="s">
        <v>32</v>
      </c>
      <c r="AP4" s="15" t="s">
        <v>36</v>
      </c>
      <c r="AQ4" s="16" t="s">
        <v>33</v>
      </c>
      <c r="AR4" s="16" t="s">
        <v>34</v>
      </c>
      <c r="AS4" s="30" t="s">
        <v>51</v>
      </c>
      <c r="AT4" s="54" t="s">
        <v>53</v>
      </c>
    </row>
    <row r="5" spans="1:46" x14ac:dyDescent="0.2">
      <c r="A5" s="11">
        <v>44182.708333333336</v>
      </c>
      <c r="B5" s="12">
        <v>10.3</v>
      </c>
      <c r="C5" s="32" t="str">
        <f>IF(ISERROR(Tableau1[[#This Row],[Date]]-A4),"",Tableau1[[#This Row],[Date]]-A4)</f>
        <v/>
      </c>
      <c r="D5" s="33" t="str">
        <f>IF(ISERROR(Tableau1[[#This Row],[Date]]-A4),"",Tableau1[[#This Row],[Date]]-A4)</f>
        <v/>
      </c>
      <c r="E5" s="32">
        <f>Tableau1[[#This Row],[Date]]-$A$5</f>
        <v>0</v>
      </c>
      <c r="F5" s="33">
        <f>Tableau1[[#This Row],[Date]]-$A$5</f>
        <v>0</v>
      </c>
      <c r="G5" s="33">
        <f>Tableau1[[#This Row],[Diff jour_x000D_
Cumul]]-F$6</f>
        <v>-38.083333333328483</v>
      </c>
      <c r="H5" s="33">
        <f>Tableau1[[#This Row],[Diff jour_x000D_
Cumul]]-F$59</f>
        <v>-60.602777777778101</v>
      </c>
      <c r="I5" s="13">
        <v>179759</v>
      </c>
      <c r="J5" s="1" t="str">
        <f>IF(ISERROR(Tableau1[[#This Row],[Index HP
kWh]]-I4),"",Tableau1[[#This Row],[Index HP
kWh]]-I4)</f>
        <v/>
      </c>
      <c r="K5" s="33" t="str">
        <f>IF(ISERROR(Tableau1[[#This Row],[Différence HP
Instantané]]/(Tableau1[[#This Row],[Diff jour
Instantané]]*24)),"",Tableau1[[#This Row],[Différence HP
Instantané]]/(Tableau1[[#This Row],[Diff jour
Instantané]]*24))</f>
        <v/>
      </c>
      <c r="L5" s="33" t="e">
        <f>Tableau1[[#This Row],[Différence HP
Instantané]]/Tableau1[[#This Row],[Diff jour
Instantané]]</f>
        <v>#VALUE!</v>
      </c>
      <c r="M5" s="33" t="e">
        <f>Tableau1[[#This Row],[Conso HP / jour
Instantané]]*365</f>
        <v>#VALUE!</v>
      </c>
      <c r="N5" s="1">
        <f>Tableau1[[#This Row],[Index HP
kWh]]-$I$5</f>
        <v>0</v>
      </c>
      <c r="O5" s="34" t="e">
        <f>Tableau1[[#This Row],[Différence HP
Cumul]]/(Tableau1[[#This Row],[Diff jour_x000D_
Cumul]]*24)</f>
        <v>#DIV/0!</v>
      </c>
      <c r="P5" s="34" t="e">
        <f>Tableau1[[#This Row],[Différence HP
Cumul]]/Tableau1[[#This Row],[Diff jour_x000D_
Cumul]]</f>
        <v>#DIV/0!</v>
      </c>
      <c r="Q5" s="34" t="e">
        <f>Tableau1[[#This Row],[Conso HP / jour
Cumul]]*365</f>
        <v>#DIV/0!</v>
      </c>
      <c r="R5" s="13">
        <v>119432</v>
      </c>
      <c r="S5" s="31" t="e">
        <f>Tableau1[[#This Row],[Index HC_x000D_
kWh]]-R4</f>
        <v>#VALUE!</v>
      </c>
      <c r="T5" s="35" t="e">
        <f>Tableau1[[#This Row],[Différence_x000D_ HC
Instantané]]/(Tableau1[[#This Row],[Diff jour
Instantané]]*24)</f>
        <v>#VALUE!</v>
      </c>
      <c r="U5" s="35" t="e">
        <f>Tableau1[[#This Row],[Différence_x000D_ HC
Instantané]]/Tableau1[[#This Row],[Diff jour
Instantané]]</f>
        <v>#VALUE!</v>
      </c>
      <c r="V5" s="35" t="e">
        <f>Tableau1[[#This Row],[Conso HC / jour_x000D_
Instantané]]*365</f>
        <v>#VALUE!</v>
      </c>
      <c r="W5" s="31">
        <f>Tableau1[[#This Row],[Index HC_x000D_
kWh]]-$R$5</f>
        <v>0</v>
      </c>
      <c r="X5" s="36" t="e">
        <f>Tableau1[[#This Row],[Différence HC
Cumul]]/(Tableau1[[#This Row],[Diff jour_x000D_
Cumul]]*24)</f>
        <v>#DIV/0!</v>
      </c>
      <c r="Y5" s="36" t="e">
        <f>Tableau1[[#This Row],[Différence HC
Cumul]]/Tableau1[[#This Row],[Diff jour_x000D_
Cumul]]</f>
        <v>#DIV/0!</v>
      </c>
      <c r="Z5" s="36" t="e">
        <f>Tableau1[[#This Row],[Conso HC / jour_x000D_
Cumul]]*365</f>
        <v>#DIV/0!</v>
      </c>
      <c r="AA5" s="31" t="e">
        <f>Tableau1[[#This Row],[Différence HP
Instantané]]+Tableau1[[#This Row],[Différence_x000D_ HC
Instantané]]</f>
        <v>#VALUE!</v>
      </c>
      <c r="AB5" s="34" t="e">
        <f>Tableau1[[#This Row],[Conso HP + HC
Instantané]]/(Tableau1[[#This Row],[Diff jour
Instantané]]*24)</f>
        <v>#VALUE!</v>
      </c>
      <c r="AC5" s="34" t="str">
        <f>IF(ISERROR(Tableau1[[#This Row],[Date]]-A4),"",Tableau1[[#This Row],[Conso HP + HC
Instantané]]/Tableau1[[#This Row],[Diff jour
Instantané]])</f>
        <v/>
      </c>
      <c r="AD5" s="34" t="e">
        <f>Tableau1[[#This Row],[Conso HP + HC / jour_x000D_
Instantané]]*365</f>
        <v>#VALUE!</v>
      </c>
      <c r="AE5" s="31">
        <f>Tableau1[[#This Row],[Différence HP
Cumul]]+Tableau1[[#This Row],[Différence HC
Cumul]]</f>
        <v>0</v>
      </c>
      <c r="AF5" s="33">
        <f>(Tableau1[[#This Row],[Conso HP + HC
Cumul]]-AE$6)/Tableau1[[#This Row],[Diff jour_x000D_
Cumul
depuis le 24/01]]</f>
        <v>67.509846827142084</v>
      </c>
      <c r="AG5" s="33">
        <f>(Tableau1[[#This Row],[Conso HP + HC
Cumul]]-AE$59)/Tableau1[[#This Row],[Diff jour_x000D_
Cumul
depuis
précédente facture
16/02/2021]]</f>
        <v>68.92423339597525</v>
      </c>
      <c r="AH5" s="34" t="e">
        <f>Tableau1[[#This Row],[Conso HP + HC
Cumul]]/(Tableau1[[#This Row],[Diff jour_x000D_
Cumul]]*24)</f>
        <v>#DIV/0!</v>
      </c>
      <c r="AI5" s="34" t="e">
        <f>Tableau1[[#This Row],[Conso HP + HC
Cumul]]/Tableau1[[#This Row],[Diff jour_x000D_
Cumul]]</f>
        <v>#DIV/0!</v>
      </c>
      <c r="AJ5" s="34" t="e">
        <f>Tableau1[[#This Row],[Conso HP + HC / jour_x000D_
Cumul]]*365</f>
        <v>#DIV/0!</v>
      </c>
      <c r="AK5" s="37">
        <f>(Tableau1[[#This Row],[Différence HP
Cumul]]*0.1799)+(Tableau1[[#This Row],[Différence HC
Cumul]]*0.1346)</f>
        <v>0</v>
      </c>
      <c r="AL5" s="37" t="e">
        <f>Tableau1[[#This Row],[Montant
Tarif HP/HC]]/Tableau1[[#This Row],[Diff jour_x000D_
Cumul]]</f>
        <v>#DIV/0!</v>
      </c>
      <c r="AM5" s="37">
        <f>(Tableau1[[#This Row],[Montant
Tarif HP/HC]]-AK$6)/Tableau1[[#This Row],[Diff jour_x000D_
Cumul
depuis le 24/01]]</f>
        <v>11.144654704596606</v>
      </c>
      <c r="AN5" s="37">
        <f>(Tableau1[[#This Row],[Montant
Tarif HP/HC]]-AK$59)/Tableau1[[#This Row],[Diff jour_x000D_
Cumul
depuis
précédente facture
16/02/2021]]</f>
        <v>11.41801457578946</v>
      </c>
      <c r="AO5" s="37">
        <f>Tableau1[[#This Row],[Conso HP + HC
Cumul]]*0.1599</f>
        <v>0</v>
      </c>
      <c r="AP5" s="37" t="e">
        <f>Tableau1[[#This Row],[Montant
Tarif normal]]/Tableau1[[#This Row],[Diff jour_x000D_
Cumul]]</f>
        <v>#DIV/0!</v>
      </c>
      <c r="AQ5" s="37" t="e">
        <f>(Tableau1[[#This Row],[Conso HP / an
Cumul]]*0.1799)+(Tableau1[[#This Row],[Conso HC / an_x000D_
Cumul]]*0.1346)</f>
        <v>#DIV/0!</v>
      </c>
      <c r="AR5" s="37" t="e">
        <f>Tableau1[[#This Row],[Conso HP + HC / an_x000D_
Cumul]]*0.1599</f>
        <v>#DIV/0!</v>
      </c>
      <c r="AS5" s="38">
        <f>MONTH(Tableau1[[#This Row],[Date]])</f>
        <v>12</v>
      </c>
      <c r="AT5" s="38">
        <f>YEAR(Tableau1[[#This Row],[Date]])</f>
        <v>2020</v>
      </c>
    </row>
    <row r="6" spans="1:46" x14ac:dyDescent="0.2">
      <c r="A6" s="11">
        <v>44220.791666666664</v>
      </c>
      <c r="B6" s="12">
        <v>4.7</v>
      </c>
      <c r="C6" s="32">
        <f>IF(ISERROR(Tableau1[[#This Row],[Date]]-A5),"",Tableau1[[#This Row],[Date]]-A5)</f>
        <v>38.083333333328483</v>
      </c>
      <c r="D6" s="33">
        <f>IF(ISERROR(Tableau1[[#This Row],[Date]]-A5),"",Tableau1[[#This Row],[Date]]-A5)</f>
        <v>38.083333333328483</v>
      </c>
      <c r="E6" s="32">
        <f>Tableau1[[#This Row],[Date]]-$A$5</f>
        <v>38.083333333328483</v>
      </c>
      <c r="F6" s="33">
        <f>Tableau1[[#This Row],[Date]]-$A$5</f>
        <v>38.083333333328483</v>
      </c>
      <c r="G6" s="33">
        <f>Tableau1[[#This Row],[Diff jour_x000D_
Cumul]]-F$6</f>
        <v>0</v>
      </c>
      <c r="H6" s="33">
        <f>Tableau1[[#This Row],[Diff jour_x000D_
Cumul]]-F$59</f>
        <v>-22.519444444449618</v>
      </c>
      <c r="I6" s="13">
        <v>181489</v>
      </c>
      <c r="J6" s="1">
        <f>IF(ISERROR(Tableau1[[#This Row],[Index HP
kWh]]-I5),"",Tableau1[[#This Row],[Index HP
kWh]]-I5)</f>
        <v>1730</v>
      </c>
      <c r="K6" s="33">
        <f>IF(ISERROR(Tableau1[[#This Row],[Différence HP
Instantané]]/(Tableau1[[#This Row],[Diff jour
Instantané]]*24)),"",Tableau1[[#This Row],[Différence HP
Instantané]]/(Tableau1[[#This Row],[Diff jour
Instantané]]*24))</f>
        <v>1.8927789934356896</v>
      </c>
      <c r="L6" s="33">
        <f>Tableau1[[#This Row],[Différence HP
Instantané]]/Tableau1[[#This Row],[Diff jour
Instantané]]</f>
        <v>45.426695842456553</v>
      </c>
      <c r="M6" s="33">
        <f>Tableau1[[#This Row],[Conso HP / jour
Instantané]]*365</f>
        <v>16580.743982496642</v>
      </c>
      <c r="N6" s="1">
        <f>Tableau1[[#This Row],[Index HP
kWh]]-$I$5</f>
        <v>1730</v>
      </c>
      <c r="O6" s="34">
        <f>Tableau1[[#This Row],[Différence HP
Cumul]]/(Tableau1[[#This Row],[Diff jour_x000D_
Cumul]]*24)</f>
        <v>1.8927789934356896</v>
      </c>
      <c r="P6" s="34">
        <f>Tableau1[[#This Row],[Différence HP
Cumul]]/Tableau1[[#This Row],[Diff jour_x000D_
Cumul]]</f>
        <v>45.426695842456553</v>
      </c>
      <c r="Q6" s="34">
        <f>Tableau1[[#This Row],[Conso HP / jour
Cumul]]*365</f>
        <v>16580.743982496642</v>
      </c>
      <c r="R6" s="13">
        <v>120273</v>
      </c>
      <c r="S6" s="31">
        <f>Tableau1[[#This Row],[Index HC_x000D_
kWh]]-R5</f>
        <v>841</v>
      </c>
      <c r="T6" s="35">
        <f>Tableau1[[#This Row],[Différence_x000D_ HC
Instantané]]/(Tableau1[[#This Row],[Diff jour
Instantané]]*24)</f>
        <v>0.92013129102856361</v>
      </c>
      <c r="U6" s="35">
        <f>Tableau1[[#This Row],[Différence_x000D_ HC
Instantané]]/Tableau1[[#This Row],[Diff jour
Instantané]]</f>
        <v>22.083150984685528</v>
      </c>
      <c r="V6" s="35">
        <f>Tableau1[[#This Row],[Conso HC / jour_x000D_
Instantané]]*365</f>
        <v>8060.3501094102176</v>
      </c>
      <c r="W6" s="31">
        <f>Tableau1[[#This Row],[Index HC_x000D_
kWh]]-$R$5</f>
        <v>841</v>
      </c>
      <c r="X6" s="36">
        <f>Tableau1[[#This Row],[Différence HC
Cumul]]/(Tableau1[[#This Row],[Diff jour_x000D_
Cumul]]*24)</f>
        <v>0.92013129102856361</v>
      </c>
      <c r="Y6" s="36">
        <f>Tableau1[[#This Row],[Différence HC
Cumul]]/Tableau1[[#This Row],[Diff jour_x000D_
Cumul]]</f>
        <v>22.083150984685528</v>
      </c>
      <c r="Z6" s="36">
        <f>Tableau1[[#This Row],[Conso HC / jour_x000D_
Cumul]]*365</f>
        <v>8060.3501094102176</v>
      </c>
      <c r="AA6" s="31">
        <f>Tableau1[[#This Row],[Différence HP
Instantané]]+Tableau1[[#This Row],[Différence_x000D_ HC
Instantané]]</f>
        <v>2571</v>
      </c>
      <c r="AB6" s="34">
        <f>Tableau1[[#This Row],[Conso HP + HC
Instantané]]/(Tableau1[[#This Row],[Diff jour
Instantané]]*24)</f>
        <v>2.8129102844642531</v>
      </c>
      <c r="AC6" s="34">
        <f>IF(ISERROR(Tableau1[[#This Row],[Date]]-A5),"",Tableau1[[#This Row],[Conso HP + HC
Instantané]]/Tableau1[[#This Row],[Diff jour
Instantané]])</f>
        <v>67.509846827142084</v>
      </c>
      <c r="AD6" s="34">
        <f>Tableau1[[#This Row],[Conso HP + HC / jour_x000D_
Instantané]]*365</f>
        <v>24641.09409190686</v>
      </c>
      <c r="AE6" s="31">
        <f>Tableau1[[#This Row],[Différence HP
Cumul]]+Tableau1[[#This Row],[Différence HC
Cumul]]</f>
        <v>2571</v>
      </c>
      <c r="AF6" s="33" t="e">
        <f>(Tableau1[[#This Row],[Conso HP + HC
Cumul]]-AE$6)/Tableau1[[#This Row],[Diff jour_x000D_
Cumul
depuis le 24/01]]</f>
        <v>#DIV/0!</v>
      </c>
      <c r="AG6" s="33">
        <f>(Tableau1[[#This Row],[Conso HP + HC
Cumul]]-AE$59)/Tableau1[[#This Row],[Diff jour_x000D_
Cumul
depuis
précédente facture
16/02/2021]]</f>
        <v>71.316146540010749</v>
      </c>
      <c r="AH6" s="34">
        <f>Tableau1[[#This Row],[Conso HP + HC
Cumul]]/(Tableau1[[#This Row],[Diff jour_x000D_
Cumul]]*24)</f>
        <v>2.8129102844642531</v>
      </c>
      <c r="AI6" s="34">
        <f>Tableau1[[#This Row],[Conso HP + HC
Cumul]]/Tableau1[[#This Row],[Diff jour_x000D_
Cumul]]</f>
        <v>67.509846827142084</v>
      </c>
      <c r="AJ6" s="34">
        <f>Tableau1[[#This Row],[Conso HP + HC / jour_x000D_
Cumul]]*365</f>
        <v>24641.09409190686</v>
      </c>
      <c r="AK6" s="37">
        <f>(Tableau1[[#This Row],[Différence HP
Cumul]]*0.1799)+(Tableau1[[#This Row],[Différence HC
Cumul]]*0.1346)</f>
        <v>424.42560000000003</v>
      </c>
      <c r="AL6" s="37">
        <f>Tableau1[[#This Row],[Montant
Tarif HP/HC]]/Tableau1[[#This Row],[Diff jour_x000D_
Cumul]]</f>
        <v>11.144654704596606</v>
      </c>
      <c r="AM6" s="37" t="e">
        <f>(Tableau1[[#This Row],[Montant
Tarif HP/HC]]-AK$6)/Tableau1[[#This Row],[Diff jour_x000D_
Cumul
depuis le 24/01]]</f>
        <v>#DIV/0!</v>
      </c>
      <c r="AN6" s="37">
        <f>(Tableau1[[#This Row],[Montant
Tarif HP/HC]]-AK$59)/Tableau1[[#This Row],[Diff jour_x000D_
Cumul
depuis
précédente facture
16/02/2021]]</f>
        <v>11.880301961265308</v>
      </c>
      <c r="AO6" s="37">
        <f>Tableau1[[#This Row],[Conso HP + HC
Cumul]]*0.1599</f>
        <v>411.10289999999998</v>
      </c>
      <c r="AP6" s="37">
        <f>Tableau1[[#This Row],[Montant
Tarif normal]]/Tableau1[[#This Row],[Diff jour_x000D_
Cumul]]</f>
        <v>10.794824507660017</v>
      </c>
      <c r="AQ6" s="37">
        <f>(Tableau1[[#This Row],[Conso HP / an
Cumul]]*0.1799)+(Tableau1[[#This Row],[Conso HC / an_x000D_
Cumul]]*0.1346)</f>
        <v>4067.7989671777614</v>
      </c>
      <c r="AR6" s="37">
        <f>Tableau1[[#This Row],[Conso HP + HC / an_x000D_
Cumul]]*0.1599</f>
        <v>3940.1109452959067</v>
      </c>
      <c r="AS6" s="38">
        <f>MONTH(Tableau1[[#This Row],[Date]])</f>
        <v>1</v>
      </c>
      <c r="AT6" s="38">
        <f>YEAR(Tableau1[[#This Row],[Date]])</f>
        <v>2021</v>
      </c>
    </row>
    <row r="7" spans="1:46" x14ac:dyDescent="0.2">
      <c r="A7" s="11">
        <v>44221.349305555559</v>
      </c>
      <c r="B7" s="12">
        <v>1.3</v>
      </c>
      <c r="C7" s="32">
        <f>IF(ISERROR(Tableau1[[#This Row],[Date]]-A6),"",Tableau1[[#This Row],[Date]]-A6)</f>
        <v>0.55763888889487134</v>
      </c>
      <c r="D7" s="33">
        <f>IF(ISERROR(Tableau1[[#This Row],[Date]]-A6),"",Tableau1[[#This Row],[Date]]-A6)</f>
        <v>0.55763888889487134</v>
      </c>
      <c r="E7" s="32">
        <f>Tableau1[[#This Row],[Date]]-$A$5</f>
        <v>38.640972222223354</v>
      </c>
      <c r="F7" s="33">
        <f>Tableau1[[#This Row],[Date]]-$A$5</f>
        <v>38.640972222223354</v>
      </c>
      <c r="G7" s="33">
        <f>Tableau1[[#This Row],[Diff jour_x000D_
Cumul]]-F$6</f>
        <v>0.55763888889487134</v>
      </c>
      <c r="H7" s="33">
        <f>Tableau1[[#This Row],[Diff jour_x000D_
Cumul]]-F$59</f>
        <v>-21.961805555554747</v>
      </c>
      <c r="I7" s="13">
        <v>181504</v>
      </c>
      <c r="J7" s="31">
        <f>IF(ISERROR(Tableau1[[#This Row],[Index HP
kWh]]-I6),"",Tableau1[[#This Row],[Index HP
kWh]]-I6)</f>
        <v>15</v>
      </c>
      <c r="K7" s="33">
        <f>IF(ISERROR(Tableau1[[#This Row],[Différence HP
Instantané]]/(Tableau1[[#This Row],[Diff jour
Instantané]]*24)),"",Tableau1[[#This Row],[Différence HP
Instantané]]/(Tableau1[[#This Row],[Diff jour
Instantané]]*24))</f>
        <v>1.120797011195946</v>
      </c>
      <c r="L7" s="33">
        <f>Tableau1[[#This Row],[Différence HP
Instantané]]/Tableau1[[#This Row],[Diff jour
Instantané]]</f>
        <v>26.899128268702704</v>
      </c>
      <c r="M7" s="33">
        <f>Tableau1[[#This Row],[Conso HP / jour
Instantané]]*365</f>
        <v>9818.1818180764876</v>
      </c>
      <c r="N7" s="31">
        <f>Tableau1[[#This Row],[Index HP
kWh]]-$I$5</f>
        <v>1745</v>
      </c>
      <c r="O7" s="34">
        <f>Tableau1[[#This Row],[Différence HP
Cumul]]/(Tableau1[[#This Row],[Diff jour_x000D_
Cumul]]*24)</f>
        <v>1.881638301313677</v>
      </c>
      <c r="P7" s="34">
        <f>Tableau1[[#This Row],[Différence HP
Cumul]]/Tableau1[[#This Row],[Diff jour_x000D_
Cumul]]</f>
        <v>45.159319231528251</v>
      </c>
      <c r="Q7" s="34">
        <f>Tableau1[[#This Row],[Conso HP / jour
Cumul]]*365</f>
        <v>16483.15151950781</v>
      </c>
      <c r="R7" s="13">
        <v>120295</v>
      </c>
      <c r="S7" s="31">
        <f>Tableau1[[#This Row],[Index HC_x000D_
kWh]]-R6</f>
        <v>22</v>
      </c>
      <c r="T7" s="35">
        <f>Tableau1[[#This Row],[Différence_x000D_ HC
Instantané]]/(Tableau1[[#This Row],[Diff jour
Instantané]]*24)</f>
        <v>1.6438356164207208</v>
      </c>
      <c r="U7" s="35">
        <f>Tableau1[[#This Row],[Différence_x000D_ HC
Instantané]]/Tableau1[[#This Row],[Diff jour
Instantané]]</f>
        <v>39.4520547940973</v>
      </c>
      <c r="V7" s="35">
        <f>Tableau1[[#This Row],[Conso HC / jour_x000D_
Instantané]]*365</f>
        <v>14399.999999845515</v>
      </c>
      <c r="W7" s="31">
        <f>Tableau1[[#This Row],[Index HC_x000D_
kWh]]-$R$5</f>
        <v>863</v>
      </c>
      <c r="X7" s="36">
        <f>Tableau1[[#This Row],[Différence HC
Cumul]]/(Tableau1[[#This Row],[Diff jour_x000D_
Cumul]]*24)</f>
        <v>0.93057527451788158</v>
      </c>
      <c r="Y7" s="36">
        <f>Tableau1[[#This Row],[Différence HC
Cumul]]/Tableau1[[#This Row],[Diff jour_x000D_
Cumul]]</f>
        <v>22.333806588429159</v>
      </c>
      <c r="Z7" s="36">
        <f>Tableau1[[#This Row],[Conso HC / jour_x000D_
Cumul]]*365</f>
        <v>8151.8394047766433</v>
      </c>
      <c r="AA7" s="31">
        <f>Tableau1[[#This Row],[Différence HP
Instantané]]+Tableau1[[#This Row],[Différence_x000D_ HC
Instantané]]</f>
        <v>37</v>
      </c>
      <c r="AB7" s="34">
        <f>Tableau1[[#This Row],[Conso HP + HC
Instantané]]/(Tableau1[[#This Row],[Diff jour
Instantané]]*24)</f>
        <v>2.7646326276166668</v>
      </c>
      <c r="AC7" s="34">
        <f>IF(ISERROR(Tableau1[[#This Row],[Date]]-A6),"",Tableau1[[#This Row],[Conso HP + HC
Instantané]]/Tableau1[[#This Row],[Diff jour
Instantané]])</f>
        <v>66.351183062800004</v>
      </c>
      <c r="AD7" s="34">
        <f>Tableau1[[#This Row],[Conso HP + HC / jour_x000D_
Instantané]]*365</f>
        <v>24218.181817922003</v>
      </c>
      <c r="AE7" s="31">
        <f>Tableau1[[#This Row],[Différence HP
Cumul]]+Tableau1[[#This Row],[Différence HC
Cumul]]</f>
        <v>2608</v>
      </c>
      <c r="AF7" s="33">
        <f>(Tableau1[[#This Row],[Conso HP + HC
Cumul]]-AE$6)/Tableau1[[#This Row],[Diff jour_x000D_
Cumul
depuis le 24/01]]</f>
        <v>66.351183062800004</v>
      </c>
      <c r="AG7" s="33">
        <f>(Tableau1[[#This Row],[Conso HP + HC
Cumul]]-AE$59)/Tableau1[[#This Row],[Diff jour_x000D_
Cumul
depuis
précédente facture
16/02/2021]]</f>
        <v>71.442213438737809</v>
      </c>
      <c r="AH7" s="34">
        <f>Tableau1[[#This Row],[Conso HP + HC
Cumul]]/(Tableau1[[#This Row],[Diff jour_x000D_
Cumul]]*24)</f>
        <v>2.8122135758315587</v>
      </c>
      <c r="AI7" s="34">
        <f>Tableau1[[#This Row],[Conso HP + HC
Cumul]]/Tableau1[[#This Row],[Diff jour_x000D_
Cumul]]</f>
        <v>67.493125819957413</v>
      </c>
      <c r="AJ7" s="34">
        <f>Tableau1[[#This Row],[Conso HP + HC / jour_x000D_
Cumul]]*365</f>
        <v>24634.990924284455</v>
      </c>
      <c r="AK7" s="37">
        <f>(Tableau1[[#This Row],[Différence HP
Cumul]]*0.1799)+(Tableau1[[#This Row],[Différence HC
Cumul]]*0.1346)</f>
        <v>430.08530000000002</v>
      </c>
      <c r="AL7" s="37">
        <f>Tableau1[[#This Row],[Montant
Tarif HP/HC]]/Tableau1[[#This Row],[Diff jour_x000D_
Cumul]]</f>
        <v>11.130291896554498</v>
      </c>
      <c r="AM7" s="37">
        <f>(Tableau1[[#This Row],[Montant
Tarif HP/HC]]-AK$6)/Tableau1[[#This Row],[Diff jour_x000D_
Cumul
depuis le 24/01]]</f>
        <v>10.149399750825088</v>
      </c>
      <c r="AN7" s="37">
        <f>(Tableau1[[#This Row],[Montant
Tarif HP/HC]]-AK$59)/Tableau1[[#This Row],[Diff jour_x000D_
Cumul
depuis
précédente facture
16/02/2021]]</f>
        <v>11.924251826087394</v>
      </c>
      <c r="AO7" s="37">
        <f>Tableau1[[#This Row],[Conso HP + HC
Cumul]]*0.1599</f>
        <v>417.01919999999996</v>
      </c>
      <c r="AP7" s="37">
        <f>Tableau1[[#This Row],[Montant
Tarif normal]]/Tableau1[[#This Row],[Diff jour_x000D_
Cumul]]</f>
        <v>10.792150818611189</v>
      </c>
      <c r="AQ7" s="37">
        <f>(Tableau1[[#This Row],[Conso HP / an
Cumul]]*0.1799)+(Tableau1[[#This Row],[Conso HC / an_x000D_
Cumul]]*0.1346)</f>
        <v>4062.5565422423911</v>
      </c>
      <c r="AR7" s="37">
        <f>Tableau1[[#This Row],[Conso HP + HC / an_x000D_
Cumul]]*0.1599</f>
        <v>3939.135048793084</v>
      </c>
      <c r="AS7" s="38">
        <f>MONTH(Tableau1[[#This Row],[Date]])</f>
        <v>1</v>
      </c>
      <c r="AT7" s="38">
        <f>YEAR(Tableau1[[#This Row],[Date]])</f>
        <v>2021</v>
      </c>
    </row>
    <row r="8" spans="1:46" x14ac:dyDescent="0.2">
      <c r="A8" s="11">
        <v>44221.555555555555</v>
      </c>
      <c r="B8" s="12">
        <v>4.3</v>
      </c>
      <c r="C8" s="32">
        <f>IF(ISERROR(Tableau1[[#This Row],[Date]]-A7),"",Tableau1[[#This Row],[Date]]-A7)</f>
        <v>0.20624999999563443</v>
      </c>
      <c r="D8" s="33">
        <f>IF(ISERROR(Tableau1[[#This Row],[Date]]-A7),"",Tableau1[[#This Row],[Date]]-A7)</f>
        <v>0.20624999999563443</v>
      </c>
      <c r="E8" s="32">
        <f>Tableau1[[#This Row],[Date]]-$A$5</f>
        <v>38.847222222218988</v>
      </c>
      <c r="F8" s="33">
        <f>Tableau1[[#This Row],[Date]]-$A$5</f>
        <v>38.847222222218988</v>
      </c>
      <c r="G8" s="33">
        <f>Tableau1[[#This Row],[Diff jour_x000D_
Cumul]]-F$6</f>
        <v>0.76388888889050577</v>
      </c>
      <c r="H8" s="33">
        <f>Tableau1[[#This Row],[Diff jour_x000D_
Cumul]]-F$59</f>
        <v>-21.755555555559113</v>
      </c>
      <c r="I8" s="13">
        <v>181519</v>
      </c>
      <c r="J8" s="31">
        <f>IF(ISERROR(Tableau1[[#This Row],[Index HP
kWh]]-I7),"",Tableau1[[#This Row],[Index HP
kWh]]-I7)</f>
        <v>15</v>
      </c>
      <c r="K8" s="33">
        <f>IF(ISERROR(Tableau1[[#This Row],[Différence HP
Instantané]]/(Tableau1[[#This Row],[Diff jour
Instantané]]*24)),"",Tableau1[[#This Row],[Différence HP
Instantané]]/(Tableau1[[#This Row],[Diff jour
Instantané]]*24))</f>
        <v>3.030303030367171</v>
      </c>
      <c r="L8" s="33">
        <f>Tableau1[[#This Row],[Différence HP
Instantané]]/Tableau1[[#This Row],[Diff jour
Instantané]]</f>
        <v>72.72727272881211</v>
      </c>
      <c r="M8" s="33">
        <f>Tableau1[[#This Row],[Conso HP / jour
Instantané]]*365</f>
        <v>26545.454546016419</v>
      </c>
      <c r="N8" s="31">
        <f>Tableau1[[#This Row],[Index HP
kWh]]-$I$5</f>
        <v>1760</v>
      </c>
      <c r="O8" s="34">
        <f>Tableau1[[#This Row],[Différence HP
Cumul]]/(Tableau1[[#This Row],[Diff jour_x000D_
Cumul]]*24)</f>
        <v>1.887736860922574</v>
      </c>
      <c r="P8" s="34">
        <f>Tableau1[[#This Row],[Différence HP
Cumul]]/Tableau1[[#This Row],[Diff jour_x000D_
Cumul]]</f>
        <v>45.305684662141779</v>
      </c>
      <c r="Q8" s="34">
        <f>Tableau1[[#This Row],[Conso HP / jour
Cumul]]*365</f>
        <v>16536.57490168175</v>
      </c>
      <c r="R8" s="13">
        <v>120295</v>
      </c>
      <c r="S8" s="31">
        <f>Tableau1[[#This Row],[Index HC_x000D_
kWh]]-R7</f>
        <v>0</v>
      </c>
      <c r="T8" s="35">
        <f>Tableau1[[#This Row],[Différence_x000D_ HC
Instantané]]/(Tableau1[[#This Row],[Diff jour
Instantané]]*24)</f>
        <v>0</v>
      </c>
      <c r="U8" s="35">
        <f>Tableau1[[#This Row],[Différence_x000D_ HC
Instantané]]/Tableau1[[#This Row],[Diff jour
Instantané]]</f>
        <v>0</v>
      </c>
      <c r="V8" s="35">
        <f>Tableau1[[#This Row],[Conso HC / jour_x000D_
Instantané]]*365</f>
        <v>0</v>
      </c>
      <c r="W8" s="31">
        <f>Tableau1[[#This Row],[Index HC_x000D_
kWh]]-$R$5</f>
        <v>863</v>
      </c>
      <c r="X8" s="36">
        <f>Tableau1[[#This Row],[Différence HC
Cumul]]/(Tableau1[[#This Row],[Diff jour_x000D_
Cumul]]*24)</f>
        <v>0.92563460850919399</v>
      </c>
      <c r="Y8" s="36">
        <f>Tableau1[[#This Row],[Différence HC
Cumul]]/Tableau1[[#This Row],[Diff jour_x000D_
Cumul]]</f>
        <v>22.215230604220654</v>
      </c>
      <c r="Z8" s="36">
        <f>Tableau1[[#This Row],[Conso HC / jour_x000D_
Cumul]]*365</f>
        <v>8108.5591705405386</v>
      </c>
      <c r="AA8" s="31">
        <f>Tableau1[[#This Row],[Différence HP
Instantané]]+Tableau1[[#This Row],[Différence_x000D_ HC
Instantané]]</f>
        <v>15</v>
      </c>
      <c r="AB8" s="34">
        <f>Tableau1[[#This Row],[Conso HP + HC
Instantané]]/(Tableau1[[#This Row],[Diff jour
Instantané]]*24)</f>
        <v>3.030303030367171</v>
      </c>
      <c r="AC8" s="34">
        <f>IF(ISERROR(Tableau1[[#This Row],[Date]]-A7),"",Tableau1[[#This Row],[Conso HP + HC
Instantané]]/Tableau1[[#This Row],[Diff jour
Instantané]])</f>
        <v>72.72727272881211</v>
      </c>
      <c r="AD8" s="34">
        <f>Tableau1[[#This Row],[Conso HP + HC / jour_x000D_
Instantané]]*365</f>
        <v>26545.454546016419</v>
      </c>
      <c r="AE8" s="31">
        <f>Tableau1[[#This Row],[Différence HP
Cumul]]+Tableau1[[#This Row],[Différence HC
Cumul]]</f>
        <v>2623</v>
      </c>
      <c r="AF8" s="33">
        <f>(Tableau1[[#This Row],[Conso HP + HC
Cumul]]-AE$6)/Tableau1[[#This Row],[Diff jour_x000D_
Cumul
depuis le 24/01]]</f>
        <v>68.072727272583194</v>
      </c>
      <c r="AG8" s="33">
        <f>(Tableau1[[#This Row],[Conso HP + HC
Cumul]]-AE$59)/Tableau1[[#This Row],[Diff jour_x000D_
Cumul
depuis
précédente facture
16/02/2021]]</f>
        <v>71.430030643502107</v>
      </c>
      <c r="AH8" s="34">
        <f>Tableau1[[#This Row],[Conso HP + HC
Cumul]]/(Tableau1[[#This Row],[Diff jour_x000D_
Cumul]]*24)</f>
        <v>2.8133714694317682</v>
      </c>
      <c r="AI8" s="34">
        <f>Tableau1[[#This Row],[Conso HP + HC
Cumul]]/Tableau1[[#This Row],[Diff jour_x000D_
Cumul]]</f>
        <v>67.520915266362437</v>
      </c>
      <c r="AJ8" s="34">
        <f>Tableau1[[#This Row],[Conso HP + HC / jour_x000D_
Cumul]]*365</f>
        <v>24645.134072222289</v>
      </c>
      <c r="AK8" s="37">
        <f>(Tableau1[[#This Row],[Différence HP
Cumul]]*0.1799)+(Tableau1[[#This Row],[Différence HC
Cumul]]*0.1346)</f>
        <v>432.78380000000004</v>
      </c>
      <c r="AL8" s="37">
        <f>Tableau1[[#This Row],[Montant
Tarif HP/HC]]/Tableau1[[#This Row],[Diff jour_x000D_
Cumul]]</f>
        <v>11.140662710047406</v>
      </c>
      <c r="AM8" s="37">
        <f>(Tableau1[[#This Row],[Montant
Tarif HP/HC]]-AK$6)/Tableau1[[#This Row],[Diff jour_x000D_
Cumul
depuis le 24/01]]</f>
        <v>10.941643636340491</v>
      </c>
      <c r="AN8" s="37">
        <f>(Tableau1[[#This Row],[Montant
Tarif HP/HC]]-AK$59)/Tableau1[[#This Row],[Diff jour_x000D_
Cumul
depuis
précédente facture
16/02/2021]]</f>
        <v>11.913260469865261</v>
      </c>
      <c r="AO8" s="37">
        <f>Tableau1[[#This Row],[Conso HP + HC
Cumul]]*0.1599</f>
        <v>419.41769999999997</v>
      </c>
      <c r="AP8" s="37">
        <f>Tableau1[[#This Row],[Montant
Tarif normal]]/Tableau1[[#This Row],[Diff jour_x000D_
Cumul]]</f>
        <v>10.796594351091352</v>
      </c>
      <c r="AQ8" s="37">
        <f>(Tableau1[[#This Row],[Conso HP / an
Cumul]]*0.1799)+(Tableau1[[#This Row],[Conso HC / an_x000D_
Cumul]]*0.1346)</f>
        <v>4066.3418891673036</v>
      </c>
      <c r="AR8" s="37">
        <f>Tableau1[[#This Row],[Conso HP + HC / an_x000D_
Cumul]]*0.1599</f>
        <v>3940.7569381483436</v>
      </c>
      <c r="AS8" s="38">
        <f>MONTH(Tableau1[[#This Row],[Date]])</f>
        <v>1</v>
      </c>
      <c r="AT8" s="38">
        <f>YEAR(Tableau1[[#This Row],[Date]])</f>
        <v>2021</v>
      </c>
    </row>
    <row r="9" spans="1:46" x14ac:dyDescent="0.2">
      <c r="A9" s="11">
        <v>44221.805555555555</v>
      </c>
      <c r="B9" s="12">
        <v>0.6</v>
      </c>
      <c r="C9" s="32">
        <f>IF(ISERROR(Tableau1[[#This Row],[Date]]-A8),"",Tableau1[[#This Row],[Date]]-A8)</f>
        <v>0.25</v>
      </c>
      <c r="D9" s="33">
        <f>IF(ISERROR(Tableau1[[#This Row],[Date]]-A8),"",Tableau1[[#This Row],[Date]]-A8)</f>
        <v>0.25</v>
      </c>
      <c r="E9" s="32">
        <f>Tableau1[[#This Row],[Date]]-$A$5</f>
        <v>39.097222222218988</v>
      </c>
      <c r="F9" s="33">
        <f>Tableau1[[#This Row],[Date]]-$A$5</f>
        <v>39.097222222218988</v>
      </c>
      <c r="G9" s="33">
        <f>Tableau1[[#This Row],[Diff jour_x000D_
Cumul]]-F$6</f>
        <v>1.0138888888905058</v>
      </c>
      <c r="H9" s="33">
        <f>Tableau1[[#This Row],[Diff jour_x000D_
Cumul]]-F$59</f>
        <v>-21.505555555559113</v>
      </c>
      <c r="I9" s="13">
        <v>181535</v>
      </c>
      <c r="J9" s="31">
        <f>IF(ISERROR(Tableau1[[#This Row],[Index HP
kWh]]-I8),"",Tableau1[[#This Row],[Index HP
kWh]]-I8)</f>
        <v>16</v>
      </c>
      <c r="K9" s="33">
        <f>IF(ISERROR(Tableau1[[#This Row],[Différence HP
Instantané]]/(Tableau1[[#This Row],[Diff jour
Instantané]]*24)),"",Tableau1[[#This Row],[Différence HP
Instantané]]/(Tableau1[[#This Row],[Diff jour
Instantané]]*24))</f>
        <v>2.6666666666666665</v>
      </c>
      <c r="L9" s="33">
        <f>Tableau1[[#This Row],[Différence HP
Instantané]]/Tableau1[[#This Row],[Diff jour
Instantané]]</f>
        <v>64</v>
      </c>
      <c r="M9" s="33">
        <f>Tableau1[[#This Row],[Conso HP / jour
Instantané]]*365</f>
        <v>23360</v>
      </c>
      <c r="N9" s="31">
        <f>Tableau1[[#This Row],[Index HP
kWh]]-$I$5</f>
        <v>1776</v>
      </c>
      <c r="O9" s="34">
        <f>Tableau1[[#This Row],[Différence HP
Cumul]]/(Tableau1[[#This Row],[Diff jour_x000D_
Cumul]]*24)</f>
        <v>1.892717584369606</v>
      </c>
      <c r="P9" s="34">
        <f>Tableau1[[#This Row],[Différence HP
Cumul]]/Tableau1[[#This Row],[Diff jour_x000D_
Cumul]]</f>
        <v>45.425222024870543</v>
      </c>
      <c r="Q9" s="34">
        <f>Tableau1[[#This Row],[Conso HP / jour
Cumul]]*365</f>
        <v>16580.206039077748</v>
      </c>
      <c r="R9" s="13">
        <v>120295</v>
      </c>
      <c r="S9" s="31">
        <f>Tableau1[[#This Row],[Index HC_x000D_
kWh]]-R8</f>
        <v>0</v>
      </c>
      <c r="T9" s="35">
        <f>Tableau1[[#This Row],[Différence_x000D_ HC
Instantané]]/(Tableau1[[#This Row],[Diff jour
Instantané]]*24)</f>
        <v>0</v>
      </c>
      <c r="U9" s="35">
        <f>Tableau1[[#This Row],[Différence_x000D_ HC
Instantané]]/Tableau1[[#This Row],[Diff jour
Instantané]]</f>
        <v>0</v>
      </c>
      <c r="V9" s="35">
        <f>Tableau1[[#This Row],[Conso HC / jour_x000D_
Instantané]]*365</f>
        <v>0</v>
      </c>
      <c r="W9" s="31">
        <f>Tableau1[[#This Row],[Index HC_x000D_
kWh]]-$R$5</f>
        <v>863</v>
      </c>
      <c r="X9" s="36">
        <f>Tableau1[[#This Row],[Différence HC
Cumul]]/(Tableau1[[#This Row],[Diff jour_x000D_
Cumul]]*24)</f>
        <v>0.91971580817059118</v>
      </c>
      <c r="Y9" s="36">
        <f>Tableau1[[#This Row],[Différence HC
Cumul]]/Tableau1[[#This Row],[Diff jour_x000D_
Cumul]]</f>
        <v>22.073179396094186</v>
      </c>
      <c r="Z9" s="36">
        <f>Tableau1[[#This Row],[Conso HC / jour_x000D_
Cumul]]*365</f>
        <v>8056.710479574378</v>
      </c>
      <c r="AA9" s="31">
        <f>Tableau1[[#This Row],[Différence HP
Instantané]]+Tableau1[[#This Row],[Différence_x000D_ HC
Instantané]]</f>
        <v>16</v>
      </c>
      <c r="AB9" s="34">
        <f>Tableau1[[#This Row],[Conso HP + HC
Instantané]]/(Tableau1[[#This Row],[Diff jour
Instantané]]*24)</f>
        <v>2.6666666666666665</v>
      </c>
      <c r="AC9" s="34">
        <f>IF(ISERROR(Tableau1[[#This Row],[Date]]-A8),"",Tableau1[[#This Row],[Conso HP + HC
Instantané]]/Tableau1[[#This Row],[Diff jour
Instantané]])</f>
        <v>64</v>
      </c>
      <c r="AD9" s="34">
        <f>Tableau1[[#This Row],[Conso HP + HC / jour_x000D_
Instantané]]*365</f>
        <v>23360</v>
      </c>
      <c r="AE9" s="31">
        <f>Tableau1[[#This Row],[Différence HP
Cumul]]+Tableau1[[#This Row],[Différence HC
Cumul]]</f>
        <v>2639</v>
      </c>
      <c r="AF9" s="33">
        <f>(Tableau1[[#This Row],[Conso HP + HC
Cumul]]-AE$6)/Tableau1[[#This Row],[Diff jour_x000D_
Cumul
depuis le 24/01]]</f>
        <v>67.068493150577979</v>
      </c>
      <c r="AG9" s="33">
        <f>(Tableau1[[#This Row],[Conso HP + HC
Cumul]]-AE$59)/Tableau1[[#This Row],[Diff jour_x000D_
Cumul
depuis
précédente facture
16/02/2021]]</f>
        <v>71.516404029954586</v>
      </c>
      <c r="AH9" s="34">
        <f>Tableau1[[#This Row],[Conso HP + HC
Cumul]]/(Tableau1[[#This Row],[Diff jour_x000D_
Cumul]]*24)</f>
        <v>2.8124333925401972</v>
      </c>
      <c r="AI9" s="34">
        <f>Tableau1[[#This Row],[Conso HP + HC
Cumul]]/Tableau1[[#This Row],[Diff jour_x000D_
Cumul]]</f>
        <v>67.498401420964726</v>
      </c>
      <c r="AJ9" s="34">
        <f>Tableau1[[#This Row],[Conso HP + HC / jour_x000D_
Cumul]]*365</f>
        <v>24636.916518652124</v>
      </c>
      <c r="AK9" s="37">
        <f>(Tableau1[[#This Row],[Différence HP
Cumul]]*0.1799)+(Tableau1[[#This Row],[Différence HC
Cumul]]*0.1346)</f>
        <v>435.66220000000004</v>
      </c>
      <c r="AL9" s="37">
        <f>Tableau1[[#This Row],[Montant
Tarif HP/HC]]/Tableau1[[#This Row],[Diff jour_x000D_
Cumul]]</f>
        <v>11.143047388988489</v>
      </c>
      <c r="AM9" s="37">
        <f>(Tableau1[[#This Row],[Montant
Tarif HP/HC]]-AK$6)/Tableau1[[#This Row],[Diff jour_x000D_
Cumul
depuis le 24/01]]</f>
        <v>11.082673972585075</v>
      </c>
      <c r="AN9" s="37">
        <f>(Tableau1[[#This Row],[Montant
Tarif HP/HC]]-AK$59)/Tableau1[[#This Row],[Diff jour_x000D_
Cumul
depuis
précédente facture
16/02/2021]]</f>
        <v>11.917906484110658</v>
      </c>
      <c r="AO9" s="37">
        <f>Tableau1[[#This Row],[Conso HP + HC
Cumul]]*0.1599</f>
        <v>421.97609999999997</v>
      </c>
      <c r="AP9" s="37">
        <f>Tableau1[[#This Row],[Montant
Tarif normal]]/Tableau1[[#This Row],[Diff jour_x000D_
Cumul]]</f>
        <v>10.792994387212259</v>
      </c>
      <c r="AQ9" s="37">
        <f>(Tableau1[[#This Row],[Conso HP / an
Cumul]]*0.1799)+(Tableau1[[#This Row],[Conso HC / an_x000D_
Cumul]]*0.1346)</f>
        <v>4067.2122969807979</v>
      </c>
      <c r="AR9" s="37">
        <f>Tableau1[[#This Row],[Conso HP + HC / an_x000D_
Cumul]]*0.1599</f>
        <v>3939.4429513324744</v>
      </c>
      <c r="AS9" s="38">
        <f>MONTH(Tableau1[[#This Row],[Date]])</f>
        <v>1</v>
      </c>
      <c r="AT9" s="38">
        <f>YEAR(Tableau1[[#This Row],[Date]])</f>
        <v>2021</v>
      </c>
    </row>
    <row r="10" spans="1:46" x14ac:dyDescent="0.2">
      <c r="A10" s="11">
        <v>44222.280555555553</v>
      </c>
      <c r="B10" s="12">
        <v>-4</v>
      </c>
      <c r="C10" s="32">
        <f>IF(ISERROR(Tableau1[[#This Row],[Date]]-A9),"",Tableau1[[#This Row],[Date]]-A9)</f>
        <v>0.47499999999854481</v>
      </c>
      <c r="D10" s="33">
        <f>IF(ISERROR(Tableau1[[#This Row],[Date]]-A9),"",Tableau1[[#This Row],[Date]]-A9)</f>
        <v>0.47499999999854481</v>
      </c>
      <c r="E10" s="32">
        <f>Tableau1[[#This Row],[Date]]-$A$5</f>
        <v>39.572222222217533</v>
      </c>
      <c r="F10" s="33">
        <f>Tableau1[[#This Row],[Date]]-$A$5</f>
        <v>39.572222222217533</v>
      </c>
      <c r="G10" s="33">
        <f>Tableau1[[#This Row],[Diff jour_x000D_
Cumul]]-F$6</f>
        <v>1.4888888888890506</v>
      </c>
      <c r="H10" s="33">
        <f>Tableau1[[#This Row],[Diff jour_x000D_
Cumul]]-F$59</f>
        <v>-21.030555555560568</v>
      </c>
      <c r="I10" s="13">
        <v>181548</v>
      </c>
      <c r="J10" s="31">
        <f>IF(ISERROR(Tableau1[[#This Row],[Index HP
kWh]]-I9),"",Tableau1[[#This Row],[Index HP
kWh]]-I9)</f>
        <v>13</v>
      </c>
      <c r="K10" s="33">
        <f>IF(ISERROR(Tableau1[[#This Row],[Différence HP
Instantané]]/(Tableau1[[#This Row],[Diff jour
Instantané]]*24)),"",Tableau1[[#This Row],[Différence HP
Instantané]]/(Tableau1[[#This Row],[Diff jour
Instantané]]*24))</f>
        <v>1.1403508771964761</v>
      </c>
      <c r="L10" s="33">
        <f>Tableau1[[#This Row],[Différence HP
Instantané]]/Tableau1[[#This Row],[Diff jour
Instantané]]</f>
        <v>27.368421052715423</v>
      </c>
      <c r="M10" s="33">
        <f>Tableau1[[#This Row],[Conso HP / jour
Instantané]]*365</f>
        <v>9989.4736842411294</v>
      </c>
      <c r="N10" s="31">
        <f>Tableau1[[#This Row],[Index HP
kWh]]-$I$5</f>
        <v>1789</v>
      </c>
      <c r="O10" s="34">
        <f>Tableau1[[#This Row],[Différence HP
Cumul]]/(Tableau1[[#This Row],[Diff jour_x000D_
Cumul]]*24)</f>
        <v>1.8836866488841204</v>
      </c>
      <c r="P10" s="34">
        <f>Tableau1[[#This Row],[Différence HP
Cumul]]/Tableau1[[#This Row],[Diff jour_x000D_
Cumul]]</f>
        <v>45.208479573218888</v>
      </c>
      <c r="Q10" s="34">
        <f>Tableau1[[#This Row],[Conso HP / jour
Cumul]]*365</f>
        <v>16501.095044224894</v>
      </c>
      <c r="R10" s="13">
        <v>120319</v>
      </c>
      <c r="S10" s="31">
        <f>Tableau1[[#This Row],[Index HC_x000D_
kWh]]-R9</f>
        <v>24</v>
      </c>
      <c r="T10" s="35">
        <f>Tableau1[[#This Row],[Différence_x000D_ HC
Instantané]]/(Tableau1[[#This Row],[Diff jour
Instantané]]*24)</f>
        <v>2.1052631579011862</v>
      </c>
      <c r="U10" s="35">
        <f>Tableau1[[#This Row],[Différence_x000D_ HC
Instantané]]/Tableau1[[#This Row],[Diff jour
Instantané]]</f>
        <v>50.526315789628477</v>
      </c>
      <c r="V10" s="35">
        <f>Tableau1[[#This Row],[Conso HC / jour_x000D_
Instantané]]*365</f>
        <v>18442.105263214395</v>
      </c>
      <c r="W10" s="31">
        <f>Tableau1[[#This Row],[Index HC_x000D_
kWh]]-$R$5</f>
        <v>887</v>
      </c>
      <c r="X10" s="36">
        <f>Tableau1[[#This Row],[Différence HC
Cumul]]/(Tableau1[[#This Row],[Diff jour_x000D_
Cumul]]*24)</f>
        <v>0.93394637091124366</v>
      </c>
      <c r="Y10" s="36">
        <f>Tableau1[[#This Row],[Différence HC
Cumul]]/Tableau1[[#This Row],[Diff jour_x000D_
Cumul]]</f>
        <v>22.414712901869848</v>
      </c>
      <c r="Z10" s="36">
        <f>Tableau1[[#This Row],[Conso HC / jour_x000D_
Cumul]]*365</f>
        <v>8181.3702091824944</v>
      </c>
      <c r="AA10" s="31">
        <f>Tableau1[[#This Row],[Différence HP
Instantané]]+Tableau1[[#This Row],[Différence_x000D_ HC
Instantané]]</f>
        <v>37</v>
      </c>
      <c r="AB10" s="34">
        <f>Tableau1[[#This Row],[Conso HP + HC
Instantané]]/(Tableau1[[#This Row],[Diff jour
Instantané]]*24)</f>
        <v>3.2456140350976623</v>
      </c>
      <c r="AC10" s="34">
        <f>IF(ISERROR(Tableau1[[#This Row],[Date]]-A9),"",Tableau1[[#This Row],[Conso HP + HC
Instantané]]/Tableau1[[#This Row],[Diff jour
Instantané]])</f>
        <v>77.894736842343903</v>
      </c>
      <c r="AD10" s="34">
        <f>Tableau1[[#This Row],[Conso HP + HC / jour_x000D_
Instantané]]*365</f>
        <v>28431.578947455524</v>
      </c>
      <c r="AE10" s="31">
        <f>Tableau1[[#This Row],[Différence HP
Cumul]]+Tableau1[[#This Row],[Différence HC
Cumul]]</f>
        <v>2676</v>
      </c>
      <c r="AF10" s="33">
        <f>(Tableau1[[#This Row],[Conso HP + HC
Cumul]]-AE$6)/Tableau1[[#This Row],[Diff jour_x000D_
Cumul
depuis le 24/01]]</f>
        <v>70.522388059693839</v>
      </c>
      <c r="AG10" s="33">
        <f>(Tableau1[[#This Row],[Conso HP + HC
Cumul]]-AE$59)/Tableau1[[#This Row],[Diff jour_x000D_
Cumul
depuis
précédente facture
16/02/2021]]</f>
        <v>71.372341830652644</v>
      </c>
      <c r="AH10" s="34">
        <f>Tableau1[[#This Row],[Conso HP + HC
Cumul]]/(Tableau1[[#This Row],[Diff jour_x000D_
Cumul]]*24)</f>
        <v>2.8176330197953638</v>
      </c>
      <c r="AI10" s="34">
        <f>Tableau1[[#This Row],[Conso HP + HC
Cumul]]/Tableau1[[#This Row],[Diff jour_x000D_
Cumul]]</f>
        <v>67.623192475088743</v>
      </c>
      <c r="AJ10" s="34">
        <f>Tableau1[[#This Row],[Conso HP + HC / jour_x000D_
Cumul]]*365</f>
        <v>24682.46525340739</v>
      </c>
      <c r="AK10" s="37">
        <f>(Tableau1[[#This Row],[Différence HP
Cumul]]*0.1799)+(Tableau1[[#This Row],[Différence HC
Cumul]]*0.1346)</f>
        <v>441.23129999999998</v>
      </c>
      <c r="AL10" s="37">
        <f>Tableau1[[#This Row],[Montant
Tarif HP/HC]]/Tableau1[[#This Row],[Diff jour_x000D_
Cumul]]</f>
        <v>11.150025831813759</v>
      </c>
      <c r="AM10" s="37">
        <f>(Tableau1[[#This Row],[Montant
Tarif HP/HC]]-AK$6)/Tableau1[[#This Row],[Diff jour_x000D_
Cumul
depuis le 24/01]]</f>
        <v>11.287410447759932</v>
      </c>
      <c r="AN10" s="37">
        <f>(Tableau1[[#This Row],[Montant
Tarif HP/HC]]-AK$59)/Tableau1[[#This Row],[Diff jour_x000D_
Cumul
depuis
précédente facture
16/02/2021]]</f>
        <v>11.922276581690461</v>
      </c>
      <c r="AO10" s="37">
        <f>Tableau1[[#This Row],[Conso HP + HC
Cumul]]*0.1599</f>
        <v>427.89239999999995</v>
      </c>
      <c r="AP10" s="37">
        <f>Tableau1[[#This Row],[Montant
Tarif normal]]/Tableau1[[#This Row],[Diff jour_x000D_
Cumul]]</f>
        <v>10.812948476766687</v>
      </c>
      <c r="AQ10" s="37">
        <f>(Tableau1[[#This Row],[Conso HP / an
Cumul]]*0.1799)+(Tableau1[[#This Row],[Conso HC / an_x000D_
Cumul]]*0.1346)</f>
        <v>4069.7594286120225</v>
      </c>
      <c r="AR10" s="37">
        <f>Tableau1[[#This Row],[Conso HP + HC / an_x000D_
Cumul]]*0.1599</f>
        <v>3946.7261940198414</v>
      </c>
      <c r="AS10" s="38">
        <f>MONTH(Tableau1[[#This Row],[Date]])</f>
        <v>1</v>
      </c>
      <c r="AT10" s="38">
        <f>YEAR(Tableau1[[#This Row],[Date]])</f>
        <v>2021</v>
      </c>
    </row>
    <row r="11" spans="1:46" x14ac:dyDescent="0.2">
      <c r="A11" s="11">
        <v>44222.561805555553</v>
      </c>
      <c r="B11" s="12">
        <v>3.1</v>
      </c>
      <c r="C11" s="32">
        <f>IF(ISERROR(Tableau1[[#This Row],[Date]]-A10),"",Tableau1[[#This Row],[Date]]-A10)</f>
        <v>0.28125</v>
      </c>
      <c r="D11" s="33">
        <f>IF(ISERROR(Tableau1[[#This Row],[Date]]-A10),"",Tableau1[[#This Row],[Date]]-A10)</f>
        <v>0.28125</v>
      </c>
      <c r="E11" s="32">
        <f>Tableau1[[#This Row],[Date]]-$A$5</f>
        <v>39.853472222217533</v>
      </c>
      <c r="F11" s="33">
        <f>Tableau1[[#This Row],[Date]]-$A$5</f>
        <v>39.853472222217533</v>
      </c>
      <c r="G11" s="33">
        <f>Tableau1[[#This Row],[Diff jour_x000D_
Cumul]]-F$6</f>
        <v>1.7701388888890506</v>
      </c>
      <c r="H11" s="33">
        <f>Tableau1[[#This Row],[Diff jour_x000D_
Cumul]]-F$59</f>
        <v>-20.749305555560568</v>
      </c>
      <c r="I11" s="13">
        <v>181571</v>
      </c>
      <c r="J11" s="31">
        <f>IF(ISERROR(Tableau1[[#This Row],[Index HP
kWh]]-I10),"",Tableau1[[#This Row],[Index HP
kWh]]-I10)</f>
        <v>23</v>
      </c>
      <c r="K11" s="33">
        <f>IF(ISERROR(Tableau1[[#This Row],[Différence HP
Instantané]]/(Tableau1[[#This Row],[Diff jour
Instantané]]*24)),"",Tableau1[[#This Row],[Différence HP
Instantané]]/(Tableau1[[#This Row],[Diff jour
Instantané]]*24))</f>
        <v>3.4074074074074074</v>
      </c>
      <c r="L11" s="33">
        <f>Tableau1[[#This Row],[Différence HP
Instantané]]/Tableau1[[#This Row],[Diff jour
Instantané]]</f>
        <v>81.777777777777771</v>
      </c>
      <c r="M11" s="33">
        <f>Tableau1[[#This Row],[Conso HP / jour
Instantané]]*365</f>
        <v>29848.888888888887</v>
      </c>
      <c r="N11" s="31">
        <f>Tableau1[[#This Row],[Index HP
kWh]]-$I$5</f>
        <v>1812</v>
      </c>
      <c r="O11" s="34">
        <f>Tableau1[[#This Row],[Différence HP
Cumul]]/(Tableau1[[#This Row],[Diff jour_x000D_
Cumul]]*24)</f>
        <v>1.894439700988217</v>
      </c>
      <c r="P11" s="34">
        <f>Tableau1[[#This Row],[Différence HP
Cumul]]/Tableau1[[#This Row],[Diff jour_x000D_
Cumul]]</f>
        <v>45.466552823717208</v>
      </c>
      <c r="Q11" s="34">
        <f>Tableau1[[#This Row],[Conso HP / jour
Cumul]]*365</f>
        <v>16595.291780656782</v>
      </c>
      <c r="R11" s="13">
        <v>120319</v>
      </c>
      <c r="S11" s="31">
        <f>Tableau1[[#This Row],[Index HC_x000D_
kWh]]-R10</f>
        <v>0</v>
      </c>
      <c r="T11" s="35">
        <f>Tableau1[[#This Row],[Différence_x000D_ HC
Instantané]]/(Tableau1[[#This Row],[Diff jour
Instantané]]*24)</f>
        <v>0</v>
      </c>
      <c r="U11" s="35">
        <f>Tableau1[[#This Row],[Différence_x000D_ HC
Instantané]]/Tableau1[[#This Row],[Diff jour
Instantané]]</f>
        <v>0</v>
      </c>
      <c r="V11" s="35">
        <f>Tableau1[[#This Row],[Conso HC / jour_x000D_
Instantané]]*365</f>
        <v>0</v>
      </c>
      <c r="W11" s="31">
        <f>Tableau1[[#This Row],[Index HC_x000D_
kWh]]-$R$5</f>
        <v>887</v>
      </c>
      <c r="X11" s="36">
        <f>Tableau1[[#This Row],[Différence HC
Cumul]]/(Tableau1[[#This Row],[Diff jour_x000D_
Cumul]]*24)</f>
        <v>0.92735541654334908</v>
      </c>
      <c r="Y11" s="36">
        <f>Tableau1[[#This Row],[Différence HC
Cumul]]/Tableau1[[#This Row],[Diff jour_x000D_
Cumul]]</f>
        <v>22.256529997040378</v>
      </c>
      <c r="Z11" s="36">
        <f>Tableau1[[#This Row],[Conso HC / jour_x000D_
Cumul]]*365</f>
        <v>8123.6334489197379</v>
      </c>
      <c r="AA11" s="31">
        <f>Tableau1[[#This Row],[Différence HP
Instantané]]+Tableau1[[#This Row],[Différence_x000D_ HC
Instantané]]</f>
        <v>23</v>
      </c>
      <c r="AB11" s="34">
        <f>Tableau1[[#This Row],[Conso HP + HC
Instantané]]/(Tableau1[[#This Row],[Diff jour
Instantané]]*24)</f>
        <v>3.4074074074074074</v>
      </c>
      <c r="AC11" s="34">
        <f>IF(ISERROR(Tableau1[[#This Row],[Date]]-A10),"",Tableau1[[#This Row],[Conso HP + HC
Instantané]]/Tableau1[[#This Row],[Diff jour
Instantané]])</f>
        <v>81.777777777777771</v>
      </c>
      <c r="AD11" s="34">
        <f>Tableau1[[#This Row],[Conso HP + HC / jour_x000D_
Instantané]]*365</f>
        <v>29848.888888888887</v>
      </c>
      <c r="AE11" s="31">
        <f>Tableau1[[#This Row],[Différence HP
Cumul]]+Tableau1[[#This Row],[Différence HC
Cumul]]</f>
        <v>2699</v>
      </c>
      <c r="AF11" s="33">
        <f>(Tableau1[[#This Row],[Conso HP + HC
Cumul]]-AE$6)/Tableau1[[#This Row],[Diff jour_x000D_
Cumul
depuis le 24/01]]</f>
        <v>72.310710082378648</v>
      </c>
      <c r="AG11" s="33">
        <f>(Tableau1[[#This Row],[Conso HP + HC
Cumul]]-AE$59)/Tableau1[[#This Row],[Diff jour_x000D_
Cumul
depuis
précédente facture
16/02/2021]]</f>
        <v>71.231299574935107</v>
      </c>
      <c r="AH11" s="34">
        <f>Tableau1[[#This Row],[Conso HP + HC
Cumul]]/(Tableau1[[#This Row],[Diff jour_x000D_
Cumul]]*24)</f>
        <v>2.8217951175315661</v>
      </c>
      <c r="AI11" s="34">
        <f>Tableau1[[#This Row],[Conso HP + HC
Cumul]]/Tableau1[[#This Row],[Diff jour_x000D_
Cumul]]</f>
        <v>67.723082820757583</v>
      </c>
      <c r="AJ11" s="34">
        <f>Tableau1[[#This Row],[Conso HP + HC / jour_x000D_
Cumul]]*365</f>
        <v>24718.925229576518</v>
      </c>
      <c r="AK11" s="37">
        <f>(Tableau1[[#This Row],[Différence HP
Cumul]]*0.1799)+(Tableau1[[#This Row],[Différence HC
Cumul]]*0.1346)</f>
        <v>445.36900000000003</v>
      </c>
      <c r="AL11" s="37">
        <f>Tableau1[[#This Row],[Montant
Tarif HP/HC]]/Tableau1[[#This Row],[Diff jour_x000D_
Cumul]]</f>
        <v>11.175161790588362</v>
      </c>
      <c r="AM11" s="37">
        <f>(Tableau1[[#This Row],[Montant
Tarif HP/HC]]-AK$6)/Tableau1[[#This Row],[Diff jour_x000D_
Cumul
depuis le 24/01]]</f>
        <v>11.831500980775692</v>
      </c>
      <c r="AN11" s="37">
        <f>(Tableau1[[#This Row],[Montant
Tarif HP/HC]]-AK$59)/Tableau1[[#This Row],[Diff jour_x000D_
Cumul
depuis
précédente facture
16/02/2021]]</f>
        <v>11.884465209676165</v>
      </c>
      <c r="AO11" s="37">
        <f>Tableau1[[#This Row],[Conso HP + HC
Cumul]]*0.1599</f>
        <v>431.57009999999997</v>
      </c>
      <c r="AP11" s="37">
        <f>Tableau1[[#This Row],[Montant
Tarif normal]]/Tableau1[[#This Row],[Diff jour_x000D_
Cumul]]</f>
        <v>10.828920943039138</v>
      </c>
      <c r="AQ11" s="37">
        <f>(Tableau1[[#This Row],[Conso HP / an
Cumul]]*0.1799)+(Tableau1[[#This Row],[Conso HC / an_x000D_
Cumul]]*0.1346)</f>
        <v>4078.9340535647516</v>
      </c>
      <c r="AR11" s="37">
        <f>Tableau1[[#This Row],[Conso HP + HC / an_x000D_
Cumul]]*0.1599</f>
        <v>3952.5561442092849</v>
      </c>
      <c r="AS11" s="38">
        <f>MONTH(Tableau1[[#This Row],[Date]])</f>
        <v>1</v>
      </c>
      <c r="AT11" s="38">
        <f>YEAR(Tableau1[[#This Row],[Date]])</f>
        <v>2021</v>
      </c>
    </row>
    <row r="12" spans="1:46" x14ac:dyDescent="0.2">
      <c r="A12" s="11">
        <v>44222.816666666666</v>
      </c>
      <c r="B12" s="12">
        <v>3.7</v>
      </c>
      <c r="C12" s="32">
        <f>IF(ISERROR(Tableau1[[#This Row],[Date]]-A11),"",Tableau1[[#This Row],[Date]]-A11)</f>
        <v>0.25486111111240461</v>
      </c>
      <c r="D12" s="33">
        <f>IF(ISERROR(Tableau1[[#This Row],[Date]]-A11),"",Tableau1[[#This Row],[Date]]-A11)</f>
        <v>0.25486111111240461</v>
      </c>
      <c r="E12" s="32">
        <f>Tableau1[[#This Row],[Date]]-$A$5</f>
        <v>40.108333333329938</v>
      </c>
      <c r="F12" s="33">
        <f>Tableau1[[#This Row],[Date]]-$A$5</f>
        <v>40.108333333329938</v>
      </c>
      <c r="G12" s="33">
        <f>Tableau1[[#This Row],[Diff jour_x000D_
Cumul]]-F$6</f>
        <v>2.0250000000014552</v>
      </c>
      <c r="H12" s="33">
        <f>Tableau1[[#This Row],[Diff jour_x000D_
Cumul]]-F$59</f>
        <v>-20.494444444448163</v>
      </c>
      <c r="I12" s="13">
        <v>181591</v>
      </c>
      <c r="J12" s="31">
        <f>IF(ISERROR(Tableau1[[#This Row],[Index HP
kWh]]-I11),"",Tableau1[[#This Row],[Index HP
kWh]]-I11)</f>
        <v>20</v>
      </c>
      <c r="K12" s="33">
        <f>IF(ISERROR(Tableau1[[#This Row],[Différence HP
Instantané]]/(Tableau1[[#This Row],[Diff jour
Instantané]]*24)),"",Tableau1[[#This Row],[Différence HP
Instantané]]/(Tableau1[[#This Row],[Diff jour
Instantané]]*24))</f>
        <v>3.2697547683757753</v>
      </c>
      <c r="L12" s="33">
        <f>Tableau1[[#This Row],[Différence HP
Instantané]]/Tableau1[[#This Row],[Diff jour
Instantané]]</f>
        <v>78.474114441018614</v>
      </c>
      <c r="M12" s="33">
        <f>Tableau1[[#This Row],[Conso HP / jour
Instantané]]*365</f>
        <v>28643.051770971793</v>
      </c>
      <c r="N12" s="31">
        <f>Tableau1[[#This Row],[Index HP
kWh]]-$I$5</f>
        <v>1832</v>
      </c>
      <c r="O12" s="34">
        <f>Tableau1[[#This Row],[Différence HP
Cumul]]/(Tableau1[[#This Row],[Diff jour_x000D_
Cumul]]*24)</f>
        <v>1.9031788905050437</v>
      </c>
      <c r="P12" s="34">
        <f>Tableau1[[#This Row],[Différence HP
Cumul]]/Tableau1[[#This Row],[Diff jour_x000D_
Cumul]]</f>
        <v>45.676293372121052</v>
      </c>
      <c r="Q12" s="34">
        <f>Tableau1[[#This Row],[Conso HP / jour
Cumul]]*365</f>
        <v>16671.847080824184</v>
      </c>
      <c r="R12" s="13">
        <v>120319</v>
      </c>
      <c r="S12" s="31">
        <f>Tableau1[[#This Row],[Index HC_x000D_
kWh]]-R11</f>
        <v>0</v>
      </c>
      <c r="T12" s="35">
        <f>Tableau1[[#This Row],[Différence_x000D_ HC
Instantané]]/(Tableau1[[#This Row],[Diff jour
Instantané]]*24)</f>
        <v>0</v>
      </c>
      <c r="U12" s="35">
        <f>Tableau1[[#This Row],[Différence_x000D_ HC
Instantané]]/Tableau1[[#This Row],[Diff jour
Instantané]]</f>
        <v>0</v>
      </c>
      <c r="V12" s="35">
        <f>Tableau1[[#This Row],[Conso HC / jour_x000D_
Instantané]]*365</f>
        <v>0</v>
      </c>
      <c r="W12" s="31">
        <f>Tableau1[[#This Row],[Index HC_x000D_
kWh]]-$R$5</f>
        <v>887</v>
      </c>
      <c r="X12" s="36">
        <f>Tableau1[[#This Row],[Différence HC
Cumul]]/(Tableau1[[#This Row],[Diff jour_x000D_
Cumul]]*24)</f>
        <v>0.92146270517356643</v>
      </c>
      <c r="Y12" s="36">
        <f>Tableau1[[#This Row],[Différence HC
Cumul]]/Tableau1[[#This Row],[Diff jour_x000D_
Cumul]]</f>
        <v>22.115104924165596</v>
      </c>
      <c r="Z12" s="36">
        <f>Tableau1[[#This Row],[Conso HC / jour_x000D_
Cumul]]*365</f>
        <v>8072.0132973204427</v>
      </c>
      <c r="AA12" s="31">
        <f>Tableau1[[#This Row],[Différence HP
Instantané]]+Tableau1[[#This Row],[Différence_x000D_ HC
Instantané]]</f>
        <v>20</v>
      </c>
      <c r="AB12" s="34">
        <f>Tableau1[[#This Row],[Conso HP + HC
Instantané]]/(Tableau1[[#This Row],[Diff jour
Instantané]]*24)</f>
        <v>3.2697547683757753</v>
      </c>
      <c r="AC12" s="34">
        <f>IF(ISERROR(Tableau1[[#This Row],[Date]]-A11),"",Tableau1[[#This Row],[Conso HP + HC
Instantané]]/Tableau1[[#This Row],[Diff jour
Instantané]])</f>
        <v>78.474114441018614</v>
      </c>
      <c r="AD12" s="34">
        <f>Tableau1[[#This Row],[Conso HP + HC / jour_x000D_
Instantané]]*365</f>
        <v>28643.051770971793</v>
      </c>
      <c r="AE12" s="31">
        <f>Tableau1[[#This Row],[Différence HP
Cumul]]+Tableau1[[#This Row],[Différence HC
Cumul]]</f>
        <v>2719</v>
      </c>
      <c r="AF12" s="33">
        <f>(Tableau1[[#This Row],[Conso HP + HC
Cumul]]-AE$6)/Tableau1[[#This Row],[Diff jour_x000D_
Cumul
depuis le 24/01]]</f>
        <v>73.086419753033894</v>
      </c>
      <c r="AG12" s="33">
        <f>(Tableau1[[#This Row],[Conso HP + HC
Cumul]]-AE$59)/Tableau1[[#This Row],[Diff jour_x000D_
Cumul
depuis
précédente facture
16/02/2021]]</f>
        <v>71.141230685809802</v>
      </c>
      <c r="AH12" s="34">
        <f>Tableau1[[#This Row],[Conso HP + HC
Cumul]]/(Tableau1[[#This Row],[Diff jour_x000D_
Cumul]]*24)</f>
        <v>2.8246415956786102</v>
      </c>
      <c r="AI12" s="34">
        <f>Tableau1[[#This Row],[Conso HP + HC
Cumul]]/Tableau1[[#This Row],[Diff jour_x000D_
Cumul]]</f>
        <v>67.791398296286644</v>
      </c>
      <c r="AJ12" s="34">
        <f>Tableau1[[#This Row],[Conso HP + HC / jour_x000D_
Cumul]]*365</f>
        <v>24743.860378144625</v>
      </c>
      <c r="AK12" s="37">
        <f>(Tableau1[[#This Row],[Différence HP
Cumul]]*0.1799)+(Tableau1[[#This Row],[Différence HC
Cumul]]*0.1346)</f>
        <v>448.96699999999998</v>
      </c>
      <c r="AL12" s="37">
        <f>Tableau1[[#This Row],[Montant
Tarif HP/HC]]/Tableau1[[#This Row],[Diff jour_x000D_
Cumul]]</f>
        <v>11.193858300437265</v>
      </c>
      <c r="AM12" s="37">
        <f>(Tableau1[[#This Row],[Montant
Tarif HP/HC]]-AK$6)/Tableau1[[#This Row],[Diff jour_x000D_
Cumul
depuis le 24/01]]</f>
        <v>12.119209876534478</v>
      </c>
      <c r="AN12" s="37">
        <f>(Tableau1[[#This Row],[Montant
Tarif HP/HC]]-AK$59)/Tableau1[[#This Row],[Diff jour_x000D_
Cumul
depuis
précédente facture
16/02/2021]]</f>
        <v>11.856696123608582</v>
      </c>
      <c r="AO12" s="37">
        <f>Tableau1[[#This Row],[Conso HP + HC
Cumul]]*0.1599</f>
        <v>434.76809999999995</v>
      </c>
      <c r="AP12" s="37">
        <f>Tableau1[[#This Row],[Montant
Tarif normal]]/Tableau1[[#This Row],[Diff jour_x000D_
Cumul]]</f>
        <v>10.839844587576232</v>
      </c>
      <c r="AQ12" s="37">
        <f>(Tableau1[[#This Row],[Conso HP / an
Cumul]]*0.1799)+(Tableau1[[#This Row],[Conso HC / an_x000D_
Cumul]]*0.1346)</f>
        <v>4085.7582796596025</v>
      </c>
      <c r="AR12" s="37">
        <f>Tableau1[[#This Row],[Conso HP + HC / an_x000D_
Cumul]]*0.1599</f>
        <v>3956.5432744653253</v>
      </c>
      <c r="AS12" s="38">
        <f>MONTH(Tableau1[[#This Row],[Date]])</f>
        <v>1</v>
      </c>
      <c r="AT12" s="38">
        <f>YEAR(Tableau1[[#This Row],[Date]])</f>
        <v>2021</v>
      </c>
    </row>
    <row r="13" spans="1:46" x14ac:dyDescent="0.2">
      <c r="A13" s="11">
        <v>44223.270833333336</v>
      </c>
      <c r="B13" s="12">
        <v>4.7</v>
      </c>
      <c r="C13" s="32">
        <f>IF(ISERROR(Tableau1[[#This Row],[Date]]-A12),"",Tableau1[[#This Row],[Date]]-A12)</f>
        <v>0.45416666667006211</v>
      </c>
      <c r="D13" s="33">
        <f>IF(ISERROR(Tableau1[[#This Row],[Date]]-A12),"",Tableau1[[#This Row],[Date]]-A12)</f>
        <v>0.45416666667006211</v>
      </c>
      <c r="E13" s="32">
        <f>Tableau1[[#This Row],[Date]]-$A$5</f>
        <v>40.5625</v>
      </c>
      <c r="F13" s="33">
        <f>Tableau1[[#This Row],[Date]]-$A$5</f>
        <v>40.5625</v>
      </c>
      <c r="G13" s="33">
        <f>Tableau1[[#This Row],[Diff jour_x000D_
Cumul]]-F$6</f>
        <v>2.4791666666715173</v>
      </c>
      <c r="H13" s="33">
        <f>Tableau1[[#This Row],[Diff jour_x000D_
Cumul]]-F$59</f>
        <v>-20.040277777778101</v>
      </c>
      <c r="I13" s="13">
        <v>181601</v>
      </c>
      <c r="J13" s="31">
        <f>IF(ISERROR(Tableau1[[#This Row],[Index HP
kWh]]-I12),"",Tableau1[[#This Row],[Index HP
kWh]]-I12)</f>
        <v>10</v>
      </c>
      <c r="K13" s="33">
        <f>IF(ISERROR(Tableau1[[#This Row],[Différence HP
Instantané]]/(Tableau1[[#This Row],[Diff jour
Instantané]]*24)),"",Tableau1[[#This Row],[Différence HP
Instantané]]/(Tableau1[[#This Row],[Diff jour
Instantané]]*24))</f>
        <v>0.91743119265369155</v>
      </c>
      <c r="L13" s="33">
        <f>Tableau1[[#This Row],[Différence HP
Instantané]]/Tableau1[[#This Row],[Diff jour
Instantané]]</f>
        <v>22.018348623688595</v>
      </c>
      <c r="M13" s="33">
        <f>Tableau1[[#This Row],[Conso HP / jour
Instantané]]*365</f>
        <v>8036.697247646337</v>
      </c>
      <c r="N13" s="31">
        <f>Tableau1[[#This Row],[Index HP
kWh]]-$I$5</f>
        <v>1842</v>
      </c>
      <c r="O13" s="34">
        <f>Tableau1[[#This Row],[Différence HP
Cumul]]/(Tableau1[[#This Row],[Diff jour_x000D_
Cumul]]*24)</f>
        <v>1.8921417565485361</v>
      </c>
      <c r="P13" s="34">
        <f>Tableau1[[#This Row],[Différence HP
Cumul]]/Tableau1[[#This Row],[Diff jour_x000D_
Cumul]]</f>
        <v>45.411402157164872</v>
      </c>
      <c r="Q13" s="34">
        <f>Tableau1[[#This Row],[Conso HP / jour
Cumul]]*365</f>
        <v>16575.161787365178</v>
      </c>
      <c r="R13" s="13">
        <v>120342</v>
      </c>
      <c r="S13" s="31">
        <f>Tableau1[[#This Row],[Index HC_x000D_
kWh]]-R12</f>
        <v>23</v>
      </c>
      <c r="T13" s="35">
        <f>Tableau1[[#This Row],[Différence_x000D_ HC
Instantané]]/(Tableau1[[#This Row],[Diff jour
Instantané]]*24)</f>
        <v>2.1100917431034905</v>
      </c>
      <c r="U13" s="35">
        <f>Tableau1[[#This Row],[Différence_x000D_ HC
Instantané]]/Tableau1[[#This Row],[Diff jour
Instantané]]</f>
        <v>50.642201834483771</v>
      </c>
      <c r="V13" s="35">
        <f>Tableau1[[#This Row],[Conso HC / jour_x000D_
Instantané]]*365</f>
        <v>18484.403669586576</v>
      </c>
      <c r="W13" s="31">
        <f>Tableau1[[#This Row],[Index HC_x000D_
kWh]]-$R$5</f>
        <v>910</v>
      </c>
      <c r="X13" s="36">
        <f>Tableau1[[#This Row],[Différence HC
Cumul]]/(Tableau1[[#This Row],[Diff jour_x000D_
Cumul]]*24)</f>
        <v>0.93477144324601946</v>
      </c>
      <c r="Y13" s="36">
        <f>Tableau1[[#This Row],[Différence HC
Cumul]]/Tableau1[[#This Row],[Diff jour_x000D_
Cumul]]</f>
        <v>22.434514637904467</v>
      </c>
      <c r="Z13" s="36">
        <f>Tableau1[[#This Row],[Conso HC / jour_x000D_
Cumul]]*365</f>
        <v>8188.5978428351309</v>
      </c>
      <c r="AA13" s="31">
        <f>Tableau1[[#This Row],[Différence HP
Instantané]]+Tableau1[[#This Row],[Différence_x000D_ HC
Instantané]]</f>
        <v>33</v>
      </c>
      <c r="AB13" s="34">
        <f>Tableau1[[#This Row],[Conso HP + HC
Instantané]]/(Tableau1[[#This Row],[Diff jour
Instantané]]*24)</f>
        <v>3.0275229357571822</v>
      </c>
      <c r="AC13" s="34">
        <f>IF(ISERROR(Tableau1[[#This Row],[Date]]-A12),"",Tableau1[[#This Row],[Conso HP + HC
Instantané]]/Tableau1[[#This Row],[Diff jour
Instantané]])</f>
        <v>72.660550458172366</v>
      </c>
      <c r="AD13" s="34">
        <f>Tableau1[[#This Row],[Conso HP + HC / jour_x000D_
Instantané]]*365</f>
        <v>26521.100917232914</v>
      </c>
      <c r="AE13" s="31">
        <f>Tableau1[[#This Row],[Différence HP
Cumul]]+Tableau1[[#This Row],[Différence HC
Cumul]]</f>
        <v>2752</v>
      </c>
      <c r="AF13" s="33">
        <f>(Tableau1[[#This Row],[Conso HP + HC
Cumul]]-AE$6)/Tableau1[[#This Row],[Diff jour_x000D_
Cumul
depuis le 24/01]]</f>
        <v>73.008403361201687</v>
      </c>
      <c r="AG13" s="33">
        <f>(Tableau1[[#This Row],[Conso HP + HC
Cumul]]-AE$59)/Tableau1[[#This Row],[Diff jour_x000D_
Cumul
depuis
précédente facture
16/02/2021]]</f>
        <v>71.106798807955059</v>
      </c>
      <c r="AH13" s="34">
        <f>Tableau1[[#This Row],[Conso HP + HC
Cumul]]/(Tableau1[[#This Row],[Diff jour_x000D_
Cumul]]*24)</f>
        <v>2.8269131997945558</v>
      </c>
      <c r="AI13" s="34">
        <f>Tableau1[[#This Row],[Conso HP + HC
Cumul]]/Tableau1[[#This Row],[Diff jour_x000D_
Cumul]]</f>
        <v>67.845916795069343</v>
      </c>
      <c r="AJ13" s="34">
        <f>Tableau1[[#This Row],[Conso HP + HC / jour_x000D_
Cumul]]*365</f>
        <v>24763.759630200311</v>
      </c>
      <c r="AK13" s="37">
        <f>(Tableau1[[#This Row],[Différence HP
Cumul]]*0.1799)+(Tableau1[[#This Row],[Différence HC
Cumul]]*0.1346)</f>
        <v>453.86180000000002</v>
      </c>
      <c r="AL13" s="37">
        <f>Tableau1[[#This Row],[Montant
Tarif HP/HC]]/Tableau1[[#This Row],[Diff jour_x000D_
Cumul]]</f>
        <v>11.189196918335902</v>
      </c>
      <c r="AM13" s="37">
        <f>(Tableau1[[#This Row],[Montant
Tarif HP/HC]]-AK$6)/Tableau1[[#This Row],[Diff jour_x000D_
Cumul
depuis le 24/01]]</f>
        <v>11.873425210060796</v>
      </c>
      <c r="AN13" s="37">
        <f>(Tableau1[[#This Row],[Montant
Tarif HP/HC]]-AK$59)/Tableau1[[#This Row],[Diff jour_x000D_
Cumul
depuis
précédente facture
16/02/2021]]</f>
        <v>11.881152678633114</v>
      </c>
      <c r="AO13" s="37">
        <f>Tableau1[[#This Row],[Conso HP + HC
Cumul]]*0.1599</f>
        <v>440.04479999999995</v>
      </c>
      <c r="AP13" s="37">
        <f>Tableau1[[#This Row],[Montant
Tarif normal]]/Tableau1[[#This Row],[Diff jour_x000D_
Cumul]]</f>
        <v>10.848562095531586</v>
      </c>
      <c r="AQ13" s="37">
        <f>(Tableau1[[#This Row],[Conso HP / an
Cumul]]*0.1799)+(Tableau1[[#This Row],[Conso HC / an_x000D_
Cumul]]*0.1346)</f>
        <v>4084.0568751926039</v>
      </c>
      <c r="AR13" s="37">
        <f>Tableau1[[#This Row],[Conso HP + HC / an_x000D_
Cumul]]*0.1599</f>
        <v>3959.7251648690294</v>
      </c>
      <c r="AS13" s="38">
        <f>MONTH(Tableau1[[#This Row],[Date]])</f>
        <v>1</v>
      </c>
      <c r="AT13" s="38">
        <f>YEAR(Tableau1[[#This Row],[Date]])</f>
        <v>2021</v>
      </c>
    </row>
    <row r="14" spans="1:46" x14ac:dyDescent="0.2">
      <c r="A14" s="11">
        <v>44223.550694444442</v>
      </c>
      <c r="B14" s="12">
        <v>9.6</v>
      </c>
      <c r="C14" s="32">
        <f>IF(ISERROR(Tableau1[[#This Row],[Date]]-A13),"",Tableau1[[#This Row],[Date]]-A13)</f>
        <v>0.27986111110658385</v>
      </c>
      <c r="D14" s="33">
        <f>IF(ISERROR(Tableau1[[#This Row],[Date]]-A13),"",Tableau1[[#This Row],[Date]]-A13)</f>
        <v>0.27986111110658385</v>
      </c>
      <c r="E14" s="32">
        <f>Tableau1[[#This Row],[Date]]-$A$5</f>
        <v>40.842361111106584</v>
      </c>
      <c r="F14" s="33">
        <f>Tableau1[[#This Row],[Date]]-$A$5</f>
        <v>40.842361111106584</v>
      </c>
      <c r="G14" s="33">
        <f>Tableau1[[#This Row],[Diff jour_x000D_
Cumul]]-F$6</f>
        <v>2.7590277777781012</v>
      </c>
      <c r="H14" s="33">
        <f>Tableau1[[#This Row],[Diff jour_x000D_
Cumul]]-F$59</f>
        <v>-19.760416666671517</v>
      </c>
      <c r="I14" s="13">
        <v>181620</v>
      </c>
      <c r="J14" s="31">
        <f>IF(ISERROR(Tableau1[[#This Row],[Index HP
kWh]]-I13),"",Tableau1[[#This Row],[Index HP
kWh]]-I13)</f>
        <v>19</v>
      </c>
      <c r="K14" s="33">
        <f>IF(ISERROR(Tableau1[[#This Row],[Différence HP
Instantané]]/(Tableau1[[#This Row],[Diff jour
Instantané]]*24)),"",Tableau1[[#This Row],[Différence HP
Instantané]]/(Tableau1[[#This Row],[Diff jour
Instantané]]*24))</f>
        <v>2.8287841191524605</v>
      </c>
      <c r="L14" s="33">
        <f>Tableau1[[#This Row],[Différence HP
Instantané]]/Tableau1[[#This Row],[Diff jour
Instantané]]</f>
        <v>67.890818859659049</v>
      </c>
      <c r="M14" s="33">
        <f>Tableau1[[#This Row],[Conso HP / jour
Instantané]]*365</f>
        <v>24780.148883775553</v>
      </c>
      <c r="N14" s="31">
        <f>Tableau1[[#This Row],[Index HP
kWh]]-$I$5</f>
        <v>1861</v>
      </c>
      <c r="O14" s="34">
        <f>Tableau1[[#This Row],[Différence HP
Cumul]]/(Tableau1[[#This Row],[Diff jour_x000D_
Cumul]]*24)</f>
        <v>1.8985598422119663</v>
      </c>
      <c r="P14" s="34">
        <f>Tableau1[[#This Row],[Différence HP
Cumul]]/Tableau1[[#This Row],[Diff jour_x000D_
Cumul]]</f>
        <v>45.565436213087196</v>
      </c>
      <c r="Q14" s="34">
        <f>Tableau1[[#This Row],[Conso HP / jour
Cumul]]*365</f>
        <v>16631.384217776827</v>
      </c>
      <c r="R14" s="13">
        <v>120342</v>
      </c>
      <c r="S14" s="31">
        <f>Tableau1[[#This Row],[Index HC_x000D_
kWh]]-R13</f>
        <v>0</v>
      </c>
      <c r="T14" s="35">
        <f>Tableau1[[#This Row],[Différence_x000D_ HC
Instantané]]/(Tableau1[[#This Row],[Diff jour
Instantané]]*24)</f>
        <v>0</v>
      </c>
      <c r="U14" s="35">
        <f>Tableau1[[#This Row],[Différence_x000D_ HC
Instantané]]/Tableau1[[#This Row],[Diff jour
Instantané]]</f>
        <v>0</v>
      </c>
      <c r="V14" s="35">
        <f>Tableau1[[#This Row],[Conso HC / jour_x000D_
Instantané]]*365</f>
        <v>0</v>
      </c>
      <c r="W14" s="31">
        <f>Tableau1[[#This Row],[Index HC_x000D_
kWh]]-$R$5</f>
        <v>910</v>
      </c>
      <c r="X14" s="36">
        <f>Tableau1[[#This Row],[Différence HC
Cumul]]/(Tableau1[[#This Row],[Diff jour_x000D_
Cumul]]*24)</f>
        <v>0.92836617754588358</v>
      </c>
      <c r="Y14" s="36">
        <f>Tableau1[[#This Row],[Différence HC
Cumul]]/Tableau1[[#This Row],[Diff jour_x000D_
Cumul]]</f>
        <v>22.280788261101208</v>
      </c>
      <c r="Z14" s="36">
        <f>Tableau1[[#This Row],[Conso HC / jour_x000D_
Cumul]]*365</f>
        <v>8132.4877153019406</v>
      </c>
      <c r="AA14" s="31">
        <f>Tableau1[[#This Row],[Différence HP
Instantané]]+Tableau1[[#This Row],[Différence_x000D_ HC
Instantané]]</f>
        <v>19</v>
      </c>
      <c r="AB14" s="34">
        <f>Tableau1[[#This Row],[Conso HP + HC
Instantané]]/(Tableau1[[#This Row],[Diff jour
Instantané]]*24)</f>
        <v>2.8287841191524605</v>
      </c>
      <c r="AC14" s="34">
        <f>IF(ISERROR(Tableau1[[#This Row],[Date]]-A13),"",Tableau1[[#This Row],[Conso HP + HC
Instantané]]/Tableau1[[#This Row],[Diff jour
Instantané]])</f>
        <v>67.890818859659049</v>
      </c>
      <c r="AD14" s="34">
        <f>Tableau1[[#This Row],[Conso HP + HC / jour_x000D_
Instantané]]*365</f>
        <v>24780.148883775553</v>
      </c>
      <c r="AE14" s="31">
        <f>Tableau1[[#This Row],[Différence HP
Cumul]]+Tableau1[[#This Row],[Différence HC
Cumul]]</f>
        <v>2771</v>
      </c>
      <c r="AF14" s="33">
        <f>(Tableau1[[#This Row],[Conso HP + HC
Cumul]]-AE$6)/Tableau1[[#This Row],[Diff jour_x000D_
Cumul
depuis le 24/01]]</f>
        <v>72.489302793850044</v>
      </c>
      <c r="AG14" s="33">
        <f>(Tableau1[[#This Row],[Conso HP + HC
Cumul]]-AE$59)/Tableau1[[#This Row],[Diff jour_x000D_
Cumul
depuis
précédente facture
16/02/2021]]</f>
        <v>71.152345809154909</v>
      </c>
      <c r="AH14" s="34">
        <f>Tableau1[[#This Row],[Conso HP + HC
Cumul]]/(Tableau1[[#This Row],[Diff jour_x000D_
Cumul]]*24)</f>
        <v>2.8269260197578499</v>
      </c>
      <c r="AI14" s="34">
        <f>Tableau1[[#This Row],[Conso HP + HC
Cumul]]/Tableau1[[#This Row],[Diff jour_x000D_
Cumul]]</f>
        <v>67.846224474188404</v>
      </c>
      <c r="AJ14" s="34">
        <f>Tableau1[[#This Row],[Conso HP + HC / jour_x000D_
Cumul]]*365</f>
        <v>24763.871933078768</v>
      </c>
      <c r="AK14" s="37">
        <f>(Tableau1[[#This Row],[Différence HP
Cumul]]*0.1799)+(Tableau1[[#This Row],[Différence HC
Cumul]]*0.1346)</f>
        <v>457.2799</v>
      </c>
      <c r="AL14" s="37">
        <f>Tableau1[[#This Row],[Montant
Tarif HP/HC]]/Tableau1[[#This Row],[Diff jour_x000D_
Cumul]]</f>
        <v>11.196216074678608</v>
      </c>
      <c r="AM14" s="37">
        <f>(Tableau1[[#This Row],[Montant
Tarif HP/HC]]-AK$6)/Tableau1[[#This Row],[Diff jour_x000D_
Cumul
depuis le 24/01]]</f>
        <v>11.907926503899926</v>
      </c>
      <c r="AN14" s="37">
        <f>(Tableau1[[#This Row],[Montant
Tarif HP/HC]]-AK$59)/Tableau1[[#This Row],[Diff jour_x000D_
Cumul
depuis
précédente facture
16/02/2021]]</f>
        <v>11.876444913017643</v>
      </c>
      <c r="AO14" s="37">
        <f>Tableau1[[#This Row],[Conso HP + HC
Cumul]]*0.1599</f>
        <v>443.08289999999994</v>
      </c>
      <c r="AP14" s="37">
        <f>Tableau1[[#This Row],[Montant
Tarif normal]]/Tableau1[[#This Row],[Diff jour_x000D_
Cumul]]</f>
        <v>10.848611293422724</v>
      </c>
      <c r="AQ14" s="37">
        <f>(Tableau1[[#This Row],[Conso HP / an
Cumul]]*0.1799)+(Tableau1[[#This Row],[Conso HC / an_x000D_
Cumul]]*0.1346)</f>
        <v>4086.6188672576923</v>
      </c>
      <c r="AR14" s="37">
        <f>Tableau1[[#This Row],[Conso HP + HC / an_x000D_
Cumul]]*0.1599</f>
        <v>3959.7431220992949</v>
      </c>
      <c r="AS14" s="38">
        <f>MONTH(Tableau1[[#This Row],[Date]])</f>
        <v>1</v>
      </c>
      <c r="AT14" s="38">
        <f>YEAR(Tableau1[[#This Row],[Date]])</f>
        <v>2021</v>
      </c>
    </row>
    <row r="15" spans="1:46" x14ac:dyDescent="0.2">
      <c r="A15" s="11">
        <v>44223.834027777775</v>
      </c>
      <c r="B15" s="12">
        <v>10.6</v>
      </c>
      <c r="C15" s="32">
        <f>IF(ISERROR(Tableau1[[#This Row],[Date]]-A14),"",Tableau1[[#This Row],[Date]]-A14)</f>
        <v>0.28333333333284827</v>
      </c>
      <c r="D15" s="33">
        <f>IF(ISERROR(Tableau1[[#This Row],[Date]]-A14),"",Tableau1[[#This Row],[Date]]-A14)</f>
        <v>0.28333333333284827</v>
      </c>
      <c r="E15" s="32">
        <f>Tableau1[[#This Row],[Date]]-$A$5</f>
        <v>41.125694444439432</v>
      </c>
      <c r="F15" s="33">
        <f>Tableau1[[#This Row],[Date]]-$A$5</f>
        <v>41.125694444439432</v>
      </c>
      <c r="G15" s="33">
        <f>Tableau1[[#This Row],[Diff jour_x000D_
Cumul]]-F$6</f>
        <v>3.0423611111109494</v>
      </c>
      <c r="H15" s="33">
        <f>Tableau1[[#This Row],[Diff jour_x000D_
Cumul]]-F$59</f>
        <v>-19.477083333338669</v>
      </c>
      <c r="I15" s="13">
        <v>181643</v>
      </c>
      <c r="J15" s="31">
        <f>IF(ISERROR(Tableau1[[#This Row],[Index HP
kWh]]-I14),"",Tableau1[[#This Row],[Index HP
kWh]]-I14)</f>
        <v>23</v>
      </c>
      <c r="K15" s="33">
        <f>IF(ISERROR(Tableau1[[#This Row],[Différence HP
Instantané]]/(Tableau1[[#This Row],[Diff jour
Instantané]]*24)),"",Tableau1[[#This Row],[Différence HP
Instantané]]/(Tableau1[[#This Row],[Diff jour
Instantané]]*24))</f>
        <v>3.382352941182261</v>
      </c>
      <c r="L15" s="33">
        <f>Tableau1[[#This Row],[Différence HP
Instantané]]/Tableau1[[#This Row],[Diff jour
Instantané]]</f>
        <v>81.176470588374272</v>
      </c>
      <c r="M15" s="33">
        <f>Tableau1[[#This Row],[Conso HP / jour
Instantané]]*365</f>
        <v>29629.411764756609</v>
      </c>
      <c r="N15" s="31">
        <f>Tableau1[[#This Row],[Index HP
kWh]]-$I$5</f>
        <v>1884</v>
      </c>
      <c r="O15" s="34">
        <f>Tableau1[[#This Row],[Différence HP
Cumul]]/(Tableau1[[#This Row],[Diff jour_x000D_
Cumul]]*24)</f>
        <v>1.9087823576098644</v>
      </c>
      <c r="P15" s="34">
        <f>Tableau1[[#This Row],[Différence HP
Cumul]]/Tableau1[[#This Row],[Diff jour_x000D_
Cumul]]</f>
        <v>45.810776582636741</v>
      </c>
      <c r="Q15" s="34">
        <f>Tableau1[[#This Row],[Conso HP / jour
Cumul]]*365</f>
        <v>16720.933452662412</v>
      </c>
      <c r="R15" s="13">
        <v>120342</v>
      </c>
      <c r="S15" s="31">
        <f>Tableau1[[#This Row],[Index HC_x000D_
kWh]]-R14</f>
        <v>0</v>
      </c>
      <c r="T15" s="35">
        <f>Tableau1[[#This Row],[Différence_x000D_ HC
Instantané]]/(Tableau1[[#This Row],[Diff jour
Instantané]]*24)</f>
        <v>0</v>
      </c>
      <c r="U15" s="35">
        <f>Tableau1[[#This Row],[Différence_x000D_ HC
Instantané]]/Tableau1[[#This Row],[Diff jour
Instantané]]</f>
        <v>0</v>
      </c>
      <c r="V15" s="35">
        <f>Tableau1[[#This Row],[Conso HC / jour_x000D_
Instantané]]*365</f>
        <v>0</v>
      </c>
      <c r="W15" s="31">
        <f>Tableau1[[#This Row],[Index HC_x000D_
kWh]]-$R$5</f>
        <v>910</v>
      </c>
      <c r="X15" s="36">
        <f>Tableau1[[#This Row],[Différence HC
Cumul]]/(Tableau1[[#This Row],[Diff jour_x000D_
Cumul]]*24)</f>
        <v>0.92197024704085806</v>
      </c>
      <c r="Y15" s="36">
        <f>Tableau1[[#This Row],[Différence HC
Cumul]]/Tableau1[[#This Row],[Diff jour_x000D_
Cumul]]</f>
        <v>22.127285928980594</v>
      </c>
      <c r="Z15" s="36">
        <f>Tableau1[[#This Row],[Conso HC / jour_x000D_
Cumul]]*365</f>
        <v>8076.4593640779167</v>
      </c>
      <c r="AA15" s="31">
        <f>Tableau1[[#This Row],[Différence HP
Instantané]]+Tableau1[[#This Row],[Différence_x000D_ HC
Instantané]]</f>
        <v>23</v>
      </c>
      <c r="AB15" s="34">
        <f>Tableau1[[#This Row],[Conso HP + HC
Instantané]]/(Tableau1[[#This Row],[Diff jour
Instantané]]*24)</f>
        <v>3.382352941182261</v>
      </c>
      <c r="AC15" s="34">
        <f>IF(ISERROR(Tableau1[[#This Row],[Date]]-A14),"",Tableau1[[#This Row],[Conso HP + HC
Instantané]]/Tableau1[[#This Row],[Diff jour
Instantané]])</f>
        <v>81.176470588374272</v>
      </c>
      <c r="AD15" s="34">
        <f>Tableau1[[#This Row],[Conso HP + HC / jour_x000D_
Instantané]]*365</f>
        <v>29629.411764756609</v>
      </c>
      <c r="AE15" s="31">
        <f>Tableau1[[#This Row],[Différence HP
Cumul]]+Tableau1[[#This Row],[Différence HC
Cumul]]</f>
        <v>2794</v>
      </c>
      <c r="AF15" s="33">
        <f>(Tableau1[[#This Row],[Conso HP + HC
Cumul]]-AE$6)/Tableau1[[#This Row],[Diff jour_x000D_
Cumul
depuis le 24/01]]</f>
        <v>73.298333713767875</v>
      </c>
      <c r="AG15" s="33">
        <f>(Tableau1[[#This Row],[Conso HP + HC
Cumul]]-AE$59)/Tableau1[[#This Row],[Diff jour_x000D_
Cumul
depuis
précédente facture
16/02/2021]]</f>
        <v>71.00652476198718</v>
      </c>
      <c r="AH15" s="34">
        <f>Tableau1[[#This Row],[Conso HP + HC
Cumul]]/(Tableau1[[#This Row],[Diff jour_x000D_
Cumul]]*24)</f>
        <v>2.8307526046507223</v>
      </c>
      <c r="AI15" s="34">
        <f>Tableau1[[#This Row],[Conso HP + HC
Cumul]]/Tableau1[[#This Row],[Diff jour_x000D_
Cumul]]</f>
        <v>67.938062511617332</v>
      </c>
      <c r="AJ15" s="34">
        <f>Tableau1[[#This Row],[Conso HP + HC / jour_x000D_
Cumul]]*365</f>
        <v>24797.392816740325</v>
      </c>
      <c r="AK15" s="37">
        <f>(Tableau1[[#This Row],[Différence HP
Cumul]]*0.1799)+(Tableau1[[#This Row],[Différence HC
Cumul]]*0.1346)</f>
        <v>461.41759999999999</v>
      </c>
      <c r="AL15" s="37">
        <f>Tableau1[[#This Row],[Montant
Tarif HP/HC]]/Tableau1[[#This Row],[Diff jour_x000D_
Cumul]]</f>
        <v>11.219691393257138</v>
      </c>
      <c r="AM15" s="37">
        <f>(Tableau1[[#This Row],[Montant
Tarif HP/HC]]-AK$6)/Tableau1[[#This Row],[Diff jour_x000D_
Cumul
depuis le 24/01]]</f>
        <v>12.158977402420172</v>
      </c>
      <c r="AN15" s="37">
        <f>(Tableau1[[#This Row],[Montant
Tarif HP/HC]]-AK$59)/Tableau1[[#This Row],[Diff jour_x000D_
Cumul
depuis
précédente facture
16/02/2021]]</f>
        <v>11.836772275106394</v>
      </c>
      <c r="AO15" s="37">
        <f>Tableau1[[#This Row],[Conso HP + HC
Cumul]]*0.1599</f>
        <v>446.76059999999995</v>
      </c>
      <c r="AP15" s="37">
        <f>Tableau1[[#This Row],[Montant
Tarif normal]]/Tableau1[[#This Row],[Diff jour_x000D_
Cumul]]</f>
        <v>10.863296195607612</v>
      </c>
      <c r="AQ15" s="37">
        <f>(Tableau1[[#This Row],[Conso HP / an
Cumul]]*0.1799)+(Tableau1[[#This Row],[Conso HC / an_x000D_
Cumul]]*0.1346)</f>
        <v>4095.1873585388557</v>
      </c>
      <c r="AR15" s="37">
        <f>Tableau1[[#This Row],[Conso HP + HC / an_x000D_
Cumul]]*0.1599</f>
        <v>3965.1031113967774</v>
      </c>
      <c r="AS15" s="38">
        <f>MONTH(Tableau1[[#This Row],[Date]])</f>
        <v>1</v>
      </c>
      <c r="AT15" s="38">
        <f>YEAR(Tableau1[[#This Row],[Date]])</f>
        <v>2021</v>
      </c>
    </row>
    <row r="16" spans="1:46" x14ac:dyDescent="0.2">
      <c r="A16" s="11">
        <v>44224.286805555559</v>
      </c>
      <c r="B16" s="12">
        <v>11.1</v>
      </c>
      <c r="C16" s="32">
        <f>IF(ISERROR(Tableau1[[#This Row],[Date]]-A15),"",Tableau1[[#This Row],[Date]]-A15)</f>
        <v>0.45277777778392192</v>
      </c>
      <c r="D16" s="33">
        <f>IF(ISERROR(Tableau1[[#This Row],[Date]]-A15),"",Tableau1[[#This Row],[Date]]-A15)</f>
        <v>0.45277777778392192</v>
      </c>
      <c r="E16" s="32">
        <f>Tableau1[[#This Row],[Date]]-$A$5</f>
        <v>41.578472222223354</v>
      </c>
      <c r="F16" s="33">
        <f>Tableau1[[#This Row],[Date]]-$A$5</f>
        <v>41.578472222223354</v>
      </c>
      <c r="G16" s="33">
        <f>Tableau1[[#This Row],[Diff jour_x000D_
Cumul]]-F$6</f>
        <v>3.4951388888948713</v>
      </c>
      <c r="H16" s="33">
        <f>Tableau1[[#This Row],[Diff jour_x000D_
Cumul]]-F$59</f>
        <v>-19.024305555554747</v>
      </c>
      <c r="I16" s="13">
        <v>181650</v>
      </c>
      <c r="J16" s="31">
        <f>IF(ISERROR(Tableau1[[#This Row],[Index HP
kWh]]-I15),"",Tableau1[[#This Row],[Index HP
kWh]]-I15)</f>
        <v>7</v>
      </c>
      <c r="K16" s="33">
        <f>IF(ISERROR(Tableau1[[#This Row],[Différence HP
Instantané]]/(Tableau1[[#This Row],[Diff jour
Instantané]]*24)),"",Tableau1[[#This Row],[Différence HP
Instantané]]/(Tableau1[[#This Row],[Diff jour
Instantané]]*24))</f>
        <v>0.64417177913236301</v>
      </c>
      <c r="L16" s="33">
        <f>Tableau1[[#This Row],[Différence HP
Instantané]]/Tableau1[[#This Row],[Diff jour
Instantané]]</f>
        <v>15.460122699176711</v>
      </c>
      <c r="M16" s="33">
        <f>Tableau1[[#This Row],[Conso HP / jour
Instantané]]*365</f>
        <v>5642.9447851995001</v>
      </c>
      <c r="N16" s="31">
        <f>Tableau1[[#This Row],[Index HP
kWh]]-$I$5</f>
        <v>1891</v>
      </c>
      <c r="O16" s="34">
        <f>Tableau1[[#This Row],[Différence HP
Cumul]]/(Tableau1[[#This Row],[Diff jour_x000D_
Cumul]]*24)</f>
        <v>1.8950111068427657</v>
      </c>
      <c r="P16" s="34">
        <f>Tableau1[[#This Row],[Différence HP
Cumul]]/Tableau1[[#This Row],[Diff jour_x000D_
Cumul]]</f>
        <v>45.480266564226376</v>
      </c>
      <c r="Q16" s="34">
        <f>Tableau1[[#This Row],[Conso HP / jour
Cumul]]*365</f>
        <v>16600.297295942626</v>
      </c>
      <c r="R16" s="13">
        <v>120359</v>
      </c>
      <c r="S16" s="31">
        <f>Tableau1[[#This Row],[Index HC_x000D_
kWh]]-R15</f>
        <v>17</v>
      </c>
      <c r="T16" s="35">
        <f>Tableau1[[#This Row],[Différence_x000D_ HC
Instantané]]/(Tableau1[[#This Row],[Diff jour
Instantané]]*24)</f>
        <v>1.5644171778928815</v>
      </c>
      <c r="U16" s="35">
        <f>Tableau1[[#This Row],[Différence_x000D_ HC
Instantané]]/Tableau1[[#This Row],[Diff jour
Instantané]]</f>
        <v>37.546012269429156</v>
      </c>
      <c r="V16" s="35">
        <f>Tableau1[[#This Row],[Conso HC / jour_x000D_
Instantané]]*365</f>
        <v>13704.294478341642</v>
      </c>
      <c r="W16" s="31">
        <f>Tableau1[[#This Row],[Index HC_x000D_
kWh]]-$R$5</f>
        <v>927</v>
      </c>
      <c r="X16" s="36">
        <f>Tableau1[[#This Row],[Différence HC
Cumul]]/(Tableau1[[#This Row],[Diff jour_x000D_
Cumul]]*24)</f>
        <v>0.92896631202709878</v>
      </c>
      <c r="Y16" s="36">
        <f>Tableau1[[#This Row],[Différence HC
Cumul]]/Tableau1[[#This Row],[Diff jour_x000D_
Cumul]]</f>
        <v>22.295191488650371</v>
      </c>
      <c r="Z16" s="36">
        <f>Tableau1[[#This Row],[Conso HC / jour_x000D_
Cumul]]*365</f>
        <v>8137.7448933573851</v>
      </c>
      <c r="AA16" s="31">
        <f>Tableau1[[#This Row],[Différence HP
Instantané]]+Tableau1[[#This Row],[Différence_x000D_ HC
Instantané]]</f>
        <v>24</v>
      </c>
      <c r="AB16" s="34">
        <f>Tableau1[[#This Row],[Conso HP + HC
Instantané]]/(Tableau1[[#This Row],[Diff jour
Instantané]]*24)</f>
        <v>2.2085889570252446</v>
      </c>
      <c r="AC16" s="34">
        <f>IF(ISERROR(Tableau1[[#This Row],[Date]]-A15),"",Tableau1[[#This Row],[Conso HP + HC
Instantané]]/Tableau1[[#This Row],[Diff jour
Instantané]])</f>
        <v>53.006134968605863</v>
      </c>
      <c r="AD16" s="34">
        <f>Tableau1[[#This Row],[Conso HP + HC / jour_x000D_
Instantané]]*365</f>
        <v>19347.239263541142</v>
      </c>
      <c r="AE16" s="31">
        <f>Tableau1[[#This Row],[Différence HP
Cumul]]+Tableau1[[#This Row],[Différence HC
Cumul]]</f>
        <v>2818</v>
      </c>
      <c r="AF16" s="33">
        <f>(Tableau1[[#This Row],[Conso HP + HC
Cumul]]-AE$6)/Tableau1[[#This Row],[Diff jour_x000D_
Cumul
depuis le 24/01]]</f>
        <v>70.669580766817248</v>
      </c>
      <c r="AG16" s="33">
        <f>(Tableau1[[#This Row],[Conso HP + HC
Cumul]]-AE$59)/Tableau1[[#This Row],[Diff jour_x000D_
Cumul
depuis
précédente facture
16/02/2021]]</f>
        <v>71.434933382007046</v>
      </c>
      <c r="AH16" s="34">
        <f>Tableau1[[#This Row],[Conso HP + HC
Cumul]]/(Tableau1[[#This Row],[Diff jour_x000D_
Cumul]]*24)</f>
        <v>2.8239774188698643</v>
      </c>
      <c r="AI16" s="34">
        <f>Tableau1[[#This Row],[Conso HP + HC
Cumul]]/Tableau1[[#This Row],[Diff jour_x000D_
Cumul]]</f>
        <v>67.775458052876743</v>
      </c>
      <c r="AJ16" s="34">
        <f>Tableau1[[#This Row],[Conso HP + HC / jour_x000D_
Cumul]]*365</f>
        <v>24738.042189300013</v>
      </c>
      <c r="AK16" s="37">
        <f>(Tableau1[[#This Row],[Différence HP
Cumul]]*0.1799)+(Tableau1[[#This Row],[Différence HC
Cumul]]*0.1346)</f>
        <v>464.96510000000001</v>
      </c>
      <c r="AL16" s="37">
        <f>Tableau1[[#This Row],[Montant
Tarif HP/HC]]/Tableau1[[#This Row],[Diff jour_x000D_
Cumul]]</f>
        <v>11.182832729276665</v>
      </c>
      <c r="AM16" s="37">
        <f>(Tableau1[[#This Row],[Montant
Tarif HP/HC]]-AK$6)/Tableau1[[#This Row],[Diff jour_x000D_
Cumul
depuis le 24/01]]</f>
        <v>11.598823763143264</v>
      </c>
      <c r="AN16" s="37">
        <f>(Tableau1[[#This Row],[Montant
Tarif HP/HC]]-AK$59)/Tableau1[[#This Row],[Diff jour_x000D_
Cumul
depuis
précédente facture
16/02/2021]]</f>
        <v>11.932015039241243</v>
      </c>
      <c r="AO16" s="37">
        <f>Tableau1[[#This Row],[Conso HP + HC
Cumul]]*0.1599</f>
        <v>450.59819999999996</v>
      </c>
      <c r="AP16" s="37">
        <f>Tableau1[[#This Row],[Montant
Tarif normal]]/Tableau1[[#This Row],[Diff jour_x000D_
Cumul]]</f>
        <v>10.837295742654991</v>
      </c>
      <c r="AQ16" s="37">
        <f>(Tableau1[[#This Row],[Conso HP / an
Cumul]]*0.1799)+(Tableau1[[#This Row],[Conso HC / an_x000D_
Cumul]]*0.1346)</f>
        <v>4081.7339461859829</v>
      </c>
      <c r="AR16" s="37">
        <f>Tableau1[[#This Row],[Conso HP + HC / an_x000D_
Cumul]]*0.1599</f>
        <v>3955.6129460690718</v>
      </c>
      <c r="AS16" s="38">
        <f>MONTH(Tableau1[[#This Row],[Date]])</f>
        <v>1</v>
      </c>
      <c r="AT16" s="38">
        <f>YEAR(Tableau1[[#This Row],[Date]])</f>
        <v>2021</v>
      </c>
    </row>
    <row r="17" spans="1:46" x14ac:dyDescent="0.2">
      <c r="A17" s="11">
        <v>44224.559027777781</v>
      </c>
      <c r="B17" s="12">
        <v>12.1</v>
      </c>
      <c r="C17" s="32">
        <f>IF(ISERROR(Tableau1[[#This Row],[Date]]-A16),"",Tableau1[[#This Row],[Date]]-A16)</f>
        <v>0.27222222222189885</v>
      </c>
      <c r="D17" s="33">
        <f>IF(ISERROR(Tableau1[[#This Row],[Date]]-A16),"",Tableau1[[#This Row],[Date]]-A16)</f>
        <v>0.27222222222189885</v>
      </c>
      <c r="E17" s="32">
        <f>Tableau1[[#This Row],[Date]]-$A$5</f>
        <v>41.850694444445253</v>
      </c>
      <c r="F17" s="33">
        <f>Tableau1[[#This Row],[Date]]-$A$5</f>
        <v>41.850694444445253</v>
      </c>
      <c r="G17" s="33">
        <f>Tableau1[[#This Row],[Diff jour_x000D_
Cumul]]-F$6</f>
        <v>3.7673611111167702</v>
      </c>
      <c r="H17" s="33">
        <f>Tableau1[[#This Row],[Diff jour_x000D_
Cumul]]-F$59</f>
        <v>-18.752083333332848</v>
      </c>
      <c r="I17" s="13">
        <v>181664</v>
      </c>
      <c r="J17" s="31">
        <f>IF(ISERROR(Tableau1[[#This Row],[Index HP
kWh]]-I16),"",Tableau1[[#This Row],[Index HP
kWh]]-I16)</f>
        <v>14</v>
      </c>
      <c r="K17" s="33">
        <f>IF(ISERROR(Tableau1[[#This Row],[Différence HP
Instantané]]/(Tableau1[[#This Row],[Diff jour
Instantané]]*24)),"",Tableau1[[#This Row],[Différence HP
Instantané]]/(Tableau1[[#This Row],[Diff jour
Instantané]]*24))</f>
        <v>2.1428571428596883</v>
      </c>
      <c r="L17" s="33">
        <f>Tableau1[[#This Row],[Différence HP
Instantané]]/Tableau1[[#This Row],[Diff jour
Instantané]]</f>
        <v>51.428571428632523</v>
      </c>
      <c r="M17" s="33">
        <f>Tableau1[[#This Row],[Conso HP / jour
Instantané]]*365</f>
        <v>18771.42857145087</v>
      </c>
      <c r="N17" s="31">
        <f>Tableau1[[#This Row],[Index HP
kWh]]-$I$5</f>
        <v>1905</v>
      </c>
      <c r="O17" s="34">
        <f>Tableau1[[#This Row],[Différence HP
Cumul]]/(Tableau1[[#This Row],[Diff jour_x000D_
Cumul]]*24)</f>
        <v>1.896623247324281</v>
      </c>
      <c r="P17" s="34">
        <f>Tableau1[[#This Row],[Différence HP
Cumul]]/Tableau1[[#This Row],[Diff jour_x000D_
Cumul]]</f>
        <v>45.518957935782744</v>
      </c>
      <c r="Q17" s="34">
        <f>Tableau1[[#This Row],[Conso HP / jour
Cumul]]*365</f>
        <v>16614.419646560702</v>
      </c>
      <c r="R17" s="13">
        <v>120359</v>
      </c>
      <c r="S17" s="31">
        <f>Tableau1[[#This Row],[Index HC_x000D_
kWh]]-R16</f>
        <v>0</v>
      </c>
      <c r="T17" s="35">
        <f>Tableau1[[#This Row],[Différence_x000D_ HC
Instantané]]/(Tableau1[[#This Row],[Diff jour
Instantané]]*24)</f>
        <v>0</v>
      </c>
      <c r="U17" s="35">
        <f>Tableau1[[#This Row],[Différence_x000D_ HC
Instantané]]/Tableau1[[#This Row],[Diff jour
Instantané]]</f>
        <v>0</v>
      </c>
      <c r="V17" s="35">
        <f>Tableau1[[#This Row],[Conso HC / jour_x000D_
Instantané]]*365</f>
        <v>0</v>
      </c>
      <c r="W17" s="31">
        <f>Tableau1[[#This Row],[Index HC_x000D_
kWh]]-$R$5</f>
        <v>927</v>
      </c>
      <c r="X17" s="36">
        <f>Tableau1[[#This Row],[Différence HC
Cumul]]/(Tableau1[[#This Row],[Diff jour_x000D_
Cumul]]*24)</f>
        <v>0.92292375342236666</v>
      </c>
      <c r="Y17" s="36">
        <f>Tableau1[[#This Row],[Différence HC
Cumul]]/Tableau1[[#This Row],[Diff jour_x000D_
Cumul]]</f>
        <v>22.1501700821368</v>
      </c>
      <c r="Z17" s="36">
        <f>Tableau1[[#This Row],[Conso HC / jour_x000D_
Cumul]]*365</f>
        <v>8084.8120799799317</v>
      </c>
      <c r="AA17" s="31">
        <f>Tableau1[[#This Row],[Différence HP
Instantané]]+Tableau1[[#This Row],[Différence_x000D_ HC
Instantané]]</f>
        <v>14</v>
      </c>
      <c r="AB17" s="34">
        <f>Tableau1[[#This Row],[Conso HP + HC
Instantané]]/(Tableau1[[#This Row],[Diff jour
Instantané]]*24)</f>
        <v>2.1428571428596883</v>
      </c>
      <c r="AC17" s="34">
        <f>IF(ISERROR(Tableau1[[#This Row],[Date]]-A16),"",Tableau1[[#This Row],[Conso HP + HC
Instantané]]/Tableau1[[#This Row],[Diff jour
Instantané]])</f>
        <v>51.428571428632523</v>
      </c>
      <c r="AD17" s="34">
        <f>Tableau1[[#This Row],[Conso HP + HC / jour_x000D_
Instantané]]*365</f>
        <v>18771.42857145087</v>
      </c>
      <c r="AE17" s="31">
        <f>Tableau1[[#This Row],[Différence HP
Cumul]]+Tableau1[[#This Row],[Différence HC
Cumul]]</f>
        <v>2832</v>
      </c>
      <c r="AF17" s="33">
        <f>(Tableau1[[#This Row],[Conso HP + HC
Cumul]]-AE$6)/Tableau1[[#This Row],[Diff jour_x000D_
Cumul
depuis le 24/01]]</f>
        <v>69.279262672706992</v>
      </c>
      <c r="AG17" s="33">
        <f>(Tableau1[[#This Row],[Conso HP + HC
Cumul]]-AE$59)/Tableau1[[#This Row],[Diff jour_x000D_
Cumul
depuis
précédente facture
16/02/2021]]</f>
        <v>71.725363848463132</v>
      </c>
      <c r="AH17" s="34">
        <f>Tableau1[[#This Row],[Conso HP + HC
Cumul]]/(Tableau1[[#This Row],[Diff jour_x000D_
Cumul]]*24)</f>
        <v>2.8195470007466477</v>
      </c>
      <c r="AI17" s="34">
        <f>Tableau1[[#This Row],[Conso HP + HC
Cumul]]/Tableau1[[#This Row],[Diff jour_x000D_
Cumul]]</f>
        <v>67.669128017919547</v>
      </c>
      <c r="AJ17" s="34">
        <f>Tableau1[[#This Row],[Conso HP + HC / jour_x000D_
Cumul]]*365</f>
        <v>24699.231726540635</v>
      </c>
      <c r="AK17" s="37">
        <f>(Tableau1[[#This Row],[Différence HP
Cumul]]*0.1799)+(Tableau1[[#This Row],[Différence HC
Cumul]]*0.1346)</f>
        <v>467.4837</v>
      </c>
      <c r="AL17" s="37">
        <f>Tableau1[[#This Row],[Montant
Tarif HP/HC]]/Tableau1[[#This Row],[Diff jour_x000D_
Cumul]]</f>
        <v>11.170273425702929</v>
      </c>
      <c r="AM17" s="37">
        <f>(Tableau1[[#This Row],[Montant
Tarif HP/HC]]-AK$6)/Tableau1[[#This Row],[Diff jour_x000D_
Cumul
depuis le 24/01]]</f>
        <v>11.429246820259321</v>
      </c>
      <c r="AN17" s="37">
        <f>(Tableau1[[#This Row],[Montant
Tarif HP/HC]]-AK$59)/Tableau1[[#This Row],[Diff jour_x000D_
Cumul
depuis
précédente facture
16/02/2021]]</f>
        <v>11.970920564382045</v>
      </c>
      <c r="AO17" s="37">
        <f>Tableau1[[#This Row],[Conso HP + HC
Cumul]]*0.1599</f>
        <v>452.83679999999998</v>
      </c>
      <c r="AP17" s="37">
        <f>Tableau1[[#This Row],[Montant
Tarif normal]]/Tableau1[[#This Row],[Diff jour_x000D_
Cumul]]</f>
        <v>10.820293570065335</v>
      </c>
      <c r="AQ17" s="37">
        <f>(Tableau1[[#This Row],[Conso HP / an
Cumul]]*0.1799)+(Tableau1[[#This Row],[Conso HC / an_x000D_
Cumul]]*0.1346)</f>
        <v>4077.1498003815695</v>
      </c>
      <c r="AR17" s="37">
        <f>Tableau1[[#This Row],[Conso HP + HC / an_x000D_
Cumul]]*0.1599</f>
        <v>3949.407153073847</v>
      </c>
      <c r="AS17" s="38">
        <f>MONTH(Tableau1[[#This Row],[Date]])</f>
        <v>1</v>
      </c>
      <c r="AT17" s="38">
        <f>YEAR(Tableau1[[#This Row],[Date]])</f>
        <v>2021</v>
      </c>
    </row>
    <row r="18" spans="1:46" x14ac:dyDescent="0.2">
      <c r="A18" s="11">
        <v>44224.800000000003</v>
      </c>
      <c r="B18" s="12">
        <v>11.4</v>
      </c>
      <c r="C18" s="32">
        <f>IF(ISERROR(Tableau1[[#This Row],[Date]]-A17),"",Tableau1[[#This Row],[Date]]-A17)</f>
        <v>0.24097222222189885</v>
      </c>
      <c r="D18" s="33">
        <f>IF(ISERROR(Tableau1[[#This Row],[Date]]-A17),"",Tableau1[[#This Row],[Date]]-A17)</f>
        <v>0.24097222222189885</v>
      </c>
      <c r="E18" s="32">
        <f>Tableau1[[#This Row],[Date]]-$A$5</f>
        <v>42.091666666667152</v>
      </c>
      <c r="F18" s="33">
        <f>Tableau1[[#This Row],[Date]]-$A$5</f>
        <v>42.091666666667152</v>
      </c>
      <c r="G18" s="33">
        <f>Tableau1[[#This Row],[Diff jour_x000D_
Cumul]]-F$6</f>
        <v>4.008333333338669</v>
      </c>
      <c r="H18" s="33">
        <f>Tableau1[[#This Row],[Diff jour_x000D_
Cumul]]-F$59</f>
        <v>-18.511111111110949</v>
      </c>
      <c r="I18" s="13">
        <v>181676</v>
      </c>
      <c r="J18" s="31">
        <f>IF(ISERROR(Tableau1[[#This Row],[Index HP
kWh]]-I17),"",Tableau1[[#This Row],[Index HP
kWh]]-I17)</f>
        <v>12</v>
      </c>
      <c r="K18" s="33">
        <f>IF(ISERROR(Tableau1[[#This Row],[Différence HP
Instantané]]/(Tableau1[[#This Row],[Diff jour
Instantané]]*24)),"",Tableau1[[#This Row],[Différence HP
Instantané]]/(Tableau1[[#This Row],[Diff jour
Instantané]]*24))</f>
        <v>2.0749279538932743</v>
      </c>
      <c r="L18" s="33">
        <f>Tableau1[[#This Row],[Différence HP
Instantané]]/Tableau1[[#This Row],[Diff jour
Instantané]]</f>
        <v>49.798270893438584</v>
      </c>
      <c r="M18" s="33">
        <f>Tableau1[[#This Row],[Conso HP / jour
Instantané]]*365</f>
        <v>18176.368876105083</v>
      </c>
      <c r="N18" s="31">
        <f>Tableau1[[#This Row],[Index HP
kWh]]-$I$5</f>
        <v>1917</v>
      </c>
      <c r="O18" s="34">
        <f>Tableau1[[#This Row],[Différence HP
Cumul]]/(Tableau1[[#This Row],[Diff jour_x000D_
Cumul]]*24)</f>
        <v>1.8976440308849514</v>
      </c>
      <c r="P18" s="34">
        <f>Tableau1[[#This Row],[Différence HP
Cumul]]/Tableau1[[#This Row],[Diff jour_x000D_
Cumul]]</f>
        <v>45.543456741238835</v>
      </c>
      <c r="Q18" s="34">
        <f>Tableau1[[#This Row],[Conso HP / jour
Cumul]]*365</f>
        <v>16623.361710552173</v>
      </c>
      <c r="R18" s="13">
        <v>120359</v>
      </c>
      <c r="S18" s="31">
        <f>Tableau1[[#This Row],[Index HC_x000D_
kWh]]-R17</f>
        <v>0</v>
      </c>
      <c r="T18" s="35">
        <f>Tableau1[[#This Row],[Différence_x000D_ HC
Instantané]]/(Tableau1[[#This Row],[Diff jour
Instantané]]*24)</f>
        <v>0</v>
      </c>
      <c r="U18" s="35">
        <f>Tableau1[[#This Row],[Différence_x000D_ HC
Instantané]]/Tableau1[[#This Row],[Diff jour
Instantané]]</f>
        <v>0</v>
      </c>
      <c r="V18" s="35">
        <f>Tableau1[[#This Row],[Conso HC / jour_x000D_
Instantané]]*365</f>
        <v>0</v>
      </c>
      <c r="W18" s="31">
        <f>Tableau1[[#This Row],[Index HC_x000D_
kWh]]-$R$5</f>
        <v>927</v>
      </c>
      <c r="X18" s="36">
        <f>Tableau1[[#This Row],[Différence HC
Cumul]]/(Tableau1[[#This Row],[Diff jour_x000D_
Cumul]]*24)</f>
        <v>0.91764007127300462</v>
      </c>
      <c r="Y18" s="36">
        <f>Tableau1[[#This Row],[Différence HC
Cumul]]/Tableau1[[#This Row],[Diff jour_x000D_
Cumul]]</f>
        <v>22.023361710552113</v>
      </c>
      <c r="Z18" s="36">
        <f>Tableau1[[#This Row],[Conso HC / jour_x000D_
Cumul]]*365</f>
        <v>8038.5270243515215</v>
      </c>
      <c r="AA18" s="31">
        <f>Tableau1[[#This Row],[Différence HP
Instantané]]+Tableau1[[#This Row],[Différence_x000D_ HC
Instantané]]</f>
        <v>12</v>
      </c>
      <c r="AB18" s="34">
        <f>Tableau1[[#This Row],[Conso HP + HC
Instantané]]/(Tableau1[[#This Row],[Diff jour
Instantané]]*24)</f>
        <v>2.0749279538932743</v>
      </c>
      <c r="AC18" s="34">
        <f>IF(ISERROR(Tableau1[[#This Row],[Date]]-A17),"",Tableau1[[#This Row],[Conso HP + HC
Instantané]]/Tableau1[[#This Row],[Diff jour
Instantané]])</f>
        <v>49.798270893438584</v>
      </c>
      <c r="AD18" s="34">
        <f>Tableau1[[#This Row],[Conso HP + HC / jour_x000D_
Instantané]]*365</f>
        <v>18176.368876105083</v>
      </c>
      <c r="AE18" s="31">
        <f>Tableau1[[#This Row],[Différence HP
Cumul]]+Tableau1[[#This Row],[Différence HC
Cumul]]</f>
        <v>2844</v>
      </c>
      <c r="AF18" s="33">
        <f>(Tableau1[[#This Row],[Conso HP + HC
Cumul]]-AE$6)/Tableau1[[#This Row],[Diff jour_x000D_
Cumul
depuis le 24/01]]</f>
        <v>68.108108108017447</v>
      </c>
      <c r="AG18" s="33">
        <f>(Tableau1[[#This Row],[Conso HP + HC
Cumul]]-AE$59)/Tableau1[[#This Row],[Diff jour_x000D_
Cumul
depuis
précédente facture
16/02/2021]]</f>
        <v>72.010804321729324</v>
      </c>
      <c r="AH18" s="34">
        <f>Tableau1[[#This Row],[Conso HP + HC
Cumul]]/(Tableau1[[#This Row],[Diff jour_x000D_
Cumul]]*24)</f>
        <v>2.815284102157956</v>
      </c>
      <c r="AI18" s="34">
        <f>Tableau1[[#This Row],[Conso HP + HC
Cumul]]/Tableau1[[#This Row],[Diff jour_x000D_
Cumul]]</f>
        <v>67.566818451790951</v>
      </c>
      <c r="AJ18" s="34">
        <f>Tableau1[[#This Row],[Conso HP + HC / jour_x000D_
Cumul]]*365</f>
        <v>24661.888734903696</v>
      </c>
      <c r="AK18" s="37">
        <f>(Tableau1[[#This Row],[Différence HP
Cumul]]*0.1799)+(Tableau1[[#This Row],[Différence HC
Cumul]]*0.1346)</f>
        <v>469.64250000000004</v>
      </c>
      <c r="AL18" s="37">
        <f>Tableau1[[#This Row],[Montant
Tarif HP/HC]]/Tableau1[[#This Row],[Diff jour_x000D_
Cumul]]</f>
        <v>11.157612353989181</v>
      </c>
      <c r="AM18" s="37">
        <f>(Tableau1[[#This Row],[Montant
Tarif HP/HC]]-AK$6)/Tableau1[[#This Row],[Diff jour_x000D_
Cumul
depuis le 24/01]]</f>
        <v>11.280723492708479</v>
      </c>
      <c r="AN18" s="37">
        <f>(Tableau1[[#This Row],[Montant
Tarif HP/HC]]-AK$59)/Tableau1[[#This Row],[Diff jour_x000D_
Cumul
depuis
précédente facture
16/02/2021]]</f>
        <v>12.010132653061326</v>
      </c>
      <c r="AO18" s="37">
        <f>Tableau1[[#This Row],[Conso HP + HC
Cumul]]*0.1599</f>
        <v>454.75559999999996</v>
      </c>
      <c r="AP18" s="37">
        <f>Tableau1[[#This Row],[Montant
Tarif normal]]/Tableau1[[#This Row],[Diff jour_x000D_
Cumul]]</f>
        <v>10.803934270441371</v>
      </c>
      <c r="AQ18" s="37">
        <f>(Tableau1[[#This Row],[Conso HP / an
Cumul]]*0.1799)+(Tableau1[[#This Row],[Conso HC / an_x000D_
Cumul]]*0.1346)</f>
        <v>4072.5285092060508</v>
      </c>
      <c r="AR18" s="37">
        <f>Tableau1[[#This Row],[Conso HP + HC / an_x000D_
Cumul]]*0.1599</f>
        <v>3943.4360087111008</v>
      </c>
      <c r="AS18" s="38">
        <f>MONTH(Tableau1[[#This Row],[Date]])</f>
        <v>1</v>
      </c>
      <c r="AT18" s="38">
        <f>YEAR(Tableau1[[#This Row],[Date]])</f>
        <v>2021</v>
      </c>
    </row>
    <row r="19" spans="1:46" x14ac:dyDescent="0.2">
      <c r="A19" s="11">
        <v>44225.286111111112</v>
      </c>
      <c r="B19" s="12">
        <v>10.3</v>
      </c>
      <c r="C19" s="32">
        <f>IF(ISERROR(Tableau1[[#This Row],[Date]]-A18),"",Tableau1[[#This Row],[Date]]-A18)</f>
        <v>0.48611111110949423</v>
      </c>
      <c r="D19" s="33">
        <f>IF(ISERROR(Tableau1[[#This Row],[Date]]-A18),"",Tableau1[[#This Row],[Date]]-A18)</f>
        <v>0.48611111110949423</v>
      </c>
      <c r="E19" s="32">
        <f>Tableau1[[#This Row],[Date]]-$A$5</f>
        <v>42.577777777776646</v>
      </c>
      <c r="F19" s="33">
        <f>Tableau1[[#This Row],[Date]]-$A$5</f>
        <v>42.577777777776646</v>
      </c>
      <c r="G19" s="33">
        <f>Tableau1[[#This Row],[Diff jour_x000D_
Cumul]]-F$6</f>
        <v>4.4944444444481633</v>
      </c>
      <c r="H19" s="33">
        <f>Tableau1[[#This Row],[Diff jour_x000D_
Cumul]]-F$59</f>
        <v>-18.025000000001455</v>
      </c>
      <c r="I19" s="13">
        <v>181685</v>
      </c>
      <c r="J19" s="31">
        <f>IF(ISERROR(Tableau1[[#This Row],[Index HP
kWh]]-I18),"",Tableau1[[#This Row],[Index HP
kWh]]-I18)</f>
        <v>9</v>
      </c>
      <c r="K19" s="33">
        <f>IF(ISERROR(Tableau1[[#This Row],[Différence HP
Instantané]]/(Tableau1[[#This Row],[Diff jour
Instantané]]*24)),"",Tableau1[[#This Row],[Différence HP
Instantané]]/(Tableau1[[#This Row],[Diff jour
Instantané]]*24))</f>
        <v>0.7714285714311373</v>
      </c>
      <c r="L19" s="33">
        <f>Tableau1[[#This Row],[Différence HP
Instantané]]/Tableau1[[#This Row],[Diff jour
Instantané]]</f>
        <v>18.514285714347295</v>
      </c>
      <c r="M19" s="33">
        <f>Tableau1[[#This Row],[Conso HP / jour
Instantané]]*365</f>
        <v>6757.7142857367626</v>
      </c>
      <c r="N19" s="31">
        <f>Tableau1[[#This Row],[Index HP
kWh]]-$I$5</f>
        <v>1926</v>
      </c>
      <c r="O19" s="34">
        <f>Tableau1[[#This Row],[Différence HP
Cumul]]/(Tableau1[[#This Row],[Diff jour_x000D_
Cumul]]*24)</f>
        <v>1.8847860125261462</v>
      </c>
      <c r="P19" s="34">
        <f>Tableau1[[#This Row],[Différence HP
Cumul]]/Tableau1[[#This Row],[Diff jour_x000D_
Cumul]]</f>
        <v>45.234864300627507</v>
      </c>
      <c r="Q19" s="34">
        <f>Tableau1[[#This Row],[Conso HP / jour
Cumul]]*365</f>
        <v>16510.725469729041</v>
      </c>
      <c r="R19" s="13">
        <v>120374</v>
      </c>
      <c r="S19" s="31">
        <f>Tableau1[[#This Row],[Index HC_x000D_
kWh]]-R18</f>
        <v>15</v>
      </c>
      <c r="T19" s="35">
        <f>Tableau1[[#This Row],[Différence_x000D_ HC
Instantané]]/(Tableau1[[#This Row],[Diff jour
Instantané]]*24)</f>
        <v>1.2857142857185622</v>
      </c>
      <c r="U19" s="35">
        <f>Tableau1[[#This Row],[Différence_x000D_ HC
Instantané]]/Tableau1[[#This Row],[Diff jour
Instantané]]</f>
        <v>30.857142857245492</v>
      </c>
      <c r="V19" s="35">
        <f>Tableau1[[#This Row],[Conso HC / jour_x000D_
Instantané]]*365</f>
        <v>11262.857142894605</v>
      </c>
      <c r="W19" s="31">
        <f>Tableau1[[#This Row],[Index HC_x000D_
kWh]]-$R$5</f>
        <v>942</v>
      </c>
      <c r="X19" s="36">
        <f>Tableau1[[#This Row],[Différence HC
Cumul]]/(Tableau1[[#This Row],[Diff jour_x000D_
Cumul]]*24)</f>
        <v>0.9218423799582709</v>
      </c>
      <c r="Y19" s="36">
        <f>Tableau1[[#This Row],[Différence HC
Cumul]]/Tableau1[[#This Row],[Diff jour_x000D_
Cumul]]</f>
        <v>22.124217118998502</v>
      </c>
      <c r="Z19" s="36">
        <f>Tableau1[[#This Row],[Conso HC / jour_x000D_
Cumul]]*365</f>
        <v>8075.3392484344531</v>
      </c>
      <c r="AA19" s="31">
        <f>Tableau1[[#This Row],[Différence HP
Instantané]]+Tableau1[[#This Row],[Différence_x000D_ HC
Instantané]]</f>
        <v>24</v>
      </c>
      <c r="AB19" s="34">
        <f>Tableau1[[#This Row],[Conso HP + HC
Instantané]]/(Tableau1[[#This Row],[Diff jour
Instantané]]*24)</f>
        <v>2.0571428571496995</v>
      </c>
      <c r="AC19" s="34">
        <f>IF(ISERROR(Tableau1[[#This Row],[Date]]-A18),"",Tableau1[[#This Row],[Conso HP + HC
Instantané]]/Tableau1[[#This Row],[Diff jour
Instantané]])</f>
        <v>49.371428571592787</v>
      </c>
      <c r="AD19" s="34">
        <f>Tableau1[[#This Row],[Conso HP + HC / jour_x000D_
Instantané]]*365</f>
        <v>18020.571428631367</v>
      </c>
      <c r="AE19" s="31">
        <f>Tableau1[[#This Row],[Différence HP
Cumul]]+Tableau1[[#This Row],[Différence HC
Cumul]]</f>
        <v>2868</v>
      </c>
      <c r="AF19" s="33">
        <f>(Tableau1[[#This Row],[Conso HP + HC
Cumul]]-AE$6)/Tableau1[[#This Row],[Diff jour_x000D_
Cumul
depuis le 24/01]]</f>
        <v>66.081582200192543</v>
      </c>
      <c r="AG19" s="33">
        <f>(Tableau1[[#This Row],[Conso HP + HC
Cumul]]-AE$59)/Tableau1[[#This Row],[Diff jour_x000D_
Cumul
depuis
précédente facture
16/02/2021]]</f>
        <v>72.621359223295102</v>
      </c>
      <c r="AH19" s="34">
        <f>Tableau1[[#This Row],[Conso HP + HC
Cumul]]/(Tableau1[[#This Row],[Diff jour_x000D_
Cumul]]*24)</f>
        <v>2.8066283924844169</v>
      </c>
      <c r="AI19" s="34">
        <f>Tableau1[[#This Row],[Conso HP + HC
Cumul]]/Tableau1[[#This Row],[Diff jour_x000D_
Cumul]]</f>
        <v>67.359081419626008</v>
      </c>
      <c r="AJ19" s="34">
        <f>Tableau1[[#This Row],[Conso HP + HC / jour_x000D_
Cumul]]*365</f>
        <v>24586.064718163492</v>
      </c>
      <c r="AK19" s="37">
        <f>(Tableau1[[#This Row],[Différence HP
Cumul]]*0.1799)+(Tableau1[[#This Row],[Différence HC
Cumul]]*0.1346)</f>
        <v>473.28060000000005</v>
      </c>
      <c r="AL19" s="37">
        <f>Tableau1[[#This Row],[Montant
Tarif HP/HC]]/Tableau1[[#This Row],[Diff jour_x000D_
Cumul]]</f>
        <v>11.115671711900088</v>
      </c>
      <c r="AM19" s="37">
        <f>(Tableau1[[#This Row],[Montant
Tarif HP/HC]]-AK$6)/Tableau1[[#This Row],[Diff jour_x000D_
Cumul
depuis le 24/01]]</f>
        <v>10.870086526567029</v>
      </c>
      <c r="AN19" s="37">
        <f>(Tableau1[[#This Row],[Montant
Tarif HP/HC]]-AK$59)/Tableau1[[#This Row],[Diff jour_x000D_
Cumul
depuis
précédente facture
16/02/2021]]</f>
        <v>12.132194174756298</v>
      </c>
      <c r="AO19" s="37">
        <f>Tableau1[[#This Row],[Conso HP + HC
Cumul]]*0.1599</f>
        <v>458.59319999999997</v>
      </c>
      <c r="AP19" s="37">
        <f>Tableau1[[#This Row],[Montant
Tarif normal]]/Tableau1[[#This Row],[Diff jour_x000D_
Cumul]]</f>
        <v>10.770717118998197</v>
      </c>
      <c r="AQ19" s="37">
        <f>(Tableau1[[#This Row],[Conso HP / an
Cumul]]*0.1799)+(Tableau1[[#This Row],[Conso HC / an_x000D_
Cumul]]*0.1346)</f>
        <v>4057.2201748435318</v>
      </c>
      <c r="AR19" s="37">
        <f>Tableau1[[#This Row],[Conso HP + HC / an_x000D_
Cumul]]*0.1599</f>
        <v>3931.311748434342</v>
      </c>
      <c r="AS19" s="38">
        <f>MONTH(Tableau1[[#This Row],[Date]])</f>
        <v>1</v>
      </c>
      <c r="AT19" s="38">
        <f>YEAR(Tableau1[[#This Row],[Date]])</f>
        <v>2021</v>
      </c>
    </row>
    <row r="20" spans="1:46" x14ac:dyDescent="0.2">
      <c r="A20" s="11">
        <v>44225.564583333333</v>
      </c>
      <c r="B20" s="12">
        <v>11.6</v>
      </c>
      <c r="C20" s="32">
        <f>IF(ISERROR(Tableau1[[#This Row],[Date]]-A19),"",Tableau1[[#This Row],[Date]]-A19)</f>
        <v>0.27847222222044365</v>
      </c>
      <c r="D20" s="33">
        <f>IF(ISERROR(Tableau1[[#This Row],[Date]]-A19),"",Tableau1[[#This Row],[Date]]-A19)</f>
        <v>0.27847222222044365</v>
      </c>
      <c r="E20" s="32">
        <f>Tableau1[[#This Row],[Date]]-$A$5</f>
        <v>42.85624999999709</v>
      </c>
      <c r="F20" s="33">
        <f>Tableau1[[#This Row],[Date]]-$A$5</f>
        <v>42.85624999999709</v>
      </c>
      <c r="G20" s="33">
        <f>Tableau1[[#This Row],[Diff jour_x000D_
Cumul]]-F$6</f>
        <v>4.7729166666686069</v>
      </c>
      <c r="H20" s="33">
        <f>Tableau1[[#This Row],[Diff jour_x000D_
Cumul]]-F$59</f>
        <v>-17.746527777781012</v>
      </c>
      <c r="I20" s="13">
        <v>181700</v>
      </c>
      <c r="J20" s="31">
        <f>IF(ISERROR(Tableau1[[#This Row],[Index HP
kWh]]-I19),"",Tableau1[[#This Row],[Index HP
kWh]]-I19)</f>
        <v>15</v>
      </c>
      <c r="K20" s="33">
        <f>IF(ISERROR(Tableau1[[#This Row],[Différence HP
Instantané]]/(Tableau1[[#This Row],[Diff jour
Instantané]]*24)),"",Tableau1[[#This Row],[Différence HP
Instantané]]/(Tableau1[[#This Row],[Diff jour
Instantané]]*24))</f>
        <v>2.2443890274457559</v>
      </c>
      <c r="L20" s="33">
        <f>Tableau1[[#This Row],[Différence HP
Instantané]]/Tableau1[[#This Row],[Diff jour
Instantané]]</f>
        <v>53.865336658698148</v>
      </c>
      <c r="M20" s="33">
        <f>Tableau1[[#This Row],[Conso HP / jour
Instantané]]*365</f>
        <v>19660.847880424823</v>
      </c>
      <c r="N20" s="31">
        <f>Tableau1[[#This Row],[Index HP
kWh]]-$I$5</f>
        <v>1941</v>
      </c>
      <c r="O20" s="34">
        <f>Tableau1[[#This Row],[Différence HP
Cumul]]/(Tableau1[[#This Row],[Diff jour_x000D_
Cumul]]*24)</f>
        <v>1.8871226483886363</v>
      </c>
      <c r="P20" s="34">
        <f>Tableau1[[#This Row],[Différence HP
Cumul]]/Tableau1[[#This Row],[Diff jour_x000D_
Cumul]]</f>
        <v>45.290943561327268</v>
      </c>
      <c r="Q20" s="34">
        <f>Tableau1[[#This Row],[Conso HP / jour
Cumul]]*365</f>
        <v>16531.194399884454</v>
      </c>
      <c r="R20" s="13">
        <v>120374</v>
      </c>
      <c r="S20" s="31">
        <f>Tableau1[[#This Row],[Index HC_x000D_
kWh]]-R19</f>
        <v>0</v>
      </c>
      <c r="T20" s="35">
        <f>Tableau1[[#This Row],[Différence_x000D_ HC
Instantané]]/(Tableau1[[#This Row],[Diff jour
Instantané]]*24)</f>
        <v>0</v>
      </c>
      <c r="U20" s="35">
        <f>Tableau1[[#This Row],[Différence_x000D_ HC
Instantané]]/Tableau1[[#This Row],[Diff jour
Instantané]]</f>
        <v>0</v>
      </c>
      <c r="V20" s="35">
        <f>Tableau1[[#This Row],[Conso HC / jour_x000D_
Instantané]]*365</f>
        <v>0</v>
      </c>
      <c r="W20" s="31">
        <f>Tableau1[[#This Row],[Index HC_x000D_
kWh]]-$R$5</f>
        <v>942</v>
      </c>
      <c r="X20" s="36">
        <f>Tableau1[[#This Row],[Différence HC
Cumul]]/(Tableau1[[#This Row],[Diff jour_x000D_
Cumul]]*24)</f>
        <v>0.91585241359201208</v>
      </c>
      <c r="Y20" s="36">
        <f>Tableau1[[#This Row],[Différence HC
Cumul]]/Tableau1[[#This Row],[Diff jour_x000D_
Cumul]]</f>
        <v>21.980457926208288</v>
      </c>
      <c r="Z20" s="36">
        <f>Tableau1[[#This Row],[Conso HC / jour_x000D_
Cumul]]*365</f>
        <v>8022.8671430660252</v>
      </c>
      <c r="AA20" s="31">
        <f>Tableau1[[#This Row],[Différence HP
Instantané]]+Tableau1[[#This Row],[Différence_x000D_ HC
Instantané]]</f>
        <v>15</v>
      </c>
      <c r="AB20" s="34">
        <f>Tableau1[[#This Row],[Conso HP + HC
Instantané]]/(Tableau1[[#This Row],[Diff jour
Instantané]]*24)</f>
        <v>2.2443890274457559</v>
      </c>
      <c r="AC20" s="34">
        <f>IF(ISERROR(Tableau1[[#This Row],[Date]]-A19),"",Tableau1[[#This Row],[Conso HP + HC
Instantané]]/Tableau1[[#This Row],[Diff jour
Instantané]])</f>
        <v>53.865336658698148</v>
      </c>
      <c r="AD20" s="34">
        <f>Tableau1[[#This Row],[Conso HP + HC / jour_x000D_
Instantané]]*365</f>
        <v>19660.847880424823</v>
      </c>
      <c r="AE20" s="31">
        <f>Tableau1[[#This Row],[Différence HP
Cumul]]+Tableau1[[#This Row],[Différence HC
Cumul]]</f>
        <v>2883</v>
      </c>
      <c r="AF20" s="33">
        <f>(Tableau1[[#This Row],[Conso HP + HC
Cumul]]-AE$6)/Tableau1[[#This Row],[Diff jour_x000D_
Cumul
depuis le 24/01]]</f>
        <v>65.368834570030174</v>
      </c>
      <c r="AG20" s="33">
        <f>(Tableau1[[#This Row],[Conso HP + HC
Cumul]]-AE$59)/Tableau1[[#This Row],[Diff jour_x000D_
Cumul
depuis
précédente facture
16/02/2021]]</f>
        <v>72.915672079814541</v>
      </c>
      <c r="AH20" s="34">
        <f>Tableau1[[#This Row],[Conso HP + HC
Cumul]]/(Tableau1[[#This Row],[Diff jour_x000D_
Cumul]]*24)</f>
        <v>2.8029750619806482</v>
      </c>
      <c r="AI20" s="34">
        <f>Tableau1[[#This Row],[Conso HP + HC
Cumul]]/Tableau1[[#This Row],[Diff jour_x000D_
Cumul]]</f>
        <v>67.271401487535556</v>
      </c>
      <c r="AJ20" s="34">
        <f>Tableau1[[#This Row],[Conso HP + HC / jour_x000D_
Cumul]]*365</f>
        <v>24554.06154295048</v>
      </c>
      <c r="AK20" s="37">
        <f>(Tableau1[[#This Row],[Différence HP
Cumul]]*0.1799)+(Tableau1[[#This Row],[Différence HC
Cumul]]*0.1346)</f>
        <v>475.97910000000002</v>
      </c>
      <c r="AL20" s="37">
        <f>Tableau1[[#This Row],[Montant
Tarif HP/HC]]/Tableau1[[#This Row],[Diff jour_x000D_
Cumul]]</f>
        <v>11.106410383550411</v>
      </c>
      <c r="AM20" s="37">
        <f>(Tableau1[[#This Row],[Montant
Tarif HP/HC]]-AK$6)/Tableau1[[#This Row],[Diff jour_x000D_
Cumul
depuis le 24/01]]</f>
        <v>10.801257092968108</v>
      </c>
      <c r="AN20" s="37">
        <f>(Tableau1[[#This Row],[Montant
Tarif HP/HC]]-AK$59)/Tableau1[[#This Row],[Diff jour_x000D_
Cumul
depuis
précédente facture
16/02/2021]]</f>
        <v>12.170510350222784</v>
      </c>
      <c r="AO20" s="37">
        <f>Tableau1[[#This Row],[Conso HP + HC
Cumul]]*0.1599</f>
        <v>460.99169999999998</v>
      </c>
      <c r="AP20" s="37">
        <f>Tableau1[[#This Row],[Montant
Tarif normal]]/Tableau1[[#This Row],[Diff jour_x000D_
Cumul]]</f>
        <v>10.756697097856936</v>
      </c>
      <c r="AQ20" s="37">
        <f>(Tableau1[[#This Row],[Conso HP / an
Cumul]]*0.1799)+(Tableau1[[#This Row],[Conso HC / an_x000D_
Cumul]]*0.1346)</f>
        <v>4053.8397899959</v>
      </c>
      <c r="AR20" s="37">
        <f>Tableau1[[#This Row],[Conso HP + HC / an_x000D_
Cumul]]*0.1599</f>
        <v>3926.1944407177812</v>
      </c>
      <c r="AS20" s="38">
        <f>MONTH(Tableau1[[#This Row],[Date]])</f>
        <v>1</v>
      </c>
      <c r="AT20" s="38">
        <f>YEAR(Tableau1[[#This Row],[Date]])</f>
        <v>2021</v>
      </c>
    </row>
    <row r="21" spans="1:46" x14ac:dyDescent="0.2">
      <c r="A21" s="11">
        <v>44225.879861111112</v>
      </c>
      <c r="B21" s="12">
        <v>9.6</v>
      </c>
      <c r="C21" s="32">
        <f>IF(ISERROR(Tableau1[[#This Row],[Date]]-A20),"",Tableau1[[#This Row],[Date]]-A20)</f>
        <v>0.31527777777955635</v>
      </c>
      <c r="D21" s="33">
        <f>IF(ISERROR(Tableau1[[#This Row],[Date]]-A20),"",Tableau1[[#This Row],[Date]]-A20)</f>
        <v>0.31527777777955635</v>
      </c>
      <c r="E21" s="32">
        <f>Tableau1[[#This Row],[Date]]-$A$5</f>
        <v>43.171527777776646</v>
      </c>
      <c r="F21" s="33">
        <f>Tableau1[[#This Row],[Date]]-$A$5</f>
        <v>43.171527777776646</v>
      </c>
      <c r="G21" s="33">
        <f>Tableau1[[#This Row],[Diff jour_x000D_
Cumul]]-F$6</f>
        <v>5.0881944444481633</v>
      </c>
      <c r="H21" s="33">
        <f>Tableau1[[#This Row],[Diff jour_x000D_
Cumul]]-F$59</f>
        <v>-17.431250000001455</v>
      </c>
      <c r="I21" s="13">
        <v>181718</v>
      </c>
      <c r="J21" s="31">
        <f>IF(ISERROR(Tableau1[[#This Row],[Index HP
kWh]]-I20),"",Tableau1[[#This Row],[Index HP
kWh]]-I20)</f>
        <v>18</v>
      </c>
      <c r="K21" s="33">
        <f>IF(ISERROR(Tableau1[[#This Row],[Différence HP
Instantané]]/(Tableau1[[#This Row],[Diff jour
Instantané]]*24)),"",Tableau1[[#This Row],[Différence HP
Instantané]]/(Tableau1[[#This Row],[Diff jour
Instantané]]*24))</f>
        <v>2.3788546255372411</v>
      </c>
      <c r="L21" s="33">
        <f>Tableau1[[#This Row],[Différence HP
Instantané]]/Tableau1[[#This Row],[Diff jour
Instantané]]</f>
        <v>57.092511012893787</v>
      </c>
      <c r="M21" s="33">
        <f>Tableau1[[#This Row],[Conso HP / jour
Instantané]]*365</f>
        <v>20838.766519706231</v>
      </c>
      <c r="N21" s="31">
        <f>Tableau1[[#This Row],[Index HP
kWh]]-$I$5</f>
        <v>1959</v>
      </c>
      <c r="O21" s="34">
        <f>Tableau1[[#This Row],[Différence HP
Cumul]]/(Tableau1[[#This Row],[Diff jour_x000D_
Cumul]]*24)</f>
        <v>1.8907137227146731</v>
      </c>
      <c r="P21" s="34">
        <f>Tableau1[[#This Row],[Différence HP
Cumul]]/Tableau1[[#This Row],[Diff jour_x000D_
Cumul]]</f>
        <v>45.377129345152156</v>
      </c>
      <c r="Q21" s="34">
        <f>Tableau1[[#This Row],[Conso HP / jour
Cumul]]*365</f>
        <v>16562.652210980537</v>
      </c>
      <c r="R21" s="13">
        <v>120374</v>
      </c>
      <c r="S21" s="31">
        <f>Tableau1[[#This Row],[Index HC_x000D_
kWh]]-R20</f>
        <v>0</v>
      </c>
      <c r="T21" s="35">
        <f>Tableau1[[#This Row],[Différence_x000D_ HC
Instantané]]/(Tableau1[[#This Row],[Diff jour
Instantané]]*24)</f>
        <v>0</v>
      </c>
      <c r="U21" s="35">
        <f>Tableau1[[#This Row],[Différence_x000D_ HC
Instantané]]/Tableau1[[#This Row],[Diff jour
Instantané]]</f>
        <v>0</v>
      </c>
      <c r="V21" s="35">
        <f>Tableau1[[#This Row],[Conso HC / jour_x000D_
Instantané]]*365</f>
        <v>0</v>
      </c>
      <c r="W21" s="31">
        <f>Tableau1[[#This Row],[Index HC_x000D_
kWh]]-$R$5</f>
        <v>942</v>
      </c>
      <c r="X21" s="36">
        <f>Tableau1[[#This Row],[Différence HC
Cumul]]/(Tableau1[[#This Row],[Diff jour_x000D_
Cumul]]*24)</f>
        <v>0.90916402593017975</v>
      </c>
      <c r="Y21" s="36">
        <f>Tableau1[[#This Row],[Différence HC
Cumul]]/Tableau1[[#This Row],[Diff jour_x000D_
Cumul]]</f>
        <v>21.819936622324313</v>
      </c>
      <c r="Z21" s="36">
        <f>Tableau1[[#This Row],[Conso HC / jour_x000D_
Cumul]]*365</f>
        <v>7964.2768671483745</v>
      </c>
      <c r="AA21" s="31">
        <f>Tableau1[[#This Row],[Différence HP
Instantané]]+Tableau1[[#This Row],[Différence_x000D_ HC
Instantané]]</f>
        <v>18</v>
      </c>
      <c r="AB21" s="34">
        <f>Tableau1[[#This Row],[Conso HP + HC
Instantané]]/(Tableau1[[#This Row],[Diff jour
Instantané]]*24)</f>
        <v>2.3788546255372411</v>
      </c>
      <c r="AC21" s="34">
        <f>IF(ISERROR(Tableau1[[#This Row],[Date]]-A20),"",Tableau1[[#This Row],[Conso HP + HC
Instantané]]/Tableau1[[#This Row],[Diff jour
Instantané]])</f>
        <v>57.092511012893787</v>
      </c>
      <c r="AD21" s="34">
        <f>Tableau1[[#This Row],[Conso HP + HC / jour_x000D_
Instantané]]*365</f>
        <v>20838.766519706231</v>
      </c>
      <c r="AE21" s="31">
        <f>Tableau1[[#This Row],[Différence HP
Cumul]]+Tableau1[[#This Row],[Différence HC
Cumul]]</f>
        <v>2901</v>
      </c>
      <c r="AF21" s="33">
        <f>(Tableau1[[#This Row],[Conso HP + HC
Cumul]]-AE$6)/Tableau1[[#This Row],[Diff jour_x000D_
Cumul
depuis le 24/01]]</f>
        <v>64.856012010325188</v>
      </c>
      <c r="AG21" s="33">
        <f>(Tableau1[[#This Row],[Conso HP + HC
Cumul]]-AE$59)/Tableau1[[#This Row],[Diff jour_x000D_
Cumul
depuis
précédente facture
16/02/2021]]</f>
        <v>73.201864467544979</v>
      </c>
      <c r="AH21" s="34">
        <f>Tableau1[[#This Row],[Conso HP + HC
Cumul]]/(Tableau1[[#This Row],[Diff jour_x000D_
Cumul]]*24)</f>
        <v>2.7998777486448527</v>
      </c>
      <c r="AI21" s="34">
        <f>Tableau1[[#This Row],[Conso HP + HC
Cumul]]/Tableau1[[#This Row],[Diff jour_x000D_
Cumul]]</f>
        <v>67.197065967476462</v>
      </c>
      <c r="AJ21" s="34">
        <f>Tableau1[[#This Row],[Conso HP + HC / jour_x000D_
Cumul]]*365</f>
        <v>24526.929078128909</v>
      </c>
      <c r="AK21" s="37">
        <f>(Tableau1[[#This Row],[Différence HP
Cumul]]*0.1799)+(Tableau1[[#This Row],[Différence HC
Cumul]]*0.1346)</f>
        <v>479.21730000000002</v>
      </c>
      <c r="AL21" s="37">
        <f>Tableau1[[#This Row],[Montant
Tarif HP/HC]]/Tableau1[[#This Row],[Diff jour_x000D_
Cumul]]</f>
        <v>11.100309038557725</v>
      </c>
      <c r="AM21" s="37">
        <f>(Tableau1[[#This Row],[Montant
Tarif HP/HC]]-AK$6)/Tableau1[[#This Row],[Diff jour_x000D_
Cumul
depuis le 24/01]]</f>
        <v>10.768397434139802</v>
      </c>
      <c r="AN21" s="37">
        <f>(Tableau1[[#This Row],[Montant
Tarif HP/HC]]-AK$59)/Tableau1[[#This Row],[Diff jour_x000D_
Cumul
depuis
précédente facture
16/02/2021]]</f>
        <v>12.204867694513142</v>
      </c>
      <c r="AO21" s="37">
        <f>Tableau1[[#This Row],[Conso HP + HC
Cumul]]*0.1599</f>
        <v>463.86989999999997</v>
      </c>
      <c r="AP21" s="37">
        <f>Tableau1[[#This Row],[Montant
Tarif normal]]/Tableau1[[#This Row],[Diff jour_x000D_
Cumul]]</f>
        <v>10.744810848199487</v>
      </c>
      <c r="AQ21" s="37">
        <f>(Tableau1[[#This Row],[Conso HP / an
Cumul]]*0.1799)+(Tableau1[[#This Row],[Conso HC / an_x000D_
Cumul]]*0.1346)</f>
        <v>4051.6127990735699</v>
      </c>
      <c r="AR21" s="37">
        <f>Tableau1[[#This Row],[Conso HP + HC / an_x000D_
Cumul]]*0.1599</f>
        <v>3921.8559595928123</v>
      </c>
      <c r="AS21" s="38">
        <f>MONTH(Tableau1[[#This Row],[Date]])</f>
        <v>1</v>
      </c>
      <c r="AT21" s="38">
        <f>YEAR(Tableau1[[#This Row],[Date]])</f>
        <v>2021</v>
      </c>
    </row>
    <row r="22" spans="1:46" x14ac:dyDescent="0.2">
      <c r="A22" s="11">
        <v>44226.274305555555</v>
      </c>
      <c r="B22" s="12">
        <v>10.7</v>
      </c>
      <c r="C22" s="32">
        <f>IF(ISERROR(Tableau1[[#This Row],[Date]]-A21),"",Tableau1[[#This Row],[Date]]-A21)</f>
        <v>0.3944444444423425</v>
      </c>
      <c r="D22" s="33">
        <f>IF(ISERROR(Tableau1[[#This Row],[Date]]-A21),"",Tableau1[[#This Row],[Date]]-A21)</f>
        <v>0.3944444444423425</v>
      </c>
      <c r="E22" s="32">
        <f>Tableau1[[#This Row],[Date]]-$A$5</f>
        <v>43.565972222218988</v>
      </c>
      <c r="F22" s="33">
        <f>Tableau1[[#This Row],[Date]]-$A$5</f>
        <v>43.565972222218988</v>
      </c>
      <c r="G22" s="33">
        <f>Tableau1[[#This Row],[Diff jour_x000D_
Cumul]]-F$6</f>
        <v>5.4826388888905058</v>
      </c>
      <c r="H22" s="33">
        <f>Tableau1[[#This Row],[Diff jour_x000D_
Cumul]]-F$59</f>
        <v>-17.036805555559113</v>
      </c>
      <c r="I22" s="13">
        <v>181722</v>
      </c>
      <c r="J22" s="31">
        <f>IF(ISERROR(Tableau1[[#This Row],[Index HP
kWh]]-I21),"",Tableau1[[#This Row],[Index HP
kWh]]-I21)</f>
        <v>4</v>
      </c>
      <c r="K22" s="33">
        <f>IF(ISERROR(Tableau1[[#This Row],[Différence HP
Instantané]]/(Tableau1[[#This Row],[Diff jour
Instantané]]*24)),"",Tableau1[[#This Row],[Différence HP
Instantané]]/(Tableau1[[#This Row],[Diff jour
Instantané]]*24))</f>
        <v>0.42253521126985727</v>
      </c>
      <c r="L22" s="33">
        <f>Tableau1[[#This Row],[Différence HP
Instantané]]/Tableau1[[#This Row],[Diff jour
Instantané]]</f>
        <v>10.140845070476574</v>
      </c>
      <c r="M22" s="33">
        <f>Tableau1[[#This Row],[Conso HP / jour
Instantané]]*365</f>
        <v>3701.4084507239495</v>
      </c>
      <c r="N22" s="31">
        <f>Tableau1[[#This Row],[Index HP
kWh]]-$I$5</f>
        <v>1963</v>
      </c>
      <c r="O22" s="34">
        <f>Tableau1[[#This Row],[Différence HP
Cumul]]/(Tableau1[[#This Row],[Diff jour_x000D_
Cumul]]*24)</f>
        <v>1.8774208974258189</v>
      </c>
      <c r="P22" s="34">
        <f>Tableau1[[#This Row],[Différence HP
Cumul]]/Tableau1[[#This Row],[Diff jour_x000D_
Cumul]]</f>
        <v>45.058101538219653</v>
      </c>
      <c r="Q22" s="34">
        <f>Tableau1[[#This Row],[Conso HP / jour
Cumul]]*365</f>
        <v>16446.207061450172</v>
      </c>
      <c r="R22" s="13">
        <v>120389</v>
      </c>
      <c r="S22" s="31">
        <f>Tableau1[[#This Row],[Index HC_x000D_
kWh]]-R21</f>
        <v>15</v>
      </c>
      <c r="T22" s="35">
        <f>Tableau1[[#This Row],[Différence_x000D_ HC
Instantané]]/(Tableau1[[#This Row],[Diff jour
Instantané]]*24)</f>
        <v>1.5845070422619647</v>
      </c>
      <c r="U22" s="35">
        <f>Tableau1[[#This Row],[Différence_x000D_ HC
Instantané]]/Tableau1[[#This Row],[Diff jour
Instantané]]</f>
        <v>38.028169014287151</v>
      </c>
      <c r="V22" s="35">
        <f>Tableau1[[#This Row],[Conso HC / jour_x000D_
Instantané]]*365</f>
        <v>13880.28169021481</v>
      </c>
      <c r="W22" s="31">
        <f>Tableau1[[#This Row],[Index HC_x000D_
kWh]]-$R$5</f>
        <v>957</v>
      </c>
      <c r="X22" s="36">
        <f>Tableau1[[#This Row],[Différence HC
Cumul]]/(Tableau1[[#This Row],[Diff jour_x000D_
Cumul]]*24)</f>
        <v>0.91527855264213376</v>
      </c>
      <c r="Y22" s="36">
        <f>Tableau1[[#This Row],[Différence HC
Cumul]]/Tableau1[[#This Row],[Diff jour_x000D_
Cumul]]</f>
        <v>21.966685263411211</v>
      </c>
      <c r="Z22" s="36">
        <f>Tableau1[[#This Row],[Conso HC / jour_x000D_
Cumul]]*365</f>
        <v>8017.8401211450919</v>
      </c>
      <c r="AA22" s="31">
        <f>Tableau1[[#This Row],[Différence HP
Instantané]]+Tableau1[[#This Row],[Différence_x000D_ HC
Instantané]]</f>
        <v>19</v>
      </c>
      <c r="AB22" s="34">
        <f>Tableau1[[#This Row],[Conso HP + HC
Instantané]]/(Tableau1[[#This Row],[Diff jour
Instantané]]*24)</f>
        <v>2.007042253531822</v>
      </c>
      <c r="AC22" s="34">
        <f>IF(ISERROR(Tableau1[[#This Row],[Date]]-A21),"",Tableau1[[#This Row],[Conso HP + HC
Instantané]]/Tableau1[[#This Row],[Diff jour
Instantané]])</f>
        <v>48.169014084763731</v>
      </c>
      <c r="AD22" s="34">
        <f>Tableau1[[#This Row],[Conso HP + HC / jour_x000D_
Instantané]]*365</f>
        <v>17581.690140938761</v>
      </c>
      <c r="AE22" s="31">
        <f>Tableau1[[#This Row],[Différence HP
Cumul]]+Tableau1[[#This Row],[Différence HC
Cumul]]</f>
        <v>2920</v>
      </c>
      <c r="AF22" s="33">
        <f>(Tableau1[[#This Row],[Conso HP + HC
Cumul]]-AE$6)/Tableau1[[#This Row],[Diff jour_x000D_
Cumul
depuis le 24/01]]</f>
        <v>63.655478150709534</v>
      </c>
      <c r="AG22" s="33">
        <f>(Tableau1[[#This Row],[Conso HP + HC
Cumul]]-AE$59)/Tableau1[[#This Row],[Diff jour_x000D_
Cumul
depuis
précédente facture
16/02/2021]]</f>
        <v>73.781437247773283</v>
      </c>
      <c r="AH22" s="34">
        <f>Tableau1[[#This Row],[Conso HP + HC
Cumul]]/(Tableau1[[#This Row],[Diff jour_x000D_
Cumul]]*24)</f>
        <v>2.7926994500679525</v>
      </c>
      <c r="AI22" s="34">
        <f>Tableau1[[#This Row],[Conso HP + HC
Cumul]]/Tableau1[[#This Row],[Diff jour_x000D_
Cumul]]</f>
        <v>67.024786801630867</v>
      </c>
      <c r="AJ22" s="34">
        <f>Tableau1[[#This Row],[Conso HP + HC / jour_x000D_
Cumul]]*365</f>
        <v>24464.047182595266</v>
      </c>
      <c r="AK22" s="37">
        <f>(Tableau1[[#This Row],[Différence HP
Cumul]]*0.1799)+(Tableau1[[#This Row],[Différence HC
Cumul]]*0.1346)</f>
        <v>481.95590000000004</v>
      </c>
      <c r="AL22" s="37">
        <f>Tableau1[[#This Row],[Montant
Tarif HP/HC]]/Tableau1[[#This Row],[Diff jour_x000D_
Cumul]]</f>
        <v>11.062668303180866</v>
      </c>
      <c r="AM22" s="37">
        <f>(Tableau1[[#This Row],[Montant
Tarif HP/HC]]-AK$6)/Tableau1[[#This Row],[Diff jour_x000D_
Cumul
depuis le 24/01]]</f>
        <v>10.493176947431992</v>
      </c>
      <c r="AN22" s="37">
        <f>(Tableau1[[#This Row],[Montant
Tarif HP/HC]]-AK$59)/Tableau1[[#This Row],[Diff jour_x000D_
Cumul
depuis
précédente facture
16/02/2021]]</f>
        <v>12.326694656174816</v>
      </c>
      <c r="AO22" s="37">
        <f>Tableau1[[#This Row],[Conso HP + HC
Cumul]]*0.1599</f>
        <v>466.90799999999996</v>
      </c>
      <c r="AP22" s="37">
        <f>Tableau1[[#This Row],[Montant
Tarif normal]]/Tableau1[[#This Row],[Diff jour_x000D_
Cumul]]</f>
        <v>10.717263409580774</v>
      </c>
      <c r="AQ22" s="37">
        <f>(Tableau1[[#This Row],[Conso HP / an
Cumul]]*0.1799)+(Tableau1[[#This Row],[Conso HC / an_x000D_
Cumul]]*0.1346)</f>
        <v>4037.8739306610155</v>
      </c>
      <c r="AR22" s="37">
        <f>Tableau1[[#This Row],[Conso HP + HC / an_x000D_
Cumul]]*0.1599</f>
        <v>3911.8011444969829</v>
      </c>
      <c r="AS22" s="38">
        <f>MONTH(Tableau1[[#This Row],[Date]])</f>
        <v>1</v>
      </c>
      <c r="AT22" s="38">
        <f>YEAR(Tableau1[[#This Row],[Date]])</f>
        <v>2021</v>
      </c>
    </row>
    <row r="23" spans="1:46" x14ac:dyDescent="0.2">
      <c r="A23" s="11">
        <v>44226.640277777777</v>
      </c>
      <c r="B23" s="12">
        <v>9.8000000000000007</v>
      </c>
      <c r="C23" s="32">
        <f>IF(ISERROR(Tableau1[[#This Row],[Date]]-A22),"",Tableau1[[#This Row],[Date]]-A22)</f>
        <v>0.36597222222189885</v>
      </c>
      <c r="D23" s="33">
        <f>IF(ISERROR(Tableau1[[#This Row],[Date]]-A22),"",Tableau1[[#This Row],[Date]]-A22)</f>
        <v>0.36597222222189885</v>
      </c>
      <c r="E23" s="32">
        <f>Tableau1[[#This Row],[Date]]-$A$5</f>
        <v>43.931944444440887</v>
      </c>
      <c r="F23" s="33">
        <f>Tableau1[[#This Row],[Date]]-$A$5</f>
        <v>43.931944444440887</v>
      </c>
      <c r="G23" s="33">
        <f>Tableau1[[#This Row],[Diff jour_x000D_
Cumul]]-F$6</f>
        <v>5.8486111111124046</v>
      </c>
      <c r="H23" s="33">
        <f>Tableau1[[#This Row],[Diff jour_x000D_
Cumul]]-F$59</f>
        <v>-16.670833333337214</v>
      </c>
      <c r="I23" s="13">
        <v>181743</v>
      </c>
      <c r="J23" s="31">
        <f>IF(ISERROR(Tableau1[[#This Row],[Index HP
kWh]]-I22),"",Tableau1[[#This Row],[Index HP
kWh]]-I22)</f>
        <v>21</v>
      </c>
      <c r="K23" s="33">
        <f>IF(ISERROR(Tableau1[[#This Row],[Différence HP
Instantané]]/(Tableau1[[#This Row],[Diff jour
Instantané]]*24)),"",Tableau1[[#This Row],[Différence HP
Instantané]]/(Tableau1[[#This Row],[Diff jour
Instantané]]*24))</f>
        <v>2.3908918406093234</v>
      </c>
      <c r="L23" s="33">
        <f>Tableau1[[#This Row],[Différence HP
Instantané]]/Tableau1[[#This Row],[Diff jour
Instantané]]</f>
        <v>57.381404174623761</v>
      </c>
      <c r="M23" s="33">
        <f>Tableau1[[#This Row],[Conso HP / jour
Instantané]]*365</f>
        <v>20944.212523737671</v>
      </c>
      <c r="N23" s="31">
        <f>Tableau1[[#This Row],[Index HP
kWh]]-$I$5</f>
        <v>1984</v>
      </c>
      <c r="O23" s="34">
        <f>Tableau1[[#This Row],[Différence HP
Cumul]]/(Tableau1[[#This Row],[Diff jour_x000D_
Cumul]]*24)</f>
        <v>1.8816983339130859</v>
      </c>
      <c r="P23" s="34">
        <f>Tableau1[[#This Row],[Différence HP
Cumul]]/Tableau1[[#This Row],[Diff jour_x000D_
Cumul]]</f>
        <v>45.160760013914064</v>
      </c>
      <c r="Q23" s="34">
        <f>Tableau1[[#This Row],[Conso HP / jour
Cumul]]*365</f>
        <v>16483.677405078633</v>
      </c>
      <c r="R23" s="13">
        <v>120389</v>
      </c>
      <c r="S23" s="31">
        <f>Tableau1[[#This Row],[Index HC_x000D_
kWh]]-R22</f>
        <v>0</v>
      </c>
      <c r="T23" s="35">
        <f>Tableau1[[#This Row],[Différence_x000D_ HC
Instantané]]/(Tableau1[[#This Row],[Diff jour
Instantané]]*24)</f>
        <v>0</v>
      </c>
      <c r="U23" s="35">
        <f>Tableau1[[#This Row],[Différence_x000D_ HC
Instantané]]/Tableau1[[#This Row],[Diff jour
Instantané]]</f>
        <v>0</v>
      </c>
      <c r="V23" s="35">
        <f>Tableau1[[#This Row],[Conso HC / jour_x000D_
Instantané]]*365</f>
        <v>0</v>
      </c>
      <c r="W23" s="31">
        <f>Tableau1[[#This Row],[Index HC_x000D_
kWh]]-$R$5</f>
        <v>957</v>
      </c>
      <c r="X23" s="36">
        <f>Tableau1[[#This Row],[Différence HC
Cumul]]/(Tableau1[[#This Row],[Diff jour_x000D_
Cumul]]*24)</f>
        <v>0.90765388384819712</v>
      </c>
      <c r="Y23" s="36">
        <f>Tableau1[[#This Row],[Différence HC
Cumul]]/Tableau1[[#This Row],[Diff jour_x000D_
Cumul]]</f>
        <v>21.783693212356731</v>
      </c>
      <c r="Z23" s="36">
        <f>Tableau1[[#This Row],[Conso HC / jour_x000D_
Cumul]]*365</f>
        <v>7951.0480225102065</v>
      </c>
      <c r="AA23" s="31">
        <f>Tableau1[[#This Row],[Différence HP
Instantané]]+Tableau1[[#This Row],[Différence_x000D_ HC
Instantané]]</f>
        <v>21</v>
      </c>
      <c r="AB23" s="34">
        <f>Tableau1[[#This Row],[Conso HP + HC
Instantané]]/(Tableau1[[#This Row],[Diff jour
Instantané]]*24)</f>
        <v>2.3908918406093234</v>
      </c>
      <c r="AC23" s="34">
        <f>IF(ISERROR(Tableau1[[#This Row],[Date]]-A22),"",Tableau1[[#This Row],[Conso HP + HC
Instantané]]/Tableau1[[#This Row],[Diff jour
Instantané]])</f>
        <v>57.381404174623761</v>
      </c>
      <c r="AD23" s="34">
        <f>Tableau1[[#This Row],[Conso HP + HC / jour_x000D_
Instantané]]*365</f>
        <v>20944.212523737671</v>
      </c>
      <c r="AE23" s="31">
        <f>Tableau1[[#This Row],[Différence HP
Cumul]]+Tableau1[[#This Row],[Différence HC
Cumul]]</f>
        <v>2941</v>
      </c>
      <c r="AF23" s="33">
        <f>(Tableau1[[#This Row],[Conso HP + HC
Cumul]]-AE$6)/Tableau1[[#This Row],[Diff jour_x000D_
Cumul
depuis le 24/01]]</f>
        <v>63.262882925656868</v>
      </c>
      <c r="AG23" s="33">
        <f>(Tableau1[[#This Row],[Conso HP + HC
Cumul]]-AE$59)/Tableau1[[#This Row],[Diff jour_x000D_
Cumul
depuis
précédente facture
16/02/2021]]</f>
        <v>74.141464633824285</v>
      </c>
      <c r="AH23" s="34">
        <f>Tableau1[[#This Row],[Conso HP + HC
Cumul]]/(Tableau1[[#This Row],[Diff jour_x000D_
Cumul]]*24)</f>
        <v>2.7893522177612828</v>
      </c>
      <c r="AI23" s="34">
        <f>Tableau1[[#This Row],[Conso HP + HC
Cumul]]/Tableau1[[#This Row],[Diff jour_x000D_
Cumul]]</f>
        <v>66.944453226270795</v>
      </c>
      <c r="AJ23" s="34">
        <f>Tableau1[[#This Row],[Conso HP + HC / jour_x000D_
Cumul]]*365</f>
        <v>24434.725427588841</v>
      </c>
      <c r="AK23" s="37">
        <f>(Tableau1[[#This Row],[Différence HP
Cumul]]*0.1799)+(Tableau1[[#This Row],[Différence HC
Cumul]]*0.1346)</f>
        <v>485.73379999999997</v>
      </c>
      <c r="AL23" s="37">
        <f>Tableau1[[#This Row],[Montant
Tarif HP/HC]]/Tableau1[[#This Row],[Diff jour_x000D_
Cumul]]</f>
        <v>11.056505832886355</v>
      </c>
      <c r="AM23" s="37">
        <f>(Tableau1[[#This Row],[Montant
Tarif HP/HC]]-AK$6)/Tableau1[[#This Row],[Diff jour_x000D_
Cumul
depuis le 24/01]]</f>
        <v>10.482522916169602</v>
      </c>
      <c r="AN23" s="37">
        <f>(Tableau1[[#This Row],[Montant
Tarif HP/HC]]-AK$59)/Tableau1[[#This Row],[Diff jour_x000D_
Cumul
depuis
précédente facture
16/02/2021]]</f>
        <v>12.370683329164828</v>
      </c>
      <c r="AO23" s="37">
        <f>Tableau1[[#This Row],[Conso HP + HC
Cumul]]*0.1599</f>
        <v>470.26589999999999</v>
      </c>
      <c r="AP23" s="37">
        <f>Tableau1[[#This Row],[Montant
Tarif normal]]/Tableau1[[#This Row],[Diff jour_x000D_
Cumul]]</f>
        <v>10.704418070880699</v>
      </c>
      <c r="AQ23" s="37">
        <f>(Tableau1[[#This Row],[Conso HP / an
Cumul]]*0.1799)+(Tableau1[[#This Row],[Conso HC / an_x000D_
Cumul]]*0.1346)</f>
        <v>4035.6246290035197</v>
      </c>
      <c r="AR23" s="37">
        <f>Tableau1[[#This Row],[Conso HP + HC / an_x000D_
Cumul]]*0.1599</f>
        <v>3907.1125958714551</v>
      </c>
      <c r="AS23" s="38">
        <f>MONTH(Tableau1[[#This Row],[Date]])</f>
        <v>1</v>
      </c>
      <c r="AT23" s="38">
        <f>YEAR(Tableau1[[#This Row],[Date]])</f>
        <v>2021</v>
      </c>
    </row>
    <row r="24" spans="1:46" x14ac:dyDescent="0.2">
      <c r="A24" s="11">
        <v>44227.345138888886</v>
      </c>
      <c r="B24" s="12">
        <v>8.8000000000000007</v>
      </c>
      <c r="C24" s="32">
        <f>IF(ISERROR(Tableau1[[#This Row],[Date]]-A23),"",Tableau1[[#This Row],[Date]]-A23)</f>
        <v>0.70486111110949423</v>
      </c>
      <c r="D24" s="33">
        <f>IF(ISERROR(Tableau1[[#This Row],[Date]]-A23),"",Tableau1[[#This Row],[Date]]-A23)</f>
        <v>0.70486111110949423</v>
      </c>
      <c r="E24" s="32">
        <f>Tableau1[[#This Row],[Date]]-$A$5</f>
        <v>44.636805555550382</v>
      </c>
      <c r="F24" s="33">
        <f>Tableau1[[#This Row],[Date]]-$A$5</f>
        <v>44.636805555550382</v>
      </c>
      <c r="G24" s="33">
        <f>Tableau1[[#This Row],[Diff jour_x000D_
Cumul]]-F$6</f>
        <v>6.5534722222218988</v>
      </c>
      <c r="H24" s="33">
        <f>Tableau1[[#This Row],[Diff jour_x000D_
Cumul]]-F$59</f>
        <v>-15.96597222222772</v>
      </c>
      <c r="I24" s="13">
        <v>181769</v>
      </c>
      <c r="J24" s="31">
        <f>IF(ISERROR(Tableau1[[#This Row],[Index HP
kWh]]-I23),"",Tableau1[[#This Row],[Index HP
kWh]]-I23)</f>
        <v>26</v>
      </c>
      <c r="K24" s="33">
        <f>IF(ISERROR(Tableau1[[#This Row],[Différence HP
Instantané]]/(Tableau1[[#This Row],[Diff jour
Instantané]]*24)),"",Tableau1[[#This Row],[Différence HP
Instantané]]/(Tableau1[[#This Row],[Diff jour
Instantané]]*24))</f>
        <v>1.5369458128114073</v>
      </c>
      <c r="L24" s="33">
        <f>Tableau1[[#This Row],[Différence HP
Instantané]]/Tableau1[[#This Row],[Diff jour
Instantané]]</f>
        <v>36.886699507473779</v>
      </c>
      <c r="M24" s="33">
        <f>Tableau1[[#This Row],[Conso HP / jour
Instantané]]*365</f>
        <v>13463.64532022793</v>
      </c>
      <c r="N24" s="31">
        <f>Tableau1[[#This Row],[Index HP
kWh]]-$I$5</f>
        <v>2010</v>
      </c>
      <c r="O24" s="34">
        <f>Tableau1[[#This Row],[Différence HP
Cumul]]/(Tableau1[[#This Row],[Diff jour_x000D_
Cumul]]*24)</f>
        <v>1.8762543366991922</v>
      </c>
      <c r="P24" s="34">
        <f>Tableau1[[#This Row],[Différence HP
Cumul]]/Tableau1[[#This Row],[Diff jour_x000D_
Cumul]]</f>
        <v>45.03010408078061</v>
      </c>
      <c r="Q24" s="34">
        <f>Tableau1[[#This Row],[Conso HP / jour
Cumul]]*365</f>
        <v>16435.987989484922</v>
      </c>
      <c r="R24" s="13">
        <v>120403</v>
      </c>
      <c r="S24" s="31">
        <f>Tableau1[[#This Row],[Index HC_x000D_
kWh]]-R23</f>
        <v>14</v>
      </c>
      <c r="T24" s="35">
        <f>Tableau1[[#This Row],[Différence_x000D_ HC
Instantané]]/(Tableau1[[#This Row],[Diff jour
Instantané]]*24)</f>
        <v>0.82758620689845008</v>
      </c>
      <c r="U24" s="35">
        <f>Tableau1[[#This Row],[Différence_x000D_ HC
Instantané]]/Tableau1[[#This Row],[Diff jour
Instantané]]</f>
        <v>19.862068965562802</v>
      </c>
      <c r="V24" s="35">
        <f>Tableau1[[#This Row],[Conso HC / jour_x000D_
Instantané]]*365</f>
        <v>7249.6551724304227</v>
      </c>
      <c r="W24" s="31">
        <f>Tableau1[[#This Row],[Index HC_x000D_
kWh]]-$R$5</f>
        <v>971</v>
      </c>
      <c r="X24" s="36">
        <f>Tableau1[[#This Row],[Différence HC
Cumul]]/(Tableau1[[#This Row],[Diff jour_x000D_
Cumul]]*24)</f>
        <v>0.90638953280344059</v>
      </c>
      <c r="Y24" s="36">
        <f>Tableau1[[#This Row],[Différence HC
Cumul]]/Tableau1[[#This Row],[Diff jour_x000D_
Cumul]]</f>
        <v>21.753348787282576</v>
      </c>
      <c r="Z24" s="36">
        <f>Tableau1[[#This Row],[Conso HC / jour_x000D_
Cumul]]*365</f>
        <v>7939.9723073581399</v>
      </c>
      <c r="AA24" s="31">
        <f>Tableau1[[#This Row],[Différence HP
Instantané]]+Tableau1[[#This Row],[Différence_x000D_ HC
Instantané]]</f>
        <v>40</v>
      </c>
      <c r="AB24" s="34">
        <f>Tableau1[[#This Row],[Conso HP + HC
Instantané]]/(Tableau1[[#This Row],[Diff jour
Instantané]]*24)</f>
        <v>2.3645320197098574</v>
      </c>
      <c r="AC24" s="34">
        <f>IF(ISERROR(Tableau1[[#This Row],[Date]]-A23),"",Tableau1[[#This Row],[Conso HP + HC
Instantané]]/Tableau1[[#This Row],[Diff jour
Instantané]])</f>
        <v>56.748768473036577</v>
      </c>
      <c r="AD24" s="34">
        <f>Tableau1[[#This Row],[Conso HP + HC / jour_x000D_
Instantané]]*365</f>
        <v>20713.300492658349</v>
      </c>
      <c r="AE24" s="31">
        <f>Tableau1[[#This Row],[Différence HP
Cumul]]+Tableau1[[#This Row],[Différence HC
Cumul]]</f>
        <v>2981</v>
      </c>
      <c r="AF24" s="33">
        <f>(Tableau1[[#This Row],[Conso HP + HC
Cumul]]-AE$6)/Tableau1[[#This Row],[Diff jour_x000D_
Cumul
depuis le 24/01]]</f>
        <v>62.562254953907932</v>
      </c>
      <c r="AG24" s="33">
        <f>(Tableau1[[#This Row],[Conso HP + HC
Cumul]]-AE$59)/Tableau1[[#This Row],[Diff jour_x000D_
Cumul
depuis
précédente facture
16/02/2021]]</f>
        <v>74.909312339585355</v>
      </c>
      <c r="AH24" s="34">
        <f>Tableau1[[#This Row],[Conso HP + HC
Cumul]]/(Tableau1[[#This Row],[Diff jour_x000D_
Cumul]]*24)</f>
        <v>2.7826438695026328</v>
      </c>
      <c r="AI24" s="34">
        <f>Tableau1[[#This Row],[Conso HP + HC
Cumul]]/Tableau1[[#This Row],[Diff jour_x000D_
Cumul]]</f>
        <v>66.783452868063193</v>
      </c>
      <c r="AJ24" s="34">
        <f>Tableau1[[#This Row],[Conso HP + HC / jour_x000D_
Cumul]]*365</f>
        <v>24375.960296843066</v>
      </c>
      <c r="AK24" s="37">
        <f>(Tableau1[[#This Row],[Différence HP
Cumul]]*0.1799)+(Tableau1[[#This Row],[Différence HC
Cumul]]*0.1346)</f>
        <v>492.29559999999998</v>
      </c>
      <c r="AL24" s="37">
        <f>Tableau1[[#This Row],[Montant
Tarif HP/HC]]/Tableau1[[#This Row],[Diff jour_x000D_
Cumul]]</f>
        <v>11.028916470900667</v>
      </c>
      <c r="AM24" s="37">
        <f>(Tableau1[[#This Row],[Montant
Tarif HP/HC]]-AK$6)/Tableau1[[#This Row],[Diff jour_x000D_
Cumul
depuis le 24/01]]</f>
        <v>10.356342057857873</v>
      </c>
      <c r="AN24" s="37">
        <f>(Tableau1[[#This Row],[Montant
Tarif HP/HC]]-AK$59)/Tableau1[[#This Row],[Diff jour_x000D_
Cumul
depuis
précédente facture
16/02/2021]]</f>
        <v>12.505834108994868</v>
      </c>
      <c r="AO24" s="37">
        <f>Tableau1[[#This Row],[Conso HP + HC
Cumul]]*0.1599</f>
        <v>476.66189999999995</v>
      </c>
      <c r="AP24" s="37">
        <f>Tableau1[[#This Row],[Montant
Tarif normal]]/Tableau1[[#This Row],[Diff jour_x000D_
Cumul]]</f>
        <v>10.678674113603302</v>
      </c>
      <c r="AQ24" s="37">
        <f>(Tableau1[[#This Row],[Conso HP / an
Cumul]]*0.1799)+(Tableau1[[#This Row],[Conso HC / an_x000D_
Cumul]]*0.1346)</f>
        <v>4025.5545118787431</v>
      </c>
      <c r="AR24" s="37">
        <f>Tableau1[[#This Row],[Conso HP + HC / an_x000D_
Cumul]]*0.1599</f>
        <v>3897.716051465206</v>
      </c>
      <c r="AS24" s="38">
        <f>MONTH(Tableau1[[#This Row],[Date]])</f>
        <v>1</v>
      </c>
      <c r="AT24" s="38">
        <f>YEAR(Tableau1[[#This Row],[Date]])</f>
        <v>2021</v>
      </c>
    </row>
    <row r="25" spans="1:46" x14ac:dyDescent="0.2">
      <c r="A25" s="11">
        <v>44227.455555555556</v>
      </c>
      <c r="B25" s="12">
        <v>9.5</v>
      </c>
      <c r="C25" s="32">
        <f>IF(ISERROR(Tableau1[[#This Row],[Date]]-A24),"",Tableau1[[#This Row],[Date]]-A24)</f>
        <v>0.11041666667006211</v>
      </c>
      <c r="D25" s="33">
        <f>IF(ISERROR(Tableau1[[#This Row],[Date]]-A24),"",Tableau1[[#This Row],[Date]]-A24)</f>
        <v>0.11041666667006211</v>
      </c>
      <c r="E25" s="32">
        <f>Tableau1[[#This Row],[Date]]-$A$5</f>
        <v>44.747222222220444</v>
      </c>
      <c r="F25" s="33">
        <f>Tableau1[[#This Row],[Date]]-$A$5</f>
        <v>44.747222222220444</v>
      </c>
      <c r="G25" s="33">
        <f>Tableau1[[#This Row],[Diff jour_x000D_
Cumul]]-F$6</f>
        <v>6.663888888891961</v>
      </c>
      <c r="H25" s="33">
        <f>Tableau1[[#This Row],[Diff jour_x000D_
Cumul]]-F$59</f>
        <v>-15.855555555557657</v>
      </c>
      <c r="I25" s="13">
        <v>181775</v>
      </c>
      <c r="J25" s="31">
        <f>IF(ISERROR(Tableau1[[#This Row],[Index HP
kWh]]-I24),"",Tableau1[[#This Row],[Index HP
kWh]]-I24)</f>
        <v>6</v>
      </c>
      <c r="K25" s="33">
        <f>IF(ISERROR(Tableau1[[#This Row],[Différence HP
Instantané]]/(Tableau1[[#This Row],[Diff jour
Instantané]]*24)),"",Tableau1[[#This Row],[Différence HP
Instantané]]/(Tableau1[[#This Row],[Diff jour
Instantané]]*24))</f>
        <v>2.2641509433266012</v>
      </c>
      <c r="L25" s="33">
        <f>Tableau1[[#This Row],[Différence HP
Instantané]]/Tableau1[[#This Row],[Diff jour
Instantané]]</f>
        <v>54.339622639838424</v>
      </c>
      <c r="M25" s="33">
        <f>Tableau1[[#This Row],[Conso HP / jour
Instantané]]*365</f>
        <v>19833.962263541023</v>
      </c>
      <c r="N25" s="31">
        <f>Tableau1[[#This Row],[Index HP
kWh]]-$I$5</f>
        <v>2016</v>
      </c>
      <c r="O25" s="34">
        <f>Tableau1[[#This Row],[Différence HP
Cumul]]/(Tableau1[[#This Row],[Diff jour_x000D_
Cumul]]*24)</f>
        <v>1.8772114966789497</v>
      </c>
      <c r="P25" s="34">
        <f>Tableau1[[#This Row],[Différence HP
Cumul]]/Tableau1[[#This Row],[Diff jour_x000D_
Cumul]]</f>
        <v>45.053075920294795</v>
      </c>
      <c r="Q25" s="34">
        <f>Tableau1[[#This Row],[Conso HP / jour
Cumul]]*365</f>
        <v>16444.372710907599</v>
      </c>
      <c r="R25" s="13">
        <v>120403</v>
      </c>
      <c r="S25" s="31">
        <f>Tableau1[[#This Row],[Index HC_x000D_
kWh]]-R24</f>
        <v>0</v>
      </c>
      <c r="T25" s="35">
        <f>Tableau1[[#This Row],[Différence_x000D_ HC
Instantané]]/(Tableau1[[#This Row],[Diff jour
Instantané]]*24)</f>
        <v>0</v>
      </c>
      <c r="U25" s="35">
        <f>Tableau1[[#This Row],[Différence_x000D_ HC
Instantané]]/Tableau1[[#This Row],[Diff jour
Instantané]]</f>
        <v>0</v>
      </c>
      <c r="V25" s="35">
        <f>Tableau1[[#This Row],[Conso HC / jour_x000D_
Instantané]]*365</f>
        <v>0</v>
      </c>
      <c r="W25" s="31">
        <f>Tableau1[[#This Row],[Index HC_x000D_
kWh]]-$R$5</f>
        <v>971</v>
      </c>
      <c r="X25" s="36">
        <f>Tableau1[[#This Row],[Différence HC
Cumul]]/(Tableau1[[#This Row],[Diff jour_x000D_
Cumul]]*24)</f>
        <v>0.90415295797383943</v>
      </c>
      <c r="Y25" s="36">
        <f>Tableau1[[#This Row],[Différence HC
Cumul]]/Tableau1[[#This Row],[Diff jour_x000D_
Cumul]]</f>
        <v>21.699670991372145</v>
      </c>
      <c r="Z25" s="36">
        <f>Tableau1[[#This Row],[Conso HC / jour_x000D_
Cumul]]*365</f>
        <v>7920.3799118508332</v>
      </c>
      <c r="AA25" s="31">
        <f>Tableau1[[#This Row],[Différence HP
Instantané]]+Tableau1[[#This Row],[Différence_x000D_ HC
Instantané]]</f>
        <v>6</v>
      </c>
      <c r="AB25" s="34">
        <f>Tableau1[[#This Row],[Conso HP + HC
Instantané]]/(Tableau1[[#This Row],[Diff jour
Instantané]]*24)</f>
        <v>2.2641509433266012</v>
      </c>
      <c r="AC25" s="34">
        <f>IF(ISERROR(Tableau1[[#This Row],[Date]]-A24),"",Tableau1[[#This Row],[Conso HP + HC
Instantané]]/Tableau1[[#This Row],[Diff jour
Instantané]])</f>
        <v>54.339622639838424</v>
      </c>
      <c r="AD25" s="34">
        <f>Tableau1[[#This Row],[Conso HP + HC / jour_x000D_
Instantané]]*365</f>
        <v>19833.962263541023</v>
      </c>
      <c r="AE25" s="31">
        <f>Tableau1[[#This Row],[Différence HP
Cumul]]+Tableau1[[#This Row],[Différence HC
Cumul]]</f>
        <v>2987</v>
      </c>
      <c r="AF25" s="33">
        <f>(Tableau1[[#This Row],[Conso HP + HC
Cumul]]-AE$6)/Tableau1[[#This Row],[Diff jour_x000D_
Cumul
depuis le 24/01]]</f>
        <v>62.426010837820328</v>
      </c>
      <c r="AG25" s="33">
        <f>(Tableau1[[#This Row],[Conso HP + HC
Cumul]]-AE$59)/Tableau1[[#This Row],[Diff jour_x000D_
Cumul
depuis
précédente facture
16/02/2021]]</f>
        <v>75.052557813585011</v>
      </c>
      <c r="AH25" s="34">
        <f>Tableau1[[#This Row],[Conso HP + HC
Cumul]]/(Tableau1[[#This Row],[Diff jour_x000D_
Cumul]]*24)</f>
        <v>2.7813644546527891</v>
      </c>
      <c r="AI25" s="34">
        <f>Tableau1[[#This Row],[Conso HP + HC
Cumul]]/Tableau1[[#This Row],[Diff jour_x000D_
Cumul]]</f>
        <v>66.752746911666947</v>
      </c>
      <c r="AJ25" s="34">
        <f>Tableau1[[#This Row],[Conso HP + HC / jour_x000D_
Cumul]]*365</f>
        <v>24364.752622758435</v>
      </c>
      <c r="AK25" s="37">
        <f>(Tableau1[[#This Row],[Différence HP
Cumul]]*0.1799)+(Tableau1[[#This Row],[Différence HC
Cumul]]*0.1346)</f>
        <v>493.375</v>
      </c>
      <c r="AL25" s="37">
        <f>Tableau1[[#This Row],[Montant
Tarif HP/HC]]/Tableau1[[#This Row],[Diff jour_x000D_
Cumul]]</f>
        <v>11.025824073499724</v>
      </c>
      <c r="AM25" s="37">
        <f>(Tableau1[[#This Row],[Montant
Tarif HP/HC]]-AK$6)/Tableau1[[#This Row],[Diff jour_x000D_
Cumul
depuis le 24/01]]</f>
        <v>10.346721133800978</v>
      </c>
      <c r="AN25" s="37">
        <f>(Tableau1[[#This Row],[Montant
Tarif HP/HC]]-AK$59)/Tableau1[[#This Row],[Diff jour_x000D_
Cumul
depuis
précédente facture
16/02/2021]]</f>
        <v>12.524846531182641</v>
      </c>
      <c r="AO25" s="37">
        <f>Tableau1[[#This Row],[Conso HP + HC
Cumul]]*0.1599</f>
        <v>477.62129999999996</v>
      </c>
      <c r="AP25" s="37">
        <f>Tableau1[[#This Row],[Montant
Tarif normal]]/Tableau1[[#This Row],[Diff jour_x000D_
Cumul]]</f>
        <v>10.673764231175543</v>
      </c>
      <c r="AQ25" s="37">
        <f>(Tableau1[[#This Row],[Conso HP / an
Cumul]]*0.1799)+(Tableau1[[#This Row],[Conso HC / an_x000D_
Cumul]]*0.1346)</f>
        <v>4024.425786827399</v>
      </c>
      <c r="AR25" s="37">
        <f>Tableau1[[#This Row],[Conso HP + HC / an_x000D_
Cumul]]*0.1599</f>
        <v>3895.9239443790734</v>
      </c>
      <c r="AS25" s="38">
        <f>MONTH(Tableau1[[#This Row],[Date]])</f>
        <v>1</v>
      </c>
      <c r="AT25" s="38">
        <f>YEAR(Tableau1[[#This Row],[Date]])</f>
        <v>2021</v>
      </c>
    </row>
    <row r="26" spans="1:46" x14ac:dyDescent="0.2">
      <c r="A26" s="11">
        <v>44227.856944444444</v>
      </c>
      <c r="B26" s="12">
        <v>9.6999999999999993</v>
      </c>
      <c r="C26" s="32">
        <f>IF(ISERROR(Tableau1[[#This Row],[Date]]-A25),"",Tableau1[[#This Row],[Date]]-A25)</f>
        <v>0.40138888888759539</v>
      </c>
      <c r="D26" s="33">
        <f>IF(ISERROR(Tableau1[[#This Row],[Date]]-A25),"",Tableau1[[#This Row],[Date]]-A25)</f>
        <v>0.40138888888759539</v>
      </c>
      <c r="E26" s="32">
        <f>Tableau1[[#This Row],[Date]]-$A$5</f>
        <v>45.148611111108039</v>
      </c>
      <c r="F26" s="33">
        <f>Tableau1[[#This Row],[Date]]-$A$5</f>
        <v>45.148611111108039</v>
      </c>
      <c r="G26" s="33">
        <f>Tableau1[[#This Row],[Diff jour_x000D_
Cumul]]-F$6</f>
        <v>7.0652777777795563</v>
      </c>
      <c r="H26" s="33">
        <f>Tableau1[[#This Row],[Diff jour_x000D_
Cumul]]-F$59</f>
        <v>-15.454166666670062</v>
      </c>
      <c r="I26" s="13">
        <v>181804</v>
      </c>
      <c r="J26" s="31">
        <f>IF(ISERROR(Tableau1[[#This Row],[Index HP
kWh]]-I25),"",Tableau1[[#This Row],[Index HP
kWh]]-I25)</f>
        <v>29</v>
      </c>
      <c r="K26" s="33">
        <f>IF(ISERROR(Tableau1[[#This Row],[Différence HP
Instantané]]/(Tableau1[[#This Row],[Diff jour
Instantané]]*24)),"",Tableau1[[#This Row],[Différence HP
Instantané]]/(Tableau1[[#This Row],[Diff jour
Instantané]]*24))</f>
        <v>3.0103806228470713</v>
      </c>
      <c r="L26" s="33">
        <f>Tableau1[[#This Row],[Différence HP
Instantané]]/Tableau1[[#This Row],[Diff jour
Instantané]]</f>
        <v>72.249134948329711</v>
      </c>
      <c r="M26" s="33">
        <f>Tableau1[[#This Row],[Conso HP / jour
Instantané]]*365</f>
        <v>26370.934256140346</v>
      </c>
      <c r="N26" s="31">
        <f>Tableau1[[#This Row],[Index HP
kWh]]-$I$5</f>
        <v>2045</v>
      </c>
      <c r="O26" s="34">
        <f>Tableau1[[#This Row],[Différence HP
Cumul]]/(Tableau1[[#This Row],[Diff jour_x000D_
Cumul]]*24)</f>
        <v>1.8872858153629732</v>
      </c>
      <c r="P26" s="34">
        <f>Tableau1[[#This Row],[Différence HP
Cumul]]/Tableau1[[#This Row],[Diff jour_x000D_
Cumul]]</f>
        <v>45.29485956871136</v>
      </c>
      <c r="Q26" s="34">
        <f>Tableau1[[#This Row],[Conso HP / jour
Cumul]]*365</f>
        <v>16532.623742579646</v>
      </c>
      <c r="R26" s="13">
        <v>120403</v>
      </c>
      <c r="S26" s="31">
        <f>Tableau1[[#This Row],[Index HC_x000D_
kWh]]-R25</f>
        <v>0</v>
      </c>
      <c r="T26" s="35">
        <f>Tableau1[[#This Row],[Différence_x000D_ HC
Instantané]]/(Tableau1[[#This Row],[Diff jour
Instantané]]*24)</f>
        <v>0</v>
      </c>
      <c r="U26" s="35">
        <f>Tableau1[[#This Row],[Différence_x000D_ HC
Instantané]]/Tableau1[[#This Row],[Diff jour
Instantané]]</f>
        <v>0</v>
      </c>
      <c r="V26" s="35">
        <f>Tableau1[[#This Row],[Conso HC / jour_x000D_
Instantané]]*365</f>
        <v>0</v>
      </c>
      <c r="W26" s="31">
        <f>Tableau1[[#This Row],[Index HC_x000D_
kWh]]-$R$5</f>
        <v>971</v>
      </c>
      <c r="X26" s="36">
        <f>Tableau1[[#This Row],[Différence HC
Cumul]]/(Tableau1[[#This Row],[Diff jour_x000D_
Cumul]]*24)</f>
        <v>0.89611468299141672</v>
      </c>
      <c r="Y26" s="36">
        <f>Tableau1[[#This Row],[Différence HC
Cumul]]/Tableau1[[#This Row],[Diff jour_x000D_
Cumul]]</f>
        <v>21.506752391793999</v>
      </c>
      <c r="Z26" s="36">
        <f>Tableau1[[#This Row],[Conso HC / jour_x000D_
Cumul]]*365</f>
        <v>7849.9646230048093</v>
      </c>
      <c r="AA26" s="31">
        <f>Tableau1[[#This Row],[Différence HP
Instantané]]+Tableau1[[#This Row],[Différence_x000D_ HC
Instantané]]</f>
        <v>29</v>
      </c>
      <c r="AB26" s="34">
        <f>Tableau1[[#This Row],[Conso HP + HC
Instantané]]/(Tableau1[[#This Row],[Diff jour
Instantané]]*24)</f>
        <v>3.0103806228470713</v>
      </c>
      <c r="AC26" s="34">
        <f>IF(ISERROR(Tableau1[[#This Row],[Date]]-A25),"",Tableau1[[#This Row],[Conso HP + HC
Instantané]]/Tableau1[[#This Row],[Diff jour
Instantané]])</f>
        <v>72.249134948329711</v>
      </c>
      <c r="AD26" s="34">
        <f>Tableau1[[#This Row],[Conso HP + HC / jour_x000D_
Instantané]]*365</f>
        <v>26370.934256140346</v>
      </c>
      <c r="AE26" s="31">
        <f>Tableau1[[#This Row],[Différence HP
Cumul]]+Tableau1[[#This Row],[Différence HC
Cumul]]</f>
        <v>3016</v>
      </c>
      <c r="AF26" s="33">
        <f>(Tableau1[[#This Row],[Conso HP + HC
Cumul]]-AE$6)/Tableau1[[#This Row],[Diff jour_x000D_
Cumul
depuis le 24/01]]</f>
        <v>62.984077059154579</v>
      </c>
      <c r="AG26" s="33">
        <f>(Tableau1[[#This Row],[Conso HP + HC
Cumul]]-AE$59)/Tableau1[[#This Row],[Diff jour_x000D_
Cumul
depuis
précédente facture
16/02/2021]]</f>
        <v>75.125370719854075</v>
      </c>
      <c r="AH26" s="34">
        <f>Tableau1[[#This Row],[Conso HP + HC
Cumul]]/(Tableau1[[#This Row],[Diff jour_x000D_
Cumul]]*24)</f>
        <v>2.7834004983543901</v>
      </c>
      <c r="AI26" s="34">
        <f>Tableau1[[#This Row],[Conso HP + HC
Cumul]]/Tableau1[[#This Row],[Diff jour_x000D_
Cumul]]</f>
        <v>66.801611960505355</v>
      </c>
      <c r="AJ26" s="34">
        <f>Tableau1[[#This Row],[Conso HP + HC / jour_x000D_
Cumul]]*365</f>
        <v>24382.588365584455</v>
      </c>
      <c r="AK26" s="37">
        <f>(Tableau1[[#This Row],[Différence HP
Cumul]]*0.1799)+(Tableau1[[#This Row],[Différence HC
Cumul]]*0.1346)</f>
        <v>498.59210000000002</v>
      </c>
      <c r="AL26" s="37">
        <f>Tableau1[[#This Row],[Montant
Tarif HP/HC]]/Tableau1[[#This Row],[Diff jour_x000D_
Cumul]]</f>
        <v>11.043354108346646</v>
      </c>
      <c r="AM26" s="37">
        <f>(Tableau1[[#This Row],[Montant
Tarif HP/HC]]-AK$6)/Tableau1[[#This Row],[Diff jour_x000D_
Cumul
depuis le 24/01]]</f>
        <v>10.497322586983792</v>
      </c>
      <c r="AN26" s="37">
        <f>(Tableau1[[#This Row],[Montant
Tarif HP/HC]]-AK$59)/Tableau1[[#This Row],[Diff jour_x000D_
Cumul
depuis
précédente facture
16/02/2021]]</f>
        <v>12.512567268802856</v>
      </c>
      <c r="AO26" s="37">
        <f>Tableau1[[#This Row],[Conso HP + HC
Cumul]]*0.1599</f>
        <v>482.25839999999994</v>
      </c>
      <c r="AP26" s="37">
        <f>Tableau1[[#This Row],[Montant
Tarif normal]]/Tableau1[[#This Row],[Diff jour_x000D_
Cumul]]</f>
        <v>10.681577752484806</v>
      </c>
      <c r="AQ26" s="37">
        <f>(Tableau1[[#This Row],[Conso HP / an
Cumul]]*0.1799)+(Tableau1[[#This Row],[Conso HC / an_x000D_
Cumul]]*0.1346)</f>
        <v>4030.8242495465256</v>
      </c>
      <c r="AR26" s="37">
        <f>Tableau1[[#This Row],[Conso HP + HC / an_x000D_
Cumul]]*0.1599</f>
        <v>3898.7758796569542</v>
      </c>
      <c r="AS26" s="38">
        <f>MONTH(Tableau1[[#This Row],[Date]])</f>
        <v>1</v>
      </c>
      <c r="AT26" s="38">
        <f>YEAR(Tableau1[[#This Row],[Date]])</f>
        <v>2021</v>
      </c>
    </row>
    <row r="27" spans="1:46" x14ac:dyDescent="0.2">
      <c r="A27" s="11">
        <v>44228.319444444445</v>
      </c>
      <c r="B27" s="12">
        <v>9.8000000000000007</v>
      </c>
      <c r="C27" s="32">
        <f>IF(ISERROR(Tableau1[[#This Row],[Date]]-A26),"",Tableau1[[#This Row],[Date]]-A26)</f>
        <v>0.46250000000145519</v>
      </c>
      <c r="D27" s="33">
        <f>IF(ISERROR(Tableau1[[#This Row],[Date]]-A26),"",Tableau1[[#This Row],[Date]]-A26)</f>
        <v>0.46250000000145519</v>
      </c>
      <c r="E27" s="32">
        <f>Tableau1[[#This Row],[Date]]-$A$5</f>
        <v>45.611111111109494</v>
      </c>
      <c r="F27" s="33">
        <f>Tableau1[[#This Row],[Date]]-$A$5</f>
        <v>45.611111111109494</v>
      </c>
      <c r="G27" s="33">
        <f>Tableau1[[#This Row],[Diff jour_x000D_
Cumul]]-F$6</f>
        <v>7.5277777777810115</v>
      </c>
      <c r="H27" s="33">
        <f>Tableau1[[#This Row],[Diff jour_x000D_
Cumul]]-F$59</f>
        <v>-14.991666666668607</v>
      </c>
      <c r="I27" s="13">
        <v>181813</v>
      </c>
      <c r="J27" s="31">
        <f>IF(ISERROR(Tableau1[[#This Row],[Index HP
kWh]]-I26),"",Tableau1[[#This Row],[Index HP
kWh]]-I26)</f>
        <v>9</v>
      </c>
      <c r="K27" s="33">
        <f>IF(ISERROR(Tableau1[[#This Row],[Différence HP
Instantané]]/(Tableau1[[#This Row],[Diff jour
Instantané]]*24)),"",Tableau1[[#This Row],[Différence HP
Instantané]]/(Tableau1[[#This Row],[Diff jour
Instantané]]*24))</f>
        <v>0.81081081080825967</v>
      </c>
      <c r="L27" s="33">
        <f>Tableau1[[#This Row],[Différence HP
Instantané]]/Tableau1[[#This Row],[Diff jour
Instantané]]</f>
        <v>19.459459459398232</v>
      </c>
      <c r="M27" s="33">
        <f>Tableau1[[#This Row],[Conso HP / jour
Instantané]]*365</f>
        <v>7102.7027026803544</v>
      </c>
      <c r="N27" s="31">
        <f>Tableau1[[#This Row],[Index HP
kWh]]-$I$5</f>
        <v>2054</v>
      </c>
      <c r="O27" s="34">
        <f>Tableau1[[#This Row],[Différence HP
Cumul]]/(Tableau1[[#This Row],[Diff jour_x000D_
Cumul]]*24)</f>
        <v>1.8763702801462296</v>
      </c>
      <c r="P27" s="34">
        <f>Tableau1[[#This Row],[Différence HP
Cumul]]/Tableau1[[#This Row],[Diff jour_x000D_
Cumul]]</f>
        <v>45.032886723509513</v>
      </c>
      <c r="Q27" s="34">
        <f>Tableau1[[#This Row],[Conso HP / jour
Cumul]]*365</f>
        <v>16437.003654080971</v>
      </c>
      <c r="R27" s="13">
        <v>120418</v>
      </c>
      <c r="S27" s="31">
        <f>Tableau1[[#This Row],[Index HC_x000D_
kWh]]-R26</f>
        <v>15</v>
      </c>
      <c r="T27" s="35">
        <f>Tableau1[[#This Row],[Différence_x000D_ HC
Instantané]]/(Tableau1[[#This Row],[Diff jour
Instantané]]*24)</f>
        <v>1.3513513513470996</v>
      </c>
      <c r="U27" s="35">
        <f>Tableau1[[#This Row],[Différence_x000D_ HC
Instantané]]/Tableau1[[#This Row],[Diff jour
Instantané]]</f>
        <v>32.432432432330387</v>
      </c>
      <c r="V27" s="35">
        <f>Tableau1[[#This Row],[Conso HC / jour_x000D_
Instantané]]*365</f>
        <v>11837.837837800591</v>
      </c>
      <c r="W27" s="31">
        <f>Tableau1[[#This Row],[Index HC_x000D_
kWh]]-$R$5</f>
        <v>986</v>
      </c>
      <c r="X27" s="36">
        <f>Tableau1[[#This Row],[Différence HC
Cumul]]/(Tableau1[[#This Row],[Diff jour_x000D_
Cumul]]*24)</f>
        <v>0.90073081607798566</v>
      </c>
      <c r="Y27" s="36">
        <f>Tableau1[[#This Row],[Différence HC
Cumul]]/Tableau1[[#This Row],[Diff jour_x000D_
Cumul]]</f>
        <v>21.617539585871654</v>
      </c>
      <c r="Z27" s="36">
        <f>Tableau1[[#This Row],[Conso HC / jour_x000D_
Cumul]]*365</f>
        <v>7890.4019488431541</v>
      </c>
      <c r="AA27" s="31">
        <f>Tableau1[[#This Row],[Différence HP
Instantané]]+Tableau1[[#This Row],[Différence_x000D_ HC
Instantané]]</f>
        <v>24</v>
      </c>
      <c r="AB27" s="34">
        <f>Tableau1[[#This Row],[Conso HP + HC
Instantané]]/(Tableau1[[#This Row],[Diff jour
Instantané]]*24)</f>
        <v>2.1621621621553593</v>
      </c>
      <c r="AC27" s="34">
        <f>IF(ISERROR(Tableau1[[#This Row],[Date]]-A26),"",Tableau1[[#This Row],[Conso HP + HC
Instantané]]/Tableau1[[#This Row],[Diff jour
Instantané]])</f>
        <v>51.891891891728619</v>
      </c>
      <c r="AD27" s="34">
        <f>Tableau1[[#This Row],[Conso HP + HC / jour_x000D_
Instantané]]*365</f>
        <v>18940.540540480946</v>
      </c>
      <c r="AE27" s="31">
        <f>Tableau1[[#This Row],[Différence HP
Cumul]]+Tableau1[[#This Row],[Différence HC
Cumul]]</f>
        <v>3040</v>
      </c>
      <c r="AF27" s="33">
        <f>(Tableau1[[#This Row],[Conso HP + HC
Cumul]]-AE$6)/Tableau1[[#This Row],[Diff jour_x000D_
Cumul
depuis le 24/01]]</f>
        <v>62.302583025803493</v>
      </c>
      <c r="AG27" s="33">
        <f>(Tableau1[[#This Row],[Conso HP + HC
Cumul]]-AE$59)/Tableau1[[#This Row],[Diff jour_x000D_
Cumul
depuis
précédente facture
16/02/2021]]</f>
        <v>75.842134519167502</v>
      </c>
      <c r="AH27" s="34">
        <f>Tableau1[[#This Row],[Conso HP + HC
Cumul]]/(Tableau1[[#This Row],[Diff jour_x000D_
Cumul]]*24)</f>
        <v>2.7771010962242153</v>
      </c>
      <c r="AI27" s="34">
        <f>Tableau1[[#This Row],[Conso HP + HC
Cumul]]/Tableau1[[#This Row],[Diff jour_x000D_
Cumul]]</f>
        <v>66.650426309381174</v>
      </c>
      <c r="AJ27" s="34">
        <f>Tableau1[[#This Row],[Conso HP + HC / jour_x000D_
Cumul]]*365</f>
        <v>24327.405602924129</v>
      </c>
      <c r="AK27" s="37">
        <f>(Tableau1[[#This Row],[Différence HP
Cumul]]*0.1799)+(Tableau1[[#This Row],[Différence HC
Cumul]]*0.1346)</f>
        <v>502.23020000000002</v>
      </c>
      <c r="AL27" s="37">
        <f>Tableau1[[#This Row],[Montant
Tarif HP/HC]]/Tableau1[[#This Row],[Diff jour_x000D_
Cumul]]</f>
        <v>11.011137149817687</v>
      </c>
      <c r="AM27" s="37">
        <f>(Tableau1[[#This Row],[Montant
Tarif HP/HC]]-AK$6)/Tableau1[[#This Row],[Diff jour_x000D_
Cumul
depuis le 24/01]]</f>
        <v>10.335666420659766</v>
      </c>
      <c r="AN27" s="37">
        <f>(Tableau1[[#This Row],[Montant
Tarif HP/HC]]-AK$59)/Tableau1[[#This Row],[Diff jour_x000D_
Cumul
depuis
précédente facture
16/02/2021]]</f>
        <v>12.655911061699303</v>
      </c>
      <c r="AO27" s="37">
        <f>Tableau1[[#This Row],[Conso HP + HC
Cumul]]*0.1599</f>
        <v>486.09599999999995</v>
      </c>
      <c r="AP27" s="37">
        <f>Tableau1[[#This Row],[Montant
Tarif normal]]/Tableau1[[#This Row],[Diff jour_x000D_
Cumul]]</f>
        <v>10.657403166870047</v>
      </c>
      <c r="AQ27" s="37">
        <f>(Tableau1[[#This Row],[Conso HP / an
Cumul]]*0.1799)+(Tableau1[[#This Row],[Conso HC / an_x000D_
Cumul]]*0.1346)</f>
        <v>4019.0650596834557</v>
      </c>
      <c r="AR27" s="37">
        <f>Tableau1[[#This Row],[Conso HP + HC / an_x000D_
Cumul]]*0.1599</f>
        <v>3889.9521559075679</v>
      </c>
      <c r="AS27" s="38">
        <f>MONTH(Tableau1[[#This Row],[Date]])</f>
        <v>2</v>
      </c>
      <c r="AT27" s="38">
        <f>YEAR(Tableau1[[#This Row],[Date]])</f>
        <v>2021</v>
      </c>
    </row>
    <row r="28" spans="1:46" x14ac:dyDescent="0.2">
      <c r="A28" s="11">
        <v>44228.557638888888</v>
      </c>
      <c r="B28" s="12">
        <v>11</v>
      </c>
      <c r="C28" s="32">
        <f>IF(ISERROR(Tableau1[[#This Row],[Date]]-A27),"",Tableau1[[#This Row],[Date]]-A27)</f>
        <v>0.2381944444423425</v>
      </c>
      <c r="D28" s="33">
        <f>IF(ISERROR(Tableau1[[#This Row],[Date]]-A27),"",Tableau1[[#This Row],[Date]]-A27)</f>
        <v>0.2381944444423425</v>
      </c>
      <c r="E28" s="32">
        <f>Tableau1[[#This Row],[Date]]-$A$5</f>
        <v>45.849305555551837</v>
      </c>
      <c r="F28" s="33">
        <f>Tableau1[[#This Row],[Date]]-$A$5</f>
        <v>45.849305555551837</v>
      </c>
      <c r="G28" s="33">
        <f>Tableau1[[#This Row],[Diff jour_x000D_
Cumul]]-F$6</f>
        <v>7.765972222223354</v>
      </c>
      <c r="H28" s="33">
        <f>Tableau1[[#This Row],[Diff jour_x000D_
Cumul]]-F$59</f>
        <v>-14.753472222226264</v>
      </c>
      <c r="I28" s="13">
        <v>181827</v>
      </c>
      <c r="J28" s="31">
        <f>IF(ISERROR(Tableau1[[#This Row],[Index HP
kWh]]-I27),"",Tableau1[[#This Row],[Index HP
kWh]]-I27)</f>
        <v>14</v>
      </c>
      <c r="K28" s="33">
        <f>IF(ISERROR(Tableau1[[#This Row],[Différence HP
Instantané]]/(Tableau1[[#This Row],[Diff jour
Instantané]]*24)),"",Tableau1[[#This Row],[Différence HP
Instantané]]/(Tableau1[[#This Row],[Diff jour
Instantané]]*24))</f>
        <v>2.4489795918583455</v>
      </c>
      <c r="L28" s="33">
        <f>Tableau1[[#This Row],[Différence HP
Instantané]]/Tableau1[[#This Row],[Diff jour
Instantané]]</f>
        <v>58.775510204600295</v>
      </c>
      <c r="M28" s="33">
        <f>Tableau1[[#This Row],[Conso HP / jour
Instantané]]*365</f>
        <v>21453.061224679106</v>
      </c>
      <c r="N28" s="31">
        <f>Tableau1[[#This Row],[Index HP
kWh]]-$I$5</f>
        <v>2068</v>
      </c>
      <c r="O28" s="34">
        <f>Tableau1[[#This Row],[Différence HP
Cumul]]/(Tableau1[[#This Row],[Diff jour_x000D_
Cumul]]*24)</f>
        <v>1.8793450767158424</v>
      </c>
      <c r="P28" s="34">
        <f>Tableau1[[#This Row],[Différence HP
Cumul]]/Tableau1[[#This Row],[Diff jour_x000D_
Cumul]]</f>
        <v>45.104281841180217</v>
      </c>
      <c r="Q28" s="34">
        <f>Tableau1[[#This Row],[Conso HP / jour
Cumul]]*365</f>
        <v>16463.06287203078</v>
      </c>
      <c r="R28" s="13">
        <v>120418</v>
      </c>
      <c r="S28" s="31">
        <f>Tableau1[[#This Row],[Index HC_x000D_
kWh]]-R27</f>
        <v>0</v>
      </c>
      <c r="T28" s="35">
        <f>Tableau1[[#This Row],[Différence_x000D_ HC
Instantané]]/(Tableau1[[#This Row],[Diff jour
Instantané]]*24)</f>
        <v>0</v>
      </c>
      <c r="U28" s="35">
        <f>Tableau1[[#This Row],[Différence_x000D_ HC
Instantané]]/Tableau1[[#This Row],[Diff jour
Instantané]]</f>
        <v>0</v>
      </c>
      <c r="V28" s="35">
        <f>Tableau1[[#This Row],[Conso HC / jour_x000D_
Instantané]]*365</f>
        <v>0</v>
      </c>
      <c r="W28" s="31">
        <f>Tableau1[[#This Row],[Index HC_x000D_
kWh]]-$R$5</f>
        <v>986</v>
      </c>
      <c r="X28" s="36">
        <f>Tableau1[[#This Row],[Différence HC
Cumul]]/(Tableau1[[#This Row],[Diff jour_x000D_
Cumul]]*24)</f>
        <v>0.89605137603569662</v>
      </c>
      <c r="Y28" s="36">
        <f>Tableau1[[#This Row],[Différence HC
Cumul]]/Tableau1[[#This Row],[Diff jour_x000D_
Cumul]]</f>
        <v>21.505233024856718</v>
      </c>
      <c r="Z28" s="36">
        <f>Tableau1[[#This Row],[Conso HC / jour_x000D_
Cumul]]*365</f>
        <v>7849.4100540727022</v>
      </c>
      <c r="AA28" s="31">
        <f>Tableau1[[#This Row],[Différence HP
Instantané]]+Tableau1[[#This Row],[Différence_x000D_ HC
Instantané]]</f>
        <v>14</v>
      </c>
      <c r="AB28" s="34">
        <f>Tableau1[[#This Row],[Conso HP + HC
Instantané]]/(Tableau1[[#This Row],[Diff jour
Instantané]]*24)</f>
        <v>2.4489795918583455</v>
      </c>
      <c r="AC28" s="34">
        <f>IF(ISERROR(Tableau1[[#This Row],[Date]]-A27),"",Tableau1[[#This Row],[Conso HP + HC
Instantané]]/Tableau1[[#This Row],[Diff jour
Instantané]])</f>
        <v>58.775510204600295</v>
      </c>
      <c r="AD28" s="34">
        <f>Tableau1[[#This Row],[Conso HP + HC / jour_x000D_
Instantané]]*365</f>
        <v>21453.061224679106</v>
      </c>
      <c r="AE28" s="31">
        <f>Tableau1[[#This Row],[Différence HP
Cumul]]+Tableau1[[#This Row],[Différence HC
Cumul]]</f>
        <v>3054</v>
      </c>
      <c r="AF28" s="33">
        <f>(Tableau1[[#This Row],[Conso HP + HC
Cumul]]-AE$6)/Tableau1[[#This Row],[Diff jour_x000D_
Cumul
depuis le 24/01]]</f>
        <v>62.194402217642725</v>
      </c>
      <c r="AG28" s="33">
        <f>(Tableau1[[#This Row],[Conso HP + HC
Cumul]]-AE$59)/Tableau1[[#This Row],[Diff jour_x000D_
Cumul
depuis
précédente facture
16/02/2021]]</f>
        <v>76.117674746978437</v>
      </c>
      <c r="AH28" s="34">
        <f>Tableau1[[#This Row],[Conso HP + HC
Cumul]]/(Tableau1[[#This Row],[Diff jour_x000D_
Cumul]]*24)</f>
        <v>2.7753964527515391</v>
      </c>
      <c r="AI28" s="34">
        <f>Tableau1[[#This Row],[Conso HP + HC
Cumul]]/Tableau1[[#This Row],[Diff jour_x000D_
Cumul]]</f>
        <v>66.609514866036932</v>
      </c>
      <c r="AJ28" s="34">
        <f>Tableau1[[#This Row],[Conso HP + HC / jour_x000D_
Cumul]]*365</f>
        <v>24312.472926103481</v>
      </c>
      <c r="AK28" s="37">
        <f>(Tableau1[[#This Row],[Différence HP
Cumul]]*0.1799)+(Tableau1[[#This Row],[Différence HC
Cumul]]*0.1346)</f>
        <v>504.74880000000002</v>
      </c>
      <c r="AL28" s="37">
        <f>Tableau1[[#This Row],[Montant
Tarif HP/HC]]/Tableau1[[#This Row],[Diff jour_x000D_
Cumul]]</f>
        <v>11.008864668374036</v>
      </c>
      <c r="AM28" s="37">
        <f>(Tableau1[[#This Row],[Montant
Tarif HP/HC]]-AK$6)/Tableau1[[#This Row],[Diff jour_x000D_
Cumul
depuis le 24/01]]</f>
        <v>10.342967718857473</v>
      </c>
      <c r="AN28" s="37">
        <f>(Tableau1[[#This Row],[Montant
Tarif HP/HC]]-AK$59)/Tableau1[[#This Row],[Diff jour_x000D_
Cumul
depuis
précédente facture
16/02/2021]]</f>
        <v>12.689528077191154</v>
      </c>
      <c r="AO28" s="37">
        <f>Tableau1[[#This Row],[Conso HP + HC
Cumul]]*0.1599</f>
        <v>488.33459999999997</v>
      </c>
      <c r="AP28" s="37">
        <f>Tableau1[[#This Row],[Montant
Tarif normal]]/Tableau1[[#This Row],[Diff jour_x000D_
Cumul]]</f>
        <v>10.650861427079306</v>
      </c>
      <c r="AQ28" s="37">
        <f>(Tableau1[[#This Row],[Conso HP / an
Cumul]]*0.1799)+(Tableau1[[#This Row],[Conso HC / an_x000D_
Cumul]]*0.1346)</f>
        <v>4018.2356039565229</v>
      </c>
      <c r="AR28" s="37">
        <f>Tableau1[[#This Row],[Conso HP + HC / an_x000D_
Cumul]]*0.1599</f>
        <v>3887.5644208839462</v>
      </c>
      <c r="AS28" s="38">
        <f>MONTH(Tableau1[[#This Row],[Date]])</f>
        <v>2</v>
      </c>
      <c r="AT28" s="38">
        <f>YEAR(Tableau1[[#This Row],[Date]])</f>
        <v>2021</v>
      </c>
    </row>
    <row r="29" spans="1:46" x14ac:dyDescent="0.2">
      <c r="A29" s="11">
        <v>44228.847222222219</v>
      </c>
      <c r="B29" s="12">
        <v>9.5</v>
      </c>
      <c r="C29" s="32">
        <f>IF(ISERROR(Tableau1[[#This Row],[Date]]-A28),"",Tableau1[[#This Row],[Date]]-A28)</f>
        <v>0.28958333333139308</v>
      </c>
      <c r="D29" s="33">
        <f>IF(ISERROR(Tableau1[[#This Row],[Date]]-A28),"",Tableau1[[#This Row],[Date]]-A28)</f>
        <v>0.28958333333139308</v>
      </c>
      <c r="E29" s="32">
        <f>Tableau1[[#This Row],[Date]]-$A$5</f>
        <v>46.13888888888323</v>
      </c>
      <c r="F29" s="33">
        <f>Tableau1[[#This Row],[Date]]-$A$5</f>
        <v>46.13888888888323</v>
      </c>
      <c r="G29" s="33">
        <f>Tableau1[[#This Row],[Diff jour_x000D_
Cumul]]-F$6</f>
        <v>8.0555555555547471</v>
      </c>
      <c r="H29" s="33">
        <f>Tableau1[[#This Row],[Diff jour_x000D_
Cumul]]-F$59</f>
        <v>-14.463888888894871</v>
      </c>
      <c r="I29" s="13">
        <v>181842</v>
      </c>
      <c r="J29" s="31">
        <f>IF(ISERROR(Tableau1[[#This Row],[Index HP
kWh]]-I28),"",Tableau1[[#This Row],[Index HP
kWh]]-I28)</f>
        <v>15</v>
      </c>
      <c r="K29" s="33">
        <f>IF(ISERROR(Tableau1[[#This Row],[Différence HP
Instantané]]/(Tableau1[[#This Row],[Diff jour
Instantané]]*24)),"",Tableau1[[#This Row],[Différence HP
Instantané]]/(Tableau1[[#This Row],[Diff jour
Instantané]]*24))</f>
        <v>2.1582733813094248</v>
      </c>
      <c r="L29" s="33">
        <f>Tableau1[[#This Row],[Différence HP
Instantané]]/Tableau1[[#This Row],[Diff jour
Instantané]]</f>
        <v>51.798561151426199</v>
      </c>
      <c r="M29" s="33">
        <f>Tableau1[[#This Row],[Conso HP / jour
Instantané]]*365</f>
        <v>18906.474820270563</v>
      </c>
      <c r="N29" s="31">
        <f>Tableau1[[#This Row],[Index HP
kWh]]-$I$5</f>
        <v>2083</v>
      </c>
      <c r="O29" s="34">
        <f>Tableau1[[#This Row],[Différence HP
Cumul]]/(Tableau1[[#This Row],[Diff jour_x000D_
Cumul]]*24)</f>
        <v>1.881095725466817</v>
      </c>
      <c r="P29" s="34">
        <f>Tableau1[[#This Row],[Différence HP
Cumul]]/Tableau1[[#This Row],[Diff jour_x000D_
Cumul]]</f>
        <v>45.146297411203612</v>
      </c>
      <c r="Q29" s="34">
        <f>Tableau1[[#This Row],[Conso HP / jour
Cumul]]*365</f>
        <v>16478.398555089319</v>
      </c>
      <c r="R29" s="13">
        <v>120418</v>
      </c>
      <c r="S29" s="31">
        <f>Tableau1[[#This Row],[Index HC_x000D_
kWh]]-R28</f>
        <v>0</v>
      </c>
      <c r="T29" s="35">
        <f>Tableau1[[#This Row],[Différence_x000D_ HC
Instantané]]/(Tableau1[[#This Row],[Diff jour
Instantané]]*24)</f>
        <v>0</v>
      </c>
      <c r="U29" s="35">
        <f>Tableau1[[#This Row],[Différence_x000D_ HC
Instantané]]/Tableau1[[#This Row],[Diff jour
Instantané]]</f>
        <v>0</v>
      </c>
      <c r="V29" s="35">
        <f>Tableau1[[#This Row],[Conso HC / jour_x000D_
Instantané]]*365</f>
        <v>0</v>
      </c>
      <c r="W29" s="31">
        <f>Tableau1[[#This Row],[Index HC_x000D_
kWh]]-$R$5</f>
        <v>986</v>
      </c>
      <c r="X29" s="36">
        <f>Tableau1[[#This Row],[Différence HC
Cumul]]/(Tableau1[[#This Row],[Diff jour_x000D_
Cumul]]*24)</f>
        <v>0.89042745334146989</v>
      </c>
      <c r="Y29" s="36">
        <f>Tableau1[[#This Row],[Différence HC
Cumul]]/Tableau1[[#This Row],[Diff jour_x000D_
Cumul]]</f>
        <v>21.370258880195276</v>
      </c>
      <c r="Z29" s="36">
        <f>Tableau1[[#This Row],[Conso HC / jour_x000D_
Cumul]]*365</f>
        <v>7800.1444912712759</v>
      </c>
      <c r="AA29" s="31">
        <f>Tableau1[[#This Row],[Différence HP
Instantané]]+Tableau1[[#This Row],[Différence_x000D_ HC
Instantané]]</f>
        <v>15</v>
      </c>
      <c r="AB29" s="34">
        <f>Tableau1[[#This Row],[Conso HP + HC
Instantané]]/(Tableau1[[#This Row],[Diff jour
Instantané]]*24)</f>
        <v>2.1582733813094248</v>
      </c>
      <c r="AC29" s="34">
        <f>IF(ISERROR(Tableau1[[#This Row],[Date]]-A28),"",Tableau1[[#This Row],[Conso HP + HC
Instantané]]/Tableau1[[#This Row],[Diff jour
Instantané]])</f>
        <v>51.798561151426199</v>
      </c>
      <c r="AD29" s="34">
        <f>Tableau1[[#This Row],[Conso HP + HC / jour_x000D_
Instantané]]*365</f>
        <v>18906.474820270563</v>
      </c>
      <c r="AE29" s="31">
        <f>Tableau1[[#This Row],[Différence HP
Cumul]]+Tableau1[[#This Row],[Différence HC
Cumul]]</f>
        <v>3069</v>
      </c>
      <c r="AF29" s="33">
        <f>(Tableau1[[#This Row],[Conso HP + HC
Cumul]]-AE$6)/Tableau1[[#This Row],[Diff jour_x000D_
Cumul
depuis le 24/01]]</f>
        <v>61.820689655178619</v>
      </c>
      <c r="AG29" s="33">
        <f>(Tableau1[[#This Row],[Conso HP + HC
Cumul]]-AE$59)/Tableau1[[#This Row],[Diff jour_x000D_
Cumul
depuis
précédente facture
16/02/2021]]</f>
        <v>76.604570770085459</v>
      </c>
      <c r="AH29" s="34">
        <f>Tableau1[[#This Row],[Conso HP + HC
Cumul]]/(Tableau1[[#This Row],[Diff jour_x000D_
Cumul]]*24)</f>
        <v>2.771523178808287</v>
      </c>
      <c r="AI29" s="34">
        <f>Tableau1[[#This Row],[Conso HP + HC
Cumul]]/Tableau1[[#This Row],[Diff jour_x000D_
Cumul]]</f>
        <v>66.516556291398885</v>
      </c>
      <c r="AJ29" s="34">
        <f>Tableau1[[#This Row],[Conso HP + HC / jour_x000D_
Cumul]]*365</f>
        <v>24278.543046360592</v>
      </c>
      <c r="AK29" s="37">
        <f>(Tableau1[[#This Row],[Différence HP
Cumul]]*0.1799)+(Tableau1[[#This Row],[Différence HC
Cumul]]*0.1346)</f>
        <v>507.44729999999998</v>
      </c>
      <c r="AL29" s="37">
        <f>Tableau1[[#This Row],[Montant
Tarif HP/HC]]/Tableau1[[#This Row],[Diff jour_x000D_
Cumul]]</f>
        <v>10.998255749549813</v>
      </c>
      <c r="AM29" s="37">
        <f>(Tableau1[[#This Row],[Montant
Tarif HP/HC]]-AK$6)/Tableau1[[#This Row],[Diff jour_x000D_
Cumul
depuis le 24/01]]</f>
        <v>10.306142068966546</v>
      </c>
      <c r="AN29" s="37">
        <f>(Tableau1[[#This Row],[Montant
Tarif HP/HC]]-AK$59)/Tableau1[[#This Row],[Diff jour_x000D_
Cumul
depuis
précédente facture
16/02/2021]]</f>
        <v>12.757018628763689</v>
      </c>
      <c r="AO29" s="37">
        <f>Tableau1[[#This Row],[Conso HP + HC
Cumul]]*0.1599</f>
        <v>490.73309999999998</v>
      </c>
      <c r="AP29" s="37">
        <f>Tableau1[[#This Row],[Montant
Tarif normal]]/Tableau1[[#This Row],[Diff jour_x000D_
Cumul]]</f>
        <v>10.635997350994682</v>
      </c>
      <c r="AQ29" s="37">
        <f>(Tableau1[[#This Row],[Conso HP / an
Cumul]]*0.1799)+(Tableau1[[#This Row],[Conso HC / an_x000D_
Cumul]]*0.1346)</f>
        <v>4014.3633485856822</v>
      </c>
      <c r="AR29" s="37">
        <f>Tableau1[[#This Row],[Conso HP + HC / an_x000D_
Cumul]]*0.1599</f>
        <v>3882.1390331130583</v>
      </c>
      <c r="AS29" s="38">
        <f>MONTH(Tableau1[[#This Row],[Date]])</f>
        <v>2</v>
      </c>
      <c r="AT29" s="38">
        <f>YEAR(Tableau1[[#This Row],[Date]])</f>
        <v>2021</v>
      </c>
    </row>
    <row r="30" spans="1:46" x14ac:dyDescent="0.2">
      <c r="A30" s="11">
        <v>44229.290277777778</v>
      </c>
      <c r="B30" s="12">
        <v>11.8</v>
      </c>
      <c r="C30" s="32">
        <f>IF(ISERROR(Tableau1[[#This Row],[Date]]-A29),"",Tableau1[[#This Row],[Date]]-A29)</f>
        <v>0.44305555555911269</v>
      </c>
      <c r="D30" s="33">
        <f>IF(ISERROR(Tableau1[[#This Row],[Date]]-A29),"",Tableau1[[#This Row],[Date]]-A29)</f>
        <v>0.44305555555911269</v>
      </c>
      <c r="E30" s="32">
        <f>Tableau1[[#This Row],[Date]]-$A$5</f>
        <v>46.581944444442343</v>
      </c>
      <c r="F30" s="33">
        <f>Tableau1[[#This Row],[Date]]-$A$5</f>
        <v>46.581944444442343</v>
      </c>
      <c r="G30" s="33">
        <f>Tableau1[[#This Row],[Diff jour_x000D_
Cumul]]-F$6</f>
        <v>8.4986111111138598</v>
      </c>
      <c r="H30" s="33">
        <f>Tableau1[[#This Row],[Diff jour_x000D_
Cumul]]-F$59</f>
        <v>-14.020833333335759</v>
      </c>
      <c r="I30" s="13">
        <v>181849</v>
      </c>
      <c r="J30" s="31">
        <f>IF(ISERROR(Tableau1[[#This Row],[Index HP
kWh]]-I29),"",Tableau1[[#This Row],[Index HP
kWh]]-I29)</f>
        <v>7</v>
      </c>
      <c r="K30" s="33">
        <f>IF(ISERROR(Tableau1[[#This Row],[Différence HP
Instantané]]/(Tableau1[[#This Row],[Diff jour
Instantané]]*24)),"",Tableau1[[#This Row],[Différence HP
Instantané]]/(Tableau1[[#This Row],[Diff jour
Instantané]]*24))</f>
        <v>0.65830721002606263</v>
      </c>
      <c r="L30" s="33">
        <f>Tableau1[[#This Row],[Différence HP
Instantané]]/Tableau1[[#This Row],[Diff jour
Instantané]]</f>
        <v>15.799373040625504</v>
      </c>
      <c r="M30" s="33">
        <f>Tableau1[[#This Row],[Conso HP / jour
Instantané]]*365</f>
        <v>5766.7711598283086</v>
      </c>
      <c r="N30" s="31">
        <f>Tableau1[[#This Row],[Index HP
kWh]]-$I$5</f>
        <v>2090</v>
      </c>
      <c r="O30" s="34">
        <f>Tableau1[[#This Row],[Différence HP
Cumul]]/(Tableau1[[#This Row],[Diff jour_x000D_
Cumul]]*24)</f>
        <v>1.8694653984913929</v>
      </c>
      <c r="P30" s="34">
        <f>Tableau1[[#This Row],[Différence HP
Cumul]]/Tableau1[[#This Row],[Diff jour_x000D_
Cumul]]</f>
        <v>44.867169563793432</v>
      </c>
      <c r="Q30" s="34">
        <f>Tableau1[[#This Row],[Conso HP / jour
Cumul]]*365</f>
        <v>16376.516890784602</v>
      </c>
      <c r="R30" s="13">
        <v>120433</v>
      </c>
      <c r="S30" s="31">
        <f>Tableau1[[#This Row],[Index HC_x000D_
kWh]]-R29</f>
        <v>15</v>
      </c>
      <c r="T30" s="35">
        <f>Tableau1[[#This Row],[Différence_x000D_ HC
Instantané]]/(Tableau1[[#This Row],[Diff jour
Instantané]]*24)</f>
        <v>1.4106583071987058</v>
      </c>
      <c r="U30" s="35">
        <f>Tableau1[[#This Row],[Différence_x000D_ HC
Instantané]]/Tableau1[[#This Row],[Diff jour
Instantané]]</f>
        <v>33.855799372768935</v>
      </c>
      <c r="V30" s="35">
        <f>Tableau1[[#This Row],[Conso HC / jour_x000D_
Instantané]]*365</f>
        <v>12357.366771060661</v>
      </c>
      <c r="W30" s="31">
        <f>Tableau1[[#This Row],[Index HC_x000D_
kWh]]-$R$5</f>
        <v>1001</v>
      </c>
      <c r="X30" s="36">
        <f>Tableau1[[#This Row],[Différence HC
Cumul]]/(Tableau1[[#This Row],[Diff jour_x000D_
Cumul]]*24)</f>
        <v>0.89537553296166716</v>
      </c>
      <c r="Y30" s="36">
        <f>Tableau1[[#This Row],[Différence HC
Cumul]]/Tableau1[[#This Row],[Diff jour_x000D_
Cumul]]</f>
        <v>21.489012791080011</v>
      </c>
      <c r="Z30" s="36">
        <f>Tableau1[[#This Row],[Conso HC / jour_x000D_
Cumul]]*365</f>
        <v>7843.4896687442042</v>
      </c>
      <c r="AA30" s="31">
        <f>Tableau1[[#This Row],[Différence HP
Instantané]]+Tableau1[[#This Row],[Différence_x000D_ HC
Instantané]]</f>
        <v>22</v>
      </c>
      <c r="AB30" s="34">
        <f>Tableau1[[#This Row],[Conso HP + HC
Instantané]]/(Tableau1[[#This Row],[Diff jour
Instantané]]*24)</f>
        <v>2.0689655172247683</v>
      </c>
      <c r="AC30" s="34">
        <f>IF(ISERROR(Tableau1[[#This Row],[Date]]-A29),"",Tableau1[[#This Row],[Conso HP + HC
Instantané]]/Tableau1[[#This Row],[Diff jour
Instantané]])</f>
        <v>49.655172413394439</v>
      </c>
      <c r="AD30" s="34">
        <f>Tableau1[[#This Row],[Conso HP + HC / jour_x000D_
Instantané]]*365</f>
        <v>18124.13793088897</v>
      </c>
      <c r="AE30" s="31">
        <f>Tableau1[[#This Row],[Différence HP
Cumul]]+Tableau1[[#This Row],[Différence HC
Cumul]]</f>
        <v>3091</v>
      </c>
      <c r="AF30" s="33">
        <f>(Tableau1[[#This Row],[Conso HP + HC
Cumul]]-AE$6)/Tableau1[[#This Row],[Diff jour_x000D_
Cumul
depuis le 24/01]]</f>
        <v>61.186468377166022</v>
      </c>
      <c r="AG30" s="33">
        <f>(Tableau1[[#This Row],[Conso HP + HC
Cumul]]-AE$59)/Tableau1[[#This Row],[Diff jour_x000D_
Cumul
depuis
précédente facture
16/02/2021]]</f>
        <v>77.456166419005925</v>
      </c>
      <c r="AH30" s="34">
        <f>Tableau1[[#This Row],[Conso HP + HC
Cumul]]/(Tableau1[[#This Row],[Diff jour_x000D_
Cumul]]*24)</f>
        <v>2.76484093145306</v>
      </c>
      <c r="AI30" s="34">
        <f>Tableau1[[#This Row],[Conso HP + HC
Cumul]]/Tableau1[[#This Row],[Diff jour_x000D_
Cumul]]</f>
        <v>66.35618235487344</v>
      </c>
      <c r="AJ30" s="34">
        <f>Tableau1[[#This Row],[Conso HP + HC / jour_x000D_
Cumul]]*365</f>
        <v>24220.006559528807</v>
      </c>
      <c r="AK30" s="37">
        <f>(Tableau1[[#This Row],[Différence HP
Cumul]]*0.1799)+(Tableau1[[#This Row],[Différence HC
Cumul]]*0.1346)</f>
        <v>510.72559999999999</v>
      </c>
      <c r="AL30" s="37">
        <f>Tableau1[[#This Row],[Montant
Tarif HP/HC]]/Tableau1[[#This Row],[Diff jour_x000D_
Cumul]]</f>
        <v>10.964024926205807</v>
      </c>
      <c r="AM30" s="37">
        <f>(Tableau1[[#This Row],[Montant
Tarif HP/HC]]-AK$6)/Tableau1[[#This Row],[Diff jour_x000D_
Cumul
depuis le 24/01]]</f>
        <v>10.154600424902741</v>
      </c>
      <c r="AN30" s="37">
        <f>(Tableau1[[#This Row],[Montant
Tarif HP/HC]]-AK$59)/Tableau1[[#This Row],[Diff jour_x000D_
Cumul
depuis
précédente facture
16/02/2021]]</f>
        <v>12.926321545317229</v>
      </c>
      <c r="AO30" s="37">
        <f>Tableau1[[#This Row],[Conso HP + HC
Cumul]]*0.1599</f>
        <v>494.25089999999994</v>
      </c>
      <c r="AP30" s="37">
        <f>Tableau1[[#This Row],[Montant
Tarif normal]]/Tableau1[[#This Row],[Diff jour_x000D_
Cumul]]</f>
        <v>10.610353558544263</v>
      </c>
      <c r="AQ30" s="37">
        <f>(Tableau1[[#This Row],[Conso HP / an
Cumul]]*0.1799)+(Tableau1[[#This Row],[Conso HC / an_x000D_
Cumul]]*0.1346)</f>
        <v>4001.8690980651199</v>
      </c>
      <c r="AR30" s="37">
        <f>Tableau1[[#This Row],[Conso HP + HC / an_x000D_
Cumul]]*0.1599</f>
        <v>3872.779048868656</v>
      </c>
      <c r="AS30" s="38">
        <f>MONTH(Tableau1[[#This Row],[Date]])</f>
        <v>2</v>
      </c>
      <c r="AT30" s="38">
        <f>YEAR(Tableau1[[#This Row],[Date]])</f>
        <v>2021</v>
      </c>
    </row>
    <row r="31" spans="1:46" x14ac:dyDescent="0.2">
      <c r="A31" s="11">
        <v>44229.568055555559</v>
      </c>
      <c r="B31" s="12">
        <v>12.7</v>
      </c>
      <c r="C31" s="32">
        <f>IF(ISERROR(Tableau1[[#This Row],[Date]]-A30),"",Tableau1[[#This Row],[Date]]-A30)</f>
        <v>0.27777777778101154</v>
      </c>
      <c r="D31" s="33">
        <f>IF(ISERROR(Tableau1[[#This Row],[Date]]-A30),"",Tableau1[[#This Row],[Date]]-A30)</f>
        <v>0.27777777778101154</v>
      </c>
      <c r="E31" s="32">
        <f>Tableau1[[#This Row],[Date]]-$A$5</f>
        <v>46.859722222223354</v>
      </c>
      <c r="F31" s="33">
        <f>Tableau1[[#This Row],[Date]]-$A$5</f>
        <v>46.859722222223354</v>
      </c>
      <c r="G31" s="33">
        <f>Tableau1[[#This Row],[Diff jour_x000D_
Cumul]]-F$6</f>
        <v>8.7763888888948713</v>
      </c>
      <c r="H31" s="33">
        <f>Tableau1[[#This Row],[Diff jour_x000D_
Cumul]]-F$59</f>
        <v>-13.743055555554747</v>
      </c>
      <c r="I31" s="13">
        <v>181864</v>
      </c>
      <c r="J31" s="31">
        <f>IF(ISERROR(Tableau1[[#This Row],[Index HP
kWh]]-I30),"",Tableau1[[#This Row],[Index HP
kWh]]-I30)</f>
        <v>15</v>
      </c>
      <c r="K31" s="33">
        <f>IF(ISERROR(Tableau1[[#This Row],[Différence HP
Instantané]]/(Tableau1[[#This Row],[Diff jour
Instantané]]*24)),"",Tableau1[[#This Row],[Différence HP
Instantané]]/(Tableau1[[#This Row],[Diff jour
Instantané]]*24))</f>
        <v>2.2499999999738067</v>
      </c>
      <c r="L31" s="33">
        <f>Tableau1[[#This Row],[Différence HP
Instantané]]/Tableau1[[#This Row],[Diff jour
Instantané]]</f>
        <v>53.999999999371354</v>
      </c>
      <c r="M31" s="33">
        <f>Tableau1[[#This Row],[Conso HP / jour
Instantané]]*365</f>
        <v>19709.999999770545</v>
      </c>
      <c r="N31" s="31">
        <f>Tableau1[[#This Row],[Index HP
kWh]]-$I$5</f>
        <v>2105</v>
      </c>
      <c r="O31" s="34">
        <f>Tableau1[[#This Row],[Différence HP
Cumul]]/(Tableau1[[#This Row],[Diff jour_x000D_
Cumul]]*24)</f>
        <v>1.8717211535611156</v>
      </c>
      <c r="P31" s="34">
        <f>Tableau1[[#This Row],[Différence HP
Cumul]]/Tableau1[[#This Row],[Diff jour_x000D_
Cumul]]</f>
        <v>44.921307685466772</v>
      </c>
      <c r="Q31" s="34">
        <f>Tableau1[[#This Row],[Conso HP / jour
Cumul]]*365</f>
        <v>16396.27730519537</v>
      </c>
      <c r="R31" s="13">
        <v>120433</v>
      </c>
      <c r="S31" s="31">
        <f>Tableau1[[#This Row],[Index HC_x000D_
kWh]]-R30</f>
        <v>0</v>
      </c>
      <c r="T31" s="35">
        <f>Tableau1[[#This Row],[Différence_x000D_ HC
Instantané]]/(Tableau1[[#This Row],[Diff jour
Instantané]]*24)</f>
        <v>0</v>
      </c>
      <c r="U31" s="35">
        <f>Tableau1[[#This Row],[Différence_x000D_ HC
Instantané]]/Tableau1[[#This Row],[Diff jour
Instantané]]</f>
        <v>0</v>
      </c>
      <c r="V31" s="35">
        <f>Tableau1[[#This Row],[Conso HC / jour_x000D_
Instantané]]*365</f>
        <v>0</v>
      </c>
      <c r="W31" s="31">
        <f>Tableau1[[#This Row],[Index HC_x000D_
kWh]]-$R$5</f>
        <v>1001</v>
      </c>
      <c r="X31" s="36">
        <f>Tableau1[[#This Row],[Différence HC
Cumul]]/(Tableau1[[#This Row],[Diff jour_x000D_
Cumul]]*24)</f>
        <v>0.89006787397371812</v>
      </c>
      <c r="Y31" s="36">
        <f>Tableau1[[#This Row],[Différence HC
Cumul]]/Tableau1[[#This Row],[Diff jour_x000D_
Cumul]]</f>
        <v>21.361628975369236</v>
      </c>
      <c r="Z31" s="36">
        <f>Tableau1[[#This Row],[Conso HC / jour_x000D_
Cumul]]*365</f>
        <v>7796.9945760097708</v>
      </c>
      <c r="AA31" s="31">
        <f>Tableau1[[#This Row],[Différence HP
Instantané]]+Tableau1[[#This Row],[Différence_x000D_ HC
Instantané]]</f>
        <v>15</v>
      </c>
      <c r="AB31" s="34">
        <f>Tableau1[[#This Row],[Conso HP + HC
Instantané]]/(Tableau1[[#This Row],[Diff jour
Instantané]]*24)</f>
        <v>2.2499999999738067</v>
      </c>
      <c r="AC31" s="34">
        <f>IF(ISERROR(Tableau1[[#This Row],[Date]]-A30),"",Tableau1[[#This Row],[Conso HP + HC
Instantané]]/Tableau1[[#This Row],[Diff jour
Instantané]])</f>
        <v>53.999999999371354</v>
      </c>
      <c r="AD31" s="34">
        <f>Tableau1[[#This Row],[Conso HP + HC / jour_x000D_
Instantané]]*365</f>
        <v>19709.999999770545</v>
      </c>
      <c r="AE31" s="31">
        <f>Tableau1[[#This Row],[Différence HP
Cumul]]+Tableau1[[#This Row],[Différence HC
Cumul]]</f>
        <v>3106</v>
      </c>
      <c r="AF31" s="33">
        <f>(Tableau1[[#This Row],[Conso HP + HC
Cumul]]-AE$6)/Tableau1[[#This Row],[Diff jour_x000D_
Cumul
depuis le 24/01]]</f>
        <v>60.959012501936606</v>
      </c>
      <c r="AG31" s="33">
        <f>(Tableau1[[#This Row],[Conso HP + HC
Cumul]]-AE$59)/Tableau1[[#This Row],[Diff jour_x000D_
Cumul
depuis
précédente facture
16/02/2021]]</f>
        <v>77.930267812030863</v>
      </c>
      <c r="AH31" s="34">
        <f>Tableau1[[#This Row],[Conso HP + HC
Cumul]]/(Tableau1[[#This Row],[Diff jour_x000D_
Cumul]]*24)</f>
        <v>2.7617890275348334</v>
      </c>
      <c r="AI31" s="34">
        <f>Tableau1[[#This Row],[Conso HP + HC
Cumul]]/Tableau1[[#This Row],[Diff jour_x000D_
Cumul]]</f>
        <v>66.282936660836</v>
      </c>
      <c r="AJ31" s="34">
        <f>Tableau1[[#This Row],[Conso HP + HC / jour_x000D_
Cumul]]*365</f>
        <v>24193.271881205139</v>
      </c>
      <c r="AK31" s="37">
        <f>(Tableau1[[#This Row],[Différence HP
Cumul]]*0.1799)+(Tableau1[[#This Row],[Différence HC
Cumul]]*0.1346)</f>
        <v>513.42409999999995</v>
      </c>
      <c r="AL31" s="37">
        <f>Tableau1[[#This Row],[Montant
Tarif HP/HC]]/Tableau1[[#This Row],[Diff jour_x000D_
Cumul]]</f>
        <v>10.956618512700169</v>
      </c>
      <c r="AM31" s="37">
        <f>(Tableau1[[#This Row],[Montant
Tarif HP/HC]]-AK$6)/Tableau1[[#This Row],[Diff jour_x000D_
Cumul
depuis le 24/01]]</f>
        <v>10.14067415729645</v>
      </c>
      <c r="AN31" s="37">
        <f>(Tableau1[[#This Row],[Montant
Tarif HP/HC]]-AK$59)/Tableau1[[#This Row],[Diff jour_x000D_
Cumul
depuis
précédente facture
16/02/2021]]</f>
        <v>12.991237594745586</v>
      </c>
      <c r="AO31" s="37">
        <f>Tableau1[[#This Row],[Conso HP + HC
Cumul]]*0.1599</f>
        <v>496.64939999999996</v>
      </c>
      <c r="AP31" s="37">
        <f>Tableau1[[#This Row],[Montant
Tarif normal]]/Tableau1[[#This Row],[Diff jour_x000D_
Cumul]]</f>
        <v>10.598641572067676</v>
      </c>
      <c r="AQ31" s="37">
        <f>(Tableau1[[#This Row],[Conso HP / an
Cumul]]*0.1799)+(Tableau1[[#This Row],[Conso HC / an_x000D_
Cumul]]*0.1346)</f>
        <v>3999.1657571355622</v>
      </c>
      <c r="AR31" s="37">
        <f>Tableau1[[#This Row],[Conso HP + HC / an_x000D_
Cumul]]*0.1599</f>
        <v>3868.5041738047012</v>
      </c>
      <c r="AS31" s="38">
        <f>MONTH(Tableau1[[#This Row],[Date]])</f>
        <v>2</v>
      </c>
      <c r="AT31" s="38">
        <f>YEAR(Tableau1[[#This Row],[Date]])</f>
        <v>2021</v>
      </c>
    </row>
    <row r="32" spans="1:46" x14ac:dyDescent="0.2">
      <c r="A32" s="11">
        <v>44229.977777777778</v>
      </c>
      <c r="B32" s="12">
        <v>11.4</v>
      </c>
      <c r="C32" s="32">
        <f>IF(ISERROR(Tableau1[[#This Row],[Date]]-A31),"",Tableau1[[#This Row],[Date]]-A31)</f>
        <v>0.40972222221898846</v>
      </c>
      <c r="D32" s="33">
        <f>IF(ISERROR(Tableau1[[#This Row],[Date]]-A31),"",Tableau1[[#This Row],[Date]]-A31)</f>
        <v>0.40972222221898846</v>
      </c>
      <c r="E32" s="32">
        <f>Tableau1[[#This Row],[Date]]-$A$5</f>
        <v>47.269444444442343</v>
      </c>
      <c r="F32" s="33">
        <f>Tableau1[[#This Row],[Date]]-$A$5</f>
        <v>47.269444444442343</v>
      </c>
      <c r="G32" s="33">
        <f>Tableau1[[#This Row],[Diff jour_x000D_
Cumul]]-F$6</f>
        <v>9.1861111111138598</v>
      </c>
      <c r="H32" s="33">
        <f>Tableau1[[#This Row],[Diff jour_x000D_
Cumul]]-F$59</f>
        <v>-13.333333333335759</v>
      </c>
      <c r="I32" s="13">
        <v>181883</v>
      </c>
      <c r="J32" s="31">
        <f>IF(ISERROR(Tableau1[[#This Row],[Index HP
kWh]]-I31),"",Tableau1[[#This Row],[Index HP
kWh]]-I31)</f>
        <v>19</v>
      </c>
      <c r="K32" s="33">
        <f>IF(ISERROR(Tableau1[[#This Row],[Différence HP
Instantané]]/(Tableau1[[#This Row],[Diff jour
Instantané]]*24)),"",Tableau1[[#This Row],[Différence HP
Instantané]]/(Tableau1[[#This Row],[Diff jour
Instantané]]*24))</f>
        <v>1.9322033898457585</v>
      </c>
      <c r="L32" s="33">
        <f>Tableau1[[#This Row],[Différence HP
Instantané]]/Tableau1[[#This Row],[Diff jour
Instantané]]</f>
        <v>46.372881356298201</v>
      </c>
      <c r="M32" s="33">
        <f>Tableau1[[#This Row],[Conso HP / jour
Instantané]]*365</f>
        <v>16926.101695048845</v>
      </c>
      <c r="N32" s="31">
        <f>Tableau1[[#This Row],[Index HP
kWh]]-$I$5</f>
        <v>2124</v>
      </c>
      <c r="O32" s="34">
        <f>Tableau1[[#This Row],[Différence HP
Cumul]]/(Tableau1[[#This Row],[Diff jour_x000D_
Cumul]]*24)</f>
        <v>1.8722454016572496</v>
      </c>
      <c r="P32" s="34">
        <f>Tableau1[[#This Row],[Différence HP
Cumul]]/Tableau1[[#This Row],[Diff jour_x000D_
Cumul]]</f>
        <v>44.933889639773987</v>
      </c>
      <c r="Q32" s="34">
        <f>Tableau1[[#This Row],[Conso HP / jour
Cumul]]*365</f>
        <v>16400.869718517504</v>
      </c>
      <c r="R32" s="13">
        <v>120435</v>
      </c>
      <c r="S32" s="31">
        <f>Tableau1[[#This Row],[Index HC_x000D_
kWh]]-R31</f>
        <v>2</v>
      </c>
      <c r="T32" s="35">
        <f>Tableau1[[#This Row],[Différence_x000D_ HC
Instantané]]/(Tableau1[[#This Row],[Diff jour
Instantané]]*24)</f>
        <v>0.20338983051007983</v>
      </c>
      <c r="U32" s="35">
        <f>Tableau1[[#This Row],[Différence_x000D_ HC
Instantané]]/Tableau1[[#This Row],[Diff jour
Instantané]]</f>
        <v>4.8813559322419167</v>
      </c>
      <c r="V32" s="35">
        <f>Tableau1[[#This Row],[Conso HC / jour_x000D_
Instantané]]*365</f>
        <v>1781.6949152682996</v>
      </c>
      <c r="W32" s="31">
        <f>Tableau1[[#This Row],[Index HC_x000D_
kWh]]-$R$5</f>
        <v>1003</v>
      </c>
      <c r="X32" s="36">
        <f>Tableau1[[#This Row],[Différence HC
Cumul]]/(Tableau1[[#This Row],[Diff jour_x000D_
Cumul]]*24)</f>
        <v>0.88411588411592346</v>
      </c>
      <c r="Y32" s="36">
        <f>Tableau1[[#This Row],[Différence HC
Cumul]]/Tableau1[[#This Row],[Diff jour_x000D_
Cumul]]</f>
        <v>21.218781218782162</v>
      </c>
      <c r="Z32" s="36">
        <f>Tableau1[[#This Row],[Conso HC / jour_x000D_
Cumul]]*365</f>
        <v>7744.855144855489</v>
      </c>
      <c r="AA32" s="31">
        <f>Tableau1[[#This Row],[Différence HP
Instantané]]+Tableau1[[#This Row],[Différence_x000D_ HC
Instantané]]</f>
        <v>21</v>
      </c>
      <c r="AB32" s="34">
        <f>Tableau1[[#This Row],[Conso HP + HC
Instantané]]/(Tableau1[[#This Row],[Diff jour
Instantané]]*24)</f>
        <v>2.1355932203558385</v>
      </c>
      <c r="AC32" s="34">
        <f>IF(ISERROR(Tableau1[[#This Row],[Date]]-A31),"",Tableau1[[#This Row],[Conso HP + HC
Instantané]]/Tableau1[[#This Row],[Diff jour
Instantané]])</f>
        <v>51.254237288540118</v>
      </c>
      <c r="AD32" s="34">
        <f>Tableau1[[#This Row],[Conso HP + HC / jour_x000D_
Instantané]]*365</f>
        <v>18707.796610317142</v>
      </c>
      <c r="AE32" s="31">
        <f>Tableau1[[#This Row],[Différence HP
Cumul]]+Tableau1[[#This Row],[Différence HC
Cumul]]</f>
        <v>3127</v>
      </c>
      <c r="AF32" s="33">
        <f>(Tableau1[[#This Row],[Conso HP + HC
Cumul]]-AE$6)/Tableau1[[#This Row],[Diff jour_x000D_
Cumul
depuis le 24/01]]</f>
        <v>60.526156637417628</v>
      </c>
      <c r="AG32" s="33">
        <f>(Tableau1[[#This Row],[Conso HP + HC
Cumul]]-AE$59)/Tableau1[[#This Row],[Diff jour_x000D_
Cumul
depuis
précédente facture
16/02/2021]]</f>
        <v>78.749999999985675</v>
      </c>
      <c r="AH32" s="34">
        <f>Tableau1[[#This Row],[Conso HP + HC
Cumul]]/(Tableau1[[#This Row],[Diff jour_x000D_
Cumul]]*24)</f>
        <v>2.7563612857731732</v>
      </c>
      <c r="AI32" s="34">
        <f>Tableau1[[#This Row],[Conso HP + HC
Cumul]]/Tableau1[[#This Row],[Diff jour_x000D_
Cumul]]</f>
        <v>66.152670858556149</v>
      </c>
      <c r="AJ32" s="34">
        <f>Tableau1[[#This Row],[Conso HP + HC / jour_x000D_
Cumul]]*365</f>
        <v>24145.724863372994</v>
      </c>
      <c r="AK32" s="37">
        <f>(Tableau1[[#This Row],[Différence HP
Cumul]]*0.1799)+(Tableau1[[#This Row],[Différence HC
Cumul]]*0.1346)</f>
        <v>517.1114</v>
      </c>
      <c r="AL32" s="37">
        <f>Tableau1[[#This Row],[Montant
Tarif HP/HC]]/Tableau1[[#This Row],[Diff jour_x000D_
Cumul]]</f>
        <v>10.93965469824342</v>
      </c>
      <c r="AM32" s="37">
        <f>(Tableau1[[#This Row],[Montant
Tarif HP/HC]]-AK$6)/Tableau1[[#This Row],[Diff jour_x000D_
Cumul
depuis le 24/01]]</f>
        <v>10.089775627453887</v>
      </c>
      <c r="AN32" s="37">
        <f>(Tableau1[[#This Row],[Montant
Tarif HP/HC]]-AK$59)/Tableau1[[#This Row],[Diff jour_x000D_
Cumul
depuis
précédente facture
16/02/2021]]</f>
        <v>13.113899999997614</v>
      </c>
      <c r="AO32" s="37">
        <f>Tableau1[[#This Row],[Conso HP + HC
Cumul]]*0.1599</f>
        <v>500.00729999999993</v>
      </c>
      <c r="AP32" s="37">
        <f>Tableau1[[#This Row],[Montant
Tarif normal]]/Tableau1[[#This Row],[Diff jour_x000D_
Cumul]]</f>
        <v>10.577812070283127</v>
      </c>
      <c r="AQ32" s="37">
        <f>(Tableau1[[#This Row],[Conso HP / an
Cumul]]*0.1799)+(Tableau1[[#This Row],[Conso HC / an_x000D_
Cumul]]*0.1346)</f>
        <v>3992.9739648588479</v>
      </c>
      <c r="AR32" s="37">
        <f>Tableau1[[#This Row],[Conso HP + HC / an_x000D_
Cumul]]*0.1599</f>
        <v>3860.9014056533415</v>
      </c>
      <c r="AS32" s="38">
        <f>MONTH(Tableau1[[#This Row],[Date]])</f>
        <v>2</v>
      </c>
      <c r="AT32" s="38">
        <f>YEAR(Tableau1[[#This Row],[Date]])</f>
        <v>2021</v>
      </c>
    </row>
    <row r="33" spans="1:46" x14ac:dyDescent="0.2">
      <c r="A33" s="11">
        <v>44230.561805555553</v>
      </c>
      <c r="B33" s="12">
        <v>11.5</v>
      </c>
      <c r="C33" s="32">
        <f>IF(ISERROR(Tableau1[[#This Row],[Date]]-A32),"",Tableau1[[#This Row],[Date]]-A32)</f>
        <v>0.58402777777519077</v>
      </c>
      <c r="D33" s="33">
        <f>IF(ISERROR(Tableau1[[#This Row],[Date]]-A32),"",Tableau1[[#This Row],[Date]]-A32)</f>
        <v>0.58402777777519077</v>
      </c>
      <c r="E33" s="32">
        <f>Tableau1[[#This Row],[Date]]-$A$5</f>
        <v>47.853472222217533</v>
      </c>
      <c r="F33" s="33">
        <f>Tableau1[[#This Row],[Date]]-$A$5</f>
        <v>47.853472222217533</v>
      </c>
      <c r="G33" s="33">
        <f>Tableau1[[#This Row],[Diff jour_x000D_
Cumul]]-F$6</f>
        <v>9.7701388888890506</v>
      </c>
      <c r="H33" s="33">
        <f>Tableau1[[#This Row],[Diff jour_x000D_
Cumul]]-F$59</f>
        <v>-12.749305555560568</v>
      </c>
      <c r="I33" s="13">
        <v>181900</v>
      </c>
      <c r="J33" s="31">
        <f>IF(ISERROR(Tableau1[[#This Row],[Index HP
kWh]]-I32),"",Tableau1[[#This Row],[Index HP
kWh]]-I32)</f>
        <v>17</v>
      </c>
      <c r="K33" s="33">
        <f>IF(ISERROR(Tableau1[[#This Row],[Différence HP
Instantané]]/(Tableau1[[#This Row],[Diff jour
Instantané]]*24)),"",Tableau1[[#This Row],[Différence HP
Instantané]]/(Tableau1[[#This Row],[Diff jour
Instantané]]*24))</f>
        <v>1.212841854939974</v>
      </c>
      <c r="L33" s="33">
        <f>Tableau1[[#This Row],[Différence HP
Instantané]]/Tableau1[[#This Row],[Diff jour
Instantané]]</f>
        <v>29.108204518559379</v>
      </c>
      <c r="M33" s="33">
        <f>Tableau1[[#This Row],[Conso HP / jour
Instantané]]*365</f>
        <v>10624.494649274173</v>
      </c>
      <c r="N33" s="31">
        <f>Tableau1[[#This Row],[Index HP
kWh]]-$I$5</f>
        <v>2141</v>
      </c>
      <c r="O33" s="34">
        <f>Tableau1[[#This Row],[Différence HP
Cumul]]/(Tableau1[[#This Row],[Diff jour_x000D_
Cumul]]*24)</f>
        <v>1.8641977100235467</v>
      </c>
      <c r="P33" s="34">
        <f>Tableau1[[#This Row],[Différence HP
Cumul]]/Tableau1[[#This Row],[Diff jour_x000D_
Cumul]]</f>
        <v>44.740745040565123</v>
      </c>
      <c r="Q33" s="34">
        <f>Tableau1[[#This Row],[Conso HP / jour
Cumul]]*365</f>
        <v>16330.371939806269</v>
      </c>
      <c r="R33" s="13">
        <v>120448</v>
      </c>
      <c r="S33" s="31">
        <f>Tableau1[[#This Row],[Index HC_x000D_
kWh]]-R32</f>
        <v>13</v>
      </c>
      <c r="T33" s="35">
        <f>Tableau1[[#This Row],[Différence_x000D_ HC
Instantané]]/(Tableau1[[#This Row],[Diff jour
Instantané]]*24)</f>
        <v>0.92746730083645079</v>
      </c>
      <c r="U33" s="35">
        <f>Tableau1[[#This Row],[Différence_x000D_ HC
Instantané]]/Tableau1[[#This Row],[Diff jour
Instantané]]</f>
        <v>22.259215220074818</v>
      </c>
      <c r="V33" s="35">
        <f>Tableau1[[#This Row],[Conso HC / jour_x000D_
Instantané]]*365</f>
        <v>8124.6135553273089</v>
      </c>
      <c r="W33" s="31">
        <f>Tableau1[[#This Row],[Index HC_x000D_
kWh]]-$R$5</f>
        <v>1016</v>
      </c>
      <c r="X33" s="36">
        <f>Tableau1[[#This Row],[Différence HC
Cumul]]/(Tableau1[[#This Row],[Diff jour_x000D_
Cumul]]*24)</f>
        <v>0.88464496655017444</v>
      </c>
      <c r="Y33" s="36">
        <f>Tableau1[[#This Row],[Différence HC
Cumul]]/Tableau1[[#This Row],[Diff jour_x000D_
Cumul]]</f>
        <v>21.231479197204187</v>
      </c>
      <c r="Z33" s="36">
        <f>Tableau1[[#This Row],[Conso HC / jour_x000D_
Cumul]]*365</f>
        <v>7749.4899069795283</v>
      </c>
      <c r="AA33" s="31">
        <f>Tableau1[[#This Row],[Différence HP
Instantané]]+Tableau1[[#This Row],[Différence_x000D_ HC
Instantané]]</f>
        <v>30</v>
      </c>
      <c r="AB33" s="34">
        <f>Tableau1[[#This Row],[Conso HP + HC
Instantané]]/(Tableau1[[#This Row],[Diff jour
Instantané]]*24)</f>
        <v>2.1403091557764249</v>
      </c>
      <c r="AC33" s="34">
        <f>IF(ISERROR(Tableau1[[#This Row],[Date]]-A32),"",Tableau1[[#This Row],[Conso HP + HC
Instantané]]/Tableau1[[#This Row],[Diff jour
Instantané]])</f>
        <v>51.367419738634197</v>
      </c>
      <c r="AD33" s="34">
        <f>Tableau1[[#This Row],[Conso HP + HC / jour_x000D_
Instantané]]*365</f>
        <v>18749.108204601482</v>
      </c>
      <c r="AE33" s="31">
        <f>Tableau1[[#This Row],[Différence HP
Cumul]]+Tableau1[[#This Row],[Différence HC
Cumul]]</f>
        <v>3157</v>
      </c>
      <c r="AF33" s="33">
        <f>(Tableau1[[#This Row],[Conso HP + HC
Cumul]]-AE$6)/Tableau1[[#This Row],[Diff jour_x000D_
Cumul
depuis le 24/01]]</f>
        <v>59.97867652285067</v>
      </c>
      <c r="AG33" s="33">
        <f>(Tableau1[[#This Row],[Conso HP + HC
Cumul]]-AE$59)/Tableau1[[#This Row],[Diff jour_x000D_
Cumul
depuis
précédente facture
16/02/2021]]</f>
        <v>80.004357535782049</v>
      </c>
      <c r="AH33" s="34">
        <f>Tableau1[[#This Row],[Conso HP + HC
Cumul]]/(Tableau1[[#This Row],[Diff jour_x000D_
Cumul]]*24)</f>
        <v>2.7488426765737213</v>
      </c>
      <c r="AI33" s="34">
        <f>Tableau1[[#This Row],[Conso HP + HC
Cumul]]/Tableau1[[#This Row],[Diff jour_x000D_
Cumul]]</f>
        <v>65.972224237769311</v>
      </c>
      <c r="AJ33" s="34">
        <f>Tableau1[[#This Row],[Conso HP + HC / jour_x000D_
Cumul]]*365</f>
        <v>24079.8618467858</v>
      </c>
      <c r="AK33" s="37">
        <f>(Tableau1[[#This Row],[Différence HP
Cumul]]*0.1799)+(Tableau1[[#This Row],[Différence HC
Cumul]]*0.1346)</f>
        <v>521.91949999999997</v>
      </c>
      <c r="AL33" s="37">
        <f>Tableau1[[#This Row],[Montant
Tarif HP/HC]]/Tableau1[[#This Row],[Diff jour_x000D_
Cumul]]</f>
        <v>10.906617132741349</v>
      </c>
      <c r="AM33" s="37">
        <f>(Tableau1[[#This Row],[Montant
Tarif HP/HC]]-AK$6)/Tableau1[[#This Row],[Diff jour_x000D_
Cumul
depuis le 24/01]]</f>
        <v>9.9787629540121969</v>
      </c>
      <c r="AN33" s="37">
        <f>(Tableau1[[#This Row],[Montant
Tarif HP/HC]]-AK$59)/Tableau1[[#This Row],[Diff jour_x000D_
Cumul
depuis
précédente facture
16/02/2021]]</f>
        <v>13.337502914096833</v>
      </c>
      <c r="AO33" s="37">
        <f>Tableau1[[#This Row],[Conso HP + HC
Cumul]]*0.1599</f>
        <v>504.80429999999996</v>
      </c>
      <c r="AP33" s="37">
        <f>Tableau1[[#This Row],[Montant
Tarif normal]]/Tableau1[[#This Row],[Diff jour_x000D_
Cumul]]</f>
        <v>10.548958655619312</v>
      </c>
      <c r="AQ33" s="37">
        <f>(Tableau1[[#This Row],[Conso HP / an
Cumul]]*0.1799)+(Tableau1[[#This Row],[Conso HC / an_x000D_
Cumul]]*0.1346)</f>
        <v>3980.9152534505929</v>
      </c>
      <c r="AR33" s="37">
        <f>Tableau1[[#This Row],[Conso HP + HC / an_x000D_
Cumul]]*0.1599</f>
        <v>3850.3699093010491</v>
      </c>
      <c r="AS33" s="38">
        <f>MONTH(Tableau1[[#This Row],[Date]])</f>
        <v>2</v>
      </c>
      <c r="AT33" s="38">
        <f>YEAR(Tableau1[[#This Row],[Date]])</f>
        <v>2021</v>
      </c>
    </row>
    <row r="34" spans="1:46" x14ac:dyDescent="0.2">
      <c r="A34" s="11">
        <v>44230.942361111112</v>
      </c>
      <c r="B34" s="12">
        <v>8.4</v>
      </c>
      <c r="C34" s="32">
        <f>IF(ISERROR(Tableau1[[#This Row],[Date]]-A33),"",Tableau1[[#This Row],[Date]]-A33)</f>
        <v>0.38055555555911269</v>
      </c>
      <c r="D34" s="33">
        <f>IF(ISERROR(Tableau1[[#This Row],[Date]]-A33),"",Tableau1[[#This Row],[Date]]-A33)</f>
        <v>0.38055555555911269</v>
      </c>
      <c r="E34" s="32">
        <f>Tableau1[[#This Row],[Date]]-$A$5</f>
        <v>48.234027777776646</v>
      </c>
      <c r="F34" s="33">
        <f>Tableau1[[#This Row],[Date]]-$A$5</f>
        <v>48.234027777776646</v>
      </c>
      <c r="G34" s="33">
        <f>Tableau1[[#This Row],[Diff jour_x000D_
Cumul]]-F$6</f>
        <v>10.150694444448163</v>
      </c>
      <c r="H34" s="33">
        <f>Tableau1[[#This Row],[Diff jour_x000D_
Cumul]]-F$59</f>
        <v>-12.368750000001455</v>
      </c>
      <c r="I34" s="13">
        <v>181923</v>
      </c>
      <c r="J34" s="31">
        <f>IF(ISERROR(Tableau1[[#This Row],[Index HP
kWh]]-I33),"",Tableau1[[#This Row],[Index HP
kWh]]-I33)</f>
        <v>23</v>
      </c>
      <c r="K34" s="33">
        <f>IF(ISERROR(Tableau1[[#This Row],[Différence HP
Instantané]]/(Tableau1[[#This Row],[Diff jour
Instantané]]*24)),"",Tableau1[[#This Row],[Différence HP
Instantané]]/(Tableau1[[#This Row],[Diff jour
Instantané]]*24))</f>
        <v>2.5182481751589432</v>
      </c>
      <c r="L34" s="33">
        <f>Tableau1[[#This Row],[Différence HP
Instantané]]/Tableau1[[#This Row],[Diff jour
Instantané]]</f>
        <v>60.437956203814636</v>
      </c>
      <c r="M34" s="33">
        <f>Tableau1[[#This Row],[Conso HP / jour
Instantané]]*365</f>
        <v>22059.854014392342</v>
      </c>
      <c r="N34" s="31">
        <f>Tableau1[[#This Row],[Index HP
kWh]]-$I$5</f>
        <v>2164</v>
      </c>
      <c r="O34" s="34">
        <f>Tableau1[[#This Row],[Différence HP
Cumul]]/(Tableau1[[#This Row],[Diff jour_x000D_
Cumul]]*24)</f>
        <v>1.8693580200700153</v>
      </c>
      <c r="P34" s="34">
        <f>Tableau1[[#This Row],[Différence HP
Cumul]]/Tableau1[[#This Row],[Diff jour_x000D_
Cumul]]</f>
        <v>44.864592481680369</v>
      </c>
      <c r="Q34" s="34">
        <f>Tableau1[[#This Row],[Conso HP / jour
Cumul]]*365</f>
        <v>16375.576255813334</v>
      </c>
      <c r="R34" s="13">
        <v>120448</v>
      </c>
      <c r="S34" s="31">
        <f>Tableau1[[#This Row],[Index HC_x000D_
kWh]]-R33</f>
        <v>0</v>
      </c>
      <c r="T34" s="35">
        <f>Tableau1[[#This Row],[Différence_x000D_ HC
Instantané]]/(Tableau1[[#This Row],[Diff jour
Instantané]]*24)</f>
        <v>0</v>
      </c>
      <c r="U34" s="35">
        <f>Tableau1[[#This Row],[Différence_x000D_ HC
Instantané]]/Tableau1[[#This Row],[Diff jour
Instantané]]</f>
        <v>0</v>
      </c>
      <c r="V34" s="35">
        <f>Tableau1[[#This Row],[Conso HC / jour_x000D_
Instantané]]*365</f>
        <v>0</v>
      </c>
      <c r="W34" s="31">
        <f>Tableau1[[#This Row],[Index HC_x000D_
kWh]]-$R$5</f>
        <v>1016</v>
      </c>
      <c r="X34" s="36">
        <f>Tableau1[[#This Row],[Différence HC
Cumul]]/(Tableau1[[#This Row],[Diff jour_x000D_
Cumul]]*24)</f>
        <v>0.87766531811050619</v>
      </c>
      <c r="Y34" s="36">
        <f>Tableau1[[#This Row],[Différence HC
Cumul]]/Tableau1[[#This Row],[Diff jour_x000D_
Cumul]]</f>
        <v>21.063967634652148</v>
      </c>
      <c r="Z34" s="36">
        <f>Tableau1[[#This Row],[Conso HC / jour_x000D_
Cumul]]*365</f>
        <v>7688.3481866480342</v>
      </c>
      <c r="AA34" s="31">
        <f>Tableau1[[#This Row],[Différence HP
Instantané]]+Tableau1[[#This Row],[Différence_x000D_ HC
Instantané]]</f>
        <v>23</v>
      </c>
      <c r="AB34" s="34">
        <f>Tableau1[[#This Row],[Conso HP + HC
Instantané]]/(Tableau1[[#This Row],[Diff jour
Instantané]]*24)</f>
        <v>2.5182481751589432</v>
      </c>
      <c r="AC34" s="34">
        <f>IF(ISERROR(Tableau1[[#This Row],[Date]]-A33),"",Tableau1[[#This Row],[Conso HP + HC
Instantané]]/Tableau1[[#This Row],[Diff jour
Instantané]])</f>
        <v>60.437956203814636</v>
      </c>
      <c r="AD34" s="34">
        <f>Tableau1[[#This Row],[Conso HP + HC / jour_x000D_
Instantané]]*365</f>
        <v>22059.854014392342</v>
      </c>
      <c r="AE34" s="31">
        <f>Tableau1[[#This Row],[Différence HP
Cumul]]+Tableau1[[#This Row],[Différence HC
Cumul]]</f>
        <v>3180</v>
      </c>
      <c r="AF34" s="33">
        <f>(Tableau1[[#This Row],[Conso HP + HC
Cumul]]-AE$6)/Tableau1[[#This Row],[Diff jour_x000D_
Cumul
depuis le 24/01]]</f>
        <v>59.995895190509593</v>
      </c>
      <c r="AG34" s="33">
        <f>(Tableau1[[#This Row],[Conso HP + HC
Cumul]]-AE$59)/Tableau1[[#This Row],[Diff jour_x000D_
Cumul
depuis
précédente facture
16/02/2021]]</f>
        <v>80.606366851935945</v>
      </c>
      <c r="AH34" s="34">
        <f>Tableau1[[#This Row],[Conso HP + HC
Cumul]]/(Tableau1[[#This Row],[Diff jour_x000D_
Cumul]]*24)</f>
        <v>2.7470233381805214</v>
      </c>
      <c r="AI34" s="34">
        <f>Tableau1[[#This Row],[Conso HP + HC
Cumul]]/Tableau1[[#This Row],[Diff jour_x000D_
Cumul]]</f>
        <v>65.92856011633252</v>
      </c>
      <c r="AJ34" s="34">
        <f>Tableau1[[#This Row],[Conso HP + HC / jour_x000D_
Cumul]]*365</f>
        <v>24063.924442461368</v>
      </c>
      <c r="AK34" s="37">
        <f>(Tableau1[[#This Row],[Différence HP
Cumul]]*0.1799)+(Tableau1[[#This Row],[Différence HC
Cumul]]*0.1346)</f>
        <v>526.05719999999997</v>
      </c>
      <c r="AL34" s="37">
        <f>Tableau1[[#This Row],[Montant
Tarif HP/HC]]/Tableau1[[#This Row],[Diff jour_x000D_
Cumul]]</f>
        <v>10.906350231078477</v>
      </c>
      <c r="AM34" s="37">
        <f>(Tableau1[[#This Row],[Montant
Tarif HP/HC]]-AK$6)/Tableau1[[#This Row],[Diff jour_x000D_
Cumul
depuis le 24/01]]</f>
        <v>10.012280495310002</v>
      </c>
      <c r="AN34" s="37">
        <f>(Tableau1[[#This Row],[Montant
Tarif HP/HC]]-AK$59)/Tableau1[[#This Row],[Diff jour_x000D_
Cumul
depuis
précédente facture
16/02/2021]]</f>
        <v>13.413336028295543</v>
      </c>
      <c r="AO34" s="37">
        <f>Tableau1[[#This Row],[Conso HP + HC
Cumul]]*0.1599</f>
        <v>508.48199999999997</v>
      </c>
      <c r="AP34" s="37">
        <f>Tableau1[[#This Row],[Montant
Tarif normal]]/Tableau1[[#This Row],[Diff jour_x000D_
Cumul]]</f>
        <v>10.541976762601568</v>
      </c>
      <c r="AQ34" s="37">
        <f>(Tableau1[[#This Row],[Conso HP / an
Cumul]]*0.1799)+(Tableau1[[#This Row],[Conso HC / an_x000D_
Cumul]]*0.1346)</f>
        <v>3980.8178343436443</v>
      </c>
      <c r="AR34" s="37">
        <f>Tableau1[[#This Row],[Conso HP + HC / an_x000D_
Cumul]]*0.1599</f>
        <v>3847.8215183495722</v>
      </c>
      <c r="AS34" s="38">
        <f>MONTH(Tableau1[[#This Row],[Date]])</f>
        <v>2</v>
      </c>
      <c r="AT34" s="38">
        <f>YEAR(Tableau1[[#This Row],[Date]])</f>
        <v>2021</v>
      </c>
    </row>
    <row r="35" spans="1:46" x14ac:dyDescent="0.2">
      <c r="A35" s="11">
        <v>44231.351388888892</v>
      </c>
      <c r="B35" s="12">
        <v>8.3000000000000007</v>
      </c>
      <c r="C35" s="32">
        <f>IF(ISERROR(Tableau1[[#This Row],[Date]]-A34),"",Tableau1[[#This Row],[Date]]-A34)</f>
        <v>0.40902777777955635</v>
      </c>
      <c r="D35" s="33">
        <f>IF(ISERROR(Tableau1[[#This Row],[Date]]-A34),"",Tableau1[[#This Row],[Date]]-A34)</f>
        <v>0.40902777777955635</v>
      </c>
      <c r="E35" s="32">
        <f>Tableau1[[#This Row],[Date]]-$A$5</f>
        <v>48.643055555556202</v>
      </c>
      <c r="F35" s="33">
        <f>Tableau1[[#This Row],[Date]]-$A$5</f>
        <v>48.643055555556202</v>
      </c>
      <c r="G35" s="33">
        <f>Tableau1[[#This Row],[Diff jour_x000D_
Cumul]]-F$6</f>
        <v>10.55972222222772</v>
      </c>
      <c r="H35" s="33">
        <f>Tableau1[[#This Row],[Diff jour_x000D_
Cumul]]-F$59</f>
        <v>-11.959722222221899</v>
      </c>
      <c r="I35" s="13">
        <v>181928</v>
      </c>
      <c r="J35" s="31">
        <f>IF(ISERROR(Tableau1[[#This Row],[Index HP
kWh]]-I34),"",Tableau1[[#This Row],[Index HP
kWh]]-I34)</f>
        <v>5</v>
      </c>
      <c r="K35" s="33">
        <f>IF(ISERROR(Tableau1[[#This Row],[Différence HP
Instantané]]/(Tableau1[[#This Row],[Diff jour
Instantané]]*24)),"",Tableau1[[#This Row],[Différence HP
Instantané]]/(Tableau1[[#This Row],[Diff jour
Instantané]]*24))</f>
        <v>0.50933786077876997</v>
      </c>
      <c r="L35" s="33">
        <f>Tableau1[[#This Row],[Différence HP
Instantané]]/Tableau1[[#This Row],[Diff jour
Instantané]]</f>
        <v>12.224108658690479</v>
      </c>
      <c r="M35" s="33">
        <f>Tableau1[[#This Row],[Conso HP / jour
Instantané]]*365</f>
        <v>4461.7996604220252</v>
      </c>
      <c r="N35" s="31">
        <f>Tableau1[[#This Row],[Index HP
kWh]]-$I$5</f>
        <v>2169</v>
      </c>
      <c r="O35" s="34">
        <f>Tableau1[[#This Row],[Différence HP
Cumul]]/(Tableau1[[#This Row],[Diff jour_x000D_
Cumul]]*24)</f>
        <v>1.8579219370127955</v>
      </c>
      <c r="P35" s="34">
        <f>Tableau1[[#This Row],[Différence HP
Cumul]]/Tableau1[[#This Row],[Diff jour_x000D_
Cumul]]</f>
        <v>44.590126488307092</v>
      </c>
      <c r="Q35" s="34">
        <f>Tableau1[[#This Row],[Conso HP / jour
Cumul]]*365</f>
        <v>16275.396168232088</v>
      </c>
      <c r="R35" s="13">
        <v>120464</v>
      </c>
      <c r="S35" s="31">
        <f>Tableau1[[#This Row],[Index HC_x000D_
kWh]]-R34</f>
        <v>16</v>
      </c>
      <c r="T35" s="35">
        <f>Tableau1[[#This Row],[Différence_x000D_ HC
Instantané]]/(Tableau1[[#This Row],[Diff jour
Instantané]]*24)</f>
        <v>1.6298811544920639</v>
      </c>
      <c r="U35" s="35">
        <f>Tableau1[[#This Row],[Différence_x000D_ HC
Instantané]]/Tableau1[[#This Row],[Diff jour
Instantané]]</f>
        <v>39.117147707809536</v>
      </c>
      <c r="V35" s="35">
        <f>Tableau1[[#This Row],[Conso HC / jour_x000D_
Instantané]]*365</f>
        <v>14277.758913350481</v>
      </c>
      <c r="W35" s="31">
        <f>Tableau1[[#This Row],[Index HC_x000D_
kWh]]-$R$5</f>
        <v>1032</v>
      </c>
      <c r="X35" s="36">
        <f>Tableau1[[#This Row],[Différence HC
Cumul]]/(Tableau1[[#This Row],[Diff jour_x000D_
Cumul]]*24)</f>
        <v>0.88399052051507832</v>
      </c>
      <c r="Y35" s="36">
        <f>Tableau1[[#This Row],[Différence HC
Cumul]]/Tableau1[[#This Row],[Diff jour_x000D_
Cumul]]</f>
        <v>21.215772492361879</v>
      </c>
      <c r="Z35" s="36">
        <f>Tableau1[[#This Row],[Conso HC / jour_x000D_
Cumul]]*365</f>
        <v>7743.7569597120855</v>
      </c>
      <c r="AA35" s="31">
        <f>Tableau1[[#This Row],[Différence HP
Instantané]]+Tableau1[[#This Row],[Différence_x000D_ HC
Instantané]]</f>
        <v>21</v>
      </c>
      <c r="AB35" s="34">
        <f>Tableau1[[#This Row],[Conso HP + HC
Instantané]]/(Tableau1[[#This Row],[Diff jour
Instantané]]*24)</f>
        <v>2.1392190152708337</v>
      </c>
      <c r="AC35" s="34">
        <f>IF(ISERROR(Tableau1[[#This Row],[Date]]-A34),"",Tableau1[[#This Row],[Conso HP + HC
Instantané]]/Tableau1[[#This Row],[Diff jour
Instantané]])</f>
        <v>51.341256366500012</v>
      </c>
      <c r="AD35" s="34">
        <f>Tableau1[[#This Row],[Conso HP + HC / jour_x000D_
Instantané]]*365</f>
        <v>18739.558573772505</v>
      </c>
      <c r="AE35" s="31">
        <f>Tableau1[[#This Row],[Différence HP
Cumul]]+Tableau1[[#This Row],[Différence HC
Cumul]]</f>
        <v>3201</v>
      </c>
      <c r="AF35" s="33">
        <f>(Tableau1[[#This Row],[Conso HP + HC
Cumul]]-AE$6)/Tableau1[[#This Row],[Diff jour_x000D_
Cumul
depuis le 24/01]]</f>
        <v>59.66066026565354</v>
      </c>
      <c r="AG35" s="33">
        <f>(Tableau1[[#This Row],[Conso HP + HC
Cumul]]-AE$59)/Tableau1[[#This Row],[Diff jour_x000D_
Cumul
depuis
précédente facture
16/02/2021]]</f>
        <v>81.607246545118912</v>
      </c>
      <c r="AH35" s="34">
        <f>Tableau1[[#This Row],[Conso HP + HC
Cumul]]/(Tableau1[[#This Row],[Diff jour_x000D_
Cumul]]*24)</f>
        <v>2.7419124575278739</v>
      </c>
      <c r="AI35" s="34">
        <f>Tableau1[[#This Row],[Conso HP + HC
Cumul]]/Tableau1[[#This Row],[Diff jour_x000D_
Cumul]]</f>
        <v>65.805898980668971</v>
      </c>
      <c r="AJ35" s="34">
        <f>Tableau1[[#This Row],[Conso HP + HC / jour_x000D_
Cumul]]*365</f>
        <v>24019.153127944173</v>
      </c>
      <c r="AK35" s="37">
        <f>(Tableau1[[#This Row],[Différence HP
Cumul]]*0.1799)+(Tableau1[[#This Row],[Différence HC
Cumul]]*0.1346)</f>
        <v>529.11030000000005</v>
      </c>
      <c r="AL35" s="37">
        <f>Tableau1[[#This Row],[Montant
Tarif HP/HC]]/Tableau1[[#This Row],[Diff jour_x000D_
Cumul]]</f>
        <v>10.877406732718356</v>
      </c>
      <c r="AM35" s="37">
        <f>(Tableau1[[#This Row],[Montant
Tarif HP/HC]]-AK$6)/Tableau1[[#This Row],[Diff jour_x000D_
Cumul
depuis le 24/01]]</f>
        <v>9.9135846376378769</v>
      </c>
      <c r="AN35" s="37">
        <f>(Tableau1[[#This Row],[Montant
Tarif HP/HC]]-AK$59)/Tableau1[[#This Row],[Diff jour_x000D_
Cumul
depuis
précédente facture
16/02/2021]]</f>
        <v>13.616796190918954</v>
      </c>
      <c r="AO35" s="37">
        <f>Tableau1[[#This Row],[Conso HP + HC
Cumul]]*0.1599</f>
        <v>511.83989999999994</v>
      </c>
      <c r="AP35" s="37">
        <f>Tableau1[[#This Row],[Montant
Tarif normal]]/Tableau1[[#This Row],[Diff jour_x000D_
Cumul]]</f>
        <v>10.522363247008967</v>
      </c>
      <c r="AQ35" s="37">
        <f>(Tableau1[[#This Row],[Conso HP / an
Cumul]]*0.1799)+(Tableau1[[#This Row],[Conso HC / an_x000D_
Cumul]]*0.1346)</f>
        <v>3970.2534574421998</v>
      </c>
      <c r="AR35" s="37">
        <f>Tableau1[[#This Row],[Conso HP + HC / an_x000D_
Cumul]]*0.1599</f>
        <v>3840.662585158273</v>
      </c>
      <c r="AS35" s="38">
        <f>MONTH(Tableau1[[#This Row],[Date]])</f>
        <v>2</v>
      </c>
      <c r="AT35" s="38">
        <f>YEAR(Tableau1[[#This Row],[Date]])</f>
        <v>2021</v>
      </c>
    </row>
    <row r="36" spans="1:46" x14ac:dyDescent="0.2">
      <c r="A36" s="11">
        <v>44231.73541666667</v>
      </c>
      <c r="B36" s="12">
        <v>10.8</v>
      </c>
      <c r="C36" s="32">
        <f>IF(ISERROR(Tableau1[[#This Row],[Date]]-A35),"",Tableau1[[#This Row],[Date]]-A35)</f>
        <v>0.38402777777810115</v>
      </c>
      <c r="D36" s="33">
        <f>IF(ISERROR(Tableau1[[#This Row],[Date]]-A35),"",Tableau1[[#This Row],[Date]]-A35)</f>
        <v>0.38402777777810115</v>
      </c>
      <c r="E36" s="32">
        <f>Tableau1[[#This Row],[Date]]-$A$5</f>
        <v>49.027083333334303</v>
      </c>
      <c r="F36" s="33">
        <f>Tableau1[[#This Row],[Date]]-$A$5</f>
        <v>49.027083333334303</v>
      </c>
      <c r="G36" s="33">
        <f>Tableau1[[#This Row],[Diff jour_x000D_
Cumul]]-F$6</f>
        <v>10.943750000005821</v>
      </c>
      <c r="H36" s="33">
        <f>Tableau1[[#This Row],[Diff jour_x000D_
Cumul]]-F$59</f>
        <v>-11.575694444443798</v>
      </c>
      <c r="I36" s="13">
        <v>181951</v>
      </c>
      <c r="J36" s="31">
        <f>IF(ISERROR(Tableau1[[#This Row],[Index HP
kWh]]-I35),"",Tableau1[[#This Row],[Index HP
kWh]]-I35)</f>
        <v>23</v>
      </c>
      <c r="K36" s="33">
        <f>IF(ISERROR(Tableau1[[#This Row],[Différence HP
Instantané]]/(Tableau1[[#This Row],[Diff jour
Instantané]]*24)),"",Tableau1[[#This Row],[Différence HP
Instantané]]/(Tableau1[[#This Row],[Diff jour
Instantané]]*24))</f>
        <v>2.4954792043378626</v>
      </c>
      <c r="L36" s="33">
        <f>Tableau1[[#This Row],[Différence HP
Instantané]]/Tableau1[[#This Row],[Diff jour
Instantané]]</f>
        <v>59.891500904108696</v>
      </c>
      <c r="M36" s="33">
        <f>Tableau1[[#This Row],[Conso HP / jour
Instantané]]*365</f>
        <v>21860.397829999674</v>
      </c>
      <c r="N36" s="31">
        <f>Tableau1[[#This Row],[Index HP
kWh]]-$I$5</f>
        <v>2192</v>
      </c>
      <c r="O36" s="34">
        <f>Tableau1[[#This Row],[Différence HP
Cumul]]/(Tableau1[[#This Row],[Diff jour_x000D_
Cumul]]*24)</f>
        <v>1.8629159053244011</v>
      </c>
      <c r="P36" s="34">
        <f>Tableau1[[#This Row],[Différence HP
Cumul]]/Tableau1[[#This Row],[Diff jour_x000D_
Cumul]]</f>
        <v>44.709981727785625</v>
      </c>
      <c r="Q36" s="34">
        <f>Tableau1[[#This Row],[Conso HP / jour
Cumul]]*365</f>
        <v>16319.143330641753</v>
      </c>
      <c r="R36" s="13">
        <v>120464</v>
      </c>
      <c r="S36" s="31">
        <f>Tableau1[[#This Row],[Index HC_x000D_
kWh]]-R35</f>
        <v>0</v>
      </c>
      <c r="T36" s="35">
        <f>Tableau1[[#This Row],[Différence_x000D_ HC
Instantané]]/(Tableau1[[#This Row],[Diff jour
Instantané]]*24)</f>
        <v>0</v>
      </c>
      <c r="U36" s="35">
        <f>Tableau1[[#This Row],[Différence_x000D_ HC
Instantané]]/Tableau1[[#This Row],[Diff jour
Instantané]]</f>
        <v>0</v>
      </c>
      <c r="V36" s="35">
        <f>Tableau1[[#This Row],[Conso HC / jour_x000D_
Instantané]]*365</f>
        <v>0</v>
      </c>
      <c r="W36" s="31">
        <f>Tableau1[[#This Row],[Index HC_x000D_
kWh]]-$R$5</f>
        <v>1032</v>
      </c>
      <c r="X36" s="36">
        <f>Tableau1[[#This Row],[Différence HC
Cumul]]/(Tableau1[[#This Row],[Diff jour_x000D_
Cumul]]*24)</f>
        <v>0.87706624739725458</v>
      </c>
      <c r="Y36" s="36">
        <f>Tableau1[[#This Row],[Différence HC
Cumul]]/Tableau1[[#This Row],[Diff jour_x000D_
Cumul]]</f>
        <v>21.049589937534108</v>
      </c>
      <c r="Z36" s="36">
        <f>Tableau1[[#This Row],[Conso HC / jour_x000D_
Cumul]]*365</f>
        <v>7683.1003271999498</v>
      </c>
      <c r="AA36" s="31">
        <f>Tableau1[[#This Row],[Différence HP
Instantané]]+Tableau1[[#This Row],[Différence_x000D_ HC
Instantané]]</f>
        <v>23</v>
      </c>
      <c r="AB36" s="34">
        <f>Tableau1[[#This Row],[Conso HP + HC
Instantané]]/(Tableau1[[#This Row],[Diff jour
Instantané]]*24)</f>
        <v>2.4954792043378626</v>
      </c>
      <c r="AC36" s="34">
        <f>IF(ISERROR(Tableau1[[#This Row],[Date]]-A35),"",Tableau1[[#This Row],[Conso HP + HC
Instantané]]/Tableau1[[#This Row],[Diff jour
Instantané]])</f>
        <v>59.891500904108696</v>
      </c>
      <c r="AD36" s="34">
        <f>Tableau1[[#This Row],[Conso HP + HC / jour_x000D_
Instantané]]*365</f>
        <v>21860.397829999674</v>
      </c>
      <c r="AE36" s="31">
        <f>Tableau1[[#This Row],[Différence HP
Cumul]]+Tableau1[[#This Row],[Différence HC
Cumul]]</f>
        <v>3224</v>
      </c>
      <c r="AF36" s="33">
        <f>(Tableau1[[#This Row],[Conso HP + HC
Cumul]]-AE$6)/Tableau1[[#This Row],[Diff jour_x000D_
Cumul
depuis le 24/01]]</f>
        <v>59.668760708135025</v>
      </c>
      <c r="AG36" s="33">
        <f>(Tableau1[[#This Row],[Conso HP + HC
Cumul]]-AE$59)/Tableau1[[#This Row],[Diff jour_x000D_
Cumul
depuis
précédente facture
16/02/2021]]</f>
        <v>82.327674125627013</v>
      </c>
      <c r="AH36" s="34">
        <f>Tableau1[[#This Row],[Conso HP + HC
Cumul]]/(Tableau1[[#This Row],[Diff jour_x000D_
Cumul]]*24)</f>
        <v>2.7399821527216557</v>
      </c>
      <c r="AI36" s="34">
        <f>Tableau1[[#This Row],[Conso HP + HC
Cumul]]/Tableau1[[#This Row],[Diff jour_x000D_
Cumul]]</f>
        <v>65.75957166531974</v>
      </c>
      <c r="AJ36" s="34">
        <f>Tableau1[[#This Row],[Conso HP + HC / jour_x000D_
Cumul]]*365</f>
        <v>24002.243657841704</v>
      </c>
      <c r="AK36" s="37">
        <f>(Tableau1[[#This Row],[Différence HP
Cumul]]*0.1799)+(Tableau1[[#This Row],[Différence HC
Cumul]]*0.1346)</f>
        <v>533.24800000000005</v>
      </c>
      <c r="AL36" s="37">
        <f>Tableau1[[#This Row],[Montant
Tarif HP/HC]]/Tableau1[[#This Row],[Diff jour_x000D_
Cumul]]</f>
        <v>10.876600518420727</v>
      </c>
      <c r="AM36" s="37">
        <f>(Tableau1[[#This Row],[Montant
Tarif HP/HC]]-AK$6)/Tableau1[[#This Row],[Diff jour_x000D_
Cumul
depuis le 24/01]]</f>
        <v>9.9437944031928858</v>
      </c>
      <c r="AN36" s="37">
        <f>(Tableau1[[#This Row],[Montant
Tarif HP/HC]]-AK$59)/Tableau1[[#This Row],[Diff jour_x000D_
Cumul
depuis
précédente facture
16/02/2021]]</f>
        <v>13.711091007259745</v>
      </c>
      <c r="AO36" s="37">
        <f>Tableau1[[#This Row],[Conso HP + HC
Cumul]]*0.1599</f>
        <v>515.5175999999999</v>
      </c>
      <c r="AP36" s="37">
        <f>Tableau1[[#This Row],[Montant
Tarif normal]]/Tableau1[[#This Row],[Diff jour_x000D_
Cumul]]</f>
        <v>10.514955509284624</v>
      </c>
      <c r="AQ36" s="37">
        <f>(Tableau1[[#This Row],[Conso HP / an
Cumul]]*0.1799)+(Tableau1[[#This Row],[Conso HC / an_x000D_
Cumul]]*0.1346)</f>
        <v>3969.9591892235649</v>
      </c>
      <c r="AR36" s="37">
        <f>Tableau1[[#This Row],[Conso HP + HC / an_x000D_
Cumul]]*0.1599</f>
        <v>3837.9587608888883</v>
      </c>
      <c r="AS36" s="38">
        <f>MONTH(Tableau1[[#This Row],[Date]])</f>
        <v>2</v>
      </c>
      <c r="AT36" s="38">
        <f>YEAR(Tableau1[[#This Row],[Date]])</f>
        <v>2021</v>
      </c>
    </row>
    <row r="37" spans="1:46" x14ac:dyDescent="0.2">
      <c r="A37" s="19">
        <v>44232.367361111108</v>
      </c>
      <c r="B37" s="20">
        <v>7.3</v>
      </c>
      <c r="C37" s="39">
        <f>IF(ISERROR(Tableau1[[#This Row],[Date]]-A36),"",Tableau1[[#This Row],[Date]]-A36)</f>
        <v>0.63194444443797693</v>
      </c>
      <c r="D37" s="40">
        <f>IF(ISERROR(Tableau1[[#This Row],[Date]]-A36),"",Tableau1[[#This Row],[Date]]-A36)</f>
        <v>0.63194444443797693</v>
      </c>
      <c r="E37" s="39">
        <f>Tableau1[[#This Row],[Date]]-$A$5</f>
        <v>49.65902777777228</v>
      </c>
      <c r="F37" s="40">
        <f>Tableau1[[#This Row],[Date]]-$A$5</f>
        <v>49.65902777777228</v>
      </c>
      <c r="G37" s="40">
        <f>Tableau1[[#This Row],[Diff jour_x000D_
Cumul]]-F$6</f>
        <v>11.575694444443798</v>
      </c>
      <c r="H37" s="40">
        <f>Tableau1[[#This Row],[Diff jour_x000D_
Cumul]]-F$59</f>
        <v>-10.943750000005821</v>
      </c>
      <c r="I37" s="21">
        <v>181968</v>
      </c>
      <c r="J37" s="38">
        <f>IF(ISERROR(Tableau1[[#This Row],[Index HP
kWh]]-I36),"",Tableau1[[#This Row],[Index HP
kWh]]-I36)</f>
        <v>17</v>
      </c>
      <c r="K37" s="40">
        <f>IF(ISERROR(Tableau1[[#This Row],[Différence HP
Instantané]]/(Tableau1[[#This Row],[Diff jour
Instantané]]*24)),"",Tableau1[[#This Row],[Différence HP
Instantané]]/(Tableau1[[#This Row],[Diff jour
Instantané]]*24))</f>
        <v>1.1208791208905924</v>
      </c>
      <c r="L37" s="40">
        <f>Tableau1[[#This Row],[Différence HP
Instantané]]/Tableau1[[#This Row],[Diff jour
Instantané]]</f>
        <v>26.901098901374215</v>
      </c>
      <c r="M37" s="40">
        <f>Tableau1[[#This Row],[Conso HP / jour
Instantané]]*365</f>
        <v>9818.9010990015886</v>
      </c>
      <c r="N37" s="38">
        <f>Tableau1[[#This Row],[Index HP
kWh]]-$I$5</f>
        <v>2209</v>
      </c>
      <c r="O37" s="41">
        <f>Tableau1[[#This Row],[Différence HP
Cumul]]/(Tableau1[[#This Row],[Diff jour_x000D_
Cumul]]*24)</f>
        <v>1.8534729894141251</v>
      </c>
      <c r="P37" s="41">
        <f>Tableau1[[#This Row],[Différence HP
Cumul]]/Tableau1[[#This Row],[Diff jour_x000D_
Cumul]]</f>
        <v>44.483351745939004</v>
      </c>
      <c r="Q37" s="41">
        <f>Tableau1[[#This Row],[Conso HP / jour
Cumul]]*365</f>
        <v>16236.423387267736</v>
      </c>
      <c r="R37" s="21">
        <v>120482</v>
      </c>
      <c r="S37" s="38">
        <f>Tableau1[[#This Row],[Index HC_x000D_
kWh]]-R36</f>
        <v>18</v>
      </c>
      <c r="T37" s="42">
        <f>Tableau1[[#This Row],[Différence_x000D_ HC
Instantané]]/(Tableau1[[#This Row],[Diff jour
Instantané]]*24)</f>
        <v>1.1868131868253331</v>
      </c>
      <c r="U37" s="42">
        <f>Tableau1[[#This Row],[Différence_x000D_ HC
Instantané]]/Tableau1[[#This Row],[Diff jour
Instantané]]</f>
        <v>28.483516483807993</v>
      </c>
      <c r="V37" s="42">
        <f>Tableau1[[#This Row],[Conso HC / jour_x000D_
Instantané]]*365</f>
        <v>10396.483516589917</v>
      </c>
      <c r="W37" s="38">
        <f>Tableau1[[#This Row],[Index HC_x000D_
kWh]]-$R$5</f>
        <v>1050</v>
      </c>
      <c r="X37" s="43">
        <f>Tableau1[[#This Row],[Différence HC
Cumul]]/(Tableau1[[#This Row],[Diff jour_x000D_
Cumul]]*24)</f>
        <v>0.88100798500897748</v>
      </c>
      <c r="Y37" s="43">
        <f>Tableau1[[#This Row],[Différence HC
Cumul]]/Tableau1[[#This Row],[Diff jour_x000D_
Cumul]]</f>
        <v>21.14419164021546</v>
      </c>
      <c r="Z37" s="43">
        <f>Tableau1[[#This Row],[Conso HC / jour_x000D_
Cumul]]*365</f>
        <v>7717.6299486786429</v>
      </c>
      <c r="AA37" s="38">
        <f>Tableau1[[#This Row],[Différence HP
Instantané]]+Tableau1[[#This Row],[Différence_x000D_ HC
Instantané]]</f>
        <v>35</v>
      </c>
      <c r="AB37" s="41">
        <f>Tableau1[[#This Row],[Conso HP + HC
Instantané]]/(Tableau1[[#This Row],[Diff jour
Instantané]]*24)</f>
        <v>2.3076923077159255</v>
      </c>
      <c r="AC37" s="34">
        <f>IF(ISERROR(Tableau1[[#This Row],[Date]]-A36),"",Tableau1[[#This Row],[Conso HP + HC
Instantané]]/Tableau1[[#This Row],[Diff jour
Instantané]])</f>
        <v>55.384615385182208</v>
      </c>
      <c r="AD37" s="41">
        <f>Tableau1[[#This Row],[Conso HP + HC / jour_x000D_
Instantané]]*365</f>
        <v>20215.384615591505</v>
      </c>
      <c r="AE37" s="38">
        <f>Tableau1[[#This Row],[Différence HP
Cumul]]+Tableau1[[#This Row],[Différence HC
Cumul]]</f>
        <v>3259</v>
      </c>
      <c r="AF37" s="40">
        <f>(Tableau1[[#This Row],[Conso HP + HC
Cumul]]-AE$6)/Tableau1[[#This Row],[Diff jour_x000D_
Cumul
depuis le 24/01]]</f>
        <v>59.43487911692695</v>
      </c>
      <c r="AG37" s="40">
        <f>(Tableau1[[#This Row],[Conso HP + HC
Cumul]]-AE$59)/Tableau1[[#This Row],[Diff jour_x000D_
Cumul
depuis
précédente facture
16/02/2021]]</f>
        <v>83.883495145586451</v>
      </c>
      <c r="AH37" s="41">
        <f>Tableau1[[#This Row],[Conso HP + HC
Cumul]]/(Tableau1[[#This Row],[Diff jour_x000D_
Cumul]]*24)</f>
        <v>2.7344809744231027</v>
      </c>
      <c r="AI37" s="41">
        <f>Tableau1[[#This Row],[Conso HP + HC
Cumul]]/Tableau1[[#This Row],[Diff jour_x000D_
Cumul]]</f>
        <v>65.627543386154457</v>
      </c>
      <c r="AJ37" s="41">
        <f>Tableau1[[#This Row],[Conso HP + HC / jour_x000D_
Cumul]]*365</f>
        <v>23954.053335946377</v>
      </c>
      <c r="AK37" s="44">
        <f>(Tableau1[[#This Row],[Différence HP
Cumul]]*0.1799)+(Tableau1[[#This Row],[Différence HC
Cumul]]*0.1346)</f>
        <v>538.72910000000002</v>
      </c>
      <c r="AL37" s="44">
        <f>Tableau1[[#This Row],[Montant
Tarif HP/HC]]/Tableau1[[#This Row],[Diff jour_x000D_
Cumul]]</f>
        <v>10.848563173867428</v>
      </c>
      <c r="AM37" s="44">
        <f>(Tableau1[[#This Row],[Montant
Tarif HP/HC]]-AK$6)/Tableau1[[#This Row],[Diff jour_x000D_
Cumul
depuis le 24/01]]</f>
        <v>9.8744399784035739</v>
      </c>
      <c r="AN37" s="44">
        <f>(Tableau1[[#This Row],[Montant
Tarif HP/HC]]-AK$59)/Tableau1[[#This Row],[Diff jour_x000D_
Cumul
depuis
précédente facture
16/02/2021]]</f>
        <v>14.001992004561368</v>
      </c>
      <c r="AO37" s="44">
        <f>Tableau1[[#This Row],[Conso HP + HC
Cumul]]*0.1599</f>
        <v>521.11410000000001</v>
      </c>
      <c r="AP37" s="44">
        <f>Tableau1[[#This Row],[Montant
Tarif normal]]/Tableau1[[#This Row],[Diff jour_x000D_
Cumul]]</f>
        <v>10.493844187446099</v>
      </c>
      <c r="AQ37" s="44">
        <f>(Tableau1[[#This Row],[Conso HP / an
Cumul]]*0.1799)+(Tableau1[[#This Row],[Conso HC / an_x000D_
Cumul]]*0.1346)</f>
        <v>3959.7255584616109</v>
      </c>
      <c r="AR37" s="44">
        <f>Tableau1[[#This Row],[Conso HP + HC / an_x000D_
Cumul]]*0.1599</f>
        <v>3830.2531284178253</v>
      </c>
      <c r="AS37" s="38">
        <f>MONTH(Tableau1[[#This Row],[Date]])</f>
        <v>2</v>
      </c>
      <c r="AT37" s="38">
        <f>YEAR(Tableau1[[#This Row],[Date]])</f>
        <v>2021</v>
      </c>
    </row>
    <row r="38" spans="1:46" x14ac:dyDescent="0.2">
      <c r="A38" s="19">
        <v>44232.765277777777</v>
      </c>
      <c r="B38" s="20">
        <v>8.5</v>
      </c>
      <c r="C38" s="39">
        <f>IF(ISERROR(Tableau1[[#This Row],[Date]]-A37),"",Tableau1[[#This Row],[Date]]-A37)</f>
        <v>0.39791666666860692</v>
      </c>
      <c r="D38" s="40">
        <f>IF(ISERROR(Tableau1[[#This Row],[Date]]-A37),"",Tableau1[[#This Row],[Date]]-A37)</f>
        <v>0.39791666666860692</v>
      </c>
      <c r="E38" s="39">
        <f>Tableau1[[#This Row],[Date]]-$A$5</f>
        <v>50.056944444440887</v>
      </c>
      <c r="F38" s="40">
        <f>Tableau1[[#This Row],[Date]]-$A$5</f>
        <v>50.056944444440887</v>
      </c>
      <c r="G38" s="40">
        <f>Tableau1[[#This Row],[Diff jour_x000D_
Cumul]]-F$6</f>
        <v>11.973611111112405</v>
      </c>
      <c r="H38" s="40">
        <f>Tableau1[[#This Row],[Diff jour_x000D_
Cumul]]-F$59</f>
        <v>-10.545833333337214</v>
      </c>
      <c r="I38" s="21">
        <v>181989</v>
      </c>
      <c r="J38" s="38">
        <f>IF(ISERROR(Tableau1[[#This Row],[Index HP
kWh]]-I37),"",Tableau1[[#This Row],[Index HP
kWh]]-I37)</f>
        <v>21</v>
      </c>
      <c r="K38" s="40">
        <f>IF(ISERROR(Tableau1[[#This Row],[Différence HP
Instantané]]/(Tableau1[[#This Row],[Diff jour
Instantané]]*24)),"",Tableau1[[#This Row],[Différence HP
Instantané]]/(Tableau1[[#This Row],[Diff jour
Instantané]]*24))</f>
        <v>2.1989528795704296</v>
      </c>
      <c r="L38" s="40">
        <f>Tableau1[[#This Row],[Différence HP
Instantané]]/Tableau1[[#This Row],[Diff jour
Instantané]]</f>
        <v>52.774869109690314</v>
      </c>
      <c r="M38" s="40">
        <f>Tableau1[[#This Row],[Conso HP / jour
Instantané]]*365</f>
        <v>19262.827225036966</v>
      </c>
      <c r="N38" s="38">
        <f>Tableau1[[#This Row],[Index HP
kWh]]-$I$5</f>
        <v>2230</v>
      </c>
      <c r="O38" s="41">
        <f>Tableau1[[#This Row],[Différence HP
Cumul]]/(Tableau1[[#This Row],[Diff jour_x000D_
Cumul]]*24)</f>
        <v>1.8562193057907592</v>
      </c>
      <c r="P38" s="41">
        <f>Tableau1[[#This Row],[Différence HP
Cumul]]/Tableau1[[#This Row],[Diff jour_x000D_
Cumul]]</f>
        <v>44.549263338978221</v>
      </c>
      <c r="Q38" s="41">
        <f>Tableau1[[#This Row],[Conso HP / jour
Cumul]]*365</f>
        <v>16260.481118727052</v>
      </c>
      <c r="R38" s="21">
        <v>120482</v>
      </c>
      <c r="S38" s="38">
        <f>Tableau1[[#This Row],[Index HC_x000D_
kWh]]-R37</f>
        <v>0</v>
      </c>
      <c r="T38" s="42">
        <f>Tableau1[[#This Row],[Différence_x000D_ HC
Instantané]]/(Tableau1[[#This Row],[Diff jour
Instantané]]*24)</f>
        <v>0</v>
      </c>
      <c r="U38" s="42">
        <f>Tableau1[[#This Row],[Différence_x000D_ HC
Instantané]]/Tableau1[[#This Row],[Diff jour
Instantané]]</f>
        <v>0</v>
      </c>
      <c r="V38" s="42">
        <f>Tableau1[[#This Row],[Conso HC / jour_x000D_
Instantané]]*365</f>
        <v>0</v>
      </c>
      <c r="W38" s="38">
        <f>Tableau1[[#This Row],[Index HC_x000D_
kWh]]-$R$5</f>
        <v>1050</v>
      </c>
      <c r="X38" s="43">
        <f>Tableau1[[#This Row],[Différence HC
Cumul]]/(Tableau1[[#This Row],[Diff jour_x000D_
Cumul]]*24)</f>
        <v>0.87400460586560413</v>
      </c>
      <c r="Y38" s="43">
        <f>Tableau1[[#This Row],[Différence HC
Cumul]]/Tableau1[[#This Row],[Diff jour_x000D_
Cumul]]</f>
        <v>20.976110540774499</v>
      </c>
      <c r="Z38" s="43">
        <f>Tableau1[[#This Row],[Conso HC / jour_x000D_
Cumul]]*365</f>
        <v>7656.2803473826925</v>
      </c>
      <c r="AA38" s="38">
        <f>Tableau1[[#This Row],[Différence HP
Instantané]]+Tableau1[[#This Row],[Différence_x000D_ HC
Instantané]]</f>
        <v>21</v>
      </c>
      <c r="AB38" s="41">
        <f>Tableau1[[#This Row],[Conso HP + HC
Instantané]]/(Tableau1[[#This Row],[Diff jour
Instantané]]*24)</f>
        <v>2.1989528795704296</v>
      </c>
      <c r="AC38" s="34">
        <f>IF(ISERROR(Tableau1[[#This Row],[Date]]-A37),"",Tableau1[[#This Row],[Conso HP + HC
Instantané]]/Tableau1[[#This Row],[Diff jour
Instantané]])</f>
        <v>52.774869109690314</v>
      </c>
      <c r="AD38" s="41">
        <f>Tableau1[[#This Row],[Conso HP + HC / jour_x000D_
Instantané]]*365</f>
        <v>19262.827225036966</v>
      </c>
      <c r="AE38" s="38">
        <f>Tableau1[[#This Row],[Différence HP
Cumul]]+Tableau1[[#This Row],[Différence HC
Cumul]]</f>
        <v>3280</v>
      </c>
      <c r="AF38" s="40">
        <f>(Tableau1[[#This Row],[Conso HP + HC
Cumul]]-AE$6)/Tableau1[[#This Row],[Diff jour_x000D_
Cumul
depuis le 24/01]]</f>
        <v>59.21354831225436</v>
      </c>
      <c r="AG38" s="40">
        <f>(Tableau1[[#This Row],[Conso HP + HC
Cumul]]-AE$59)/Tableau1[[#This Row],[Diff jour_x000D_
Cumul
depuis
précédente facture
16/02/2021]]</f>
        <v>85.057289608818962</v>
      </c>
      <c r="AH38" s="41">
        <f>Tableau1[[#This Row],[Conso HP + HC
Cumul]]/(Tableau1[[#This Row],[Diff jour_x000D_
Cumul]]*24)</f>
        <v>2.7302239116563634</v>
      </c>
      <c r="AI38" s="41">
        <f>Tableau1[[#This Row],[Conso HP + HC
Cumul]]/Tableau1[[#This Row],[Diff jour_x000D_
Cumul]]</f>
        <v>65.525373879752721</v>
      </c>
      <c r="AJ38" s="41">
        <f>Tableau1[[#This Row],[Conso HP + HC / jour_x000D_
Cumul]]*365</f>
        <v>23916.761466109743</v>
      </c>
      <c r="AK38" s="44">
        <f>(Tableau1[[#This Row],[Différence HP
Cumul]]*0.1799)+(Tableau1[[#This Row],[Différence HC
Cumul]]*0.1346)</f>
        <v>542.50700000000006</v>
      </c>
      <c r="AL38" s="44">
        <f>Tableau1[[#This Row],[Montant
Tarif HP/HC]]/Tableau1[[#This Row],[Diff jour_x000D_
Cumul]]</f>
        <v>10.837796953470431</v>
      </c>
      <c r="AM38" s="44">
        <f>(Tableau1[[#This Row],[Montant
Tarif HP/HC]]-AK$6)/Tableau1[[#This Row],[Diff jour_x000D_
Cumul
depuis le 24/01]]</f>
        <v>9.8618035030728262</v>
      </c>
      <c r="AN38" s="44">
        <f>(Tableau1[[#This Row],[Montant
Tarif HP/HC]]-AK$59)/Tableau1[[#This Row],[Diff jour_x000D_
Cumul
depuis
précédente facture
16/02/2021]]</f>
        <v>14.172080600547918</v>
      </c>
      <c r="AO38" s="44">
        <f>Tableau1[[#This Row],[Conso HP + HC
Cumul]]*0.1599</f>
        <v>524.47199999999998</v>
      </c>
      <c r="AP38" s="44">
        <f>Tableau1[[#This Row],[Montant
Tarif normal]]/Tableau1[[#This Row],[Diff jour_x000D_
Cumul]]</f>
        <v>10.477507283372459</v>
      </c>
      <c r="AQ38" s="44">
        <f>(Tableau1[[#This Row],[Conso HP / an
Cumul]]*0.1799)+(Tableau1[[#This Row],[Conso HC / an_x000D_
Cumul]]*0.1346)</f>
        <v>3955.7958880167071</v>
      </c>
      <c r="AR38" s="44">
        <f>Tableau1[[#This Row],[Conso HP + HC / an_x000D_
Cumul]]*0.1599</f>
        <v>3824.2901584309475</v>
      </c>
      <c r="AS38" s="38">
        <f>MONTH(Tableau1[[#This Row],[Date]])</f>
        <v>2</v>
      </c>
      <c r="AT38" s="38">
        <f>YEAR(Tableau1[[#This Row],[Date]])</f>
        <v>2021</v>
      </c>
    </row>
    <row r="39" spans="1:46" x14ac:dyDescent="0.2">
      <c r="A39" s="19">
        <v>44233.375</v>
      </c>
      <c r="B39" s="20">
        <v>7.2</v>
      </c>
      <c r="C39" s="39">
        <f>IF(ISERROR(Tableau1[[#This Row],[Date]]-A38),"",Tableau1[[#This Row],[Date]]-A38)</f>
        <v>0.60972222222335404</v>
      </c>
      <c r="D39" s="40">
        <f>IF(ISERROR(Tableau1[[#This Row],[Date]]-A38),"",Tableau1[[#This Row],[Date]]-A38)</f>
        <v>0.60972222222335404</v>
      </c>
      <c r="E39" s="39">
        <f>Tableau1[[#This Row],[Date]]-$A$5</f>
        <v>50.666666666664241</v>
      </c>
      <c r="F39" s="40">
        <f>Tableau1[[#This Row],[Date]]-$A$5</f>
        <v>50.666666666664241</v>
      </c>
      <c r="G39" s="40">
        <f>Tableau1[[#This Row],[Diff jour_x000D_
Cumul]]-F$6</f>
        <v>12.583333333335759</v>
      </c>
      <c r="H39" s="40">
        <f>Tableau1[[#This Row],[Diff jour_x000D_
Cumul]]-F$59</f>
        <v>-9.9361111111138598</v>
      </c>
      <c r="I39" s="21">
        <v>182006</v>
      </c>
      <c r="J39" s="38">
        <f>IF(ISERROR(Tableau1[[#This Row],[Index HP
kWh]]-I38),"",Tableau1[[#This Row],[Index HP
kWh]]-I38)</f>
        <v>17</v>
      </c>
      <c r="K39" s="40">
        <f>IF(ISERROR(Tableau1[[#This Row],[Différence HP
Instantané]]/(Tableau1[[#This Row],[Diff jour
Instantané]]*24)),"",Tableau1[[#This Row],[Différence HP
Instantané]]/(Tableau1[[#This Row],[Diff jour
Instantané]]*24))</f>
        <v>1.1617312072871373</v>
      </c>
      <c r="L39" s="40">
        <f>Tableau1[[#This Row],[Différence HP
Instantané]]/Tableau1[[#This Row],[Diff jour
Instantané]]</f>
        <v>27.881548974891295</v>
      </c>
      <c r="M39" s="40">
        <f>Tableau1[[#This Row],[Conso HP / jour
Instantané]]*365</f>
        <v>10176.765375835323</v>
      </c>
      <c r="N39" s="38">
        <f>Tableau1[[#This Row],[Index HP
kWh]]-$I$5</f>
        <v>2247</v>
      </c>
      <c r="O39" s="41">
        <f>Tableau1[[#This Row],[Différence HP
Cumul]]/(Tableau1[[#This Row],[Diff jour_x000D_
Cumul]]*24)</f>
        <v>1.8478618421053516</v>
      </c>
      <c r="P39" s="41">
        <f>Tableau1[[#This Row],[Différence HP
Cumul]]/Tableau1[[#This Row],[Diff jour_x000D_
Cumul]]</f>
        <v>44.34868421052844</v>
      </c>
      <c r="Q39" s="41">
        <f>Tableau1[[#This Row],[Conso HP / jour
Cumul]]*365</f>
        <v>16187.26973684288</v>
      </c>
      <c r="R39" s="21">
        <v>120501</v>
      </c>
      <c r="S39" s="38">
        <f>Tableau1[[#This Row],[Index HC_x000D_
kWh]]-R38</f>
        <v>19</v>
      </c>
      <c r="T39" s="42">
        <f>Tableau1[[#This Row],[Différence_x000D_ HC
Instantané]]/(Tableau1[[#This Row],[Diff jour
Instantané]]*24)</f>
        <v>1.298405466967977</v>
      </c>
      <c r="U39" s="42">
        <f>Tableau1[[#This Row],[Différence_x000D_ HC
Instantané]]/Tableau1[[#This Row],[Diff jour
Instantané]]</f>
        <v>31.161731207231448</v>
      </c>
      <c r="V39" s="42">
        <f>Tableau1[[#This Row],[Conso HC / jour_x000D_
Instantané]]*365</f>
        <v>11374.031890639479</v>
      </c>
      <c r="W39" s="38">
        <f>Tableau1[[#This Row],[Index HC_x000D_
kWh]]-$R$5</f>
        <v>1069</v>
      </c>
      <c r="X39" s="43">
        <f>Tableau1[[#This Row],[Différence HC
Cumul]]/(Tableau1[[#This Row],[Diff jour_x000D_
Cumul]]*24)</f>
        <v>0.87911184210530524</v>
      </c>
      <c r="Y39" s="43">
        <f>Tableau1[[#This Row],[Différence HC
Cumul]]/Tableau1[[#This Row],[Diff jour_x000D_
Cumul]]</f>
        <v>21.098684210527324</v>
      </c>
      <c r="Z39" s="43">
        <f>Tableau1[[#This Row],[Conso HC / jour_x000D_
Cumul]]*365</f>
        <v>7701.0197368424733</v>
      </c>
      <c r="AA39" s="38">
        <f>Tableau1[[#This Row],[Différence HP
Instantané]]+Tableau1[[#This Row],[Différence_x000D_ HC
Instantané]]</f>
        <v>36</v>
      </c>
      <c r="AB39" s="41">
        <f>Tableau1[[#This Row],[Conso HP + HC
Instantané]]/(Tableau1[[#This Row],[Diff jour
Instantané]]*24)</f>
        <v>2.4601366742551143</v>
      </c>
      <c r="AC39" s="34">
        <f>IF(ISERROR(Tableau1[[#This Row],[Date]]-A38),"",Tableau1[[#This Row],[Conso HP + HC
Instantané]]/Tableau1[[#This Row],[Diff jour
Instantané]])</f>
        <v>59.043280182122743</v>
      </c>
      <c r="AD39" s="41">
        <f>Tableau1[[#This Row],[Conso HP + HC / jour_x000D_
Instantané]]*365</f>
        <v>21550.797266474801</v>
      </c>
      <c r="AE39" s="38">
        <f>Tableau1[[#This Row],[Différence HP
Cumul]]+Tableau1[[#This Row],[Différence HC
Cumul]]</f>
        <v>3316</v>
      </c>
      <c r="AF39" s="40">
        <f>(Tableau1[[#This Row],[Conso HP + HC
Cumul]]-AE$6)/Tableau1[[#This Row],[Diff jour_x000D_
Cumul
depuis le 24/01]]</f>
        <v>59.205298013233623</v>
      </c>
      <c r="AG39" s="40">
        <f>(Tableau1[[#This Row],[Conso HP + HC
Cumul]]-AE$59)/Tableau1[[#This Row],[Diff jour_x000D_
Cumul
depuis
précédente facture
16/02/2021]]</f>
        <v>86.653620352226511</v>
      </c>
      <c r="AH39" s="41">
        <f>Tableau1[[#This Row],[Conso HP + HC
Cumul]]/(Tableau1[[#This Row],[Diff jour_x000D_
Cumul]]*24)</f>
        <v>2.7269736842106567</v>
      </c>
      <c r="AI39" s="41">
        <f>Tableau1[[#This Row],[Conso HP + HC
Cumul]]/Tableau1[[#This Row],[Diff jour_x000D_
Cumul]]</f>
        <v>65.447368421055771</v>
      </c>
      <c r="AJ39" s="41">
        <f>Tableau1[[#This Row],[Conso HP + HC / jour_x000D_
Cumul]]*365</f>
        <v>23888.289473685356</v>
      </c>
      <c r="AK39" s="44">
        <f>(Tableau1[[#This Row],[Différence HP
Cumul]]*0.1799)+(Tableau1[[#This Row],[Différence HC
Cumul]]*0.1346)</f>
        <v>548.12270000000001</v>
      </c>
      <c r="AL39" s="44">
        <f>Tableau1[[#This Row],[Montant
Tarif HP/HC]]/Tableau1[[#This Row],[Diff jour_x000D_
Cumul]]</f>
        <v>10.818211184211044</v>
      </c>
      <c r="AM39" s="44">
        <f>(Tableau1[[#This Row],[Montant
Tarif HP/HC]]-AK$6)/Tableau1[[#This Row],[Diff jour_x000D_
Cumul
depuis le 24/01]]</f>
        <v>9.8302331125808848</v>
      </c>
      <c r="AN39" s="44">
        <f>(Tableau1[[#This Row],[Montant
Tarif HP/HC]]-AK$59)/Tableau1[[#This Row],[Diff jour_x000D_
Cumul
depuis
précédente facture
16/02/2021]]</f>
        <v>14.476559127756685</v>
      </c>
      <c r="AO39" s="44">
        <f>Tableau1[[#This Row],[Conso HP + HC
Cumul]]*0.1599</f>
        <v>530.22839999999997</v>
      </c>
      <c r="AP39" s="44">
        <f>Tableau1[[#This Row],[Montant
Tarif normal]]/Tableau1[[#This Row],[Diff jour_x000D_
Cumul]]</f>
        <v>10.465034210526817</v>
      </c>
      <c r="AQ39" s="44">
        <f>(Tableau1[[#This Row],[Conso HP / an
Cumul]]*0.1799)+(Tableau1[[#This Row],[Conso HC / an_x000D_
Cumul]]*0.1346)</f>
        <v>3948.6470822370311</v>
      </c>
      <c r="AR39" s="44">
        <f>Tableau1[[#This Row],[Conso HP + HC / an_x000D_
Cumul]]*0.1599</f>
        <v>3819.737486842288</v>
      </c>
      <c r="AS39" s="38">
        <f>MONTH(Tableau1[[#This Row],[Date]])</f>
        <v>2</v>
      </c>
      <c r="AT39" s="38">
        <f>YEAR(Tableau1[[#This Row],[Date]])</f>
        <v>2021</v>
      </c>
    </row>
    <row r="40" spans="1:46" x14ac:dyDescent="0.2">
      <c r="A40" s="19">
        <v>44233.599305555559</v>
      </c>
      <c r="B40" s="20">
        <v>7.4</v>
      </c>
      <c r="C40" s="39">
        <f>IF(ISERROR(Tableau1[[#This Row],[Date]]-A39),"",Tableau1[[#This Row],[Date]]-A39)</f>
        <v>0.22430555555911269</v>
      </c>
      <c r="D40" s="40">
        <f>IF(ISERROR(Tableau1[[#This Row],[Date]]-A39),"",Tableau1[[#This Row],[Date]]-A39)</f>
        <v>0.22430555555911269</v>
      </c>
      <c r="E40" s="39">
        <f>Tableau1[[#This Row],[Date]]-$A$5</f>
        <v>50.890972222223354</v>
      </c>
      <c r="F40" s="40">
        <f>Tableau1[[#This Row],[Date]]-$A$5</f>
        <v>50.890972222223354</v>
      </c>
      <c r="G40" s="40">
        <f>Tableau1[[#This Row],[Diff jour_x000D_
Cumul]]-F$6</f>
        <v>12.807638888894871</v>
      </c>
      <c r="H40" s="40">
        <f>Tableau1[[#This Row],[Diff jour_x000D_
Cumul]]-F$59</f>
        <v>-9.7118055555547471</v>
      </c>
      <c r="I40" s="21">
        <v>182021</v>
      </c>
      <c r="J40" s="38">
        <f>IF(ISERROR(Tableau1[[#This Row],[Index HP
kWh]]-I39),"",Tableau1[[#This Row],[Index HP
kWh]]-I39)</f>
        <v>15</v>
      </c>
      <c r="K40" s="40">
        <f>IF(ISERROR(Tableau1[[#This Row],[Différence HP
Instantané]]/(Tableau1[[#This Row],[Diff jour
Instantané]]*24)),"",Tableau1[[#This Row],[Différence HP
Instantané]]/(Tableau1[[#This Row],[Diff jour
Instantané]]*24))</f>
        <v>2.7863777089341406</v>
      </c>
      <c r="L40" s="40">
        <f>Tableau1[[#This Row],[Différence HP
Instantané]]/Tableau1[[#This Row],[Diff jour
Instantané]]</f>
        <v>66.873065014419367</v>
      </c>
      <c r="M40" s="40">
        <f>Tableau1[[#This Row],[Conso HP / jour
Instantané]]*365</f>
        <v>24408.668730263071</v>
      </c>
      <c r="N40" s="38">
        <f>Tableau1[[#This Row],[Index HP
kWh]]-$I$5</f>
        <v>2262</v>
      </c>
      <c r="O40" s="41">
        <f>Tableau1[[#This Row],[Différence HP
Cumul]]/(Tableau1[[#This Row],[Diff jour_x000D_
Cumul]]*24)</f>
        <v>1.8519984170953288</v>
      </c>
      <c r="P40" s="41">
        <f>Tableau1[[#This Row],[Différence HP
Cumul]]/Tableau1[[#This Row],[Diff jour_x000D_
Cumul]]</f>
        <v>44.447962010287888</v>
      </c>
      <c r="Q40" s="41">
        <f>Tableau1[[#This Row],[Conso HP / jour
Cumul]]*365</f>
        <v>16223.50613375508</v>
      </c>
      <c r="R40" s="21">
        <v>120501</v>
      </c>
      <c r="S40" s="38">
        <f>Tableau1[[#This Row],[Index HC_x000D_
kWh]]-R39</f>
        <v>0</v>
      </c>
      <c r="T40" s="42">
        <f>Tableau1[[#This Row],[Différence_x000D_ HC
Instantané]]/(Tableau1[[#This Row],[Diff jour
Instantané]]*24)</f>
        <v>0</v>
      </c>
      <c r="U40" s="42">
        <f>Tableau1[[#This Row],[Différence_x000D_ HC
Instantané]]/Tableau1[[#This Row],[Diff jour
Instantané]]</f>
        <v>0</v>
      </c>
      <c r="V40" s="42">
        <f>Tableau1[[#This Row],[Conso HC / jour_x000D_
Instantané]]*365</f>
        <v>0</v>
      </c>
      <c r="W40" s="38">
        <f>Tableau1[[#This Row],[Index HC_x000D_
kWh]]-$R$5</f>
        <v>1069</v>
      </c>
      <c r="X40" s="43">
        <f>Tableau1[[#This Row],[Différence HC
Cumul]]/(Tableau1[[#This Row],[Diff jour_x000D_
Cumul]]*24)</f>
        <v>0.87523709455124077</v>
      </c>
      <c r="Y40" s="43">
        <f>Tableau1[[#This Row],[Différence HC
Cumul]]/Tableau1[[#This Row],[Diff jour_x000D_
Cumul]]</f>
        <v>21.005690269229778</v>
      </c>
      <c r="Z40" s="43">
        <f>Tableau1[[#This Row],[Conso HC / jour_x000D_
Cumul]]*365</f>
        <v>7667.0769482688684</v>
      </c>
      <c r="AA40" s="38">
        <f>Tableau1[[#This Row],[Différence HP
Instantané]]+Tableau1[[#This Row],[Différence_x000D_ HC
Instantané]]</f>
        <v>15</v>
      </c>
      <c r="AB40" s="41">
        <f>Tableau1[[#This Row],[Conso HP + HC
Instantané]]/(Tableau1[[#This Row],[Diff jour
Instantané]]*24)</f>
        <v>2.7863777089341406</v>
      </c>
      <c r="AC40" s="34">
        <f>IF(ISERROR(Tableau1[[#This Row],[Date]]-A39),"",Tableau1[[#This Row],[Conso HP + HC
Instantané]]/Tableau1[[#This Row],[Diff jour
Instantané]])</f>
        <v>66.873065014419367</v>
      </c>
      <c r="AD40" s="41">
        <f>Tableau1[[#This Row],[Conso HP + HC / jour_x000D_
Instantané]]*365</f>
        <v>24408.668730263071</v>
      </c>
      <c r="AE40" s="38">
        <f>Tableau1[[#This Row],[Différence HP
Cumul]]+Tableau1[[#This Row],[Différence HC
Cumul]]</f>
        <v>3331</v>
      </c>
      <c r="AF40" s="40">
        <f>(Tableau1[[#This Row],[Conso HP + HC
Cumul]]-AE$6)/Tableau1[[#This Row],[Diff jour_x000D_
Cumul
depuis le 24/01]]</f>
        <v>59.339586835085875</v>
      </c>
      <c r="AG40" s="40">
        <f>(Tableau1[[#This Row],[Conso HP + HC
Cumul]]-AE$59)/Tableau1[[#This Row],[Diff jour_x000D_
Cumul
depuis
précédente facture
16/02/2021]]</f>
        <v>87.110475509481688</v>
      </c>
      <c r="AH40" s="41">
        <f>Tableau1[[#This Row],[Conso HP + HC
Cumul]]/(Tableau1[[#This Row],[Diff jour_x000D_
Cumul]]*24)</f>
        <v>2.7272355116465694</v>
      </c>
      <c r="AI40" s="41">
        <f>Tableau1[[#This Row],[Conso HP + HC
Cumul]]/Tableau1[[#This Row],[Diff jour_x000D_
Cumul]]</f>
        <v>65.453652279517669</v>
      </c>
      <c r="AJ40" s="41">
        <f>Tableau1[[#This Row],[Conso HP + HC / jour_x000D_
Cumul]]*365</f>
        <v>23890.58308202395</v>
      </c>
      <c r="AK40" s="44">
        <f>(Tableau1[[#This Row],[Différence HP
Cumul]]*0.1799)+(Tableau1[[#This Row],[Différence HC
Cumul]]*0.1346)</f>
        <v>550.82119999999998</v>
      </c>
      <c r="AL40" s="44">
        <f>Tableau1[[#This Row],[Montant
Tarif HP/HC]]/Tableau1[[#This Row],[Diff jour_x000D_
Cumul]]</f>
        <v>10.823554275889119</v>
      </c>
      <c r="AM40" s="44">
        <f>(Tableau1[[#This Row],[Montant
Tarif HP/HC]]-AK$6)/Tableau1[[#This Row],[Diff jour_x000D_
Cumul
depuis le 24/01]]</f>
        <v>9.8687666865431272</v>
      </c>
      <c r="AN40" s="44">
        <f>(Tableau1[[#This Row],[Montant
Tarif HP/HC]]-AK$59)/Tableau1[[#This Row],[Diff jour_x000D_
Cumul
depuis
précédente facture
16/02/2021]]</f>
        <v>14.533054558456698</v>
      </c>
      <c r="AO40" s="44">
        <f>Tableau1[[#This Row],[Conso HP + HC
Cumul]]*0.1599</f>
        <v>532.62689999999998</v>
      </c>
      <c r="AP40" s="44">
        <f>Tableau1[[#This Row],[Montant
Tarif normal]]/Tableau1[[#This Row],[Diff jour_x000D_
Cumul]]</f>
        <v>10.466038999494875</v>
      </c>
      <c r="AQ40" s="44">
        <f>(Tableau1[[#This Row],[Conso HP / an
Cumul]]*0.1799)+(Tableau1[[#This Row],[Conso HC / an_x000D_
Cumul]]*0.1346)</f>
        <v>3950.5973106995289</v>
      </c>
      <c r="AR40" s="44">
        <f>Tableau1[[#This Row],[Conso HP + HC / an_x000D_
Cumul]]*0.1599</f>
        <v>3820.1042348156293</v>
      </c>
      <c r="AS40" s="38">
        <f>MONTH(Tableau1[[#This Row],[Date]])</f>
        <v>2</v>
      </c>
      <c r="AT40" s="38">
        <f>YEAR(Tableau1[[#This Row],[Date]])</f>
        <v>2021</v>
      </c>
    </row>
    <row r="41" spans="1:46" x14ac:dyDescent="0.2">
      <c r="A41" s="19">
        <v>44234.290277777778</v>
      </c>
      <c r="B41" s="20">
        <v>2.9</v>
      </c>
      <c r="C41" s="39">
        <f>IF(ISERROR(Tableau1[[#This Row],[Date]]-A40),"",Tableau1[[#This Row],[Date]]-A40)</f>
        <v>0.69097222221898846</v>
      </c>
      <c r="D41" s="40">
        <f>IF(ISERROR(Tableau1[[#This Row],[Date]]-A40),"",Tableau1[[#This Row],[Date]]-A40)</f>
        <v>0.69097222221898846</v>
      </c>
      <c r="E41" s="39">
        <f>Tableau1[[#This Row],[Date]]-$A$5</f>
        <v>51.581944444442343</v>
      </c>
      <c r="F41" s="40">
        <f>Tableau1[[#This Row],[Date]]-$A$5</f>
        <v>51.581944444442343</v>
      </c>
      <c r="G41" s="40">
        <f>Tableau1[[#This Row],[Diff jour_x000D_
Cumul]]-F$6</f>
        <v>13.49861111111386</v>
      </c>
      <c r="H41" s="40">
        <f>Tableau1[[#This Row],[Diff jour_x000D_
Cumul]]-F$59</f>
        <v>-9.0208333333357587</v>
      </c>
      <c r="I41" s="21">
        <v>182048</v>
      </c>
      <c r="J41" s="38">
        <f>IF(ISERROR(Tableau1[[#This Row],[Index HP
kWh]]-I40),"",Tableau1[[#This Row],[Index HP
kWh]]-I40)</f>
        <v>27</v>
      </c>
      <c r="K41" s="40">
        <f>IF(ISERROR(Tableau1[[#This Row],[Différence HP
Instantané]]/(Tableau1[[#This Row],[Diff jour
Instantané]]*24)),"",Tableau1[[#This Row],[Différence HP
Instantané]]/(Tableau1[[#This Row],[Diff jour
Instantané]]*24))</f>
        <v>1.6281407035252076</v>
      </c>
      <c r="L41" s="40">
        <f>Tableau1[[#This Row],[Différence HP
Instantané]]/Tableau1[[#This Row],[Diff jour
Instantané]]</f>
        <v>39.075376884604985</v>
      </c>
      <c r="M41" s="40">
        <f>Tableau1[[#This Row],[Conso HP / jour
Instantané]]*365</f>
        <v>14262.51256288082</v>
      </c>
      <c r="N41" s="38">
        <f>Tableau1[[#This Row],[Index HP
kWh]]-$I$5</f>
        <v>2289</v>
      </c>
      <c r="O41" s="41">
        <f>Tableau1[[#This Row],[Différence HP
Cumul]]/(Tableau1[[#This Row],[Diff jour_x000D_
Cumul]]*24)</f>
        <v>1.8489997038154715</v>
      </c>
      <c r="P41" s="41">
        <f>Tableau1[[#This Row],[Différence HP
Cumul]]/Tableau1[[#This Row],[Diff jour_x000D_
Cumul]]</f>
        <v>44.375992891571315</v>
      </c>
      <c r="Q41" s="41">
        <f>Tableau1[[#This Row],[Conso HP / jour
Cumul]]*365</f>
        <v>16197.23740542353</v>
      </c>
      <c r="R41" s="21">
        <v>120523</v>
      </c>
      <c r="S41" s="38">
        <f>Tableau1[[#This Row],[Index HC_x000D_
kWh]]-R40</f>
        <v>22</v>
      </c>
      <c r="T41" s="42">
        <f>Tableau1[[#This Row],[Différence_x000D_ HC
Instantané]]/(Tableau1[[#This Row],[Diff jour
Instantané]]*24)</f>
        <v>1.3266331658353543</v>
      </c>
      <c r="U41" s="42">
        <f>Tableau1[[#This Row],[Différence_x000D_ HC
Instantané]]/Tableau1[[#This Row],[Diff jour
Instantané]]</f>
        <v>31.839195980048505</v>
      </c>
      <c r="V41" s="42">
        <f>Tableau1[[#This Row],[Conso HC / jour_x000D_
Instantané]]*365</f>
        <v>11621.306532717705</v>
      </c>
      <c r="W41" s="38">
        <f>Tableau1[[#This Row],[Index HC_x000D_
kWh]]-$R$5</f>
        <v>1091</v>
      </c>
      <c r="X41" s="43">
        <f>Tableau1[[#This Row],[Différence HC
Cumul]]/(Tableau1[[#This Row],[Diff jour_x000D_
Cumul]]*24)</f>
        <v>0.88128382562808194</v>
      </c>
      <c r="Y41" s="43">
        <f>Tableau1[[#This Row],[Différence HC
Cumul]]/Tableau1[[#This Row],[Diff jour_x000D_
Cumul]]</f>
        <v>21.150811815073965</v>
      </c>
      <c r="Z41" s="43">
        <f>Tableau1[[#This Row],[Conso HC / jour_x000D_
Cumul]]*365</f>
        <v>7720.0463125019969</v>
      </c>
      <c r="AA41" s="38">
        <f>Tableau1[[#This Row],[Différence HP
Instantané]]+Tableau1[[#This Row],[Différence_x000D_ HC
Instantané]]</f>
        <v>49</v>
      </c>
      <c r="AB41" s="41">
        <f>Tableau1[[#This Row],[Conso HP + HC
Instantané]]/(Tableau1[[#This Row],[Diff jour
Instantané]]*24)</f>
        <v>2.9547738693605621</v>
      </c>
      <c r="AC41" s="34">
        <f>IF(ISERROR(Tableau1[[#This Row],[Date]]-A40),"",Tableau1[[#This Row],[Conso HP + HC
Instantané]]/Tableau1[[#This Row],[Diff jour
Instantané]])</f>
        <v>70.914572864653493</v>
      </c>
      <c r="AD41" s="41">
        <f>Tableau1[[#This Row],[Conso HP + HC / jour_x000D_
Instantané]]*365</f>
        <v>25883.819095598526</v>
      </c>
      <c r="AE41" s="38">
        <f>Tableau1[[#This Row],[Différence HP
Cumul]]+Tableau1[[#This Row],[Différence HC
Cumul]]</f>
        <v>3380</v>
      </c>
      <c r="AF41" s="40">
        <f>(Tableau1[[#This Row],[Conso HP + HC
Cumul]]-AE$6)/Tableau1[[#This Row],[Diff jour_x000D_
Cumul
depuis le 24/01]]</f>
        <v>59.932091778977401</v>
      </c>
      <c r="AG41" s="40">
        <f>(Tableau1[[#This Row],[Conso HP + HC
Cumul]]-AE$59)/Tableau1[[#This Row],[Diff jour_x000D_
Cumul
depuis
précédente facture
16/02/2021]]</f>
        <v>88.351039260946223</v>
      </c>
      <c r="AH41" s="41">
        <f>Tableau1[[#This Row],[Conso HP + HC
Cumul]]/(Tableau1[[#This Row],[Diff jour_x000D_
Cumul]]*24)</f>
        <v>2.7302835294435535</v>
      </c>
      <c r="AI41" s="41">
        <f>Tableau1[[#This Row],[Conso HP + HC
Cumul]]/Tableau1[[#This Row],[Diff jour_x000D_
Cumul]]</f>
        <v>65.526804706645279</v>
      </c>
      <c r="AJ41" s="41">
        <f>Tableau1[[#This Row],[Conso HP + HC / jour_x000D_
Cumul]]*365</f>
        <v>23917.283717925526</v>
      </c>
      <c r="AK41" s="44">
        <f>(Tableau1[[#This Row],[Différence HP
Cumul]]*0.1799)+(Tableau1[[#This Row],[Différence HC
Cumul]]*0.1346)</f>
        <v>558.63970000000006</v>
      </c>
      <c r="AL41" s="44">
        <f>Tableau1[[#This Row],[Montant
Tarif HP/HC]]/Tableau1[[#This Row],[Diff jour_x000D_
Cumul]]</f>
        <v>10.830140391502637</v>
      </c>
      <c r="AM41" s="44">
        <f>(Tableau1[[#This Row],[Montant
Tarif HP/HC]]-AK$6)/Tableau1[[#This Row],[Diff jour_x000D_
Cumul
depuis le 24/01]]</f>
        <v>9.942808107828002</v>
      </c>
      <c r="AN41" s="44">
        <f>(Tableau1[[#This Row],[Montant
Tarif HP/HC]]-AK$59)/Tableau1[[#This Row],[Diff jour_x000D_
Cumul
depuis
précédente facture
16/02/2021]]</f>
        <v>14.779532563506409</v>
      </c>
      <c r="AO41" s="44">
        <f>Tableau1[[#This Row],[Conso HP + HC
Cumul]]*0.1599</f>
        <v>540.46199999999999</v>
      </c>
      <c r="AP41" s="44">
        <f>Tableau1[[#This Row],[Montant
Tarif normal]]/Tableau1[[#This Row],[Diff jour_x000D_
Cumul]]</f>
        <v>10.477736072592581</v>
      </c>
      <c r="AQ41" s="44">
        <f>(Tableau1[[#This Row],[Conso HP / an
Cumul]]*0.1799)+(Tableau1[[#This Row],[Conso HC / an_x000D_
Cumul]]*0.1346)</f>
        <v>3953.0012428984619</v>
      </c>
      <c r="AR41" s="44">
        <f>Tableau1[[#This Row],[Conso HP + HC / an_x000D_
Cumul]]*0.1599</f>
        <v>3824.3736664962912</v>
      </c>
      <c r="AS41" s="38">
        <f>MONTH(Tableau1[[#This Row],[Date]])</f>
        <v>2</v>
      </c>
      <c r="AT41" s="38">
        <f>YEAR(Tableau1[[#This Row],[Date]])</f>
        <v>2021</v>
      </c>
    </row>
    <row r="42" spans="1:46" x14ac:dyDescent="0.2">
      <c r="A42" s="19">
        <v>44234.468055555553</v>
      </c>
      <c r="B42" s="20">
        <v>6.1</v>
      </c>
      <c r="C42" s="39">
        <f>IF(ISERROR(Tableau1[[#This Row],[Date]]-A41),"",Tableau1[[#This Row],[Date]]-A41)</f>
        <v>0.17777777777519077</v>
      </c>
      <c r="D42" s="40">
        <f>IF(ISERROR(Tableau1[[#This Row],[Date]]-A41),"",Tableau1[[#This Row],[Date]]-A41)</f>
        <v>0.17777777777519077</v>
      </c>
      <c r="E42" s="39">
        <f>Tableau1[[#This Row],[Date]]-$A$5</f>
        <v>51.759722222217533</v>
      </c>
      <c r="F42" s="40">
        <f>Tableau1[[#This Row],[Date]]-$A$5</f>
        <v>51.759722222217533</v>
      </c>
      <c r="G42" s="40">
        <f>Tableau1[[#This Row],[Diff jour_x000D_
Cumul]]-F$6</f>
        <v>13.676388888889051</v>
      </c>
      <c r="H42" s="40">
        <f>Tableau1[[#This Row],[Diff jour_x000D_
Cumul]]-F$59</f>
        <v>-8.8430555555605679</v>
      </c>
      <c r="I42" s="21">
        <v>182062</v>
      </c>
      <c r="J42" s="38">
        <f>IF(ISERROR(Tableau1[[#This Row],[Index HP
kWh]]-I41),"",Tableau1[[#This Row],[Index HP
kWh]]-I41)</f>
        <v>14</v>
      </c>
      <c r="K42" s="40">
        <f>IF(ISERROR(Tableau1[[#This Row],[Différence HP
Instantané]]/(Tableau1[[#This Row],[Diff jour
Instantané]]*24)),"",Tableau1[[#This Row],[Différence HP
Instantané]]/(Tableau1[[#This Row],[Diff jour
Instantané]]*24))</f>
        <v>3.2812500000477485</v>
      </c>
      <c r="L42" s="40">
        <f>Tableau1[[#This Row],[Différence HP
Instantané]]/Tableau1[[#This Row],[Diff jour
Instantané]]</f>
        <v>78.750000001145963</v>
      </c>
      <c r="M42" s="40">
        <f>Tableau1[[#This Row],[Conso HP / jour
Instantané]]*365</f>
        <v>28743.750000418277</v>
      </c>
      <c r="N42" s="38">
        <f>Tableau1[[#This Row],[Index HP
kWh]]-$I$5</f>
        <v>2303</v>
      </c>
      <c r="O42" s="41">
        <f>Tableau1[[#This Row],[Différence HP
Cumul]]/(Tableau1[[#This Row],[Diff jour_x000D_
Cumul]]*24)</f>
        <v>1.8539190168247044</v>
      </c>
      <c r="P42" s="41">
        <f>Tableau1[[#This Row],[Différence HP
Cumul]]/Tableau1[[#This Row],[Diff jour_x000D_
Cumul]]</f>
        <v>44.494056403792904</v>
      </c>
      <c r="Q42" s="41">
        <f>Tableau1[[#This Row],[Conso HP / jour
Cumul]]*365</f>
        <v>16240.330587384409</v>
      </c>
      <c r="R42" s="21">
        <v>120523</v>
      </c>
      <c r="S42" s="38">
        <f>Tableau1[[#This Row],[Index HC_x000D_
kWh]]-R41</f>
        <v>0</v>
      </c>
      <c r="T42" s="42">
        <f>Tableau1[[#This Row],[Différence_x000D_ HC
Instantané]]/(Tableau1[[#This Row],[Diff jour
Instantané]]*24)</f>
        <v>0</v>
      </c>
      <c r="U42" s="42">
        <f>Tableau1[[#This Row],[Différence_x000D_ HC
Instantané]]/Tableau1[[#This Row],[Diff jour
Instantané]]</f>
        <v>0</v>
      </c>
      <c r="V42" s="42">
        <f>Tableau1[[#This Row],[Conso HC / jour_x000D_
Instantané]]*365</f>
        <v>0</v>
      </c>
      <c r="W42" s="38">
        <f>Tableau1[[#This Row],[Index HC_x000D_
kWh]]-$R$5</f>
        <v>1091</v>
      </c>
      <c r="X42" s="43">
        <f>Tableau1[[#This Row],[Différence HC
Cumul]]/(Tableau1[[#This Row],[Diff jour_x000D_
Cumul]]*24)</f>
        <v>0.87825690289003577</v>
      </c>
      <c r="Y42" s="43">
        <f>Tableau1[[#This Row],[Différence HC
Cumul]]/Tableau1[[#This Row],[Diff jour_x000D_
Cumul]]</f>
        <v>21.07816566936086</v>
      </c>
      <c r="Z42" s="43">
        <f>Tableau1[[#This Row],[Conso HC / jour_x000D_
Cumul]]*365</f>
        <v>7693.5304693167136</v>
      </c>
      <c r="AA42" s="38">
        <f>Tableau1[[#This Row],[Différence HP
Instantané]]+Tableau1[[#This Row],[Différence_x000D_ HC
Instantané]]</f>
        <v>14</v>
      </c>
      <c r="AB42" s="41">
        <f>Tableau1[[#This Row],[Conso HP + HC
Instantané]]/(Tableau1[[#This Row],[Diff jour
Instantané]]*24)</f>
        <v>3.2812500000477485</v>
      </c>
      <c r="AC42" s="34">
        <f>IF(ISERROR(Tableau1[[#This Row],[Date]]-A41),"",Tableau1[[#This Row],[Conso HP + HC
Instantané]]/Tableau1[[#This Row],[Diff jour
Instantané]])</f>
        <v>78.750000001145963</v>
      </c>
      <c r="AD42" s="41">
        <f>Tableau1[[#This Row],[Conso HP + HC / jour_x000D_
Instantané]]*365</f>
        <v>28743.750000418277</v>
      </c>
      <c r="AE42" s="38">
        <f>Tableau1[[#This Row],[Différence HP
Cumul]]+Tableau1[[#This Row],[Différence HC
Cumul]]</f>
        <v>3394</v>
      </c>
      <c r="AF42" s="40">
        <f>(Tableau1[[#This Row],[Conso HP + HC
Cumul]]-AE$6)/Tableau1[[#This Row],[Diff jour_x000D_
Cumul
depuis le 24/01]]</f>
        <v>60.176703564536709</v>
      </c>
      <c r="AG42" s="40">
        <f>(Tableau1[[#This Row],[Conso HP + HC
Cumul]]-AE$59)/Tableau1[[#This Row],[Diff jour_x000D_
Cumul
depuis
précédente facture
16/02/2021]]</f>
        <v>88.544055285013428</v>
      </c>
      <c r="AH42" s="41">
        <f>Tableau1[[#This Row],[Conso HP + HC
Cumul]]/(Tableau1[[#This Row],[Diff jour_x000D_
Cumul]]*24)</f>
        <v>2.7321759197147402</v>
      </c>
      <c r="AI42" s="41">
        <f>Tableau1[[#This Row],[Conso HP + HC
Cumul]]/Tableau1[[#This Row],[Diff jour_x000D_
Cumul]]</f>
        <v>65.572222073153767</v>
      </c>
      <c r="AJ42" s="41">
        <f>Tableau1[[#This Row],[Conso HP + HC / jour_x000D_
Cumul]]*365</f>
        <v>23933.861056701124</v>
      </c>
      <c r="AK42" s="44">
        <f>(Tableau1[[#This Row],[Différence HP
Cumul]]*0.1799)+(Tableau1[[#This Row],[Différence HC
Cumul]]*0.1346)</f>
        <v>561.15830000000005</v>
      </c>
      <c r="AL42" s="44">
        <f>Tableau1[[#This Row],[Montant
Tarif HP/HC]]/Tableau1[[#This Row],[Diff jour_x000D_
Cumul]]</f>
        <v>10.841601846138316</v>
      </c>
      <c r="AM42" s="44">
        <f>(Tableau1[[#This Row],[Montant
Tarif HP/HC]]-AK$6)/Tableau1[[#This Row],[Diff jour_x000D_
Cumul
depuis le 24/01]]</f>
        <v>9.9977195084796229</v>
      </c>
      <c r="AN42" s="44">
        <f>(Tableau1[[#This Row],[Montant
Tarif HP/HC]]-AK$59)/Tableau1[[#This Row],[Diff jour_x000D_
Cumul
depuis
précédente facture
16/02/2021]]</f>
        <v>14.791844196630526</v>
      </c>
      <c r="AO42" s="44">
        <f>Tableau1[[#This Row],[Conso HP + HC
Cumul]]*0.1599</f>
        <v>542.70060000000001</v>
      </c>
      <c r="AP42" s="44">
        <f>Tableau1[[#This Row],[Montant
Tarif normal]]/Tableau1[[#This Row],[Diff jour_x000D_
Cumul]]</f>
        <v>10.484998309497287</v>
      </c>
      <c r="AQ42" s="44">
        <f>(Tableau1[[#This Row],[Conso HP / an
Cumul]]*0.1799)+(Tableau1[[#This Row],[Conso HC / an_x000D_
Cumul]]*0.1346)</f>
        <v>3957.1846738404847</v>
      </c>
      <c r="AR42" s="44">
        <f>Tableau1[[#This Row],[Conso HP + HC / an_x000D_
Cumul]]*0.1599</f>
        <v>3827.0243829665092</v>
      </c>
      <c r="AS42" s="38">
        <f>MONTH(Tableau1[[#This Row],[Date]])</f>
        <v>2</v>
      </c>
      <c r="AT42" s="38">
        <f>YEAR(Tableau1[[#This Row],[Date]])</f>
        <v>2021</v>
      </c>
    </row>
    <row r="43" spans="1:46" x14ac:dyDescent="0.2">
      <c r="A43" s="19">
        <v>44235.318055555559</v>
      </c>
      <c r="B43" s="20">
        <v>-0.5</v>
      </c>
      <c r="C43" s="39">
        <f>IF(ISERROR(Tableau1[[#This Row],[Date]]-A42),"",Tableau1[[#This Row],[Date]]-A42)</f>
        <v>0.85000000000582077</v>
      </c>
      <c r="D43" s="40">
        <f>IF(ISERROR(Tableau1[[#This Row],[Date]]-A42),"",Tableau1[[#This Row],[Date]]-A42)</f>
        <v>0.85000000000582077</v>
      </c>
      <c r="E43" s="39">
        <f>Tableau1[[#This Row],[Date]]-$A$5</f>
        <v>52.609722222223354</v>
      </c>
      <c r="F43" s="40">
        <f>Tableau1[[#This Row],[Date]]-$A$5</f>
        <v>52.609722222223354</v>
      </c>
      <c r="G43" s="40">
        <f>Tableau1[[#This Row],[Diff jour_x000D_
Cumul]]-F$6</f>
        <v>14.526388888894871</v>
      </c>
      <c r="H43" s="40">
        <f>Tableau1[[#This Row],[Diff jour_x000D_
Cumul]]-F$59</f>
        <v>-7.9930555555547471</v>
      </c>
      <c r="I43" s="21">
        <v>182098</v>
      </c>
      <c r="J43" s="38">
        <f>IF(ISERROR(Tableau1[[#This Row],[Index HP
kWh]]-I42),"",Tableau1[[#This Row],[Index HP
kWh]]-I42)</f>
        <v>36</v>
      </c>
      <c r="K43" s="40">
        <f>IF(ISERROR(Tableau1[[#This Row],[Différence HP
Instantané]]/(Tableau1[[#This Row],[Diff jour
Instantané]]*24)),"",Tableau1[[#This Row],[Différence HP
Instantané]]/(Tableau1[[#This Row],[Diff jour
Instantané]]*24))</f>
        <v>1.7647058823408566</v>
      </c>
      <c r="L43" s="40">
        <f>Tableau1[[#This Row],[Différence HP
Instantané]]/Tableau1[[#This Row],[Diff jour
Instantané]]</f>
        <v>42.352941176180558</v>
      </c>
      <c r="M43" s="40">
        <f>Tableau1[[#This Row],[Conso HP / jour
Instantané]]*365</f>
        <v>15458.823529305904</v>
      </c>
      <c r="N43" s="38">
        <f>Tableau1[[#This Row],[Index HP
kWh]]-$I$5</f>
        <v>2339</v>
      </c>
      <c r="O43" s="41">
        <f>Tableau1[[#This Row],[Différence HP
Cumul]]/(Tableau1[[#This Row],[Diff jour_x000D_
Cumul]]*24)</f>
        <v>1.8524776261252538</v>
      </c>
      <c r="P43" s="41">
        <f>Tableau1[[#This Row],[Différence HP
Cumul]]/Tableau1[[#This Row],[Diff jour_x000D_
Cumul]]</f>
        <v>44.459463027006095</v>
      </c>
      <c r="Q43" s="41">
        <f>Tableau1[[#This Row],[Conso HP / jour
Cumul]]*365</f>
        <v>16227.704004857225</v>
      </c>
      <c r="R43" s="21">
        <v>120545</v>
      </c>
      <c r="S43" s="38">
        <f>Tableau1[[#This Row],[Index HC_x000D_
kWh]]-R42</f>
        <v>22</v>
      </c>
      <c r="T43" s="42">
        <f>Tableau1[[#This Row],[Différence_x000D_ HC
Instantané]]/(Tableau1[[#This Row],[Diff jour
Instantané]]*24)</f>
        <v>1.0784313725416346</v>
      </c>
      <c r="U43" s="42">
        <f>Tableau1[[#This Row],[Différence_x000D_ HC
Instantané]]/Tableau1[[#This Row],[Diff jour
Instantané]]</f>
        <v>25.88235294099923</v>
      </c>
      <c r="V43" s="42">
        <f>Tableau1[[#This Row],[Conso HC / jour_x000D_
Instantané]]*365</f>
        <v>9447.0588234647184</v>
      </c>
      <c r="W43" s="38">
        <f>Tableau1[[#This Row],[Index HC_x000D_
kWh]]-$R$5</f>
        <v>1113</v>
      </c>
      <c r="X43" s="43">
        <f>Tableau1[[#This Row],[Différence HC
Cumul]]/(Tableau1[[#This Row],[Diff jour_x000D_
Cumul]]*24)</f>
        <v>0.88149106365002461</v>
      </c>
      <c r="Y43" s="43">
        <f>Tableau1[[#This Row],[Différence HC
Cumul]]/Tableau1[[#This Row],[Diff jour_x000D_
Cumul]]</f>
        <v>21.155785527600589</v>
      </c>
      <c r="Z43" s="43">
        <f>Tableau1[[#This Row],[Conso HC / jour_x000D_
Cumul]]*365</f>
        <v>7721.8617175742147</v>
      </c>
      <c r="AA43" s="38">
        <f>Tableau1[[#This Row],[Différence HP
Instantané]]+Tableau1[[#This Row],[Différence_x000D_ HC
Instantané]]</f>
        <v>58</v>
      </c>
      <c r="AB43" s="41">
        <f>Tableau1[[#This Row],[Conso HP + HC
Instantané]]/(Tableau1[[#This Row],[Diff jour
Instantané]]*24)</f>
        <v>2.8431372548824911</v>
      </c>
      <c r="AC43" s="34">
        <f>IF(ISERROR(Tableau1[[#This Row],[Date]]-A42),"",Tableau1[[#This Row],[Conso HP + HC
Instantané]]/Tableau1[[#This Row],[Diff jour
Instantané]])</f>
        <v>68.235294117179791</v>
      </c>
      <c r="AD43" s="41">
        <f>Tableau1[[#This Row],[Conso HP + HC / jour_x000D_
Instantané]]*365</f>
        <v>24905.882352770623</v>
      </c>
      <c r="AE43" s="38">
        <f>Tableau1[[#This Row],[Différence HP
Cumul]]+Tableau1[[#This Row],[Différence HC
Cumul]]</f>
        <v>3452</v>
      </c>
      <c r="AF43" s="40">
        <f>(Tableau1[[#This Row],[Conso HP + HC
Cumul]]-AE$6)/Tableau1[[#This Row],[Diff jour_x000D_
Cumul
depuis le 24/01]]</f>
        <v>60.648245530140429</v>
      </c>
      <c r="AG43" s="40">
        <f>(Tableau1[[#This Row],[Conso HP + HC
Cumul]]-AE$59)/Tableau1[[#This Row],[Diff jour_x000D_
Cumul
depuis
précédente facture
16/02/2021]]</f>
        <v>90.703735881851046</v>
      </c>
      <c r="AH43" s="41">
        <f>Tableau1[[#This Row],[Conso HP + HC
Cumul]]/(Tableau1[[#This Row],[Diff jour_x000D_
Cumul]]*24)</f>
        <v>2.7339686897752786</v>
      </c>
      <c r="AI43" s="41">
        <f>Tableau1[[#This Row],[Conso HP + HC
Cumul]]/Tableau1[[#This Row],[Diff jour_x000D_
Cumul]]</f>
        <v>65.61524855460668</v>
      </c>
      <c r="AJ43" s="41">
        <f>Tableau1[[#This Row],[Conso HP + HC / jour_x000D_
Cumul]]*365</f>
        <v>23949.565722431438</v>
      </c>
      <c r="AK43" s="44">
        <f>(Tableau1[[#This Row],[Différence HP
Cumul]]*0.1799)+(Tableau1[[#This Row],[Différence HC
Cumul]]*0.1346)</f>
        <v>570.59590000000003</v>
      </c>
      <c r="AL43" s="44">
        <f>Tableau1[[#This Row],[Montant
Tarif HP/HC]]/Tableau1[[#This Row],[Diff jour_x000D_
Cumul]]</f>
        <v>10.845826130573435</v>
      </c>
      <c r="AM43" s="44">
        <f>(Tableau1[[#This Row],[Montant
Tarif HP/HC]]-AK$6)/Tableau1[[#This Row],[Diff jour_x000D_
Cumul
depuis le 24/01]]</f>
        <v>10.062397552343116</v>
      </c>
      <c r="AN43" s="44">
        <f>(Tableau1[[#This Row],[Montant
Tarif HP/HC]]-AK$59)/Tableau1[[#This Row],[Diff jour_x000D_
Cumul
depuis
précédente facture
16/02/2021]]</f>
        <v>15.1841181581249</v>
      </c>
      <c r="AO43" s="44">
        <f>Tableau1[[#This Row],[Conso HP + HC
Cumul]]*0.1599</f>
        <v>551.97479999999996</v>
      </c>
      <c r="AP43" s="44">
        <f>Tableau1[[#This Row],[Montant
Tarif normal]]/Tableau1[[#This Row],[Diff jour_x000D_
Cumul]]</f>
        <v>10.491878243881608</v>
      </c>
      <c r="AQ43" s="44">
        <f>(Tableau1[[#This Row],[Conso HP / an
Cumul]]*0.1799)+(Tableau1[[#This Row],[Conso HC / an_x000D_
Cumul]]*0.1346)</f>
        <v>3958.7265376593041</v>
      </c>
      <c r="AR43" s="44">
        <f>Tableau1[[#This Row],[Conso HP + HC / an_x000D_
Cumul]]*0.1599</f>
        <v>3829.5355590167865</v>
      </c>
      <c r="AS43" s="38">
        <f>MONTH(Tableau1[[#This Row],[Date]])</f>
        <v>2</v>
      </c>
      <c r="AT43" s="38">
        <f>YEAR(Tableau1[[#This Row],[Date]])</f>
        <v>2021</v>
      </c>
    </row>
    <row r="44" spans="1:46" x14ac:dyDescent="0.2">
      <c r="A44" s="19">
        <v>44235.568055555559</v>
      </c>
      <c r="B44" s="20">
        <v>3.8</v>
      </c>
      <c r="C44" s="39">
        <f>IF(ISERROR(Tableau1[[#This Row],[Date]]-A43),"",Tableau1[[#This Row],[Date]]-A43)</f>
        <v>0.25</v>
      </c>
      <c r="D44" s="40">
        <f>IF(ISERROR(Tableau1[[#This Row],[Date]]-A43),"",Tableau1[[#This Row],[Date]]-A43)</f>
        <v>0.25</v>
      </c>
      <c r="E44" s="39">
        <f>Tableau1[[#This Row],[Date]]-$A$5</f>
        <v>52.859722222223354</v>
      </c>
      <c r="F44" s="40">
        <f>Tableau1[[#This Row],[Date]]-$A$5</f>
        <v>52.859722222223354</v>
      </c>
      <c r="G44" s="40">
        <f>Tableau1[[#This Row],[Diff jour_x000D_
Cumul]]-F$6</f>
        <v>14.776388888894871</v>
      </c>
      <c r="H44" s="40">
        <f>Tableau1[[#This Row],[Diff jour_x000D_
Cumul]]-F$59</f>
        <v>-7.7430555555547471</v>
      </c>
      <c r="I44" s="21">
        <v>182122</v>
      </c>
      <c r="J44" s="38">
        <f>IF(ISERROR(Tableau1[[#This Row],[Index HP
kWh]]-I43),"",Tableau1[[#This Row],[Index HP
kWh]]-I43)</f>
        <v>24</v>
      </c>
      <c r="K44" s="40">
        <f>IF(ISERROR(Tableau1[[#This Row],[Différence HP
Instantané]]/(Tableau1[[#This Row],[Diff jour
Instantané]]*24)),"",Tableau1[[#This Row],[Différence HP
Instantané]]/(Tableau1[[#This Row],[Diff jour
Instantané]]*24))</f>
        <v>4</v>
      </c>
      <c r="L44" s="40">
        <f>Tableau1[[#This Row],[Différence HP
Instantané]]/Tableau1[[#This Row],[Diff jour
Instantané]]</f>
        <v>96</v>
      </c>
      <c r="M44" s="40">
        <f>Tableau1[[#This Row],[Conso HP / jour
Instantané]]*365</f>
        <v>35040</v>
      </c>
      <c r="N44" s="38">
        <f>Tableau1[[#This Row],[Index HP
kWh]]-$I$5</f>
        <v>2363</v>
      </c>
      <c r="O44" s="41">
        <f>Tableau1[[#This Row],[Différence HP
Cumul]]/(Tableau1[[#This Row],[Diff jour_x000D_
Cumul]]*24)</f>
        <v>1.8626343309072357</v>
      </c>
      <c r="P44" s="41">
        <f>Tableau1[[#This Row],[Différence HP
Cumul]]/Tableau1[[#This Row],[Diff jour_x000D_
Cumul]]</f>
        <v>44.703223941773658</v>
      </c>
      <c r="Q44" s="41">
        <f>Tableau1[[#This Row],[Conso HP / jour
Cumul]]*365</f>
        <v>16316.676738747385</v>
      </c>
      <c r="R44" s="21">
        <v>120545</v>
      </c>
      <c r="S44" s="38">
        <f>Tableau1[[#This Row],[Index HC_x000D_
kWh]]-R43</f>
        <v>0</v>
      </c>
      <c r="T44" s="42">
        <f>Tableau1[[#This Row],[Différence_x000D_ HC
Instantané]]/(Tableau1[[#This Row],[Diff jour
Instantané]]*24)</f>
        <v>0</v>
      </c>
      <c r="U44" s="42">
        <f>Tableau1[[#This Row],[Différence_x000D_ HC
Instantané]]/Tableau1[[#This Row],[Diff jour
Instantané]]</f>
        <v>0</v>
      </c>
      <c r="V44" s="42">
        <f>Tableau1[[#This Row],[Conso HC / jour_x000D_
Instantané]]*365</f>
        <v>0</v>
      </c>
      <c r="W44" s="38">
        <f>Tableau1[[#This Row],[Index HC_x000D_
kWh]]-$R$5</f>
        <v>1113</v>
      </c>
      <c r="X44" s="43">
        <f>Tableau1[[#This Row],[Différence HC
Cumul]]/(Tableau1[[#This Row],[Diff jour_x000D_
Cumul]]*24)</f>
        <v>0.87732205260251939</v>
      </c>
      <c r="Y44" s="43">
        <f>Tableau1[[#This Row],[Différence HC
Cumul]]/Tableau1[[#This Row],[Diff jour_x000D_
Cumul]]</f>
        <v>21.055729262460464</v>
      </c>
      <c r="Z44" s="43">
        <f>Tableau1[[#This Row],[Conso HC / jour_x000D_
Cumul]]*365</f>
        <v>7685.3411807980692</v>
      </c>
      <c r="AA44" s="38">
        <f>Tableau1[[#This Row],[Différence HP
Instantané]]+Tableau1[[#This Row],[Différence_x000D_ HC
Instantané]]</f>
        <v>24</v>
      </c>
      <c r="AB44" s="41">
        <f>Tableau1[[#This Row],[Conso HP + HC
Instantané]]/(Tableau1[[#This Row],[Diff jour
Instantané]]*24)</f>
        <v>4</v>
      </c>
      <c r="AC44" s="34">
        <f>IF(ISERROR(Tableau1[[#This Row],[Date]]-A43),"",Tableau1[[#This Row],[Conso HP + HC
Instantané]]/Tableau1[[#This Row],[Diff jour
Instantané]])</f>
        <v>96</v>
      </c>
      <c r="AD44" s="41">
        <f>Tableau1[[#This Row],[Conso HP + HC / jour_x000D_
Instantané]]*365</f>
        <v>35040</v>
      </c>
      <c r="AE44" s="38">
        <f>Tableau1[[#This Row],[Différence HP
Cumul]]+Tableau1[[#This Row],[Différence HC
Cumul]]</f>
        <v>3476</v>
      </c>
      <c r="AF44" s="40">
        <f>(Tableau1[[#This Row],[Conso HP + HC
Cumul]]-AE$6)/Tableau1[[#This Row],[Diff jour_x000D_
Cumul
depuis le 24/01]]</f>
        <v>61.246357740364338</v>
      </c>
      <c r="AG44" s="40">
        <f>(Tableau1[[#This Row],[Conso HP + HC
Cumul]]-AE$59)/Tableau1[[#This Row],[Diff jour_x000D_
Cumul
depuis
précédente facture
16/02/2021]]</f>
        <v>90.532735426018419</v>
      </c>
      <c r="AH44" s="41">
        <f>Tableau1[[#This Row],[Conso HP + HC
Cumul]]/(Tableau1[[#This Row],[Diff jour_x000D_
Cumul]]*24)</f>
        <v>2.7399563835097549</v>
      </c>
      <c r="AI44" s="41">
        <f>Tableau1[[#This Row],[Conso HP + HC
Cumul]]/Tableau1[[#This Row],[Diff jour_x000D_
Cumul]]</f>
        <v>65.758953204234118</v>
      </c>
      <c r="AJ44" s="41">
        <f>Tableau1[[#This Row],[Conso HP + HC / jour_x000D_
Cumul]]*365</f>
        <v>24002.017919545451</v>
      </c>
      <c r="AK44" s="44">
        <f>(Tableau1[[#This Row],[Différence HP
Cumul]]*0.1799)+(Tableau1[[#This Row],[Différence HC
Cumul]]*0.1346)</f>
        <v>574.9135</v>
      </c>
      <c r="AL44" s="44">
        <f>Tableau1[[#This Row],[Montant
Tarif HP/HC]]/Tableau1[[#This Row],[Diff jour_x000D_
Cumul]]</f>
        <v>10.87621114585226</v>
      </c>
      <c r="AM44" s="44">
        <f>(Tableau1[[#This Row],[Montant
Tarif HP/HC]]-AK$6)/Tableau1[[#This Row],[Diff jour_x000D_
Cumul
depuis le 24/01]]</f>
        <v>10.184348904968147</v>
      </c>
      <c r="AN44" s="44">
        <f>(Tableau1[[#This Row],[Montant
Tarif HP/HC]]-AK$59)/Tableau1[[#This Row],[Diff jour_x000D_
Cumul
depuis
précédente facture
16/02/2021]]</f>
        <v>15.116758385651799</v>
      </c>
      <c r="AO44" s="44">
        <f>Tableau1[[#This Row],[Conso HP + HC
Cumul]]*0.1599</f>
        <v>555.81239999999991</v>
      </c>
      <c r="AP44" s="44">
        <f>Tableau1[[#This Row],[Montant
Tarif normal]]/Tableau1[[#This Row],[Diff jour_x000D_
Cumul]]</f>
        <v>10.514856617357035</v>
      </c>
      <c r="AQ44" s="44">
        <f>(Tableau1[[#This Row],[Conso HP / an
Cumul]]*0.1799)+(Tableau1[[#This Row],[Conso HC / an_x000D_
Cumul]]*0.1346)</f>
        <v>3969.8170682360751</v>
      </c>
      <c r="AR44" s="44">
        <f>Tableau1[[#This Row],[Conso HP + HC / an_x000D_
Cumul]]*0.1599</f>
        <v>3837.9226653353171</v>
      </c>
      <c r="AS44" s="38">
        <f>MONTH(Tableau1[[#This Row],[Date]])</f>
        <v>2</v>
      </c>
      <c r="AT44" s="38">
        <f>YEAR(Tableau1[[#This Row],[Date]])</f>
        <v>2021</v>
      </c>
    </row>
    <row r="45" spans="1:46" x14ac:dyDescent="0.2">
      <c r="A45" s="19">
        <v>44235.863194444442</v>
      </c>
      <c r="B45" s="20">
        <v>0.2</v>
      </c>
      <c r="C45" s="39">
        <f>IF(ISERROR(Tableau1[[#This Row],[Date]]-A44),"",Tableau1[[#This Row],[Date]]-A44)</f>
        <v>0.29513888888322981</v>
      </c>
      <c r="D45" s="40">
        <f>IF(ISERROR(Tableau1[[#This Row],[Date]]-A44),"",Tableau1[[#This Row],[Date]]-A44)</f>
        <v>0.29513888888322981</v>
      </c>
      <c r="E45" s="39">
        <f>Tableau1[[#This Row],[Date]]-$A$5</f>
        <v>53.154861111106584</v>
      </c>
      <c r="F45" s="40">
        <f>Tableau1[[#This Row],[Date]]-$A$5</f>
        <v>53.154861111106584</v>
      </c>
      <c r="G45" s="40">
        <f>Tableau1[[#This Row],[Diff jour_x000D_
Cumul]]-F$6</f>
        <v>15.071527777778101</v>
      </c>
      <c r="H45" s="40">
        <f>Tableau1[[#This Row],[Diff jour_x000D_
Cumul]]-F$59</f>
        <v>-7.4479166666715173</v>
      </c>
      <c r="I45" s="21">
        <v>182145</v>
      </c>
      <c r="J45" s="38">
        <f>IF(ISERROR(Tableau1[[#This Row],[Index HP
kWh]]-I44),"",Tableau1[[#This Row],[Index HP
kWh]]-I44)</f>
        <v>23</v>
      </c>
      <c r="K45" s="40">
        <f>IF(ISERROR(Tableau1[[#This Row],[Différence HP
Instantané]]/(Tableau1[[#This Row],[Diff jour
Instantané]]*24)),"",Tableau1[[#This Row],[Différence HP
Instantané]]/(Tableau1[[#This Row],[Diff jour
Instantané]]*24))</f>
        <v>3.2470588235916718</v>
      </c>
      <c r="L45" s="40">
        <f>Tableau1[[#This Row],[Différence HP
Instantané]]/Tableau1[[#This Row],[Diff jour
Instantané]]</f>
        <v>77.929411766200118</v>
      </c>
      <c r="M45" s="40">
        <f>Tableau1[[#This Row],[Conso HP / jour
Instantané]]*365</f>
        <v>28444.235294663042</v>
      </c>
      <c r="N45" s="38">
        <f>Tableau1[[#This Row],[Index HP
kWh]]-$I$5</f>
        <v>2386</v>
      </c>
      <c r="O45" s="41">
        <f>Tableau1[[#This Row],[Différence HP
Cumul]]/(Tableau1[[#This Row],[Diff jour_x000D_
Cumul]]*24)</f>
        <v>1.8703212573326391</v>
      </c>
      <c r="P45" s="41">
        <f>Tableau1[[#This Row],[Différence HP
Cumul]]/Tableau1[[#This Row],[Diff jour_x000D_
Cumul]]</f>
        <v>44.887710175983337</v>
      </c>
      <c r="Q45" s="41">
        <f>Tableau1[[#This Row],[Conso HP / jour
Cumul]]*365</f>
        <v>16384.014214233917</v>
      </c>
      <c r="R45" s="21">
        <v>120545</v>
      </c>
      <c r="S45" s="38">
        <f>Tableau1[[#This Row],[Index HC_x000D_
kWh]]-R44</f>
        <v>0</v>
      </c>
      <c r="T45" s="42">
        <f>Tableau1[[#This Row],[Différence_x000D_ HC
Instantané]]/(Tableau1[[#This Row],[Diff jour
Instantané]]*24)</f>
        <v>0</v>
      </c>
      <c r="U45" s="42">
        <f>Tableau1[[#This Row],[Différence_x000D_ HC
Instantané]]/Tableau1[[#This Row],[Diff jour
Instantané]]</f>
        <v>0</v>
      </c>
      <c r="V45" s="42">
        <f>Tableau1[[#This Row],[Conso HC / jour_x000D_
Instantané]]*365</f>
        <v>0</v>
      </c>
      <c r="W45" s="38">
        <f>Tableau1[[#This Row],[Index HC_x000D_
kWh]]-$R$5</f>
        <v>1113</v>
      </c>
      <c r="X45" s="43">
        <f>Tableau1[[#This Row],[Différence HC
Cumul]]/(Tableau1[[#This Row],[Diff jour_x000D_
Cumul]]*24)</f>
        <v>0.87245077930059822</v>
      </c>
      <c r="Y45" s="43">
        <f>Tableau1[[#This Row],[Différence HC
Cumul]]/Tableau1[[#This Row],[Diff jour_x000D_
Cumul]]</f>
        <v>20.938818703214356</v>
      </c>
      <c r="Z45" s="43">
        <f>Tableau1[[#This Row],[Conso HC / jour_x000D_
Cumul]]*365</f>
        <v>7642.6688266732399</v>
      </c>
      <c r="AA45" s="38">
        <f>Tableau1[[#This Row],[Différence HP
Instantané]]+Tableau1[[#This Row],[Différence_x000D_ HC
Instantané]]</f>
        <v>23</v>
      </c>
      <c r="AB45" s="41">
        <f>Tableau1[[#This Row],[Conso HP + HC
Instantané]]/(Tableau1[[#This Row],[Diff jour
Instantané]]*24)</f>
        <v>3.2470588235916718</v>
      </c>
      <c r="AC45" s="34">
        <f>IF(ISERROR(Tableau1[[#This Row],[Date]]-A44),"",Tableau1[[#This Row],[Conso HP + HC
Instantané]]/Tableau1[[#This Row],[Diff jour
Instantané]])</f>
        <v>77.929411766200118</v>
      </c>
      <c r="AD45" s="41">
        <f>Tableau1[[#This Row],[Conso HP + HC / jour_x000D_
Instantané]]*365</f>
        <v>28444.235294663042</v>
      </c>
      <c r="AE45" s="38">
        <f>Tableau1[[#This Row],[Différence HP
Cumul]]+Tableau1[[#This Row],[Différence HC
Cumul]]</f>
        <v>3499</v>
      </c>
      <c r="AF45" s="40">
        <f>(Tableau1[[#This Row],[Conso HP + HC
Cumul]]-AE$6)/Tableau1[[#This Row],[Diff jour_x000D_
Cumul
depuis le 24/01]]</f>
        <v>61.573054416438801</v>
      </c>
      <c r="AG45" s="40">
        <f>(Tableau1[[#This Row],[Conso HP + HC
Cumul]]-AE$59)/Tableau1[[#This Row],[Diff jour_x000D_
Cumul
depuis
précédente facture
16/02/2021]]</f>
        <v>91.032167832108541</v>
      </c>
      <c r="AH45" s="41">
        <f>Tableau1[[#This Row],[Conso HP + HC
Cumul]]/(Tableau1[[#This Row],[Diff jour_x000D_
Cumul]]*24)</f>
        <v>2.7427720366332373</v>
      </c>
      <c r="AI45" s="41">
        <f>Tableau1[[#This Row],[Conso HP + HC
Cumul]]/Tableau1[[#This Row],[Diff jour_x000D_
Cumul]]</f>
        <v>65.826528879197696</v>
      </c>
      <c r="AJ45" s="41">
        <f>Tableau1[[#This Row],[Conso HP + HC / jour_x000D_
Cumul]]*365</f>
        <v>24026.683040907159</v>
      </c>
      <c r="AK45" s="44">
        <f>(Tableau1[[#This Row],[Différence HP
Cumul]]*0.1799)+(Tableau1[[#This Row],[Différence HC
Cumul]]*0.1346)</f>
        <v>579.05119999999999</v>
      </c>
      <c r="AL45" s="44">
        <f>Tableau1[[#This Row],[Montant
Tarif HP/HC]]/Tableau1[[#This Row],[Diff jour_x000D_
Cumul]]</f>
        <v>10.893664058112055</v>
      </c>
      <c r="AM45" s="44">
        <f>(Tableau1[[#This Row],[Montant
Tarif HP/HC]]-AK$6)/Tableau1[[#This Row],[Diff jour_x000D_
Cumul
depuis le 24/01]]</f>
        <v>10.25945095148114</v>
      </c>
      <c r="AN45" s="44">
        <f>(Tableau1[[#This Row],[Montant
Tarif HP/HC]]-AK$59)/Tableau1[[#This Row],[Diff jour_x000D_
Cumul
depuis
précédente facture
16/02/2021]]</f>
        <v>15.160239440549566</v>
      </c>
      <c r="AO45" s="44">
        <f>Tableau1[[#This Row],[Conso HP + HC
Cumul]]*0.1599</f>
        <v>559.49009999999998</v>
      </c>
      <c r="AP45" s="44">
        <f>Tableau1[[#This Row],[Montant
Tarif normal]]/Tableau1[[#This Row],[Diff jour_x000D_
Cumul]]</f>
        <v>10.52566196778371</v>
      </c>
      <c r="AQ45" s="44">
        <f>(Tableau1[[#This Row],[Conso HP / an
Cumul]]*0.1799)+(Tableau1[[#This Row],[Conso HC / an_x000D_
Cumul]]*0.1346)</f>
        <v>3976.1873812108997</v>
      </c>
      <c r="AR45" s="44">
        <f>Tableau1[[#This Row],[Conso HP + HC / an_x000D_
Cumul]]*0.1599</f>
        <v>3841.8666182410543</v>
      </c>
      <c r="AS45" s="38">
        <f>MONTH(Tableau1[[#This Row],[Date]])</f>
        <v>2</v>
      </c>
      <c r="AT45" s="38">
        <f>YEAR(Tableau1[[#This Row],[Date]])</f>
        <v>2021</v>
      </c>
    </row>
    <row r="46" spans="1:46" x14ac:dyDescent="0.2">
      <c r="A46" s="19">
        <v>44236.270833333336</v>
      </c>
      <c r="B46" s="20">
        <v>0.2</v>
      </c>
      <c r="C46" s="39">
        <f>IF(ISERROR(Tableau1[[#This Row],[Date]]-A45),"",Tableau1[[#This Row],[Date]]-A45)</f>
        <v>0.40763888889341615</v>
      </c>
      <c r="D46" s="40">
        <f>IF(ISERROR(Tableau1[[#This Row],[Date]]-A45),"",Tableau1[[#This Row],[Date]]-A45)</f>
        <v>0.40763888889341615</v>
      </c>
      <c r="E46" s="39">
        <f>Tableau1[[#This Row],[Date]]-$A$5</f>
        <v>53.5625</v>
      </c>
      <c r="F46" s="40">
        <f>Tableau1[[#This Row],[Date]]-$A$5</f>
        <v>53.5625</v>
      </c>
      <c r="G46" s="40">
        <f>Tableau1[[#This Row],[Diff jour_x000D_
Cumul]]-F$6</f>
        <v>15.479166666671517</v>
      </c>
      <c r="H46" s="40">
        <f>Tableau1[[#This Row],[Diff jour_x000D_
Cumul]]-F$59</f>
        <v>-7.0402777777781012</v>
      </c>
      <c r="I46" s="21">
        <v>182151</v>
      </c>
      <c r="J46" s="38">
        <f>IF(ISERROR(Tableau1[[#This Row],[Index HP
kWh]]-I45),"",Tableau1[[#This Row],[Index HP
kWh]]-I45)</f>
        <v>6</v>
      </c>
      <c r="K46" s="40">
        <f>IF(ISERROR(Tableau1[[#This Row],[Différence HP
Instantané]]/(Tableau1[[#This Row],[Diff jour
Instantané]]*24)),"",Tableau1[[#This Row],[Différence HP
Instantané]]/(Tableau1[[#This Row],[Diff jour
Instantané]]*24))</f>
        <v>0.6132879045928481</v>
      </c>
      <c r="L46" s="40">
        <f>Tableau1[[#This Row],[Différence HP
Instantané]]/Tableau1[[#This Row],[Diff jour
Instantané]]</f>
        <v>14.718909710228354</v>
      </c>
      <c r="M46" s="40">
        <f>Tableau1[[#This Row],[Conso HP / jour
Instantané]]*365</f>
        <v>5372.4020442333494</v>
      </c>
      <c r="N46" s="38">
        <f>Tableau1[[#This Row],[Index HP
kWh]]-$I$5</f>
        <v>2392</v>
      </c>
      <c r="O46" s="41">
        <f>Tableau1[[#This Row],[Différence HP
Cumul]]/(Tableau1[[#This Row],[Diff jour_x000D_
Cumul]]*24)</f>
        <v>1.8607545702061454</v>
      </c>
      <c r="P46" s="41">
        <f>Tableau1[[#This Row],[Différence HP
Cumul]]/Tableau1[[#This Row],[Diff jour_x000D_
Cumul]]</f>
        <v>44.65810968494749</v>
      </c>
      <c r="Q46" s="41">
        <f>Tableau1[[#This Row],[Conso HP / jour
Cumul]]*365</f>
        <v>16300.210035005834</v>
      </c>
      <c r="R46" s="21">
        <v>120567</v>
      </c>
      <c r="S46" s="38">
        <f>Tableau1[[#This Row],[Index HC_x000D_
kWh]]-R45</f>
        <v>22</v>
      </c>
      <c r="T46" s="42">
        <f>Tableau1[[#This Row],[Différence_x000D_ HC
Instantané]]/(Tableau1[[#This Row],[Diff jour
Instantané]]*24)</f>
        <v>2.2487223168404431</v>
      </c>
      <c r="U46" s="42">
        <f>Tableau1[[#This Row],[Différence_x000D_ HC
Instantané]]/Tableau1[[#This Row],[Diff jour
Instantané]]</f>
        <v>53.969335604170631</v>
      </c>
      <c r="V46" s="42">
        <f>Tableau1[[#This Row],[Conso HC / jour_x000D_
Instantané]]*365</f>
        <v>19698.80749552228</v>
      </c>
      <c r="W46" s="38">
        <f>Tableau1[[#This Row],[Index HC_x000D_
kWh]]-$R$5</f>
        <v>1135</v>
      </c>
      <c r="X46" s="43">
        <f>Tableau1[[#This Row],[Différence HC
Cumul]]/(Tableau1[[#This Row],[Diff jour_x000D_
Cumul]]*24)</f>
        <v>0.88292493193309995</v>
      </c>
      <c r="Y46" s="43">
        <f>Tableau1[[#This Row],[Différence HC
Cumul]]/Tableau1[[#This Row],[Diff jour_x000D_
Cumul]]</f>
        <v>21.190198366394398</v>
      </c>
      <c r="Z46" s="43">
        <f>Tableau1[[#This Row],[Conso HC / jour_x000D_
Cumul]]*365</f>
        <v>7734.4224037339554</v>
      </c>
      <c r="AA46" s="38">
        <f>Tableau1[[#This Row],[Différence HP
Instantané]]+Tableau1[[#This Row],[Différence_x000D_ HC
Instantané]]</f>
        <v>28</v>
      </c>
      <c r="AB46" s="41">
        <f>Tableau1[[#This Row],[Conso HP + HC
Instantané]]/(Tableau1[[#This Row],[Diff jour
Instantané]]*24)</f>
        <v>2.862010221433291</v>
      </c>
      <c r="AC46" s="34">
        <f>IF(ISERROR(Tableau1[[#This Row],[Date]]-A45),"",Tableau1[[#This Row],[Conso HP + HC
Instantané]]/Tableau1[[#This Row],[Diff jour
Instantané]])</f>
        <v>68.688245314398984</v>
      </c>
      <c r="AD46" s="41">
        <f>Tableau1[[#This Row],[Conso HP + HC / jour_x000D_
Instantané]]*365</f>
        <v>25071.20953975563</v>
      </c>
      <c r="AE46" s="38">
        <f>Tableau1[[#This Row],[Différence HP
Cumul]]+Tableau1[[#This Row],[Différence HC
Cumul]]</f>
        <v>3527</v>
      </c>
      <c r="AF46" s="40">
        <f>(Tableau1[[#This Row],[Conso HP + HC
Cumul]]-AE$6)/Tableau1[[#This Row],[Diff jour_x000D_
Cumul
depuis le 24/01]]</f>
        <v>61.76043068638711</v>
      </c>
      <c r="AG46" s="40">
        <f>(Tableau1[[#This Row],[Conso HP + HC
Cumul]]-AE$59)/Tableau1[[#This Row],[Diff jour_x000D_
Cumul
depuis
précédente facture
16/02/2021]]</f>
        <v>92.325902544876399</v>
      </c>
      <c r="AH46" s="41">
        <f>Tableau1[[#This Row],[Conso HP + HC
Cumul]]/(Tableau1[[#This Row],[Diff jour_x000D_
Cumul]]*24)</f>
        <v>2.7436795021392455</v>
      </c>
      <c r="AI46" s="41">
        <f>Tableau1[[#This Row],[Conso HP + HC
Cumul]]/Tableau1[[#This Row],[Diff jour_x000D_
Cumul]]</f>
        <v>65.848308051341888</v>
      </c>
      <c r="AJ46" s="41">
        <f>Tableau1[[#This Row],[Conso HP + HC / jour_x000D_
Cumul]]*365</f>
        <v>24034.632438739791</v>
      </c>
      <c r="AK46" s="44">
        <f>(Tableau1[[#This Row],[Différence HP
Cumul]]*0.1799)+(Tableau1[[#This Row],[Différence HC
Cumul]]*0.1346)</f>
        <v>583.09180000000003</v>
      </c>
      <c r="AL46" s="44">
        <f>Tableau1[[#This Row],[Montant
Tarif HP/HC]]/Tableau1[[#This Row],[Diff jour_x000D_
Cumul]]</f>
        <v>10.886194632438741</v>
      </c>
      <c r="AM46" s="44">
        <f>(Tableau1[[#This Row],[Montant
Tarif HP/HC]]-AK$6)/Tableau1[[#This Row],[Diff jour_x000D_
Cumul
depuis le 24/01]]</f>
        <v>10.250306325703383</v>
      </c>
      <c r="AN46" s="44">
        <f>(Tableau1[[#This Row],[Montant
Tarif HP/HC]]-AK$59)/Tableau1[[#This Row],[Diff jour_x000D_
Cumul
depuis
précédente facture
16/02/2021]]</f>
        <v>15.464105740776555</v>
      </c>
      <c r="AO46" s="44">
        <f>Tableau1[[#This Row],[Conso HP + HC
Cumul]]*0.1599</f>
        <v>563.96729999999991</v>
      </c>
      <c r="AP46" s="44">
        <f>Tableau1[[#This Row],[Montant
Tarif normal]]/Tableau1[[#This Row],[Diff jour_x000D_
Cumul]]</f>
        <v>10.529144457409567</v>
      </c>
      <c r="AQ46" s="44">
        <f>(Tableau1[[#This Row],[Conso HP / an
Cumul]]*0.1799)+(Tableau1[[#This Row],[Conso HC / an_x000D_
Cumul]]*0.1346)</f>
        <v>3973.4610408401404</v>
      </c>
      <c r="AR46" s="44">
        <f>Tableau1[[#This Row],[Conso HP + HC / an_x000D_
Cumul]]*0.1599</f>
        <v>3843.1377269544923</v>
      </c>
      <c r="AS46" s="38">
        <f>MONTH(Tableau1[[#This Row],[Date]])</f>
        <v>2</v>
      </c>
      <c r="AT46" s="38">
        <f>YEAR(Tableau1[[#This Row],[Date]])</f>
        <v>2021</v>
      </c>
    </row>
    <row r="47" spans="1:46" x14ac:dyDescent="0.2">
      <c r="A47" s="19">
        <v>44236.55972222222</v>
      </c>
      <c r="B47" s="20">
        <v>2.1</v>
      </c>
      <c r="C47" s="39">
        <f>IF(ISERROR(Tableau1[[#This Row],[Date]]-A46),"",Tableau1[[#This Row],[Date]]-A46)</f>
        <v>0.288888888884685</v>
      </c>
      <c r="D47" s="40">
        <f>IF(ISERROR(Tableau1[[#This Row],[Date]]-A46),"",Tableau1[[#This Row],[Date]]-A46)</f>
        <v>0.288888888884685</v>
      </c>
      <c r="E47" s="39">
        <f>Tableau1[[#This Row],[Date]]-$A$5</f>
        <v>53.851388888884685</v>
      </c>
      <c r="F47" s="40">
        <f>Tableau1[[#This Row],[Date]]-$A$5</f>
        <v>53.851388888884685</v>
      </c>
      <c r="G47" s="40">
        <f>Tableau1[[#This Row],[Diff jour_x000D_
Cumul]]-F$6</f>
        <v>15.768055555556202</v>
      </c>
      <c r="H47" s="40">
        <f>Tableau1[[#This Row],[Diff jour_x000D_
Cumul]]-F$59</f>
        <v>-6.7513888888934162</v>
      </c>
      <c r="I47" s="21">
        <v>182187</v>
      </c>
      <c r="J47" s="38">
        <f>IF(ISERROR(Tableau1[[#This Row],[Index HP
kWh]]-I46),"",Tableau1[[#This Row],[Index HP
kWh]]-I46)</f>
        <v>36</v>
      </c>
      <c r="K47" s="40">
        <f>IF(ISERROR(Tableau1[[#This Row],[Différence HP
Instantané]]/(Tableau1[[#This Row],[Diff jour
Instantané]]*24)),"",Tableau1[[#This Row],[Différence HP
Instantané]]/(Tableau1[[#This Row],[Diff jour
Instantané]]*24))</f>
        <v>5.1923076923832507</v>
      </c>
      <c r="L47" s="40">
        <f>Tableau1[[#This Row],[Différence HP
Instantané]]/Tableau1[[#This Row],[Diff jour
Instantané]]</f>
        <v>124.615384617198</v>
      </c>
      <c r="M47" s="40">
        <f>Tableau1[[#This Row],[Conso HP / jour
Instantané]]*365</f>
        <v>45484.61538527727</v>
      </c>
      <c r="N47" s="38">
        <f>Tableau1[[#This Row],[Index HP
kWh]]-$I$5</f>
        <v>2428</v>
      </c>
      <c r="O47" s="41">
        <f>Tableau1[[#This Row],[Différence HP
Cumul]]/(Tableau1[[#This Row],[Diff jour_x000D_
Cumul]]*24)</f>
        <v>1.8786268795297163</v>
      </c>
      <c r="P47" s="41">
        <f>Tableau1[[#This Row],[Différence HP
Cumul]]/Tableau1[[#This Row],[Diff jour_x000D_
Cumul]]</f>
        <v>45.087045108713191</v>
      </c>
      <c r="Q47" s="41">
        <f>Tableau1[[#This Row],[Conso HP / jour
Cumul]]*365</f>
        <v>16456.771464680314</v>
      </c>
      <c r="R47" s="21">
        <v>120568</v>
      </c>
      <c r="S47" s="38">
        <f>Tableau1[[#This Row],[Index HC_x000D_
kWh]]-R46</f>
        <v>1</v>
      </c>
      <c r="T47" s="42">
        <f>Tableau1[[#This Row],[Différence_x000D_ HC
Instantané]]/(Tableau1[[#This Row],[Diff jour
Instantané]]*24)</f>
        <v>0.14423076923286807</v>
      </c>
      <c r="U47" s="42">
        <f>Tableau1[[#This Row],[Différence_x000D_ HC
Instantané]]/Tableau1[[#This Row],[Diff jour
Instantané]]</f>
        <v>3.4615384615888334</v>
      </c>
      <c r="V47" s="42">
        <f>Tableau1[[#This Row],[Conso HC / jour_x000D_
Instantané]]*365</f>
        <v>1263.4615384799242</v>
      </c>
      <c r="W47" s="38">
        <f>Tableau1[[#This Row],[Index HC_x000D_
kWh]]-$R$5</f>
        <v>1136</v>
      </c>
      <c r="X47" s="43">
        <f>Tableau1[[#This Row],[Différence HC
Cumul]]/(Tableau1[[#This Row],[Diff jour_x000D_
Cumul]]*24)</f>
        <v>0.87896216439281616</v>
      </c>
      <c r="Y47" s="43">
        <f>Tableau1[[#This Row],[Différence HC
Cumul]]/Tableau1[[#This Row],[Diff jour_x000D_
Cumul]]</f>
        <v>21.095091945427587</v>
      </c>
      <c r="Z47" s="43">
        <f>Tableau1[[#This Row],[Conso HC / jour_x000D_
Cumul]]*365</f>
        <v>7699.7085600810697</v>
      </c>
      <c r="AA47" s="38">
        <f>Tableau1[[#This Row],[Différence HP
Instantané]]+Tableau1[[#This Row],[Différence_x000D_ HC
Instantané]]</f>
        <v>37</v>
      </c>
      <c r="AB47" s="41">
        <f>Tableau1[[#This Row],[Conso HP + HC
Instantané]]/(Tableau1[[#This Row],[Diff jour
Instantané]]*24)</f>
        <v>5.3365384616161187</v>
      </c>
      <c r="AC47" s="34">
        <f>IF(ISERROR(Tableau1[[#This Row],[Date]]-A46),"",Tableau1[[#This Row],[Conso HP + HC
Instantané]]/Tableau1[[#This Row],[Diff jour
Instantané]])</f>
        <v>128.07692307878685</v>
      </c>
      <c r="AD47" s="41">
        <f>Tableau1[[#This Row],[Conso HP + HC / jour_x000D_
Instantané]]*365</f>
        <v>46748.076923757202</v>
      </c>
      <c r="AE47" s="38">
        <f>Tableau1[[#This Row],[Différence HP
Cumul]]+Tableau1[[#This Row],[Différence HC
Cumul]]</f>
        <v>3564</v>
      </c>
      <c r="AF47" s="40">
        <f>(Tableau1[[#This Row],[Conso HP + HC
Cumul]]-AE$6)/Tableau1[[#This Row],[Diff jour_x000D_
Cumul
depuis le 24/01]]</f>
        <v>62.975424997795358</v>
      </c>
      <c r="AG47" s="40">
        <f>(Tableau1[[#This Row],[Conso HP + HC
Cumul]]-AE$59)/Tableau1[[#This Row],[Diff jour_x000D_
Cumul
depuis
précédente facture
16/02/2021]]</f>
        <v>90.796132482967295</v>
      </c>
      <c r="AH47" s="41">
        <f>Tableau1[[#This Row],[Conso HP + HC
Cumul]]/(Tableau1[[#This Row],[Diff jour_x000D_
Cumul]]*24)</f>
        <v>2.7575890439225326</v>
      </c>
      <c r="AI47" s="41">
        <f>Tableau1[[#This Row],[Conso HP + HC
Cumul]]/Tableau1[[#This Row],[Diff jour_x000D_
Cumul]]</f>
        <v>66.182137054140782</v>
      </c>
      <c r="AJ47" s="41">
        <f>Tableau1[[#This Row],[Conso HP + HC / jour_x000D_
Cumul]]*365</f>
        <v>24156.480024761386</v>
      </c>
      <c r="AK47" s="44">
        <f>(Tableau1[[#This Row],[Différence HP
Cumul]]*0.1799)+(Tableau1[[#This Row],[Différence HC
Cumul]]*0.1346)</f>
        <v>589.70280000000002</v>
      </c>
      <c r="AL47" s="44">
        <f>Tableau1[[#This Row],[Montant
Tarif HP/HC]]/Tableau1[[#This Row],[Diff jour_x000D_
Cumul]]</f>
        <v>10.950558790912057</v>
      </c>
      <c r="AM47" s="44">
        <f>(Tableau1[[#This Row],[Montant
Tarif HP/HC]]-AK$6)/Tableau1[[#This Row],[Diff jour_x000D_
Cumul
depuis le 24/01]]</f>
        <v>10.481774332775048</v>
      </c>
      <c r="AN47" s="44">
        <f>(Tableau1[[#This Row],[Montant
Tarif HP/HC]]-AK$59)/Tableau1[[#This Row],[Diff jour_x000D_
Cumul
depuis
précédente facture
16/02/2021]]</f>
        <v>15.146601933748322</v>
      </c>
      <c r="AO47" s="44">
        <f>Tableau1[[#This Row],[Conso HP + HC
Cumul]]*0.1599</f>
        <v>569.8836</v>
      </c>
      <c r="AP47" s="44">
        <f>Tableau1[[#This Row],[Montant
Tarif normal]]/Tableau1[[#This Row],[Diff jour_x000D_
Cumul]]</f>
        <v>10.582523714957111</v>
      </c>
      <c r="AQ47" s="44">
        <f>(Tableau1[[#This Row],[Conso HP / an
Cumul]]*0.1799)+(Tableau1[[#This Row],[Conso HC / an_x000D_
Cumul]]*0.1346)</f>
        <v>3996.9539586829005</v>
      </c>
      <c r="AR47" s="44">
        <f>Tableau1[[#This Row],[Conso HP + HC / an_x000D_
Cumul]]*0.1599</f>
        <v>3862.6211559593453</v>
      </c>
      <c r="AS47" s="38">
        <f>MONTH(Tableau1[[#This Row],[Date]])</f>
        <v>2</v>
      </c>
      <c r="AT47" s="38">
        <f>YEAR(Tableau1[[#This Row],[Date]])</f>
        <v>2021</v>
      </c>
    </row>
    <row r="48" spans="1:46" x14ac:dyDescent="0.2">
      <c r="A48" s="19">
        <v>44237.295138888891</v>
      </c>
      <c r="B48" s="20">
        <v>1</v>
      </c>
      <c r="C48" s="39">
        <f>IF(ISERROR(Tableau1[[#This Row],[Date]]-A47),"",Tableau1[[#This Row],[Date]]-A47)</f>
        <v>0.73541666667006211</v>
      </c>
      <c r="D48" s="40">
        <f>IF(ISERROR(Tableau1[[#This Row],[Date]]-A47),"",Tableau1[[#This Row],[Date]]-A47)</f>
        <v>0.73541666667006211</v>
      </c>
      <c r="E48" s="39">
        <f>Tableau1[[#This Row],[Date]]-$A$5</f>
        <v>54.586805555554747</v>
      </c>
      <c r="F48" s="40">
        <f>Tableau1[[#This Row],[Date]]-$A$5</f>
        <v>54.586805555554747</v>
      </c>
      <c r="G48" s="40">
        <f>Tableau1[[#This Row],[Diff jour_x000D_
Cumul]]-F$6</f>
        <v>16.503472222226264</v>
      </c>
      <c r="H48" s="40">
        <f>Tableau1[[#This Row],[Diff jour_x000D_
Cumul]]-F$59</f>
        <v>-6.015972222223354</v>
      </c>
      <c r="I48" s="21">
        <v>182222</v>
      </c>
      <c r="J48" s="38">
        <f>IF(ISERROR(Tableau1[[#This Row],[Index HP
kWh]]-I47),"",Tableau1[[#This Row],[Index HP
kWh]]-I47)</f>
        <v>35</v>
      </c>
      <c r="K48" s="40">
        <f>IF(ISERROR(Tableau1[[#This Row],[Différence HP
Instantané]]/(Tableau1[[#This Row],[Diff jour
Instantané]]*24)),"",Tableau1[[#This Row],[Différence HP
Instantané]]/(Tableau1[[#This Row],[Diff jour
Instantané]]*24))</f>
        <v>1.9830028328520342</v>
      </c>
      <c r="L48" s="40">
        <f>Tableau1[[#This Row],[Différence HP
Instantané]]/Tableau1[[#This Row],[Diff jour
Instantané]]</f>
        <v>47.592067988448818</v>
      </c>
      <c r="M48" s="40">
        <f>Tableau1[[#This Row],[Conso HP / jour
Instantané]]*365</f>
        <v>17371.10481578382</v>
      </c>
      <c r="N48" s="38">
        <f>Tableau1[[#This Row],[Index HP
kWh]]-$I$5</f>
        <v>2463</v>
      </c>
      <c r="O48" s="41">
        <f>Tableau1[[#This Row],[Différence HP
Cumul]]/(Tableau1[[#This Row],[Diff jour_x000D_
Cumul]]*24)</f>
        <v>1.8800330767763143</v>
      </c>
      <c r="P48" s="41">
        <f>Tableau1[[#This Row],[Différence HP
Cumul]]/Tableau1[[#This Row],[Diff jour_x000D_
Cumul]]</f>
        <v>45.120793842631542</v>
      </c>
      <c r="Q48" s="41">
        <f>Tableau1[[#This Row],[Conso HP / jour
Cumul]]*365</f>
        <v>16469.089752560514</v>
      </c>
      <c r="R48" s="21">
        <v>120590</v>
      </c>
      <c r="S48" s="38">
        <f>Tableau1[[#This Row],[Index HC_x000D_
kWh]]-R47</f>
        <v>22</v>
      </c>
      <c r="T48" s="42">
        <f>Tableau1[[#This Row],[Différence_x000D_ HC
Instantané]]/(Tableau1[[#This Row],[Diff jour
Instantané]]*24)</f>
        <v>1.2464589235069929</v>
      </c>
      <c r="U48" s="42">
        <f>Tableau1[[#This Row],[Différence_x000D_ HC
Instantané]]/Tableau1[[#This Row],[Diff jour
Instantané]]</f>
        <v>29.915014164167829</v>
      </c>
      <c r="V48" s="42">
        <f>Tableau1[[#This Row],[Conso HC / jour_x000D_
Instantané]]*365</f>
        <v>10918.980169921257</v>
      </c>
      <c r="W48" s="38">
        <f>Tableau1[[#This Row],[Index HC_x000D_
kWh]]-$R$5</f>
        <v>1158</v>
      </c>
      <c r="X48" s="43">
        <f>Tableau1[[#This Row],[Différence HC
Cumul]]/(Tableau1[[#This Row],[Diff jour_x000D_
Cumul]]*24)</f>
        <v>0.8839132370714462</v>
      </c>
      <c r="Y48" s="43">
        <f>Tableau1[[#This Row],[Différence HC
Cumul]]/Tableau1[[#This Row],[Diff jour_x000D_
Cumul]]</f>
        <v>21.213917689714709</v>
      </c>
      <c r="Z48" s="43">
        <f>Tableau1[[#This Row],[Conso HC / jour_x000D_
Cumul]]*365</f>
        <v>7743.0799567458689</v>
      </c>
      <c r="AA48" s="38">
        <f>Tableau1[[#This Row],[Différence HP
Instantané]]+Tableau1[[#This Row],[Différence_x000D_ HC
Instantané]]</f>
        <v>57</v>
      </c>
      <c r="AB48" s="41">
        <f>Tableau1[[#This Row],[Conso HP + HC
Instantané]]/(Tableau1[[#This Row],[Diff jour
Instantané]]*24)</f>
        <v>3.2294617563590271</v>
      </c>
      <c r="AC48" s="34">
        <f>IF(ISERROR(Tableau1[[#This Row],[Date]]-A47),"",Tableau1[[#This Row],[Conso HP + HC
Instantané]]/Tableau1[[#This Row],[Diff jour
Instantané]])</f>
        <v>77.507082152616647</v>
      </c>
      <c r="AD48" s="41">
        <f>Tableau1[[#This Row],[Conso HP + HC / jour_x000D_
Instantané]]*365</f>
        <v>28290.084985705074</v>
      </c>
      <c r="AE48" s="38">
        <f>Tableau1[[#This Row],[Différence HP
Cumul]]+Tableau1[[#This Row],[Différence HC
Cumul]]</f>
        <v>3621</v>
      </c>
      <c r="AF48" s="40">
        <f>(Tableau1[[#This Row],[Conso HP + HC
Cumul]]-AE$6)/Tableau1[[#This Row],[Diff jour_x000D_
Cumul
depuis le 24/01]]</f>
        <v>63.622974963165568</v>
      </c>
      <c r="AG48" s="40">
        <f>(Tableau1[[#This Row],[Conso HP + HC
Cumul]]-AE$59)/Tableau1[[#This Row],[Diff jour_x000D_
Cumul
depuis
précédente facture
16/02/2021]]</f>
        <v>92.420639501310092</v>
      </c>
      <c r="AH48" s="41">
        <f>Tableau1[[#This Row],[Conso HP + HC
Cumul]]/(Tableau1[[#This Row],[Diff jour_x000D_
Cumul]]*24)</f>
        <v>2.7639463138477605</v>
      </c>
      <c r="AI48" s="41">
        <f>Tableau1[[#This Row],[Conso HP + HC
Cumul]]/Tableau1[[#This Row],[Diff jour_x000D_
Cumul]]</f>
        <v>66.334711532346248</v>
      </c>
      <c r="AJ48" s="41">
        <f>Tableau1[[#This Row],[Conso HP + HC / jour_x000D_
Cumul]]*365</f>
        <v>24212.169709306381</v>
      </c>
      <c r="AK48" s="44">
        <f>(Tableau1[[#This Row],[Différence HP
Cumul]]*0.1799)+(Tableau1[[#This Row],[Différence HC
Cumul]]*0.1346)</f>
        <v>598.96050000000002</v>
      </c>
      <c r="AL48" s="44">
        <f>Tableau1[[#This Row],[Montant
Tarif HP/HC]]/Tableau1[[#This Row],[Diff jour_x000D_
Cumul]]</f>
        <v>10.972624133325015</v>
      </c>
      <c r="AM48" s="44">
        <f>(Tableau1[[#This Row],[Montant
Tarif HP/HC]]-AK$6)/Tableau1[[#This Row],[Diff jour_x000D_
Cumul
depuis le 24/01]]</f>
        <v>10.575647212284386</v>
      </c>
      <c r="AN48" s="44">
        <f>(Tableau1[[#This Row],[Montant
Tarif HP/HC]]-AK$59)/Tableau1[[#This Row],[Diff jour_x000D_
Cumul
depuis
précédente facture
16/02/2021]]</f>
        <v>15.45933002423811</v>
      </c>
      <c r="AO48" s="44">
        <f>Tableau1[[#This Row],[Conso HP + HC
Cumul]]*0.1599</f>
        <v>578.99789999999996</v>
      </c>
      <c r="AP48" s="44">
        <f>Tableau1[[#This Row],[Montant
Tarif normal]]/Tableau1[[#This Row],[Diff jour_x000D_
Cumul]]</f>
        <v>10.606920374022165</v>
      </c>
      <c r="AQ48" s="44">
        <f>(Tableau1[[#This Row],[Conso HP / an
Cumul]]*0.1799)+(Tableau1[[#This Row],[Conso HC / an_x000D_
Cumul]]*0.1346)</f>
        <v>4005.0078086636308</v>
      </c>
      <c r="AR48" s="44">
        <f>Tableau1[[#This Row],[Conso HP + HC / an_x000D_
Cumul]]*0.1599</f>
        <v>3871.52593651809</v>
      </c>
      <c r="AS48" s="38">
        <f>MONTH(Tableau1[[#This Row],[Date]])</f>
        <v>2</v>
      </c>
      <c r="AT48" s="38">
        <f>YEAR(Tableau1[[#This Row],[Date]])</f>
        <v>2021</v>
      </c>
    </row>
    <row r="49" spans="1:46" x14ac:dyDescent="0.2">
      <c r="A49" s="19">
        <v>44237.561111111114</v>
      </c>
      <c r="B49" s="20">
        <v>-0.4</v>
      </c>
      <c r="C49" s="39">
        <f>IF(ISERROR(Tableau1[[#This Row],[Date]]-A48),"",Tableau1[[#This Row],[Date]]-A48)</f>
        <v>0.26597222222335404</v>
      </c>
      <c r="D49" s="40">
        <f>IF(ISERROR(Tableau1[[#This Row],[Date]]-A48),"",Tableau1[[#This Row],[Date]]-A48)</f>
        <v>0.26597222222335404</v>
      </c>
      <c r="E49" s="39">
        <f>Tableau1[[#This Row],[Date]]-$A$5</f>
        <v>54.852777777778101</v>
      </c>
      <c r="F49" s="40">
        <f>Tableau1[[#This Row],[Date]]-$A$5</f>
        <v>54.852777777778101</v>
      </c>
      <c r="G49" s="40">
        <f>Tableau1[[#This Row],[Diff jour_x000D_
Cumul]]-F$6</f>
        <v>16.769444444449618</v>
      </c>
      <c r="H49" s="40">
        <f>Tableau1[[#This Row],[Diff jour_x000D_
Cumul]]-F$59</f>
        <v>-5.75</v>
      </c>
      <c r="I49" s="21">
        <v>182247</v>
      </c>
      <c r="J49" s="38">
        <f>IF(ISERROR(Tableau1[[#This Row],[Index HP
kWh]]-I48),"",Tableau1[[#This Row],[Index HP
kWh]]-I48)</f>
        <v>25</v>
      </c>
      <c r="K49" s="40">
        <f>IF(ISERROR(Tableau1[[#This Row],[Différence HP
Instantané]]/(Tableau1[[#This Row],[Diff jour
Instantané]]*24)),"",Tableau1[[#This Row],[Différence HP
Instantané]]/(Tableau1[[#This Row],[Diff jour
Instantané]]*24))</f>
        <v>3.9164490861452137</v>
      </c>
      <c r="L49" s="40">
        <f>Tableau1[[#This Row],[Différence HP
Instantané]]/Tableau1[[#This Row],[Diff jour
Instantané]]</f>
        <v>93.994778067485129</v>
      </c>
      <c r="M49" s="40">
        <f>Tableau1[[#This Row],[Conso HP / jour
Instantané]]*365</f>
        <v>34308.093994632072</v>
      </c>
      <c r="N49" s="38">
        <f>Tableau1[[#This Row],[Index HP
kWh]]-$I$5</f>
        <v>2488</v>
      </c>
      <c r="O49" s="41">
        <f>Tableau1[[#This Row],[Différence HP
Cumul]]/(Tableau1[[#This Row],[Diff jour_x000D_
Cumul]]*24)</f>
        <v>1.8899073276953351</v>
      </c>
      <c r="P49" s="41">
        <f>Tableau1[[#This Row],[Différence HP
Cumul]]/Tableau1[[#This Row],[Diff jour_x000D_
Cumul]]</f>
        <v>45.357775864688037</v>
      </c>
      <c r="Q49" s="41">
        <f>Tableau1[[#This Row],[Conso HP / jour
Cumul]]*365</f>
        <v>16555.588190611132</v>
      </c>
      <c r="R49" s="21">
        <v>120590</v>
      </c>
      <c r="S49" s="38">
        <f>Tableau1[[#This Row],[Index HC_x000D_
kWh]]-R48</f>
        <v>0</v>
      </c>
      <c r="T49" s="42">
        <f>Tableau1[[#This Row],[Différence_x000D_ HC
Instantané]]/(Tableau1[[#This Row],[Diff jour
Instantané]]*24)</f>
        <v>0</v>
      </c>
      <c r="U49" s="42">
        <f>Tableau1[[#This Row],[Différence_x000D_ HC
Instantané]]/Tableau1[[#This Row],[Diff jour
Instantané]]</f>
        <v>0</v>
      </c>
      <c r="V49" s="42">
        <f>Tableau1[[#This Row],[Conso HC / jour_x000D_
Instantané]]*365</f>
        <v>0</v>
      </c>
      <c r="W49" s="38">
        <f>Tableau1[[#This Row],[Index HC_x000D_
kWh]]-$R$5</f>
        <v>1158</v>
      </c>
      <c r="X49" s="43">
        <f>Tableau1[[#This Row],[Différence HC
Cumul]]/(Tableau1[[#This Row],[Diff jour_x000D_
Cumul]]*24)</f>
        <v>0.87962728515723387</v>
      </c>
      <c r="Y49" s="43">
        <f>Tableau1[[#This Row],[Différence HC
Cumul]]/Tableau1[[#This Row],[Diff jour_x000D_
Cumul]]</f>
        <v>21.111054843773612</v>
      </c>
      <c r="Z49" s="43">
        <f>Tableau1[[#This Row],[Conso HC / jour_x000D_
Cumul]]*365</f>
        <v>7705.5350179773686</v>
      </c>
      <c r="AA49" s="38">
        <f>Tableau1[[#This Row],[Différence HP
Instantané]]+Tableau1[[#This Row],[Différence_x000D_ HC
Instantané]]</f>
        <v>25</v>
      </c>
      <c r="AB49" s="41">
        <f>Tableau1[[#This Row],[Conso HP + HC
Instantané]]/(Tableau1[[#This Row],[Diff jour
Instantané]]*24)</f>
        <v>3.9164490861452137</v>
      </c>
      <c r="AC49" s="34">
        <f>IF(ISERROR(Tableau1[[#This Row],[Date]]-A48),"",Tableau1[[#This Row],[Conso HP + HC
Instantané]]/Tableau1[[#This Row],[Diff jour
Instantané]])</f>
        <v>93.994778067485129</v>
      </c>
      <c r="AD49" s="41">
        <f>Tableau1[[#This Row],[Conso HP + HC / jour_x000D_
Instantané]]*365</f>
        <v>34308.093994632072</v>
      </c>
      <c r="AE49" s="38">
        <f>Tableau1[[#This Row],[Différence HP
Cumul]]+Tableau1[[#This Row],[Différence HC
Cumul]]</f>
        <v>3646</v>
      </c>
      <c r="AF49" s="40">
        <f>(Tableau1[[#This Row],[Conso HP + HC
Cumul]]-AE$6)/Tableau1[[#This Row],[Diff jour_x000D_
Cumul
depuis le 24/01]]</f>
        <v>64.104687758800821</v>
      </c>
      <c r="AG49" s="40">
        <f>(Tableau1[[#This Row],[Conso HP + HC
Cumul]]-AE$59)/Tableau1[[#This Row],[Diff jour_x000D_
Cumul
depuis
précédente facture
16/02/2021]]</f>
        <v>92.347826086956516</v>
      </c>
      <c r="AH49" s="41">
        <f>Tableau1[[#This Row],[Conso HP + HC
Cumul]]/(Tableau1[[#This Row],[Diff jour_x000D_
Cumul]]*24)</f>
        <v>2.7695346128525689</v>
      </c>
      <c r="AI49" s="41">
        <f>Tableau1[[#This Row],[Conso HP + HC
Cumul]]/Tableau1[[#This Row],[Diff jour_x000D_
Cumul]]</f>
        <v>66.468830708461653</v>
      </c>
      <c r="AJ49" s="41">
        <f>Tableau1[[#This Row],[Conso HP + HC / jour_x000D_
Cumul]]*365</f>
        <v>24261.123208588502</v>
      </c>
      <c r="AK49" s="44">
        <f>(Tableau1[[#This Row],[Différence HP
Cumul]]*0.1799)+(Tableau1[[#This Row],[Différence HC
Cumul]]*0.1346)</f>
        <v>603.45799999999997</v>
      </c>
      <c r="AL49" s="44">
        <f>Tableau1[[#This Row],[Montant
Tarif HP/HC]]/Tableau1[[#This Row],[Diff jour_x000D_
Cumul]]</f>
        <v>11.001411860029306</v>
      </c>
      <c r="AM49" s="44">
        <f>(Tableau1[[#This Row],[Montant
Tarif HP/HC]]-AK$6)/Tableau1[[#This Row],[Diff jour_x000D_
Cumul
depuis le 24/01]]</f>
        <v>10.676108000659283</v>
      </c>
      <c r="AN49" s="44">
        <f>(Tableau1[[#This Row],[Montant
Tarif HP/HC]]-AK$59)/Tableau1[[#This Row],[Diff jour_x000D_
Cumul
depuis
précédente facture
16/02/2021]]</f>
        <v>15.392243478260871</v>
      </c>
      <c r="AO49" s="44">
        <f>Tableau1[[#This Row],[Conso HP + HC
Cumul]]*0.1599</f>
        <v>582.9953999999999</v>
      </c>
      <c r="AP49" s="44">
        <f>Tableau1[[#This Row],[Montant
Tarif normal]]/Tableau1[[#This Row],[Diff jour_x000D_
Cumul]]</f>
        <v>10.628366030283017</v>
      </c>
      <c r="AQ49" s="44">
        <f>(Tableau1[[#This Row],[Conso HP / an
Cumul]]*0.1799)+(Tableau1[[#This Row],[Conso HC / an_x000D_
Cumul]]*0.1346)</f>
        <v>4015.5153289106966</v>
      </c>
      <c r="AR49" s="44">
        <f>Tableau1[[#This Row],[Conso HP + HC / an_x000D_
Cumul]]*0.1599</f>
        <v>3879.3536010533012</v>
      </c>
      <c r="AS49" s="38">
        <f>MONTH(Tableau1[[#This Row],[Date]])</f>
        <v>2</v>
      </c>
      <c r="AT49" s="38">
        <f>YEAR(Tableau1[[#This Row],[Date]])</f>
        <v>2021</v>
      </c>
    </row>
    <row r="50" spans="1:46" x14ac:dyDescent="0.2">
      <c r="A50" s="19">
        <v>44238.317361111112</v>
      </c>
      <c r="B50" s="20">
        <v>-4</v>
      </c>
      <c r="C50" s="39">
        <f>IF(ISERROR(Tableau1[[#This Row],[Date]]-A49),"",Tableau1[[#This Row],[Date]]-A49)</f>
        <v>0.75624999999854481</v>
      </c>
      <c r="D50" s="40">
        <f>IF(ISERROR(Tableau1[[#This Row],[Date]]-A49),"",Tableau1[[#This Row],[Date]]-A49)</f>
        <v>0.75624999999854481</v>
      </c>
      <c r="E50" s="39">
        <f>Tableau1[[#This Row],[Date]]-$A$5</f>
        <v>55.609027777776646</v>
      </c>
      <c r="F50" s="40">
        <f>Tableau1[[#This Row],[Date]]-$A$5</f>
        <v>55.609027777776646</v>
      </c>
      <c r="G50" s="40">
        <f>Tableau1[[#This Row],[Diff jour_x000D_
Cumul]]-F$6</f>
        <v>17.525694444448163</v>
      </c>
      <c r="H50" s="40">
        <f>Tableau1[[#This Row],[Diff jour_x000D_
Cumul]]-F$59</f>
        <v>-4.9937500000014552</v>
      </c>
      <c r="I50" s="21">
        <v>182295</v>
      </c>
      <c r="J50" s="38">
        <f>IF(ISERROR(Tableau1[[#This Row],[Index HP
kWh]]-I49),"",Tableau1[[#This Row],[Index HP
kWh]]-I49)</f>
        <v>48</v>
      </c>
      <c r="K50" s="40">
        <f>IF(ISERROR(Tableau1[[#This Row],[Différence HP
Instantané]]/(Tableau1[[#This Row],[Diff jour
Instantané]]*24)),"",Tableau1[[#This Row],[Différence HP
Instantané]]/(Tableau1[[#This Row],[Diff jour
Instantané]]*24))</f>
        <v>2.6446280991786426</v>
      </c>
      <c r="L50" s="40">
        <f>Tableau1[[#This Row],[Différence HP
Instantané]]/Tableau1[[#This Row],[Diff jour
Instantané]]</f>
        <v>63.471074380287419</v>
      </c>
      <c r="M50" s="40">
        <f>Tableau1[[#This Row],[Conso HP / jour
Instantané]]*365</f>
        <v>23166.942148804908</v>
      </c>
      <c r="N50" s="38">
        <f>Tableau1[[#This Row],[Index HP
kWh]]-$I$5</f>
        <v>2536</v>
      </c>
      <c r="O50" s="41">
        <f>Tableau1[[#This Row],[Différence HP
Cumul]]/(Tableau1[[#This Row],[Diff jour_x000D_
Cumul]]*24)</f>
        <v>1.9001710853304081</v>
      </c>
      <c r="P50" s="41">
        <f>Tableau1[[#This Row],[Différence HP
Cumul]]/Tableau1[[#This Row],[Diff jour_x000D_
Cumul]]</f>
        <v>45.604106047929797</v>
      </c>
      <c r="Q50" s="41">
        <f>Tableau1[[#This Row],[Conso HP / jour
Cumul]]*365</f>
        <v>16645.498707494375</v>
      </c>
      <c r="R50" s="21">
        <v>120620</v>
      </c>
      <c r="S50" s="38">
        <f>Tableau1[[#This Row],[Index HC_x000D_
kWh]]-R49</f>
        <v>30</v>
      </c>
      <c r="T50" s="42">
        <f>Tableau1[[#This Row],[Différence_x000D_ HC
Instantané]]/(Tableau1[[#This Row],[Diff jour
Instantané]]*24)</f>
        <v>1.6528925619866517</v>
      </c>
      <c r="U50" s="42">
        <f>Tableau1[[#This Row],[Différence_x000D_ HC
Instantané]]/Tableau1[[#This Row],[Diff jour
Instantané]]</f>
        <v>39.669421487679635</v>
      </c>
      <c r="V50" s="42">
        <f>Tableau1[[#This Row],[Conso HC / jour_x000D_
Instantané]]*365</f>
        <v>14479.338843003066</v>
      </c>
      <c r="W50" s="38">
        <f>Tableau1[[#This Row],[Index HC_x000D_
kWh]]-$R$5</f>
        <v>1188</v>
      </c>
      <c r="X50" s="43">
        <f>Tableau1[[#This Row],[Différence HC
Cumul]]/(Tableau1[[#This Row],[Diff jour_x000D_
Cumul]]*24)</f>
        <v>0.89014323713427634</v>
      </c>
      <c r="Y50" s="43">
        <f>Tableau1[[#This Row],[Différence HC
Cumul]]/Tableau1[[#This Row],[Diff jour_x000D_
Cumul]]</f>
        <v>21.363437691222632</v>
      </c>
      <c r="Z50" s="43">
        <f>Tableau1[[#This Row],[Conso HC / jour_x000D_
Cumul]]*365</f>
        <v>7797.6547572962609</v>
      </c>
      <c r="AA50" s="38">
        <f>Tableau1[[#This Row],[Différence HP
Instantané]]+Tableau1[[#This Row],[Différence_x000D_ HC
Instantané]]</f>
        <v>78</v>
      </c>
      <c r="AB50" s="41">
        <f>Tableau1[[#This Row],[Conso HP + HC
Instantané]]/(Tableau1[[#This Row],[Diff jour
Instantané]]*24)</f>
        <v>4.2975206611652945</v>
      </c>
      <c r="AC50" s="34">
        <f>IF(ISERROR(Tableau1[[#This Row],[Date]]-A49),"",Tableau1[[#This Row],[Conso HP + HC
Instantané]]/Tableau1[[#This Row],[Diff jour
Instantané]])</f>
        <v>103.14049586796706</v>
      </c>
      <c r="AD50" s="41">
        <f>Tableau1[[#This Row],[Conso HP + HC / jour_x000D_
Instantané]]*365</f>
        <v>37646.28099180798</v>
      </c>
      <c r="AE50" s="38">
        <f>Tableau1[[#This Row],[Différence HP
Cumul]]+Tableau1[[#This Row],[Différence HC
Cumul]]</f>
        <v>3724</v>
      </c>
      <c r="AF50" s="40">
        <f>(Tableau1[[#This Row],[Conso HP + HC
Cumul]]-AE$6)/Tableau1[[#This Row],[Diff jour_x000D_
Cumul
depuis le 24/01]]</f>
        <v>65.789119150439745</v>
      </c>
      <c r="AG50" s="40">
        <f>(Tableau1[[#This Row],[Conso HP + HC
Cumul]]-AE$59)/Tableau1[[#This Row],[Diff jour_x000D_
Cumul
depuis
précédente facture
16/02/2021]]</f>
        <v>90.713391739648159</v>
      </c>
      <c r="AH50" s="41">
        <f>Tableau1[[#This Row],[Conso HP + HC
Cumul]]/(Tableau1[[#This Row],[Diff jour_x000D_
Cumul]]*24)</f>
        <v>2.7903143224646847</v>
      </c>
      <c r="AI50" s="41">
        <f>Tableau1[[#This Row],[Conso HP + HC
Cumul]]/Tableau1[[#This Row],[Diff jour_x000D_
Cumul]]</f>
        <v>66.967543739152433</v>
      </c>
      <c r="AJ50" s="41">
        <f>Tableau1[[#This Row],[Conso HP + HC / jour_x000D_
Cumul]]*365</f>
        <v>24443.153464790637</v>
      </c>
      <c r="AK50" s="44">
        <f>(Tableau1[[#This Row],[Différence HP
Cumul]]*0.1799)+(Tableau1[[#This Row],[Différence HC
Cumul]]*0.1346)</f>
        <v>616.13120000000004</v>
      </c>
      <c r="AL50" s="44">
        <f>Tableau1[[#This Row],[Montant
Tarif HP/HC]]/Tableau1[[#This Row],[Diff jour_x000D_
Cumul]]</f>
        <v>11.079697391261137</v>
      </c>
      <c r="AM50" s="44">
        <f>(Tableau1[[#This Row],[Montant
Tarif HP/HC]]-AK$6)/Tableau1[[#This Row],[Diff jour_x000D_
Cumul
depuis le 24/01]]</f>
        <v>10.938545151957104</v>
      </c>
      <c r="AN50" s="44">
        <f>(Tableau1[[#This Row],[Montant
Tarif HP/HC]]-AK$59)/Tableau1[[#This Row],[Diff jour_x000D_
Cumul
depuis
précédente facture
16/02/2021]]</f>
        <v>15.185421777217091</v>
      </c>
      <c r="AO50" s="44">
        <f>Tableau1[[#This Row],[Conso HP + HC
Cumul]]*0.1599</f>
        <v>595.46759999999995</v>
      </c>
      <c r="AP50" s="44">
        <f>Tableau1[[#This Row],[Montant
Tarif normal]]/Tableau1[[#This Row],[Diff jour_x000D_
Cumul]]</f>
        <v>10.708110243890472</v>
      </c>
      <c r="AQ50" s="44">
        <f>(Tableau1[[#This Row],[Conso HP / an
Cumul]]*0.1799)+(Tableau1[[#This Row],[Conso HC / an_x000D_
Cumul]]*0.1346)</f>
        <v>4044.0895478103148</v>
      </c>
      <c r="AR50" s="44">
        <f>Tableau1[[#This Row],[Conso HP + HC / an_x000D_
Cumul]]*0.1599</f>
        <v>3908.4602390200225</v>
      </c>
      <c r="AS50" s="38">
        <f>MONTH(Tableau1[[#This Row],[Date]])</f>
        <v>2</v>
      </c>
      <c r="AT50" s="38">
        <f>YEAR(Tableau1[[#This Row],[Date]])</f>
        <v>2021</v>
      </c>
    </row>
    <row r="51" spans="1:46" x14ac:dyDescent="0.2">
      <c r="A51" s="19">
        <v>44238.561805555553</v>
      </c>
      <c r="B51" s="20">
        <v>-2</v>
      </c>
      <c r="C51" s="39">
        <f>IF(ISERROR(Tableau1[[#This Row],[Date]]-A50),"",Tableau1[[#This Row],[Date]]-A50)</f>
        <v>0.24444444444088731</v>
      </c>
      <c r="D51" s="40">
        <f>IF(ISERROR(Tableau1[[#This Row],[Date]]-A50),"",Tableau1[[#This Row],[Date]]-A50)</f>
        <v>0.24444444444088731</v>
      </c>
      <c r="E51" s="39">
        <f>Tableau1[[#This Row],[Date]]-$A$5</f>
        <v>55.853472222217533</v>
      </c>
      <c r="F51" s="40">
        <f>Tableau1[[#This Row],[Date]]-$A$5</f>
        <v>55.853472222217533</v>
      </c>
      <c r="G51" s="40">
        <f>Tableau1[[#This Row],[Diff jour_x000D_
Cumul]]-F$6</f>
        <v>17.770138888889051</v>
      </c>
      <c r="H51" s="40">
        <f>Tableau1[[#This Row],[Diff jour_x000D_
Cumul]]-F$59</f>
        <v>-4.7493055555605679</v>
      </c>
      <c r="I51" s="21">
        <v>182324</v>
      </c>
      <c r="J51" s="38">
        <f>IF(ISERROR(Tableau1[[#This Row],[Index HP
kWh]]-I50),"",Tableau1[[#This Row],[Index HP
kWh]]-I50)</f>
        <v>29</v>
      </c>
      <c r="K51" s="40">
        <f>IF(ISERROR(Tableau1[[#This Row],[Différence HP
Instantané]]/(Tableau1[[#This Row],[Diff jour
Instantané]]*24)),"",Tableau1[[#This Row],[Différence HP
Instantané]]/(Tableau1[[#This Row],[Diff jour
Instantané]]*24))</f>
        <v>4.943181818253751</v>
      </c>
      <c r="L51" s="40">
        <f>Tableau1[[#This Row],[Différence HP
Instantané]]/Tableau1[[#This Row],[Diff jour
Instantané]]</f>
        <v>118.63636363809002</v>
      </c>
      <c r="M51" s="40">
        <f>Tableau1[[#This Row],[Conso HP / jour
Instantané]]*365</f>
        <v>43302.272727902855</v>
      </c>
      <c r="N51" s="38">
        <f>Tableau1[[#This Row],[Index HP
kWh]]-$I$5</f>
        <v>2565</v>
      </c>
      <c r="O51" s="41">
        <f>Tableau1[[#This Row],[Différence HP
Cumul]]/(Tableau1[[#This Row],[Diff jour_x000D_
Cumul]]*24)</f>
        <v>1.913488915689775</v>
      </c>
      <c r="P51" s="41">
        <f>Tableau1[[#This Row],[Différence HP
Cumul]]/Tableau1[[#This Row],[Diff jour_x000D_
Cumul]]</f>
        <v>45.923733976554601</v>
      </c>
      <c r="Q51" s="41">
        <f>Tableau1[[#This Row],[Conso HP / jour
Cumul]]*365</f>
        <v>16762.162901442429</v>
      </c>
      <c r="R51" s="21">
        <v>120620</v>
      </c>
      <c r="S51" s="38">
        <f>Tableau1[[#This Row],[Index HC_x000D_
kWh]]-R50</f>
        <v>0</v>
      </c>
      <c r="T51" s="42">
        <f>Tableau1[[#This Row],[Différence_x000D_ HC
Instantané]]/(Tableau1[[#This Row],[Diff jour
Instantané]]*24)</f>
        <v>0</v>
      </c>
      <c r="U51" s="42">
        <f>Tableau1[[#This Row],[Différence_x000D_ HC
Instantané]]/Tableau1[[#This Row],[Diff jour
Instantané]]</f>
        <v>0</v>
      </c>
      <c r="V51" s="42">
        <f>Tableau1[[#This Row],[Conso HC / jour_x000D_
Instantané]]*365</f>
        <v>0</v>
      </c>
      <c r="W51" s="38">
        <f>Tableau1[[#This Row],[Index HC_x000D_
kWh]]-$R$5</f>
        <v>1188</v>
      </c>
      <c r="X51" s="43">
        <f>Tableau1[[#This Row],[Différence HC
Cumul]]/(Tableau1[[#This Row],[Diff jour_x000D_
Cumul]]*24)</f>
        <v>0.88624749779315903</v>
      </c>
      <c r="Y51" s="43">
        <f>Tableau1[[#This Row],[Différence HC
Cumul]]/Tableau1[[#This Row],[Diff jour_x000D_
Cumul]]</f>
        <v>21.269939947035816</v>
      </c>
      <c r="Z51" s="43">
        <f>Tableau1[[#This Row],[Conso HC / jour_x000D_
Cumul]]*365</f>
        <v>7763.528080668073</v>
      </c>
      <c r="AA51" s="38">
        <f>Tableau1[[#This Row],[Différence HP
Instantané]]+Tableau1[[#This Row],[Différence_x000D_ HC
Instantané]]</f>
        <v>29</v>
      </c>
      <c r="AB51" s="41">
        <f>Tableau1[[#This Row],[Conso HP + HC
Instantané]]/(Tableau1[[#This Row],[Diff jour
Instantané]]*24)</f>
        <v>4.943181818253751</v>
      </c>
      <c r="AC51" s="34">
        <f>IF(ISERROR(Tableau1[[#This Row],[Date]]-A50),"",Tableau1[[#This Row],[Conso HP + HC
Instantané]]/Tableau1[[#This Row],[Diff jour
Instantané]])</f>
        <v>118.63636363809002</v>
      </c>
      <c r="AD51" s="41">
        <f>Tableau1[[#This Row],[Conso HP + HC / jour_x000D_
Instantané]]*365</f>
        <v>43302.272727902855</v>
      </c>
      <c r="AE51" s="38">
        <f>Tableau1[[#This Row],[Différence HP
Cumul]]+Tableau1[[#This Row],[Différence HC
Cumul]]</f>
        <v>3753</v>
      </c>
      <c r="AF51" s="40">
        <f>(Tableau1[[#This Row],[Conso HP + HC
Cumul]]-AE$6)/Tableau1[[#This Row],[Diff jour_x000D_
Cumul
depuis le 24/01]]</f>
        <v>66.516081128609343</v>
      </c>
      <c r="AG51" s="40">
        <f>(Tableau1[[#This Row],[Conso HP + HC
Cumul]]-AE$59)/Tableau1[[#This Row],[Diff jour_x000D_
Cumul
depuis
précédente facture
16/02/2021]]</f>
        <v>89.276209972123937</v>
      </c>
      <c r="AH51" s="41">
        <f>Tableau1[[#This Row],[Conso HP + HC
Cumul]]/(Tableau1[[#This Row],[Diff jour_x000D_
Cumul]]*24)</f>
        <v>2.7997364134829339</v>
      </c>
      <c r="AI51" s="41">
        <f>Tableau1[[#This Row],[Conso HP + HC
Cumul]]/Tableau1[[#This Row],[Diff jour_x000D_
Cumul]]</f>
        <v>67.193673923590424</v>
      </c>
      <c r="AJ51" s="41">
        <f>Tableau1[[#This Row],[Conso HP + HC / jour_x000D_
Cumul]]*365</f>
        <v>24525.690982110504</v>
      </c>
      <c r="AK51" s="44">
        <f>(Tableau1[[#This Row],[Différence HP
Cumul]]*0.1799)+(Tableau1[[#This Row],[Différence HC
Cumul]]*0.1346)</f>
        <v>621.34829999999999</v>
      </c>
      <c r="AL51" s="44">
        <f>Tableau1[[#This Row],[Montant
Tarif HP/HC]]/Tableau1[[#This Row],[Diff jour_x000D_
Cumul]]</f>
        <v>11.124613659253194</v>
      </c>
      <c r="AM51" s="44">
        <f>(Tableau1[[#This Row],[Montant
Tarif HP/HC]]-AK$6)/Tableau1[[#This Row],[Diff jour_x000D_
Cumul
depuis le 24/01]]</f>
        <v>11.081663527296783</v>
      </c>
      <c r="AN51" s="44">
        <f>(Tableau1[[#This Row],[Montant
Tarif HP/HC]]-AK$59)/Tableau1[[#This Row],[Diff jour_x000D_
Cumul
depuis
précédente facture
16/02/2021]]</f>
        <v>14.868510600949358</v>
      </c>
      <c r="AO51" s="44">
        <f>Tableau1[[#This Row],[Conso HP + HC
Cumul]]*0.1599</f>
        <v>600.10469999999998</v>
      </c>
      <c r="AP51" s="44">
        <f>Tableau1[[#This Row],[Montant
Tarif normal]]/Tableau1[[#This Row],[Diff jour_x000D_
Cumul]]</f>
        <v>10.744268460382107</v>
      </c>
      <c r="AQ51" s="44">
        <f>(Tableau1[[#This Row],[Conso HP / an
Cumul]]*0.1799)+(Tableau1[[#This Row],[Conso HC / an_x000D_
Cumul]]*0.1346)</f>
        <v>4060.4839856274157</v>
      </c>
      <c r="AR51" s="44">
        <f>Tableau1[[#This Row],[Conso HP + HC / an_x000D_
Cumul]]*0.1599</f>
        <v>3921.6579880394693</v>
      </c>
      <c r="AS51" s="38">
        <f>MONTH(Tableau1[[#This Row],[Date]])</f>
        <v>2</v>
      </c>
      <c r="AT51" s="38">
        <f>YEAR(Tableau1[[#This Row],[Date]])</f>
        <v>2021</v>
      </c>
    </row>
    <row r="52" spans="1:46" x14ac:dyDescent="0.2">
      <c r="A52" s="19">
        <v>44239.304861111108</v>
      </c>
      <c r="B52" s="20">
        <v>-1.7</v>
      </c>
      <c r="C52" s="39">
        <f>IF(ISERROR(Tableau1[[#This Row],[Date]]-A51),"",Tableau1[[#This Row],[Date]]-A51)</f>
        <v>0.74305555555474712</v>
      </c>
      <c r="D52" s="40">
        <f>IF(ISERROR(Tableau1[[#This Row],[Date]]-A51),"",Tableau1[[#This Row],[Date]]-A51)</f>
        <v>0.74305555555474712</v>
      </c>
      <c r="E52" s="39">
        <f>Tableau1[[#This Row],[Date]]-$A$5</f>
        <v>56.59652777777228</v>
      </c>
      <c r="F52" s="40">
        <f>Tableau1[[#This Row],[Date]]-$A$5</f>
        <v>56.59652777777228</v>
      </c>
      <c r="G52" s="40">
        <f>Tableau1[[#This Row],[Diff jour_x000D_
Cumul]]-F$6</f>
        <v>18.513194444443798</v>
      </c>
      <c r="H52" s="40">
        <f>Tableau1[[#This Row],[Diff jour_x000D_
Cumul]]-F$59</f>
        <v>-4.0062500000058208</v>
      </c>
      <c r="I52" s="21">
        <v>182369</v>
      </c>
      <c r="J52" s="38">
        <f>IF(ISERROR(Tableau1[[#This Row],[Index HP
kWh]]-I51),"",Tableau1[[#This Row],[Index HP
kWh]]-I51)</f>
        <v>45</v>
      </c>
      <c r="K52" s="40">
        <f>IF(ISERROR(Tableau1[[#This Row],[Différence HP
Instantané]]/(Tableau1[[#This Row],[Diff jour
Instantané]]*24)),"",Tableau1[[#This Row],[Différence HP
Instantané]]/(Tableau1[[#This Row],[Diff jour
Instantané]]*24))</f>
        <v>2.5233644859840538</v>
      </c>
      <c r="L52" s="40">
        <f>Tableau1[[#This Row],[Différence HP
Instantané]]/Tableau1[[#This Row],[Diff jour
Instantané]]</f>
        <v>60.560747663617292</v>
      </c>
      <c r="M52" s="40">
        <f>Tableau1[[#This Row],[Conso HP / jour
Instantané]]*365</f>
        <v>22104.672897220313</v>
      </c>
      <c r="N52" s="38">
        <f>Tableau1[[#This Row],[Index HP
kWh]]-$I$5</f>
        <v>2610</v>
      </c>
      <c r="O52" s="41">
        <f>Tableau1[[#This Row],[Différence HP
Cumul]]/(Tableau1[[#This Row],[Diff jour_x000D_
Cumul]]*24)</f>
        <v>1.9214959692758833</v>
      </c>
      <c r="P52" s="41">
        <f>Tableau1[[#This Row],[Différence HP
Cumul]]/Tableau1[[#This Row],[Diff jour_x000D_
Cumul]]</f>
        <v>46.115903262621195</v>
      </c>
      <c r="Q52" s="41">
        <f>Tableau1[[#This Row],[Conso HP / jour
Cumul]]*365</f>
        <v>16832.304690856738</v>
      </c>
      <c r="R52" s="21">
        <v>120646</v>
      </c>
      <c r="S52" s="38">
        <f>Tableau1[[#This Row],[Index HC_x000D_
kWh]]-R51</f>
        <v>26</v>
      </c>
      <c r="T52" s="42">
        <f>Tableau1[[#This Row],[Différence_x000D_ HC
Instantané]]/(Tableau1[[#This Row],[Diff jour
Instantané]]*24)</f>
        <v>1.4579439252352311</v>
      </c>
      <c r="U52" s="42">
        <f>Tableau1[[#This Row],[Différence_x000D_ HC
Instantané]]/Tableau1[[#This Row],[Diff jour
Instantané]]</f>
        <v>34.990654205645548</v>
      </c>
      <c r="V52" s="42">
        <f>Tableau1[[#This Row],[Conso HC / jour_x000D_
Instantané]]*365</f>
        <v>12771.588785060625</v>
      </c>
      <c r="W52" s="38">
        <f>Tableau1[[#This Row],[Index HC_x000D_
kWh]]-$R$5</f>
        <v>1214</v>
      </c>
      <c r="X52" s="43">
        <f>Tableau1[[#This Row],[Différence HC
Cumul]]/(Tableau1[[#This Row],[Diff jour_x000D_
Cumul]]*24)</f>
        <v>0.8937532975865603</v>
      </c>
      <c r="Y52" s="43">
        <f>Tableau1[[#This Row],[Différence HC
Cumul]]/Tableau1[[#This Row],[Diff jour_x000D_
Cumul]]</f>
        <v>21.450079142077445</v>
      </c>
      <c r="Z52" s="43">
        <f>Tableau1[[#This Row],[Conso HC / jour_x000D_
Cumul]]*365</f>
        <v>7829.2788868582675</v>
      </c>
      <c r="AA52" s="38">
        <f>Tableau1[[#This Row],[Différence HP
Instantané]]+Tableau1[[#This Row],[Différence_x000D_ HC
Instantané]]</f>
        <v>71</v>
      </c>
      <c r="AB52" s="41">
        <f>Tableau1[[#This Row],[Conso HP + HC
Instantané]]/(Tableau1[[#This Row],[Diff jour
Instantané]]*24)</f>
        <v>3.9813084112192847</v>
      </c>
      <c r="AC52" s="34">
        <f>IF(ISERROR(Tableau1[[#This Row],[Date]]-A51),"",Tableau1[[#This Row],[Conso HP + HC
Instantané]]/Tableau1[[#This Row],[Diff jour
Instantané]])</f>
        <v>95.551401869262833</v>
      </c>
      <c r="AD52" s="41">
        <f>Tableau1[[#This Row],[Conso HP + HC / jour_x000D_
Instantané]]*365</f>
        <v>34876.261682280936</v>
      </c>
      <c r="AE52" s="38">
        <f>Tableau1[[#This Row],[Différence HP
Cumul]]+Tableau1[[#This Row],[Différence HC
Cumul]]</f>
        <v>3824</v>
      </c>
      <c r="AF52" s="40">
        <f>(Tableau1[[#This Row],[Conso HP + HC
Cumul]]-AE$6)/Tableau1[[#This Row],[Diff jour_x000D_
Cumul
depuis le 24/01]]</f>
        <v>67.681458419297911</v>
      </c>
      <c r="AG52" s="40">
        <f>(Tableau1[[#This Row],[Conso HP + HC
Cumul]]-AE$59)/Tableau1[[#This Row],[Diff jour_x000D_
Cumul
depuis
précédente facture
16/02/2021]]</f>
        <v>88.112324492851698</v>
      </c>
      <c r="AH52" s="41">
        <f>Tableau1[[#This Row],[Conso HP + HC
Cumul]]/(Tableau1[[#This Row],[Diff jour_x000D_
Cumul]]*24)</f>
        <v>2.8152492668624434</v>
      </c>
      <c r="AI52" s="41">
        <f>Tableau1[[#This Row],[Conso HP + HC
Cumul]]/Tableau1[[#This Row],[Diff jour_x000D_
Cumul]]</f>
        <v>67.565982404698644</v>
      </c>
      <c r="AJ52" s="41">
        <f>Tableau1[[#This Row],[Conso HP + HC / jour_x000D_
Cumul]]*365</f>
        <v>24661.583577715006</v>
      </c>
      <c r="AK52" s="44">
        <f>(Tableau1[[#This Row],[Différence HP
Cumul]]*0.1799)+(Tableau1[[#This Row],[Différence HC
Cumul]]*0.1346)</f>
        <v>632.9434</v>
      </c>
      <c r="AL52" s="44">
        <f>Tableau1[[#This Row],[Montant
Tarif HP/HC]]/Tableau1[[#This Row],[Diff jour_x000D_
Cumul]]</f>
        <v>11.183431649469178</v>
      </c>
      <c r="AM52" s="44">
        <f>(Tableau1[[#This Row],[Montant
Tarif HP/HC]]-AK$6)/Tableau1[[#This Row],[Diff jour_x000D_
Cumul
depuis le 24/01]]</f>
        <v>11.263199369819214</v>
      </c>
      <c r="AN52" s="44">
        <f>(Tableau1[[#This Row],[Montant
Tarif HP/HC]]-AK$59)/Tableau1[[#This Row],[Diff jour_x000D_
Cumul
depuis
précédente facture
16/02/2021]]</f>
        <v>14.73198127922976</v>
      </c>
      <c r="AO52" s="44">
        <f>Tableau1[[#This Row],[Conso HP + HC
Cumul]]*0.1599</f>
        <v>611.45759999999996</v>
      </c>
      <c r="AP52" s="44">
        <f>Tableau1[[#This Row],[Montant
Tarif normal]]/Tableau1[[#This Row],[Diff jour_x000D_
Cumul]]</f>
        <v>10.803800586511313</v>
      </c>
      <c r="AQ52" s="44">
        <f>(Tableau1[[#This Row],[Conso HP / an
Cumul]]*0.1799)+(Tableau1[[#This Row],[Conso HC / an_x000D_
Cumul]]*0.1346)</f>
        <v>4081.9525520562502</v>
      </c>
      <c r="AR52" s="44">
        <f>Tableau1[[#This Row],[Conso HP + HC / an_x000D_
Cumul]]*0.1599</f>
        <v>3943.3872140766293</v>
      </c>
      <c r="AS52" s="38">
        <f>MONTH(Tableau1[[#This Row],[Date]])</f>
        <v>2</v>
      </c>
      <c r="AT52" s="38">
        <f>YEAR(Tableau1[[#This Row],[Date]])</f>
        <v>2021</v>
      </c>
    </row>
    <row r="53" spans="1:46" x14ac:dyDescent="0.2">
      <c r="A53" s="19">
        <v>44240.348611111112</v>
      </c>
      <c r="B53" s="20">
        <v>-5</v>
      </c>
      <c r="C53" s="39">
        <f>IF(ISERROR(Tableau1[[#This Row],[Date]]-A52),"",Tableau1[[#This Row],[Date]]-A52)</f>
        <v>1.0437500000043656</v>
      </c>
      <c r="D53" s="40">
        <f>IF(ISERROR(Tableau1[[#This Row],[Date]]-A52),"",Tableau1[[#This Row],[Date]]-A52)</f>
        <v>1.0437500000043656</v>
      </c>
      <c r="E53" s="39">
        <f>Tableau1[[#This Row],[Date]]-$A$5</f>
        <v>57.640277777776646</v>
      </c>
      <c r="F53" s="40">
        <f>Tableau1[[#This Row],[Date]]-$A$5</f>
        <v>57.640277777776646</v>
      </c>
      <c r="G53" s="40">
        <f>Tableau1[[#This Row],[Diff jour_x000D_
Cumul]]-F$6</f>
        <v>19.556944444448163</v>
      </c>
      <c r="H53" s="40">
        <f>Tableau1[[#This Row],[Diff jour_x000D_
Cumul]]-F$59</f>
        <v>-2.9625000000014552</v>
      </c>
      <c r="I53" s="21">
        <v>182450</v>
      </c>
      <c r="J53" s="38">
        <f>IF(ISERROR(Tableau1[[#This Row],[Index HP
kWh]]-I52),"",Tableau1[[#This Row],[Index HP
kWh]]-I52)</f>
        <v>81</v>
      </c>
      <c r="K53" s="40">
        <f>IF(ISERROR(Tableau1[[#This Row],[Différence HP
Instantané]]/(Tableau1[[#This Row],[Diff jour
Instantané]]*24)),"",Tableau1[[#This Row],[Différence HP
Instantané]]/(Tableau1[[#This Row],[Diff jour
Instantané]]*24))</f>
        <v>3.233532934118212</v>
      </c>
      <c r="L53" s="40">
        <f>Tableau1[[#This Row],[Différence HP
Instantané]]/Tableau1[[#This Row],[Diff jour
Instantané]]</f>
        <v>77.604790418837084</v>
      </c>
      <c r="M53" s="40">
        <f>Tableau1[[#This Row],[Conso HP / jour
Instantané]]*365</f>
        <v>28325.748502875536</v>
      </c>
      <c r="N53" s="38">
        <f>Tableau1[[#This Row],[Index HP
kWh]]-$I$5</f>
        <v>2691</v>
      </c>
      <c r="O53" s="41">
        <f>Tableau1[[#This Row],[Différence HP
Cumul]]/(Tableau1[[#This Row],[Diff jour_x000D_
Cumul]]*24)</f>
        <v>1.9452543312209727</v>
      </c>
      <c r="P53" s="41">
        <f>Tableau1[[#This Row],[Différence HP
Cumul]]/Tableau1[[#This Row],[Diff jour_x000D_
Cumul]]</f>
        <v>46.686103949303345</v>
      </c>
      <c r="Q53" s="41">
        <f>Tableau1[[#This Row],[Conso HP / jour
Cumul]]*365</f>
        <v>17040.42794149572</v>
      </c>
      <c r="R53" s="21">
        <v>120677</v>
      </c>
      <c r="S53" s="38">
        <f>Tableau1[[#This Row],[Index HC_x000D_
kWh]]-R52</f>
        <v>31</v>
      </c>
      <c r="T53" s="42">
        <f>Tableau1[[#This Row],[Différence_x000D_ HC
Instantané]]/(Tableau1[[#This Row],[Diff jour
Instantané]]*24)</f>
        <v>1.2375249500946244</v>
      </c>
      <c r="U53" s="42">
        <f>Tableau1[[#This Row],[Différence_x000D_ HC
Instantané]]/Tableau1[[#This Row],[Diff jour
Instantané]]</f>
        <v>29.700598802270985</v>
      </c>
      <c r="V53" s="42">
        <f>Tableau1[[#This Row],[Conso HC / jour_x000D_
Instantané]]*365</f>
        <v>10840.71856282891</v>
      </c>
      <c r="W53" s="38">
        <f>Tableau1[[#This Row],[Index HC_x000D_
kWh]]-$R$5</f>
        <v>1245</v>
      </c>
      <c r="X53" s="43">
        <f>Tableau1[[#This Row],[Différence HC
Cumul]]/(Tableau1[[#This Row],[Diff jour_x000D_
Cumul]]*24)</f>
        <v>0.89997831377558934</v>
      </c>
      <c r="Y53" s="43">
        <f>Tableau1[[#This Row],[Différence HC
Cumul]]/Tableau1[[#This Row],[Diff jour_x000D_
Cumul]]</f>
        <v>21.599479530614143</v>
      </c>
      <c r="Z53" s="43">
        <f>Tableau1[[#This Row],[Conso HC / jour_x000D_
Cumul]]*365</f>
        <v>7883.8100286741619</v>
      </c>
      <c r="AA53" s="38">
        <f>Tableau1[[#This Row],[Différence HP
Instantané]]+Tableau1[[#This Row],[Différence_x000D_ HC
Instantané]]</f>
        <v>112</v>
      </c>
      <c r="AB53" s="41">
        <f>Tableau1[[#This Row],[Conso HP + HC
Instantané]]/(Tableau1[[#This Row],[Diff jour
Instantané]]*24)</f>
        <v>4.4710578842128363</v>
      </c>
      <c r="AC53" s="34">
        <f>IF(ISERROR(Tableau1[[#This Row],[Date]]-A52),"",Tableau1[[#This Row],[Conso HP + HC
Instantané]]/Tableau1[[#This Row],[Diff jour
Instantané]])</f>
        <v>107.30538922110807</v>
      </c>
      <c r="AD53" s="41">
        <f>Tableau1[[#This Row],[Conso HP + HC / jour_x000D_
Instantané]]*365</f>
        <v>39166.467065704448</v>
      </c>
      <c r="AE53" s="38">
        <f>Tableau1[[#This Row],[Différence HP
Cumul]]+Tableau1[[#This Row],[Différence HC
Cumul]]</f>
        <v>3936</v>
      </c>
      <c r="AF53" s="40">
        <f>(Tableau1[[#This Row],[Conso HP + HC
Cumul]]-AE$6)/Tableau1[[#This Row],[Diff jour_x000D_
Cumul
depuis le 24/01]]</f>
        <v>69.796179248619637</v>
      </c>
      <c r="AG53" s="40">
        <f>(Tableau1[[#This Row],[Conso HP + HC
Cumul]]-AE$59)/Tableau1[[#This Row],[Diff jour_x000D_
Cumul
depuis
précédente facture
16/02/2021]]</f>
        <v>81.350210970424172</v>
      </c>
      <c r="AH53" s="41">
        <f>Tableau1[[#This Row],[Conso HP + HC
Cumul]]/(Tableau1[[#This Row],[Diff jour_x000D_
Cumul]]*24)</f>
        <v>2.8452326449965621</v>
      </c>
      <c r="AI53" s="41">
        <f>Tableau1[[#This Row],[Conso HP + HC
Cumul]]/Tableau1[[#This Row],[Diff jour_x000D_
Cumul]]</f>
        <v>68.285583479917491</v>
      </c>
      <c r="AJ53" s="41">
        <f>Tableau1[[#This Row],[Conso HP + HC / jour_x000D_
Cumul]]*365</f>
        <v>24924.237970169885</v>
      </c>
      <c r="AK53" s="44">
        <f>(Tableau1[[#This Row],[Différence HP
Cumul]]*0.1799)+(Tableau1[[#This Row],[Différence HC
Cumul]]*0.1346)</f>
        <v>651.68790000000001</v>
      </c>
      <c r="AL53" s="44">
        <f>Tableau1[[#This Row],[Montant
Tarif HP/HC]]/Tableau1[[#This Row],[Diff jour_x000D_
Cumul]]</f>
        <v>11.306120045300336</v>
      </c>
      <c r="AM53" s="44">
        <f>(Tableau1[[#This Row],[Montant
Tarif HP/HC]]-AK$6)/Tableau1[[#This Row],[Diff jour_x000D_
Cumul
depuis le 24/01]]</f>
        <v>11.620542291028256</v>
      </c>
      <c r="AN53" s="44">
        <f>(Tableau1[[#This Row],[Montant
Tarif HP/HC]]-AK$59)/Tableau1[[#This Row],[Diff jour_x000D_
Cumul
depuis
précédente facture
16/02/2021]]</f>
        <v>13.595105485225378</v>
      </c>
      <c r="AO53" s="44">
        <f>Tableau1[[#This Row],[Conso HP + HC
Cumul]]*0.1599</f>
        <v>629.3664</v>
      </c>
      <c r="AP53" s="44">
        <f>Tableau1[[#This Row],[Montant
Tarif normal]]/Tableau1[[#This Row],[Diff jour_x000D_
Cumul]]</f>
        <v>10.918864798438806</v>
      </c>
      <c r="AQ53" s="44">
        <f>(Tableau1[[#This Row],[Conso HP / an
Cumul]]*0.1799)+(Tableau1[[#This Row],[Conso HC / an_x000D_
Cumul]]*0.1346)</f>
        <v>4126.7338165346227</v>
      </c>
      <c r="AR53" s="44">
        <f>Tableau1[[#This Row],[Conso HP + HC / an_x000D_
Cumul]]*0.1599</f>
        <v>3985.3856514301642</v>
      </c>
      <c r="AS53" s="38">
        <f>MONTH(Tableau1[[#This Row],[Date]])</f>
        <v>2</v>
      </c>
      <c r="AT53" s="38">
        <f>YEAR(Tableau1[[#This Row],[Date]])</f>
        <v>2021</v>
      </c>
    </row>
    <row r="54" spans="1:46" x14ac:dyDescent="0.2">
      <c r="A54" s="19">
        <v>44240.716666666667</v>
      </c>
      <c r="B54" s="20">
        <v>0</v>
      </c>
      <c r="C54" s="39">
        <f>IF(ISERROR(Tableau1[[#This Row],[Date]]-A53),"",Tableau1[[#This Row],[Date]]-A53)</f>
        <v>0.36805555555474712</v>
      </c>
      <c r="D54" s="40">
        <f>IF(ISERROR(Tableau1[[#This Row],[Date]]-A53),"",Tableau1[[#This Row],[Date]]-A53)</f>
        <v>0.36805555555474712</v>
      </c>
      <c r="E54" s="39">
        <f>Tableau1[[#This Row],[Date]]-$A$5</f>
        <v>58.008333333331393</v>
      </c>
      <c r="F54" s="40">
        <f>Tableau1[[#This Row],[Date]]-$A$5</f>
        <v>58.008333333331393</v>
      </c>
      <c r="G54" s="40">
        <f>Tableau1[[#This Row],[Diff jour_x000D_
Cumul]]-F$6</f>
        <v>19.92500000000291</v>
      </c>
      <c r="H54" s="40">
        <f>Tableau1[[#This Row],[Diff jour_x000D_
Cumul]]-F$59</f>
        <v>-2.5944444444467081</v>
      </c>
      <c r="I54" s="21">
        <v>182490</v>
      </c>
      <c r="J54" s="38">
        <f>IF(ISERROR(Tableau1[[#This Row],[Index HP
kWh]]-I53),"",Tableau1[[#This Row],[Index HP
kWh]]-I53)</f>
        <v>40</v>
      </c>
      <c r="K54" s="40">
        <f>IF(ISERROR(Tableau1[[#This Row],[Différence HP
Instantané]]/(Tableau1[[#This Row],[Diff jour
Instantané]]*24)),"",Tableau1[[#This Row],[Différence HP
Instantané]]/(Tableau1[[#This Row],[Diff jour
Instantané]]*24))</f>
        <v>4.5283018868023994</v>
      </c>
      <c r="L54" s="40">
        <f>Tableau1[[#This Row],[Différence HP
Instantané]]/Tableau1[[#This Row],[Diff jour
Instantané]]</f>
        <v>108.67924528325759</v>
      </c>
      <c r="M54" s="40">
        <f>Tableau1[[#This Row],[Conso HP / jour
Instantané]]*365</f>
        <v>39667.92452838902</v>
      </c>
      <c r="N54" s="38">
        <f>Tableau1[[#This Row],[Index HP
kWh]]-$I$5</f>
        <v>2731</v>
      </c>
      <c r="O54" s="41">
        <f>Tableau1[[#This Row],[Différence HP
Cumul]]/(Tableau1[[#This Row],[Diff jour_x000D_
Cumul]]*24)</f>
        <v>1.9616434420342561</v>
      </c>
      <c r="P54" s="41">
        <f>Tableau1[[#This Row],[Différence HP
Cumul]]/Tableau1[[#This Row],[Diff jour_x000D_
Cumul]]</f>
        <v>47.079442608822148</v>
      </c>
      <c r="Q54" s="41">
        <f>Tableau1[[#This Row],[Conso HP / jour
Cumul]]*365</f>
        <v>17183.996552220084</v>
      </c>
      <c r="R54" s="21">
        <v>120677</v>
      </c>
      <c r="S54" s="38">
        <f>Tableau1[[#This Row],[Index HC_x000D_
kWh]]-R53</f>
        <v>0</v>
      </c>
      <c r="T54" s="42">
        <f>Tableau1[[#This Row],[Différence_x000D_ HC
Instantané]]/(Tableau1[[#This Row],[Diff jour
Instantané]]*24)</f>
        <v>0</v>
      </c>
      <c r="U54" s="42">
        <f>Tableau1[[#This Row],[Différence_x000D_ HC
Instantané]]/Tableau1[[#This Row],[Diff jour
Instantané]]</f>
        <v>0</v>
      </c>
      <c r="V54" s="42">
        <f>Tableau1[[#This Row],[Conso HC / jour_x000D_
Instantané]]*365</f>
        <v>0</v>
      </c>
      <c r="W54" s="38">
        <f>Tableau1[[#This Row],[Index HC_x000D_
kWh]]-$R$5</f>
        <v>1245</v>
      </c>
      <c r="X54" s="43">
        <f>Tableau1[[#This Row],[Différence HC
Cumul]]/(Tableau1[[#This Row],[Diff jour_x000D_
Cumul]]*24)</f>
        <v>0.89426806493322919</v>
      </c>
      <c r="Y54" s="43">
        <f>Tableau1[[#This Row],[Différence HC
Cumul]]/Tableau1[[#This Row],[Diff jour_x000D_
Cumul]]</f>
        <v>21.4624335583975</v>
      </c>
      <c r="Z54" s="43">
        <f>Tableau1[[#This Row],[Conso HC / jour_x000D_
Cumul]]*365</f>
        <v>7833.7882488150872</v>
      </c>
      <c r="AA54" s="38">
        <f>Tableau1[[#This Row],[Différence HP
Instantané]]+Tableau1[[#This Row],[Différence_x000D_ HC
Instantané]]</f>
        <v>40</v>
      </c>
      <c r="AB54" s="41">
        <f>Tableau1[[#This Row],[Conso HP + HC
Instantané]]/(Tableau1[[#This Row],[Diff jour
Instantané]]*24)</f>
        <v>4.5283018868023994</v>
      </c>
      <c r="AC54" s="34">
        <f>IF(ISERROR(Tableau1[[#This Row],[Date]]-A53),"",Tableau1[[#This Row],[Conso HP + HC
Instantané]]/Tableau1[[#This Row],[Diff jour
Instantané]])</f>
        <v>108.67924528325759</v>
      </c>
      <c r="AD54" s="41">
        <f>Tableau1[[#This Row],[Conso HP + HC / jour_x000D_
Instantané]]*365</f>
        <v>39667.92452838902</v>
      </c>
      <c r="AE54" s="38">
        <f>Tableau1[[#This Row],[Différence HP
Cumul]]+Tableau1[[#This Row],[Différence HC
Cumul]]</f>
        <v>3976</v>
      </c>
      <c r="AF54" s="40">
        <f>(Tableau1[[#This Row],[Conso HP + HC
Cumul]]-AE$6)/Tableau1[[#This Row],[Diff jour_x000D_
Cumul
depuis le 24/01]]</f>
        <v>70.514429109149049</v>
      </c>
      <c r="AG54" s="40">
        <f>(Tableau1[[#This Row],[Conso HP + HC
Cumul]]-AE$59)/Tableau1[[#This Row],[Diff jour_x000D_
Cumul
depuis
précédente facture
16/02/2021]]</f>
        <v>77.473233404643324</v>
      </c>
      <c r="AH54" s="41">
        <f>Tableau1[[#This Row],[Conso HP + HC
Cumul]]/(Tableau1[[#This Row],[Diff jour_x000D_
Cumul]]*24)</f>
        <v>2.8559115069674852</v>
      </c>
      <c r="AI54" s="41">
        <f>Tableau1[[#This Row],[Conso HP + HC
Cumul]]/Tableau1[[#This Row],[Diff jour_x000D_
Cumul]]</f>
        <v>68.541876167219641</v>
      </c>
      <c r="AJ54" s="41">
        <f>Tableau1[[#This Row],[Conso HP + HC / jour_x000D_
Cumul]]*365</f>
        <v>25017.78480103517</v>
      </c>
      <c r="AK54" s="44">
        <f>(Tableau1[[#This Row],[Différence HP
Cumul]]*0.1799)+(Tableau1[[#This Row],[Différence HC
Cumul]]*0.1346)</f>
        <v>658.88390000000004</v>
      </c>
      <c r="AL54" s="44">
        <f>Tableau1[[#This Row],[Montant
Tarif HP/HC]]/Tableau1[[#This Row],[Diff jour_x000D_
Cumul]]</f>
        <v>11.358435282287408</v>
      </c>
      <c r="AM54" s="44">
        <f>(Tableau1[[#This Row],[Montant
Tarif HP/HC]]-AK$6)/Tableau1[[#This Row],[Diff jour_x000D_
Cumul
depuis le 24/01]]</f>
        <v>11.767041405268044</v>
      </c>
      <c r="AN54" s="44">
        <f>(Tableau1[[#This Row],[Montant
Tarif HP/HC]]-AK$59)/Tableau1[[#This Row],[Diff jour_x000D_
Cumul
depuis
précédente facture
16/02/2021]]</f>
        <v>12.750128479646239</v>
      </c>
      <c r="AO54" s="44">
        <f>Tableau1[[#This Row],[Conso HP + HC
Cumul]]*0.1599</f>
        <v>635.76239999999996</v>
      </c>
      <c r="AP54" s="44">
        <f>Tableau1[[#This Row],[Montant
Tarif normal]]/Tableau1[[#This Row],[Diff jour_x000D_
Cumul]]</f>
        <v>10.959845999138421</v>
      </c>
      <c r="AQ54" s="44">
        <f>(Tableau1[[#This Row],[Conso HP / an
Cumul]]*0.1799)+(Tableau1[[#This Row],[Conso HC / an_x000D_
Cumul]]*0.1346)</f>
        <v>4145.8288780349039</v>
      </c>
      <c r="AR54" s="44">
        <f>Tableau1[[#This Row],[Conso HP + HC / an_x000D_
Cumul]]*0.1599</f>
        <v>4000.3437896855235</v>
      </c>
      <c r="AS54" s="38">
        <f>MONTH(Tableau1[[#This Row],[Date]])</f>
        <v>2</v>
      </c>
      <c r="AT54" s="38">
        <f>YEAR(Tableau1[[#This Row],[Date]])</f>
        <v>2021</v>
      </c>
    </row>
    <row r="55" spans="1:46" x14ac:dyDescent="0.2">
      <c r="A55" s="19">
        <v>44241.356249999997</v>
      </c>
      <c r="B55" s="20">
        <v>-4</v>
      </c>
      <c r="C55" s="39">
        <f>IF(ISERROR(Tableau1[[#This Row],[Date]]-A54),"",Tableau1[[#This Row],[Date]]-A54)</f>
        <v>0.63958333332993789</v>
      </c>
      <c r="D55" s="40">
        <f>IF(ISERROR(Tableau1[[#This Row],[Date]]-A54),"",Tableau1[[#This Row],[Date]]-A54)</f>
        <v>0.63958333332993789</v>
      </c>
      <c r="E55" s="39">
        <f>Tableau1[[#This Row],[Date]]-$A$5</f>
        <v>58.647916666661331</v>
      </c>
      <c r="F55" s="40">
        <f>Tableau1[[#This Row],[Date]]-$A$5</f>
        <v>58.647916666661331</v>
      </c>
      <c r="G55" s="40">
        <f>Tableau1[[#This Row],[Diff jour_x000D_
Cumul]]-F$6</f>
        <v>20.564583333332848</v>
      </c>
      <c r="H55" s="40">
        <f>Tableau1[[#This Row],[Diff jour_x000D_
Cumul]]-F$59</f>
        <v>-1.9548611111167702</v>
      </c>
      <c r="I55" s="21">
        <v>182521</v>
      </c>
      <c r="J55" s="38">
        <f>IF(ISERROR(Tableau1[[#This Row],[Index HP
kWh]]-I54),"",Tableau1[[#This Row],[Index HP
kWh]]-I54)</f>
        <v>31</v>
      </c>
      <c r="K55" s="40">
        <f>IF(ISERROR(Tableau1[[#This Row],[Différence HP
Instantané]]/(Tableau1[[#This Row],[Diff jour
Instantané]]*24)),"",Tableau1[[#This Row],[Différence HP
Instantané]]/(Tableau1[[#This Row],[Diff jour
Instantané]]*24))</f>
        <v>2.0195439739520897</v>
      </c>
      <c r="L55" s="40">
        <f>Tableau1[[#This Row],[Différence HP
Instantané]]/Tableau1[[#This Row],[Diff jour
Instantané]]</f>
        <v>48.46905537485015</v>
      </c>
      <c r="M55" s="40">
        <f>Tableau1[[#This Row],[Conso HP / jour
Instantané]]*365</f>
        <v>17691.205211820306</v>
      </c>
      <c r="N55" s="38">
        <f>Tableau1[[#This Row],[Index HP
kWh]]-$I$5</f>
        <v>2762</v>
      </c>
      <c r="O55" s="41">
        <f>Tableau1[[#This Row],[Différence HP
Cumul]]/(Tableau1[[#This Row],[Diff jour_x000D_
Cumul]]*24)</f>
        <v>1.962274874782602</v>
      </c>
      <c r="P55" s="41">
        <f>Tableau1[[#This Row],[Différence HP
Cumul]]/Tableau1[[#This Row],[Diff jour_x000D_
Cumul]]</f>
        <v>47.094596994782442</v>
      </c>
      <c r="Q55" s="41">
        <f>Tableau1[[#This Row],[Conso HP / jour
Cumul]]*365</f>
        <v>17189.52790309559</v>
      </c>
      <c r="R55" s="21">
        <v>120700</v>
      </c>
      <c r="S55" s="38">
        <f>Tableau1[[#This Row],[Index HC_x000D_
kWh]]-R54</f>
        <v>23</v>
      </c>
      <c r="T55" s="42">
        <f>Tableau1[[#This Row],[Différence_x000D_ HC
Instantané]]/(Tableau1[[#This Row],[Diff jour
Instantané]]*24)</f>
        <v>1.4983713355128405</v>
      </c>
      <c r="U55" s="42">
        <f>Tableau1[[#This Row],[Différence_x000D_ HC
Instantané]]/Tableau1[[#This Row],[Diff jour
Instantané]]</f>
        <v>35.960912052308174</v>
      </c>
      <c r="V55" s="42">
        <f>Tableau1[[#This Row],[Conso HC / jour_x000D_
Instantané]]*365</f>
        <v>13125.732899092483</v>
      </c>
      <c r="W55" s="38">
        <f>Tableau1[[#This Row],[Index HC_x000D_
kWh]]-$R$5</f>
        <v>1268</v>
      </c>
      <c r="X55" s="43">
        <f>Tableau1[[#This Row],[Différence HC
Cumul]]/(Tableau1[[#This Row],[Diff jour_x000D_
Cumul]]*24)</f>
        <v>0.90085609747441675</v>
      </c>
      <c r="Y55" s="43">
        <f>Tableau1[[#This Row],[Différence HC
Cumul]]/Tableau1[[#This Row],[Diff jour_x000D_
Cumul]]</f>
        <v>21.620546339386003</v>
      </c>
      <c r="Z55" s="43">
        <f>Tableau1[[#This Row],[Conso HC / jour_x000D_
Cumul]]*365</f>
        <v>7891.4994138758912</v>
      </c>
      <c r="AA55" s="38">
        <f>Tableau1[[#This Row],[Différence HP
Instantané]]+Tableau1[[#This Row],[Différence_x000D_ HC
Instantané]]</f>
        <v>54</v>
      </c>
      <c r="AB55" s="41">
        <f>Tableau1[[#This Row],[Conso HP + HC
Instantané]]/(Tableau1[[#This Row],[Diff jour
Instantané]]*24)</f>
        <v>3.51791530946493</v>
      </c>
      <c r="AC55" s="34">
        <f>IF(ISERROR(Tableau1[[#This Row],[Date]]-A54),"",Tableau1[[#This Row],[Conso HP + HC
Instantané]]/Tableau1[[#This Row],[Diff jour
Instantané]])</f>
        <v>84.429967427158317</v>
      </c>
      <c r="AD55" s="41">
        <f>Tableau1[[#This Row],[Conso HP + HC / jour_x000D_
Instantané]]*365</f>
        <v>30816.938110912786</v>
      </c>
      <c r="AE55" s="38">
        <f>Tableau1[[#This Row],[Différence HP
Cumul]]+Tableau1[[#This Row],[Différence HC
Cumul]]</f>
        <v>4030</v>
      </c>
      <c r="AF55" s="40">
        <f>(Tableau1[[#This Row],[Conso HP + HC
Cumul]]-AE$6)/Tableau1[[#This Row],[Diff jour_x000D_
Cumul
depuis le 24/01]]</f>
        <v>70.947219126736556</v>
      </c>
      <c r="AG55" s="40">
        <f>(Tableau1[[#This Row],[Conso HP + HC
Cumul]]-AE$59)/Tableau1[[#This Row],[Diff jour_x000D_
Cumul
depuis
précédente facture
16/02/2021]]</f>
        <v>75.197158081487459</v>
      </c>
      <c r="AH55" s="41">
        <f>Tableau1[[#This Row],[Conso HP + HC
Cumul]]/(Tableau1[[#This Row],[Diff jour_x000D_
Cumul]]*24)</f>
        <v>2.8631309722570188</v>
      </c>
      <c r="AI55" s="41">
        <f>Tableau1[[#This Row],[Conso HP + HC
Cumul]]/Tableau1[[#This Row],[Diff jour_x000D_
Cumul]]</f>
        <v>68.715143334168445</v>
      </c>
      <c r="AJ55" s="41">
        <f>Tableau1[[#This Row],[Conso HP + HC / jour_x000D_
Cumul]]*365</f>
        <v>25081.027316971482</v>
      </c>
      <c r="AK55" s="44">
        <f>(Tableau1[[#This Row],[Différence HP
Cumul]]*0.1799)+(Tableau1[[#This Row],[Différence HC
Cumul]]*0.1346)</f>
        <v>667.5566</v>
      </c>
      <c r="AL55" s="44">
        <f>Tableau1[[#This Row],[Montant
Tarif HP/HC]]/Tableau1[[#This Row],[Diff jour_x000D_
Cumul]]</f>
        <v>11.382443536642718</v>
      </c>
      <c r="AM55" s="44">
        <f>(Tableau1[[#This Row],[Montant
Tarif HP/HC]]-AK$6)/Tableau1[[#This Row],[Diff jour_x000D_
Cumul
depuis le 24/01]]</f>
        <v>11.822802147705676</v>
      </c>
      <c r="AN55" s="44">
        <f>(Tableau1[[#This Row],[Montant
Tarif HP/HC]]-AK$59)/Tableau1[[#This Row],[Diff jour_x000D_
Cumul
depuis
précédente facture
16/02/2021]]</f>
        <v>12.485183658933648</v>
      </c>
      <c r="AO55" s="44">
        <f>Tableau1[[#This Row],[Conso HP + HC
Cumul]]*0.1599</f>
        <v>644.39699999999993</v>
      </c>
      <c r="AP55" s="44">
        <f>Tableau1[[#This Row],[Montant
Tarif normal]]/Tableau1[[#This Row],[Diff jour_x000D_
Cumul]]</f>
        <v>10.987551419133533</v>
      </c>
      <c r="AQ55" s="44">
        <f>(Tableau1[[#This Row],[Conso HP / an
Cumul]]*0.1799)+(Tableau1[[#This Row],[Conso HC / an_x000D_
Cumul]]*0.1346)</f>
        <v>4154.5918908745916</v>
      </c>
      <c r="AR55" s="44">
        <f>Tableau1[[#This Row],[Conso HP + HC / an_x000D_
Cumul]]*0.1599</f>
        <v>4010.4562679837395</v>
      </c>
      <c r="AS55" s="38">
        <f>MONTH(Tableau1[[#This Row],[Date]])</f>
        <v>2</v>
      </c>
      <c r="AT55" s="38">
        <f>YEAR(Tableau1[[#This Row],[Date]])</f>
        <v>2021</v>
      </c>
    </row>
    <row r="56" spans="1:46" x14ac:dyDescent="0.2">
      <c r="A56" s="19">
        <v>44241.749305555553</v>
      </c>
      <c r="B56" s="20">
        <v>7.1</v>
      </c>
      <c r="C56" s="39">
        <f>IF(ISERROR(Tableau1[[#This Row],[Date]]-A55),"",Tableau1[[#This Row],[Date]]-A55)</f>
        <v>0.39305555555620231</v>
      </c>
      <c r="D56" s="40">
        <f>IF(ISERROR(Tableau1[[#This Row],[Date]]-A55),"",Tableau1[[#This Row],[Date]]-A55)</f>
        <v>0.39305555555620231</v>
      </c>
      <c r="E56" s="39">
        <f>Tableau1[[#This Row],[Date]]-$A$5</f>
        <v>59.040972222217533</v>
      </c>
      <c r="F56" s="40">
        <f>Tableau1[[#This Row],[Date]]-$A$5</f>
        <v>59.040972222217533</v>
      </c>
      <c r="G56" s="40">
        <f>Tableau1[[#This Row],[Diff jour_x000D_
Cumul]]-F$6</f>
        <v>20.957638888889051</v>
      </c>
      <c r="H56" s="40">
        <f>Tableau1[[#This Row],[Diff jour_x000D_
Cumul]]-F$59</f>
        <v>-1.5618055555605679</v>
      </c>
      <c r="I56" s="21">
        <v>182560</v>
      </c>
      <c r="J56" s="38">
        <f>IF(ISERROR(Tableau1[[#This Row],[Index HP
kWh]]-I55),"",Tableau1[[#This Row],[Index HP
kWh]]-I55)</f>
        <v>39</v>
      </c>
      <c r="K56" s="40">
        <f>IF(ISERROR(Tableau1[[#This Row],[Différence HP
Instantané]]/(Tableau1[[#This Row],[Diff jour
Instantané]]*24)),"",Tableau1[[#This Row],[Différence HP
Instantané]]/(Tableau1[[#This Row],[Diff jour
Instantané]]*24))</f>
        <v>4.1342756183677558</v>
      </c>
      <c r="L56" s="40">
        <f>Tableau1[[#This Row],[Différence HP
Instantané]]/Tableau1[[#This Row],[Diff jour
Instantané]]</f>
        <v>99.222614840826139</v>
      </c>
      <c r="M56" s="40">
        <f>Tableau1[[#This Row],[Conso HP / jour
Instantané]]*365</f>
        <v>36216.254416901538</v>
      </c>
      <c r="N56" s="38">
        <f>Tableau1[[#This Row],[Index HP
kWh]]-$I$5</f>
        <v>2801</v>
      </c>
      <c r="O56" s="41">
        <f>Tableau1[[#This Row],[Différence HP
Cumul]]/(Tableau1[[#This Row],[Diff jour_x000D_
Cumul]]*24)</f>
        <v>1.9767346122632983</v>
      </c>
      <c r="P56" s="41">
        <f>Tableau1[[#This Row],[Différence HP
Cumul]]/Tableau1[[#This Row],[Diff jour_x000D_
Cumul]]</f>
        <v>47.441630694319159</v>
      </c>
      <c r="Q56" s="41">
        <f>Tableau1[[#This Row],[Conso HP / jour
Cumul]]*365</f>
        <v>17316.195203426494</v>
      </c>
      <c r="R56" s="21">
        <v>120700</v>
      </c>
      <c r="S56" s="38">
        <f>Tableau1[[#This Row],[Index HC_x000D_
kWh]]-R55</f>
        <v>0</v>
      </c>
      <c r="T56" s="42">
        <f>Tableau1[[#This Row],[Différence_x000D_ HC
Instantané]]/(Tableau1[[#This Row],[Diff jour
Instantané]]*24)</f>
        <v>0</v>
      </c>
      <c r="U56" s="42">
        <f>Tableau1[[#This Row],[Différence_x000D_ HC
Instantané]]/Tableau1[[#This Row],[Diff jour
Instantané]]</f>
        <v>0</v>
      </c>
      <c r="V56" s="42">
        <f>Tableau1[[#This Row],[Conso HC / jour_x000D_
Instantané]]*365</f>
        <v>0</v>
      </c>
      <c r="W56" s="38">
        <f>Tableau1[[#This Row],[Index HC_x000D_
kWh]]-$R$5</f>
        <v>1268</v>
      </c>
      <c r="X56" s="43">
        <f>Tableau1[[#This Row],[Différence HC
Cumul]]/(Tableau1[[#This Row],[Diff jour_x000D_
Cumul]]*24)</f>
        <v>0.89485879626914033</v>
      </c>
      <c r="Y56" s="43">
        <f>Tableau1[[#This Row],[Différence HC
Cumul]]/Tableau1[[#This Row],[Diff jour_x000D_
Cumul]]</f>
        <v>21.47661111045937</v>
      </c>
      <c r="Z56" s="43">
        <f>Tableau1[[#This Row],[Conso HC / jour_x000D_
Cumul]]*365</f>
        <v>7838.9630553176703</v>
      </c>
      <c r="AA56" s="38">
        <f>Tableau1[[#This Row],[Différence HP
Instantané]]+Tableau1[[#This Row],[Différence_x000D_ HC
Instantané]]</f>
        <v>39</v>
      </c>
      <c r="AB56" s="41">
        <f>Tableau1[[#This Row],[Conso HP + HC
Instantané]]/(Tableau1[[#This Row],[Diff jour
Instantané]]*24)</f>
        <v>4.1342756183677558</v>
      </c>
      <c r="AC56" s="34">
        <f>IF(ISERROR(Tableau1[[#This Row],[Date]]-A55),"",Tableau1[[#This Row],[Conso HP + HC
Instantané]]/Tableau1[[#This Row],[Diff jour
Instantané]])</f>
        <v>99.222614840826139</v>
      </c>
      <c r="AD56" s="41">
        <f>Tableau1[[#This Row],[Conso HP + HC / jour_x000D_
Instantané]]*365</f>
        <v>36216.254416901538</v>
      </c>
      <c r="AE56" s="38">
        <f>Tableau1[[#This Row],[Différence HP
Cumul]]+Tableau1[[#This Row],[Différence HC
Cumul]]</f>
        <v>4069</v>
      </c>
      <c r="AF56" s="40">
        <f>(Tableau1[[#This Row],[Conso HP + HC
Cumul]]-AE$6)/Tableau1[[#This Row],[Diff jour_x000D_
Cumul
depuis le 24/01]]</f>
        <v>71.477517479041168</v>
      </c>
      <c r="AG56" s="40">
        <f>(Tableau1[[#This Row],[Conso HP + HC
Cumul]]-AE$59)/Tableau1[[#This Row],[Diff jour_x000D_
Cumul
depuis
précédente facture
16/02/2021]]</f>
        <v>69.150733659182251</v>
      </c>
      <c r="AH56" s="41">
        <f>Tableau1[[#This Row],[Conso HP + HC
Cumul]]/(Tableau1[[#This Row],[Diff jour_x000D_
Cumul]]*24)</f>
        <v>2.8715934085324384</v>
      </c>
      <c r="AI56" s="41">
        <f>Tableau1[[#This Row],[Conso HP + HC
Cumul]]/Tableau1[[#This Row],[Diff jour_x000D_
Cumul]]</f>
        <v>68.918241804778518</v>
      </c>
      <c r="AJ56" s="41">
        <f>Tableau1[[#This Row],[Conso HP + HC / jour_x000D_
Cumul]]*365</f>
        <v>25155.158258744159</v>
      </c>
      <c r="AK56" s="44">
        <f>(Tableau1[[#This Row],[Différence HP
Cumul]]*0.1799)+(Tableau1[[#This Row],[Différence HC
Cumul]]*0.1346)</f>
        <v>674.57269999999994</v>
      </c>
      <c r="AL56" s="44">
        <f>Tableau1[[#This Row],[Montant
Tarif HP/HC]]/Tableau1[[#This Row],[Diff jour_x000D_
Cumul]]</f>
        <v>11.425501217375846</v>
      </c>
      <c r="AM56" s="44">
        <f>(Tableau1[[#This Row],[Montant
Tarif HP/HC]]-AK$6)/Tableau1[[#This Row],[Diff jour_x000D_
Cumul
depuis le 24/01]]</f>
        <v>11.935843599854106</v>
      </c>
      <c r="AN56" s="44">
        <f>(Tableau1[[#This Row],[Montant
Tarif HP/HC]]-AK$59)/Tableau1[[#This Row],[Diff jour_x000D_
Cumul
depuis
précédente facture
16/02/2021]]</f>
        <v>11.134996887469846</v>
      </c>
      <c r="AO56" s="44">
        <f>Tableau1[[#This Row],[Conso HP + HC
Cumul]]*0.1599</f>
        <v>650.6330999999999</v>
      </c>
      <c r="AP56" s="44">
        <f>Tableau1[[#This Row],[Montant
Tarif normal]]/Tableau1[[#This Row],[Diff jour_x000D_
Cumul]]</f>
        <v>11.020026864584084</v>
      </c>
      <c r="AQ56" s="44">
        <f>(Tableau1[[#This Row],[Conso HP / an
Cumul]]*0.1799)+(Tableau1[[#This Row],[Conso HC / an_x000D_
Cumul]]*0.1346)</f>
        <v>4170.3079443421848</v>
      </c>
      <c r="AR56" s="44">
        <f>Tableau1[[#This Row],[Conso HP + HC / an_x000D_
Cumul]]*0.1599</f>
        <v>4022.3098055731907</v>
      </c>
      <c r="AS56" s="38">
        <f>MONTH(Tableau1[[#This Row],[Date]])</f>
        <v>2</v>
      </c>
      <c r="AT56" s="38">
        <f>YEAR(Tableau1[[#This Row],[Date]])</f>
        <v>2021</v>
      </c>
    </row>
    <row r="57" spans="1:46" x14ac:dyDescent="0.2">
      <c r="A57" s="19">
        <v>44242.275694444441</v>
      </c>
      <c r="B57" s="20">
        <v>5.4</v>
      </c>
      <c r="C57" s="39">
        <f>IF(ISERROR(Tableau1[[#This Row],[Date]]-A56),"",Tableau1[[#This Row],[Date]]-A56)</f>
        <v>0.52638888888759539</v>
      </c>
      <c r="D57" s="40">
        <f>IF(ISERROR(Tableau1[[#This Row],[Date]]-A56),"",Tableau1[[#This Row],[Date]]-A56)</f>
        <v>0.52638888888759539</v>
      </c>
      <c r="E57" s="39">
        <f>Tableau1[[#This Row],[Date]]-$A$5</f>
        <v>59.567361111105129</v>
      </c>
      <c r="F57" s="40">
        <f>Tableau1[[#This Row],[Date]]-$A$5</f>
        <v>59.567361111105129</v>
      </c>
      <c r="G57" s="40">
        <f>Tableau1[[#This Row],[Diff jour_x000D_
Cumul]]-F$6</f>
        <v>21.484027777776646</v>
      </c>
      <c r="H57" s="40">
        <f>Tableau1[[#This Row],[Diff jour_x000D_
Cumul]]-F$59</f>
        <v>-1.0354166666729725</v>
      </c>
      <c r="I57" s="21">
        <v>182574</v>
      </c>
      <c r="J57" s="38">
        <f>IF(ISERROR(Tableau1[[#This Row],[Index HP
kWh]]-I56),"",Tableau1[[#This Row],[Index HP
kWh]]-I56)</f>
        <v>14</v>
      </c>
      <c r="K57" s="40">
        <f>IF(ISERROR(Tableau1[[#This Row],[Différence HP
Instantané]]/(Tableau1[[#This Row],[Diff jour
Instantané]]*24)),"",Tableau1[[#This Row],[Différence HP
Instantané]]/(Tableau1[[#This Row],[Diff jour
Instantané]]*24))</f>
        <v>1.1081794195277892</v>
      </c>
      <c r="L57" s="40">
        <f>Tableau1[[#This Row],[Différence HP
Instantané]]/Tableau1[[#This Row],[Diff jour
Instantané]]</f>
        <v>26.596306068666937</v>
      </c>
      <c r="M57" s="40">
        <f>Tableau1[[#This Row],[Conso HP / jour
Instantané]]*365</f>
        <v>9707.6517150634318</v>
      </c>
      <c r="N57" s="38">
        <f>Tableau1[[#This Row],[Index HP
kWh]]-$I$5</f>
        <v>2815</v>
      </c>
      <c r="O57" s="41">
        <f>Tableau1[[#This Row],[Différence HP
Cumul]]/(Tableau1[[#This Row],[Diff jour_x000D_
Cumul]]*24)</f>
        <v>1.9690593049420819</v>
      </c>
      <c r="P57" s="41">
        <f>Tableau1[[#This Row],[Différence HP
Cumul]]/Tableau1[[#This Row],[Diff jour_x000D_
Cumul]]</f>
        <v>47.257423318609966</v>
      </c>
      <c r="Q57" s="41">
        <f>Tableau1[[#This Row],[Conso HP / jour
Cumul]]*365</f>
        <v>17248.959511292636</v>
      </c>
      <c r="R57" s="21">
        <v>120725</v>
      </c>
      <c r="S57" s="38">
        <f>Tableau1[[#This Row],[Index HC_x000D_
kWh]]-R56</f>
        <v>25</v>
      </c>
      <c r="T57" s="42">
        <f>Tableau1[[#This Row],[Différence_x000D_ HC
Instantané]]/(Tableau1[[#This Row],[Diff jour
Instantané]]*24)</f>
        <v>1.9788918205853376</v>
      </c>
      <c r="U57" s="42">
        <f>Tableau1[[#This Row],[Différence_x000D_ HC
Instantané]]/Tableau1[[#This Row],[Diff jour
Instantané]]</f>
        <v>47.493403694048105</v>
      </c>
      <c r="V57" s="42">
        <f>Tableau1[[#This Row],[Conso HC / jour_x000D_
Instantané]]*365</f>
        <v>17335.092348327558</v>
      </c>
      <c r="W57" s="38">
        <f>Tableau1[[#This Row],[Index HC_x000D_
kWh]]-$R$5</f>
        <v>1293</v>
      </c>
      <c r="X57" s="43">
        <f>Tableau1[[#This Row],[Différence HC
Cumul]]/(Tableau1[[#This Row],[Diff jour_x000D_
Cumul]]*24)</f>
        <v>0.90443825267854772</v>
      </c>
      <c r="Y57" s="43">
        <f>Tableau1[[#This Row],[Différence HC
Cumul]]/Tableau1[[#This Row],[Diff jour_x000D_
Cumul]]</f>
        <v>21.706518064285145</v>
      </c>
      <c r="Z57" s="43">
        <f>Tableau1[[#This Row],[Conso HC / jour_x000D_
Cumul]]*365</f>
        <v>7922.8790934640783</v>
      </c>
      <c r="AA57" s="38">
        <f>Tableau1[[#This Row],[Différence HP
Instantané]]+Tableau1[[#This Row],[Différence_x000D_ HC
Instantané]]</f>
        <v>39</v>
      </c>
      <c r="AB57" s="41">
        <f>Tableau1[[#This Row],[Conso HP + HC
Instantané]]/(Tableau1[[#This Row],[Diff jour
Instantané]]*24)</f>
        <v>3.0870712401131266</v>
      </c>
      <c r="AC57" s="34">
        <f>IF(ISERROR(Tableau1[[#This Row],[Date]]-A56),"",Tableau1[[#This Row],[Conso HP + HC
Instantané]]/Tableau1[[#This Row],[Diff jour
Instantané]])</f>
        <v>74.089709762715046</v>
      </c>
      <c r="AD57" s="41">
        <f>Tableau1[[#This Row],[Conso HP + HC / jour_x000D_
Instantané]]*365</f>
        <v>27042.74406339099</v>
      </c>
      <c r="AE57" s="38">
        <f>Tableau1[[#This Row],[Différence HP
Cumul]]+Tableau1[[#This Row],[Différence HC
Cumul]]</f>
        <v>4108</v>
      </c>
      <c r="AF57" s="40">
        <f>(Tableau1[[#This Row],[Conso HP + HC
Cumul]]-AE$6)/Tableau1[[#This Row],[Diff jour_x000D_
Cumul
depuis le 24/01]]</f>
        <v>71.541519862951048</v>
      </c>
      <c r="AG57" s="40">
        <f>(Tableau1[[#This Row],[Conso HP + HC
Cumul]]-AE$59)/Tableau1[[#This Row],[Diff jour_x000D_
Cumul
depuis
précédente facture
16/02/2021]]</f>
        <v>66.63983903379939</v>
      </c>
      <c r="AH57" s="41">
        <f>Tableau1[[#This Row],[Conso HP + HC
Cumul]]/(Tableau1[[#This Row],[Diff jour_x000D_
Cumul]]*24)</f>
        <v>2.8734975576206296</v>
      </c>
      <c r="AI57" s="41">
        <f>Tableau1[[#This Row],[Conso HP + HC
Cumul]]/Tableau1[[#This Row],[Diff jour_x000D_
Cumul]]</f>
        <v>68.963941382895115</v>
      </c>
      <c r="AJ57" s="41">
        <f>Tableau1[[#This Row],[Conso HP + HC / jour_x000D_
Cumul]]*365</f>
        <v>25171.838604756718</v>
      </c>
      <c r="AK57" s="44">
        <f>(Tableau1[[#This Row],[Différence HP
Cumul]]*0.1799)+(Tableau1[[#This Row],[Différence HC
Cumul]]*0.1346)</f>
        <v>680.45630000000006</v>
      </c>
      <c r="AL57" s="44">
        <f>Tableau1[[#This Row],[Montant
Tarif HP/HC]]/Tableau1[[#This Row],[Diff jour_x000D_
Cumul]]</f>
        <v>11.423307786470714</v>
      </c>
      <c r="AM57" s="44">
        <f>(Tableau1[[#This Row],[Montant
Tarif HP/HC]]-AK$6)/Tableau1[[#This Row],[Diff jour_x000D_
Cumul
depuis le 24/01]]</f>
        <v>11.917257911239599</v>
      </c>
      <c r="AN57" s="44">
        <f>(Tableau1[[#This Row],[Montant
Tarif HP/HC]]-AK$59)/Tableau1[[#This Row],[Diff jour_x000D_
Cumul
depuis
précédente facture
16/02/2021]]</f>
        <v>11.113496981823591</v>
      </c>
      <c r="AO57" s="44">
        <f>Tableau1[[#This Row],[Conso HP + HC
Cumul]]*0.1599</f>
        <v>656.86919999999998</v>
      </c>
      <c r="AP57" s="44">
        <f>Tableau1[[#This Row],[Montant
Tarif normal]]/Tableau1[[#This Row],[Diff jour_x000D_
Cumul]]</f>
        <v>11.027334227124928</v>
      </c>
      <c r="AQ57" s="44">
        <f>(Tableau1[[#This Row],[Conso HP / an
Cumul]]*0.1799)+(Tableau1[[#This Row],[Conso HC / an_x000D_
Cumul]]*0.1346)</f>
        <v>4169.50734206181</v>
      </c>
      <c r="AR57" s="44">
        <f>Tableau1[[#This Row],[Conso HP + HC / an_x000D_
Cumul]]*0.1599</f>
        <v>4024.9769929005988</v>
      </c>
      <c r="AS57" s="38">
        <f>MONTH(Tableau1[[#This Row],[Date]])</f>
        <v>2</v>
      </c>
      <c r="AT57" s="38">
        <f>YEAR(Tableau1[[#This Row],[Date]])</f>
        <v>2021</v>
      </c>
    </row>
    <row r="58" spans="1:46" x14ac:dyDescent="0.2">
      <c r="A58" s="19">
        <v>44242.572222222225</v>
      </c>
      <c r="B58" s="20">
        <v>10.9</v>
      </c>
      <c r="C58" s="39">
        <f>IF(ISERROR(Tableau1[[#This Row],[Date]]-A57),"",Tableau1[[#This Row],[Date]]-A57)</f>
        <v>0.29652777778392192</v>
      </c>
      <c r="D58" s="40">
        <f>IF(ISERROR(Tableau1[[#This Row],[Date]]-A57),"",Tableau1[[#This Row],[Date]]-A57)</f>
        <v>0.29652777778392192</v>
      </c>
      <c r="E58" s="39">
        <f>Tableau1[[#This Row],[Date]]-$A$5</f>
        <v>59.863888888889051</v>
      </c>
      <c r="F58" s="40">
        <f>Tableau1[[#This Row],[Date]]-$A$5</f>
        <v>59.863888888889051</v>
      </c>
      <c r="G58" s="40">
        <f>Tableau1[[#This Row],[Diff jour_x000D_
Cumul]]-F$6</f>
        <v>21.780555555560568</v>
      </c>
      <c r="H58" s="40">
        <f>Tableau1[[#This Row],[Diff jour_x000D_
Cumul]]-F$59</f>
        <v>-0.73888888888905058</v>
      </c>
      <c r="I58" s="21">
        <v>182599</v>
      </c>
      <c r="J58" s="38">
        <f>IF(ISERROR(Tableau1[[#This Row],[Index HP
kWh]]-I57),"",Tableau1[[#This Row],[Index HP
kWh]]-I57)</f>
        <v>25</v>
      </c>
      <c r="K58" s="40">
        <f>IF(ISERROR(Tableau1[[#This Row],[Différence HP
Instantané]]/(Tableau1[[#This Row],[Diff jour
Instantané]]*24)),"",Tableau1[[#This Row],[Différence HP
Instantané]]/(Tableau1[[#This Row],[Diff jour
Instantané]]*24))</f>
        <v>3.5128805619881018</v>
      </c>
      <c r="L58" s="40">
        <f>Tableau1[[#This Row],[Différence HP
Instantané]]/Tableau1[[#This Row],[Diff jour
Instantané]]</f>
        <v>84.309133487714448</v>
      </c>
      <c r="M58" s="40">
        <f>Tableau1[[#This Row],[Conso HP / jour
Instantané]]*365</f>
        <v>30772.833723015774</v>
      </c>
      <c r="N58" s="38">
        <f>Tableau1[[#This Row],[Index HP
kWh]]-$I$5</f>
        <v>2840</v>
      </c>
      <c r="O58" s="41">
        <f>Tableau1[[#This Row],[Différence HP
Cumul]]/(Tableau1[[#This Row],[Diff jour_x000D_
Cumul]]*24)</f>
        <v>1.976706417335617</v>
      </c>
      <c r="P58" s="41">
        <f>Tableau1[[#This Row],[Différence HP
Cumul]]/Tableau1[[#This Row],[Diff jour_x000D_
Cumul]]</f>
        <v>47.44095401605481</v>
      </c>
      <c r="Q58" s="41">
        <f>Tableau1[[#This Row],[Conso HP / jour
Cumul]]*365</f>
        <v>17315.948215860008</v>
      </c>
      <c r="R58" s="21">
        <v>120725</v>
      </c>
      <c r="S58" s="38">
        <f>Tableau1[[#This Row],[Index HC_x000D_
kWh]]-R57</f>
        <v>0</v>
      </c>
      <c r="T58" s="42">
        <f>Tableau1[[#This Row],[Différence_x000D_ HC
Instantané]]/(Tableau1[[#This Row],[Diff jour
Instantané]]*24)</f>
        <v>0</v>
      </c>
      <c r="U58" s="42">
        <f>Tableau1[[#This Row],[Différence_x000D_ HC
Instantané]]/Tableau1[[#This Row],[Diff jour
Instantané]]</f>
        <v>0</v>
      </c>
      <c r="V58" s="42">
        <f>Tableau1[[#This Row],[Conso HC / jour_x000D_
Instantané]]*365</f>
        <v>0</v>
      </c>
      <c r="W58" s="38">
        <f>Tableau1[[#This Row],[Index HC_x000D_
kWh]]-$R$5</f>
        <v>1293</v>
      </c>
      <c r="X58" s="43">
        <f>Tableau1[[#This Row],[Différence HC
Cumul]]/(Tableau1[[#This Row],[Diff jour_x000D_
Cumul]]*24)</f>
        <v>0.89995823859681445</v>
      </c>
      <c r="Y58" s="43">
        <f>Tableau1[[#This Row],[Différence HC
Cumul]]/Tableau1[[#This Row],[Diff jour_x000D_
Cumul]]</f>
        <v>21.598997726323546</v>
      </c>
      <c r="Z58" s="43">
        <f>Tableau1[[#This Row],[Conso HC / jour_x000D_
Cumul]]*365</f>
        <v>7883.6341701080946</v>
      </c>
      <c r="AA58" s="38">
        <f>Tableau1[[#This Row],[Différence HP
Instantané]]+Tableau1[[#This Row],[Différence_x000D_ HC
Instantané]]</f>
        <v>25</v>
      </c>
      <c r="AB58" s="41">
        <f>Tableau1[[#This Row],[Conso HP + HC
Instantané]]/(Tableau1[[#This Row],[Diff jour
Instantané]]*24)</f>
        <v>3.5128805619881018</v>
      </c>
      <c r="AC58" s="34">
        <f>IF(ISERROR(Tableau1[[#This Row],[Date]]-A57),"",Tableau1[[#This Row],[Conso HP + HC
Instantané]]/Tableau1[[#This Row],[Diff jour
Instantané]])</f>
        <v>84.309133487714448</v>
      </c>
      <c r="AD58" s="41">
        <f>Tableau1[[#This Row],[Conso HP + HC / jour_x000D_
Instantané]]*365</f>
        <v>30772.833723015774</v>
      </c>
      <c r="AE58" s="38">
        <f>Tableau1[[#This Row],[Différence HP
Cumul]]+Tableau1[[#This Row],[Différence HC
Cumul]]</f>
        <v>4133</v>
      </c>
      <c r="AF58" s="40">
        <f>(Tableau1[[#This Row],[Conso HP + HC
Cumul]]-AE$6)/Tableau1[[#This Row],[Diff jour_x000D_
Cumul
depuis le 24/01]]</f>
        <v>71.715342430795886</v>
      </c>
      <c r="AG58" s="40">
        <f>(Tableau1[[#This Row],[Conso HP + HC
Cumul]]-AE$59)/Tableau1[[#This Row],[Diff jour_x000D_
Cumul
depuis
précédente facture
16/02/2021]]</f>
        <v>59.548872180438096</v>
      </c>
      <c r="AH58" s="41">
        <f>Tableau1[[#This Row],[Conso HP + HC
Cumul]]/(Tableau1[[#This Row],[Diff jour_x000D_
Cumul]]*24)</f>
        <v>2.8766646559324314</v>
      </c>
      <c r="AI58" s="41">
        <f>Tableau1[[#This Row],[Conso HP + HC
Cumul]]/Tableau1[[#This Row],[Diff jour_x000D_
Cumul]]</f>
        <v>69.039951742378364</v>
      </c>
      <c r="AJ58" s="41">
        <f>Tableau1[[#This Row],[Conso HP + HC / jour_x000D_
Cumul]]*365</f>
        <v>25199.582385968104</v>
      </c>
      <c r="AK58" s="44">
        <f>(Tableau1[[#This Row],[Différence HP
Cumul]]*0.1799)+(Tableau1[[#This Row],[Différence HC
Cumul]]*0.1346)</f>
        <v>684.9538</v>
      </c>
      <c r="AL58" s="44">
        <f>Tableau1[[#This Row],[Montant
Tarif HP/HC]]/Tableau1[[#This Row],[Diff jour_x000D_
Cumul]]</f>
        <v>11.44185272145141</v>
      </c>
      <c r="AM58" s="44">
        <f>(Tableau1[[#This Row],[Montant
Tarif HP/HC]]-AK$6)/Tableau1[[#This Row],[Diff jour_x000D_
Cumul
depuis le 24/01]]</f>
        <v>11.961503889807219</v>
      </c>
      <c r="AN58" s="44">
        <f>(Tableau1[[#This Row],[Montant
Tarif HP/HC]]-AK$59)/Tableau1[[#This Row],[Diff jour_x000D_
Cumul
depuis
précédente facture
16/02/2021]]</f>
        <v>9.4866766917272169</v>
      </c>
      <c r="AO58" s="44">
        <f>Tableau1[[#This Row],[Conso HP + HC
Cumul]]*0.1599</f>
        <v>660.86669999999992</v>
      </c>
      <c r="AP58" s="44">
        <f>Tableau1[[#This Row],[Montant
Tarif normal]]/Tableau1[[#This Row],[Diff jour_x000D_
Cumul]]</f>
        <v>11.039488283606298</v>
      </c>
      <c r="AQ58" s="44">
        <f>(Tableau1[[#This Row],[Conso HP / an
Cumul]]*0.1799)+(Tableau1[[#This Row],[Conso HC / an_x000D_
Cumul]]*0.1346)</f>
        <v>4176.2762433297648</v>
      </c>
      <c r="AR58" s="44">
        <f>Tableau1[[#This Row],[Conso HP + HC / an_x000D_
Cumul]]*0.1599</f>
        <v>4029.4132235162997</v>
      </c>
      <c r="AS58" s="38">
        <f>MONTH(Tableau1[[#This Row],[Date]])</f>
        <v>2</v>
      </c>
      <c r="AT58" s="38">
        <f>YEAR(Tableau1[[#This Row],[Date]])</f>
        <v>2021</v>
      </c>
    </row>
    <row r="59" spans="1:46" s="52" customFormat="1" x14ac:dyDescent="0.2">
      <c r="A59" s="24">
        <v>44243.311111111114</v>
      </c>
      <c r="B59" s="25">
        <v>6.1</v>
      </c>
      <c r="C59" s="45">
        <f>IF(ISERROR(Tableau1[[#This Row],[Date]]-A58),"",Tableau1[[#This Row],[Date]]-A58)</f>
        <v>0.73888888888905058</v>
      </c>
      <c r="D59" s="46">
        <f>IF(ISERROR(Tableau1[[#This Row],[Date]]-A58),"",Tableau1[[#This Row],[Date]]-A58)</f>
        <v>0.73888888888905058</v>
      </c>
      <c r="E59" s="45">
        <f>Tableau1[[#This Row],[Date]]-$A$5</f>
        <v>60.602777777778101</v>
      </c>
      <c r="F59" s="46">
        <f>Tableau1[[#This Row],[Date]]-$A$5</f>
        <v>60.602777777778101</v>
      </c>
      <c r="G59" s="46">
        <f>Tableau1[[#This Row],[Diff jour_x000D_
Cumul]]-F$6</f>
        <v>22.519444444449618</v>
      </c>
      <c r="H59" s="46">
        <f>Tableau1[[#This Row],[Diff jour_x000D_
Cumul]]-F$59</f>
        <v>0</v>
      </c>
      <c r="I59" s="26">
        <v>182623</v>
      </c>
      <c r="J59" s="47">
        <f>IF(ISERROR(Tableau1[[#This Row],[Index HP
kWh]]-I58),"",Tableau1[[#This Row],[Index HP
kWh]]-I58)</f>
        <v>24</v>
      </c>
      <c r="K59" s="46">
        <f>IF(ISERROR(Tableau1[[#This Row],[Différence HP
Instantané]]/(Tableau1[[#This Row],[Diff jour
Instantané]]*24)),"",Tableau1[[#This Row],[Différence HP
Instantané]]/(Tableau1[[#This Row],[Diff jour
Instantané]]*24))</f>
        <v>1.3533834586463205</v>
      </c>
      <c r="L59" s="46">
        <f>Tableau1[[#This Row],[Différence HP
Instantané]]/Tableau1[[#This Row],[Diff jour
Instantané]]</f>
        <v>32.481203007511688</v>
      </c>
      <c r="M59" s="46">
        <f>Tableau1[[#This Row],[Conso HP / jour
Instantané]]*365</f>
        <v>11855.639097741767</v>
      </c>
      <c r="N59" s="47">
        <f>Tableau1[[#This Row],[Index HP
kWh]]-$I$5</f>
        <v>2864</v>
      </c>
      <c r="O59" s="48">
        <f>Tableau1[[#This Row],[Différence HP
Cumul]]/(Tableau1[[#This Row],[Diff jour_x000D_
Cumul]]*24)</f>
        <v>1.9691066599440699</v>
      </c>
      <c r="P59" s="48">
        <f>Tableau1[[#This Row],[Différence HP
Cumul]]/Tableau1[[#This Row],[Diff jour_x000D_
Cumul]]</f>
        <v>47.258559838657675</v>
      </c>
      <c r="Q59" s="48">
        <f>Tableau1[[#This Row],[Conso HP / jour
Cumul]]*365</f>
        <v>17249.374341110051</v>
      </c>
      <c r="R59" s="26">
        <v>120745</v>
      </c>
      <c r="S59" s="47">
        <f>Tableau1[[#This Row],[Index HC_x000D_
kWh]]-R58</f>
        <v>20</v>
      </c>
      <c r="T59" s="49">
        <f>Tableau1[[#This Row],[Différence_x000D_ HC
Instantané]]/(Tableau1[[#This Row],[Diff jour
Instantané]]*24)</f>
        <v>1.1278195488719336</v>
      </c>
      <c r="U59" s="49">
        <f>Tableau1[[#This Row],[Différence_x000D_ HC
Instantané]]/Tableau1[[#This Row],[Diff jour
Instantané]]</f>
        <v>27.067669172926408</v>
      </c>
      <c r="V59" s="49">
        <f>Tableau1[[#This Row],[Conso HC / jour_x000D_
Instantané]]*365</f>
        <v>9879.6992481181387</v>
      </c>
      <c r="W59" s="47">
        <f>Tableau1[[#This Row],[Index HC_x000D_
kWh]]-$R$5</f>
        <v>1313</v>
      </c>
      <c r="X59" s="50">
        <f>Tableau1[[#This Row],[Différence HC
Cumul]]/(Tableau1[[#This Row],[Diff jour_x000D_
Cumul]]*24)</f>
        <v>0.90273639822156548</v>
      </c>
      <c r="Y59" s="50">
        <f>Tableau1[[#This Row],[Différence HC
Cumul]]/Tableau1[[#This Row],[Diff jour_x000D_
Cumul]]</f>
        <v>21.665673557317572</v>
      </c>
      <c r="Z59" s="50">
        <f>Tableau1[[#This Row],[Conso HC / jour_x000D_
Cumul]]*365</f>
        <v>7907.9708484209141</v>
      </c>
      <c r="AA59" s="47">
        <f>Tableau1[[#This Row],[Différence HP
Instantané]]+Tableau1[[#This Row],[Différence_x000D_ HC
Instantané]]</f>
        <v>44</v>
      </c>
      <c r="AB59" s="48">
        <f>Tableau1[[#This Row],[Conso HP + HC
Instantané]]/(Tableau1[[#This Row],[Diff jour
Instantané]]*24)</f>
        <v>2.4812030075182538</v>
      </c>
      <c r="AC59" s="34">
        <f>IF(ISERROR(Tableau1[[#This Row],[Date]]-A58),"",Tableau1[[#This Row],[Conso HP + HC
Instantané]]/Tableau1[[#This Row],[Diff jour
Instantané]])</f>
        <v>59.548872180438096</v>
      </c>
      <c r="AD59" s="48">
        <f>Tableau1[[#This Row],[Conso HP + HC / jour_x000D_
Instantané]]*365</f>
        <v>21735.338345859906</v>
      </c>
      <c r="AE59" s="47">
        <f>Tableau1[[#This Row],[Différence HP
Cumul]]+Tableau1[[#This Row],[Différence HC
Cumul]]</f>
        <v>4177</v>
      </c>
      <c r="AF59" s="46">
        <f>(Tableau1[[#This Row],[Conso HP + HC
Cumul]]-AE$6)/Tableau1[[#This Row],[Diff jour_x000D_
Cumul
depuis le 24/01]]</f>
        <v>71.316146540010749</v>
      </c>
      <c r="AG59" s="46" t="e">
        <f>(Tableau1[[#This Row],[Conso HP + HC
Cumul]]-AE$59)/Tableau1[[#This Row],[Diff jour_x000D_
Cumul
depuis
précédente facture
16/02/2021]]</f>
        <v>#DIV/0!</v>
      </c>
      <c r="AH59" s="48">
        <f>Tableau1[[#This Row],[Conso HP + HC
Cumul]]/(Tableau1[[#This Row],[Diff jour_x000D_
Cumul]]*24)</f>
        <v>2.8718430581656351</v>
      </c>
      <c r="AI59" s="48">
        <f>Tableau1[[#This Row],[Conso HP + HC
Cumul]]/Tableau1[[#This Row],[Diff jour_x000D_
Cumul]]</f>
        <v>68.92423339597525</v>
      </c>
      <c r="AJ59" s="48">
        <f>Tableau1[[#This Row],[Conso HP + HC / jour_x000D_
Cumul]]*365</f>
        <v>25157.345189530966</v>
      </c>
      <c r="AK59" s="51">
        <f>(Tableau1[[#This Row],[Différence HP
Cumul]]*0.1799)+(Tableau1[[#This Row],[Différence HC
Cumul]]*0.1346)</f>
        <v>691.96339999999998</v>
      </c>
      <c r="AL59" s="51">
        <f>Tableau1[[#This Row],[Montant
Tarif HP/HC]]/Tableau1[[#This Row],[Diff jour_x000D_
Cumul]]</f>
        <v>11.41801457578946</v>
      </c>
      <c r="AM59" s="51">
        <f>(Tableau1[[#This Row],[Montant
Tarif HP/HC]]-AK$6)/Tableau1[[#This Row],[Diff jour_x000D_
Cumul
depuis le 24/01]]</f>
        <v>11.880301961265308</v>
      </c>
      <c r="AN59" s="51" t="e">
        <f>(Tableau1[[#This Row],[Montant
Tarif HP/HC]]-AK$59)/Tableau1[[#This Row],[Diff jour_x000D_
Cumul
depuis
précédente facture
16/02/2021]]</f>
        <v>#DIV/0!</v>
      </c>
      <c r="AO59" s="51">
        <f>Tableau1[[#This Row],[Conso HP + HC
Cumul]]*0.1599</f>
        <v>667.90229999999997</v>
      </c>
      <c r="AP59" s="51">
        <f>Tableau1[[#This Row],[Montant
Tarif normal]]/Tableau1[[#This Row],[Diff jour_x000D_
Cumul]]</f>
        <v>11.020984920016442</v>
      </c>
      <c r="AQ59" s="51">
        <f>(Tableau1[[#This Row],[Conso HP / an
Cumul]]*0.1799)+(Tableau1[[#This Row],[Conso HC / an_x000D_
Cumul]]*0.1346)</f>
        <v>4167.5753201631533</v>
      </c>
      <c r="AR59" s="51">
        <f>Tableau1[[#This Row],[Conso HP + HC / an_x000D_
Cumul]]*0.1599</f>
        <v>4022.6594958060014</v>
      </c>
      <c r="AS59" s="38">
        <f>MONTH(Tableau1[[#This Row],[Date]])</f>
        <v>2</v>
      </c>
      <c r="AT59" s="38">
        <f>YEAR(Tableau1[[#This Row],[Date]])</f>
        <v>2021</v>
      </c>
    </row>
    <row r="60" spans="1:46" s="52" customFormat="1" x14ac:dyDescent="0.2">
      <c r="A60" s="24">
        <v>44243.850694444445</v>
      </c>
      <c r="B60" s="25">
        <v>9.5</v>
      </c>
      <c r="C60" s="45">
        <f>IF(ISERROR(Tableau1[[#This Row],[Date]]-A59),"",Tableau1[[#This Row],[Date]]-A59)</f>
        <v>0.53958333333139308</v>
      </c>
      <c r="D60" s="46">
        <f>IF(ISERROR(Tableau1[[#This Row],[Date]]-A59),"",Tableau1[[#This Row],[Date]]-A59)</f>
        <v>0.53958333333139308</v>
      </c>
      <c r="E60" s="45">
        <f>Tableau1[[#This Row],[Date]]-$A$5</f>
        <v>61.142361111109494</v>
      </c>
      <c r="F60" s="46">
        <f>Tableau1[[#This Row],[Date]]-$A$5</f>
        <v>61.142361111109494</v>
      </c>
      <c r="G60" s="46">
        <f>Tableau1[[#This Row],[Diff jour_x000D_
Cumul]]-F$6</f>
        <v>23.059027777781012</v>
      </c>
      <c r="H60" s="46">
        <f>Tableau1[[#This Row],[Diff jour_x000D_
Cumul]]-F$59</f>
        <v>0.53958333333139308</v>
      </c>
      <c r="I60" s="26">
        <v>182658</v>
      </c>
      <c r="J60" s="47">
        <f>IF(ISERROR(Tableau1[[#This Row],[Index HP
kWh]]-I59),"",Tableau1[[#This Row],[Index HP
kWh]]-I59)</f>
        <v>35</v>
      </c>
      <c r="K60" s="46">
        <f>IF(ISERROR(Tableau1[[#This Row],[Différence HP
Instantané]]/(Tableau1[[#This Row],[Diff jour
Instantané]]*24)),"",Tableau1[[#This Row],[Différence HP
Instantané]]/(Tableau1[[#This Row],[Diff jour
Instantané]]*24))</f>
        <v>2.7027027027124211</v>
      </c>
      <c r="L60" s="46">
        <f>Tableau1[[#This Row],[Différence HP
Instantané]]/Tableau1[[#This Row],[Diff jour
Instantané]]</f>
        <v>64.864864865098113</v>
      </c>
      <c r="M60" s="46">
        <f>Tableau1[[#This Row],[Conso HP / jour
Instantané]]*365</f>
        <v>23675.675675760813</v>
      </c>
      <c r="N60" s="47">
        <f>Tableau1[[#This Row],[Index HP
kWh]]-$I$5</f>
        <v>2899</v>
      </c>
      <c r="O60" s="48">
        <f>Tableau1[[#This Row],[Différence HP
Cumul]]/(Tableau1[[#This Row],[Diff jour_x000D_
Cumul]]*24)</f>
        <v>1.9755806689761439</v>
      </c>
      <c r="P60" s="48">
        <f>Tableau1[[#This Row],[Différence HP
Cumul]]/Tableau1[[#This Row],[Diff jour_x000D_
Cumul]]</f>
        <v>47.413936055427456</v>
      </c>
      <c r="Q60" s="48">
        <f>Tableau1[[#This Row],[Conso HP / jour
Cumul]]*365</f>
        <v>17306.08666023102</v>
      </c>
      <c r="R60" s="26">
        <v>120745</v>
      </c>
      <c r="S60" s="47">
        <f>Tableau1[[#This Row],[Index HC_x000D_
kWh]]-R59</f>
        <v>0</v>
      </c>
      <c r="T60" s="49">
        <f>Tableau1[[#This Row],[Différence_x000D_ HC
Instantané]]/(Tableau1[[#This Row],[Diff jour
Instantané]]*24)</f>
        <v>0</v>
      </c>
      <c r="U60" s="49">
        <f>Tableau1[[#This Row],[Différence_x000D_ HC
Instantané]]/Tableau1[[#This Row],[Diff jour
Instantané]]</f>
        <v>0</v>
      </c>
      <c r="V60" s="49">
        <f>Tableau1[[#This Row],[Conso HC / jour_x000D_
Instantané]]*365</f>
        <v>0</v>
      </c>
      <c r="W60" s="47">
        <f>Tableau1[[#This Row],[Index HC_x000D_
kWh]]-$R$5</f>
        <v>1313</v>
      </c>
      <c r="X60" s="50">
        <f>Tableau1[[#This Row],[Différence HC
Cumul]]/(Tableau1[[#This Row],[Diff jour_x000D_
Cumul]]*24)</f>
        <v>0.89476972002955402</v>
      </c>
      <c r="Y60" s="50">
        <f>Tableau1[[#This Row],[Différence HC
Cumul]]/Tableau1[[#This Row],[Diff jour_x000D_
Cumul]]</f>
        <v>21.474473280709297</v>
      </c>
      <c r="Z60" s="50">
        <f>Tableau1[[#This Row],[Conso HC / jour_x000D_
Cumul]]*365</f>
        <v>7838.1827474588936</v>
      </c>
      <c r="AA60" s="47">
        <f>Tableau1[[#This Row],[Différence HP
Instantané]]+Tableau1[[#This Row],[Différence_x000D_ HC
Instantané]]</f>
        <v>35</v>
      </c>
      <c r="AB60" s="48">
        <f>Tableau1[[#This Row],[Conso HP + HC
Instantané]]/(Tableau1[[#This Row],[Diff jour
Instantané]]*24)</f>
        <v>2.7027027027124211</v>
      </c>
      <c r="AC60" s="34">
        <f>IF(ISERROR(Tableau1[[#This Row],[Date]]-A59),"",Tableau1[[#This Row],[Conso HP + HC
Instantané]]/Tableau1[[#This Row],[Diff jour
Instantané]])</f>
        <v>64.864864865098113</v>
      </c>
      <c r="AD60" s="48">
        <f>Tableau1[[#This Row],[Conso HP + HC / jour_x000D_
Instantané]]*365</f>
        <v>23675.675675760813</v>
      </c>
      <c r="AE60" s="47">
        <f>Tableau1[[#This Row],[Différence HP
Cumul]]+Tableau1[[#This Row],[Différence HC
Cumul]]</f>
        <v>4212</v>
      </c>
      <c r="AF60" s="46">
        <f>(Tableau1[[#This Row],[Conso HP + HC
Cumul]]-AE$6)/Tableau1[[#This Row],[Diff jour_x000D_
Cumul
depuis le 24/01]]</f>
        <v>71.165185965958997</v>
      </c>
      <c r="AG60" s="46">
        <f>(Tableau1[[#This Row],[Conso HP + HC
Cumul]]-AE$59)/Tableau1[[#This Row],[Diff jour_x000D_
Cumul
depuis
précédente facture
16/02/2021]]</f>
        <v>64.864864865098113</v>
      </c>
      <c r="AH60" s="48">
        <f>Tableau1[[#This Row],[Conso HP + HC
Cumul]]/(Tableau1[[#This Row],[Diff jour_x000D_
Cumul]]*24)</f>
        <v>2.8703503890056981</v>
      </c>
      <c r="AI60" s="48">
        <f>Tableau1[[#This Row],[Conso HP + HC
Cumul]]/Tableau1[[#This Row],[Diff jour_x000D_
Cumul]]</f>
        <v>68.888409336136746</v>
      </c>
      <c r="AJ60" s="48">
        <f>Tableau1[[#This Row],[Conso HP + HC / jour_x000D_
Cumul]]*365</f>
        <v>25144.269407689913</v>
      </c>
      <c r="AK60" s="51">
        <f>(Tableau1[[#This Row],[Différence HP
Cumul]]*0.1799)+(Tableau1[[#This Row],[Différence HC
Cumul]]*0.1346)</f>
        <v>698.25990000000002</v>
      </c>
      <c r="AL60" s="51">
        <f>Tableau1[[#This Row],[Montant
Tarif HP/HC]]/Tableau1[[#This Row],[Diff jour_x000D_
Cumul]]</f>
        <v>11.420231199954872</v>
      </c>
      <c r="AM60" s="51">
        <f>(Tableau1[[#This Row],[Montant
Tarif HP/HC]]-AK$6)/Tableau1[[#This Row],[Diff jour_x000D_
Cumul
depuis le 24/01]]</f>
        <v>11.875361903326146</v>
      </c>
      <c r="AN60" s="51">
        <f>(Tableau1[[#This Row],[Montant
Tarif HP/HC]]-AK$59)/Tableau1[[#This Row],[Diff jour_x000D_
Cumul
depuis
précédente facture
16/02/2021]]</f>
        <v>11.669189189231219</v>
      </c>
      <c r="AO60" s="51">
        <f>Tableau1[[#This Row],[Conso HP + HC
Cumul]]*0.1599</f>
        <v>673.49879999999996</v>
      </c>
      <c r="AP60" s="51">
        <f>Tableau1[[#This Row],[Montant
Tarif normal]]/Tableau1[[#This Row],[Diff jour_x000D_
Cumul]]</f>
        <v>11.015256652848267</v>
      </c>
      <c r="AQ60" s="51">
        <f>(Tableau1[[#This Row],[Conso HP / an
Cumul]]*0.1799)+(Tableau1[[#This Row],[Conso HC / an_x000D_
Cumul]]*0.1346)</f>
        <v>4168.3843879835276</v>
      </c>
      <c r="AR60" s="51">
        <f>Tableau1[[#This Row],[Conso HP + HC / an_x000D_
Cumul]]*0.1599</f>
        <v>4020.5686782896169</v>
      </c>
      <c r="AS60" s="38">
        <f>MONTH(Tableau1[[#This Row],[Date]])</f>
        <v>2</v>
      </c>
      <c r="AT60" s="38">
        <f>YEAR(Tableau1[[#This Row],[Date]])</f>
        <v>2021</v>
      </c>
    </row>
    <row r="61" spans="1:46" x14ac:dyDescent="0.2">
      <c r="A61" s="19">
        <v>44244.290972222225</v>
      </c>
      <c r="B61" s="20">
        <v>8.9</v>
      </c>
      <c r="C61" s="39">
        <f>IF(ISERROR(Tableau1[[#This Row],[Date]]-A60),"",Tableau1[[#This Row],[Date]]-A60)</f>
        <v>0.44027777777955635</v>
      </c>
      <c r="D61" s="40">
        <f>IF(ISERROR(Tableau1[[#This Row],[Date]]-A60),"",Tableau1[[#This Row],[Date]]-A60)</f>
        <v>0.44027777777955635</v>
      </c>
      <c r="E61" s="39">
        <f>Tableau1[[#This Row],[Date]]-$A$5</f>
        <v>61.582638888889051</v>
      </c>
      <c r="F61" s="40">
        <f>Tableau1[[#This Row],[Date]]-$A$5</f>
        <v>61.582638888889051</v>
      </c>
      <c r="G61" s="40">
        <f>Tableau1[[#This Row],[Diff jour_x000D_
Cumul]]-F$6</f>
        <v>23.499305555560568</v>
      </c>
      <c r="H61" s="40">
        <f>Tableau1[[#This Row],[Diff jour_x000D_
Cumul]]-F$59</f>
        <v>0.97986111111094942</v>
      </c>
      <c r="I61" s="21">
        <v>182663</v>
      </c>
      <c r="J61" s="38">
        <f>IF(ISERROR(Tableau1[[#This Row],[Index HP
kWh]]-I60),"",Tableau1[[#This Row],[Index HP
kWh]]-I60)</f>
        <v>5</v>
      </c>
      <c r="K61" s="40">
        <f>IF(ISERROR(Tableau1[[#This Row],[Différence HP
Instantané]]/(Tableau1[[#This Row],[Diff jour
Instantané]]*24)),"",Tableau1[[#This Row],[Différence HP
Instantané]]/(Tableau1[[#This Row],[Diff jour
Instantané]]*24))</f>
        <v>0.47318611987190551</v>
      </c>
      <c r="L61" s="40">
        <f>Tableau1[[#This Row],[Différence HP
Instantané]]/Tableau1[[#This Row],[Diff jour
Instantané]]</f>
        <v>11.356466876925733</v>
      </c>
      <c r="M61" s="40">
        <f>Tableau1[[#This Row],[Conso HP / jour
Instantané]]*365</f>
        <v>4145.110410077893</v>
      </c>
      <c r="N61" s="38">
        <f>Tableau1[[#This Row],[Index HP
kWh]]-$I$5</f>
        <v>2904</v>
      </c>
      <c r="O61" s="41">
        <f>Tableau1[[#This Row],[Différence HP
Cumul]]/(Tableau1[[#This Row],[Diff jour_x000D_
Cumul]]*24)</f>
        <v>1.9648394772155702</v>
      </c>
      <c r="P61" s="41">
        <f>Tableau1[[#This Row],[Différence HP
Cumul]]/Tableau1[[#This Row],[Diff jour_x000D_
Cumul]]</f>
        <v>47.156147453173681</v>
      </c>
      <c r="Q61" s="41">
        <f>Tableau1[[#This Row],[Conso HP / jour
Cumul]]*365</f>
        <v>17211.993820408392</v>
      </c>
      <c r="R61" s="21">
        <v>120761</v>
      </c>
      <c r="S61" s="38">
        <f>Tableau1[[#This Row],[Index HC_x000D_
kWh]]-R60</f>
        <v>16</v>
      </c>
      <c r="T61" s="42">
        <f>Tableau1[[#This Row],[Différence_x000D_ HC
Instantané]]/(Tableau1[[#This Row],[Diff jour
Instantané]]*24)</f>
        <v>1.5141955835900978</v>
      </c>
      <c r="U61" s="42">
        <f>Tableau1[[#This Row],[Différence_x000D_ HC
Instantané]]/Tableau1[[#This Row],[Diff jour
Instantané]]</f>
        <v>36.340694006162344</v>
      </c>
      <c r="V61" s="42">
        <f>Tableau1[[#This Row],[Conso HC / jour_x000D_
Instantané]]*365</f>
        <v>13264.353312249255</v>
      </c>
      <c r="W61" s="38">
        <f>Tableau1[[#This Row],[Index HC_x000D_
kWh]]-$R$5</f>
        <v>1329</v>
      </c>
      <c r="X61" s="43">
        <f>Tableau1[[#This Row],[Différence HC
Cumul]]/(Tableau1[[#This Row],[Diff jour_x000D_
Cumul]]*24)</f>
        <v>0.89919823182489422</v>
      </c>
      <c r="Y61" s="43">
        <f>Tableau1[[#This Row],[Différence HC
Cumul]]/Tableau1[[#This Row],[Diff jour_x000D_
Cumul]]</f>
        <v>21.580757563797459</v>
      </c>
      <c r="Z61" s="43">
        <f>Tableau1[[#This Row],[Conso HC / jour_x000D_
Cumul]]*365</f>
        <v>7876.9765107860721</v>
      </c>
      <c r="AA61" s="38">
        <f>Tableau1[[#This Row],[Différence HP
Instantané]]+Tableau1[[#This Row],[Différence_x000D_ HC
Instantané]]</f>
        <v>21</v>
      </c>
      <c r="AB61" s="41">
        <f>Tableau1[[#This Row],[Conso HP + HC
Instantané]]/(Tableau1[[#This Row],[Diff jour
Instantané]]*24)</f>
        <v>1.9873817034620032</v>
      </c>
      <c r="AC61" s="34">
        <f>IF(ISERROR(Tableau1[[#This Row],[Date]]-A60),"",Tableau1[[#This Row],[Conso HP + HC
Instantané]]/Tableau1[[#This Row],[Diff jour
Instantané]])</f>
        <v>47.697160883088074</v>
      </c>
      <c r="AD61" s="41">
        <f>Tableau1[[#This Row],[Conso HP + HC / jour_x000D_
Instantané]]*365</f>
        <v>17409.463722327146</v>
      </c>
      <c r="AE61" s="38">
        <f>Tableau1[[#This Row],[Différence HP
Cumul]]+Tableau1[[#This Row],[Différence HC
Cumul]]</f>
        <v>4233</v>
      </c>
      <c r="AF61" s="40">
        <f>(Tableau1[[#This Row],[Conso HP + HC
Cumul]]-AE$6)/Tableau1[[#This Row],[Diff jour_x000D_
Cumul
depuis le 24/01]]</f>
        <v>70.725494252179132</v>
      </c>
      <c r="AG61" s="40">
        <f>(Tableau1[[#This Row],[Conso HP + HC
Cumul]]-AE$59)/Tableau1[[#This Row],[Diff jour_x000D_
Cumul
depuis
précédente facture
16/02/2021]]</f>
        <v>57.150956768258901</v>
      </c>
      <c r="AH61" s="41">
        <f>Tableau1[[#This Row],[Conso HP + HC
Cumul]]/(Tableau1[[#This Row],[Diff jour_x000D_
Cumul]]*24)</f>
        <v>2.8640377090404643</v>
      </c>
      <c r="AI61" s="41">
        <f>Tableau1[[#This Row],[Conso HP + HC
Cumul]]/Tableau1[[#This Row],[Diff jour_x000D_
Cumul]]</f>
        <v>68.73690501697115</v>
      </c>
      <c r="AJ61" s="41">
        <f>Tableau1[[#This Row],[Conso HP + HC / jour_x000D_
Cumul]]*365</f>
        <v>25088.970331194469</v>
      </c>
      <c r="AK61" s="44">
        <f>(Tableau1[[#This Row],[Différence HP
Cumul]]*0.1799)+(Tableau1[[#This Row],[Différence HC
Cumul]]*0.1346)</f>
        <v>701.3130000000001</v>
      </c>
      <c r="AL61" s="44">
        <f>Tableau1[[#This Row],[Montant
Tarif HP/HC]]/Tableau1[[#This Row],[Diff jour_x000D_
Cumul]]</f>
        <v>11.388160894913085</v>
      </c>
      <c r="AM61" s="44">
        <f>(Tableau1[[#This Row],[Montant
Tarif HP/HC]]-AK$6)/Tableau1[[#This Row],[Diff jour_x000D_
Cumul
depuis le 24/01]]</f>
        <v>11.78279074440483</v>
      </c>
      <c r="AN61" s="44">
        <f>(Tableau1[[#This Row],[Montant
Tarif HP/HC]]-AK$59)/Tableau1[[#This Row],[Diff jour_x000D_
Cumul
depuis
précédente facture
16/02/2021]]</f>
        <v>9.5417604535807214</v>
      </c>
      <c r="AO61" s="44">
        <f>Tableau1[[#This Row],[Conso HP + HC
Cumul]]*0.1599</f>
        <v>676.85669999999993</v>
      </c>
      <c r="AP61" s="44">
        <f>Tableau1[[#This Row],[Montant
Tarif normal]]/Tableau1[[#This Row],[Diff jour_x000D_
Cumul]]</f>
        <v>10.991031112213685</v>
      </c>
      <c r="AQ61" s="44">
        <f>(Tableau1[[#This Row],[Conso HP / an
Cumul]]*0.1799)+(Tableau1[[#This Row],[Conso HC / an_x000D_
Cumul]]*0.1346)</f>
        <v>4156.6787266432748</v>
      </c>
      <c r="AR61" s="44">
        <f>Tableau1[[#This Row],[Conso HP + HC / an_x000D_
Cumul]]*0.1599</f>
        <v>4011.7263559579951</v>
      </c>
      <c r="AS61" s="38">
        <f>MONTH(Tableau1[[#This Row],[Date]])</f>
        <v>2</v>
      </c>
      <c r="AT61" s="38">
        <f>YEAR(Tableau1[[#This Row],[Date]])</f>
        <v>2021</v>
      </c>
    </row>
    <row r="62" spans="1:46" x14ac:dyDescent="0.2">
      <c r="A62" s="19">
        <v>44244.581250000003</v>
      </c>
      <c r="B62" s="20">
        <v>13.2</v>
      </c>
      <c r="C62" s="39">
        <f>IF(ISERROR(Tableau1[[#This Row],[Date]]-A61),"",Tableau1[[#This Row],[Date]]-A61)</f>
        <v>0.29027777777810115</v>
      </c>
      <c r="D62" s="40">
        <f>IF(ISERROR(Tableau1[[#This Row],[Date]]-A61),"",Tableau1[[#This Row],[Date]]-A61)</f>
        <v>0.29027777777810115</v>
      </c>
      <c r="E62" s="39">
        <f>Tableau1[[#This Row],[Date]]-$A$5</f>
        <v>61.872916666667152</v>
      </c>
      <c r="F62" s="40">
        <f>Tableau1[[#This Row],[Date]]-$A$5</f>
        <v>61.872916666667152</v>
      </c>
      <c r="G62" s="40">
        <f>Tableau1[[#This Row],[Diff jour_x000D_
Cumul]]-F$6</f>
        <v>23.789583333338669</v>
      </c>
      <c r="H62" s="40">
        <f>Tableau1[[#This Row],[Diff jour_x000D_
Cumul]]-F$59</f>
        <v>1.2701388888890506</v>
      </c>
      <c r="I62" s="21">
        <v>182681</v>
      </c>
      <c r="J62" s="38">
        <f>IF(ISERROR(Tableau1[[#This Row],[Index HP
kWh]]-I61),"",Tableau1[[#This Row],[Index HP
kWh]]-I61)</f>
        <v>18</v>
      </c>
      <c r="K62" s="40">
        <f>IF(ISERROR(Tableau1[[#This Row],[Différence HP
Instantané]]/(Tableau1[[#This Row],[Diff jour
Instantané]]*24)),"",Tableau1[[#This Row],[Différence HP
Instantané]]/(Tableau1[[#This Row],[Diff jour
Instantané]]*24))</f>
        <v>2.5837320574133895</v>
      </c>
      <c r="L62" s="40">
        <f>Tableau1[[#This Row],[Différence HP
Instantané]]/Tableau1[[#This Row],[Diff jour
Instantané]]</f>
        <v>62.009569377921352</v>
      </c>
      <c r="M62" s="40">
        <f>Tableau1[[#This Row],[Conso HP / jour
Instantané]]*365</f>
        <v>22633.492822941294</v>
      </c>
      <c r="N62" s="38">
        <f>Tableau1[[#This Row],[Index HP
kWh]]-$I$5</f>
        <v>2922</v>
      </c>
      <c r="O62" s="41">
        <f>Tableau1[[#This Row],[Différence HP
Cumul]]/(Tableau1[[#This Row],[Diff jour_x000D_
Cumul]]*24)</f>
        <v>1.9677430216505452</v>
      </c>
      <c r="P62" s="41">
        <f>Tableau1[[#This Row],[Différence HP
Cumul]]/Tableau1[[#This Row],[Diff jour_x000D_
Cumul]]</f>
        <v>47.225832519613085</v>
      </c>
      <c r="Q62" s="41">
        <f>Tableau1[[#This Row],[Conso HP / jour
Cumul]]*365</f>
        <v>17237.428869658776</v>
      </c>
      <c r="R62" s="21">
        <v>120761</v>
      </c>
      <c r="S62" s="38">
        <f>Tableau1[[#This Row],[Index HC_x000D_
kWh]]-R61</f>
        <v>0</v>
      </c>
      <c r="T62" s="42">
        <f>Tableau1[[#This Row],[Différence_x000D_ HC
Instantané]]/(Tableau1[[#This Row],[Diff jour
Instantané]]*24)</f>
        <v>0</v>
      </c>
      <c r="U62" s="42">
        <f>Tableau1[[#This Row],[Différence_x000D_ HC
Instantané]]/Tableau1[[#This Row],[Diff jour
Instantané]]</f>
        <v>0</v>
      </c>
      <c r="V62" s="42">
        <f>Tableau1[[#This Row],[Conso HC / jour_x000D_
Instantané]]*365</f>
        <v>0</v>
      </c>
      <c r="W62" s="38">
        <f>Tableau1[[#This Row],[Index HC_x000D_
kWh]]-$R$5</f>
        <v>1329</v>
      </c>
      <c r="X62" s="43">
        <f>Tableau1[[#This Row],[Différence HC
Cumul]]/(Tableau1[[#This Row],[Diff jour_x000D_
Cumul]]*24)</f>
        <v>0.89497962894372851</v>
      </c>
      <c r="Y62" s="43">
        <f>Tableau1[[#This Row],[Différence HC
Cumul]]/Tableau1[[#This Row],[Diff jour_x000D_
Cumul]]</f>
        <v>21.479511094649482</v>
      </c>
      <c r="Z62" s="43">
        <f>Tableau1[[#This Row],[Conso HC / jour_x000D_
Cumul]]*365</f>
        <v>7840.0215495470611</v>
      </c>
      <c r="AA62" s="38">
        <f>Tableau1[[#This Row],[Différence HP
Instantané]]+Tableau1[[#This Row],[Différence_x000D_ HC
Instantané]]</f>
        <v>18</v>
      </c>
      <c r="AB62" s="41">
        <f>Tableau1[[#This Row],[Conso HP + HC
Instantané]]/(Tableau1[[#This Row],[Diff jour
Instantané]]*24)</f>
        <v>2.5837320574133895</v>
      </c>
      <c r="AC62" s="34">
        <f>IF(ISERROR(Tableau1[[#This Row],[Date]]-A61),"",Tableau1[[#This Row],[Conso HP + HC
Instantané]]/Tableau1[[#This Row],[Diff jour
Instantané]])</f>
        <v>62.009569377921352</v>
      </c>
      <c r="AD62" s="41">
        <f>Tableau1[[#This Row],[Conso HP + HC / jour_x000D_
Instantané]]*365</f>
        <v>22633.492822941294</v>
      </c>
      <c r="AE62" s="38">
        <f>Tableau1[[#This Row],[Différence HP
Cumul]]+Tableau1[[#This Row],[Différence HC
Cumul]]</f>
        <v>4251</v>
      </c>
      <c r="AF62" s="40">
        <f>(Tableau1[[#This Row],[Conso HP + HC
Cumul]]-AE$6)/Tableau1[[#This Row],[Diff jour_x000D_
Cumul
depuis le 24/01]]</f>
        <v>70.619143532692803</v>
      </c>
      <c r="AG62" s="40">
        <f>(Tableau1[[#This Row],[Conso HP + HC
Cumul]]-AE$59)/Tableau1[[#This Row],[Diff jour_x000D_
Cumul
depuis
précédente facture
16/02/2021]]</f>
        <v>58.261344997258853</v>
      </c>
      <c r="AH62" s="41">
        <f>Tableau1[[#This Row],[Conso HP + HC
Cumul]]/(Tableau1[[#This Row],[Diff jour_x000D_
Cumul]]*24)</f>
        <v>2.8627226505942738</v>
      </c>
      <c r="AI62" s="41">
        <f>Tableau1[[#This Row],[Conso HP + HC
Cumul]]/Tableau1[[#This Row],[Diff jour_x000D_
Cumul]]</f>
        <v>68.705343614262574</v>
      </c>
      <c r="AJ62" s="41">
        <f>Tableau1[[#This Row],[Conso HP + HC / jour_x000D_
Cumul]]*365</f>
        <v>25077.450419205841</v>
      </c>
      <c r="AK62" s="44">
        <f>(Tableau1[[#This Row],[Différence HP
Cumul]]*0.1799)+(Tableau1[[#This Row],[Différence HC
Cumul]]*0.1346)</f>
        <v>704.55120000000011</v>
      </c>
      <c r="AL62" s="44">
        <f>Tableau1[[#This Row],[Montant
Tarif HP/HC]]/Tableau1[[#This Row],[Diff jour_x000D_
Cumul]]</f>
        <v>11.387069463618216</v>
      </c>
      <c r="AM62" s="44">
        <f>(Tableau1[[#This Row],[Montant
Tarif HP/HC]]-AK$6)/Tableau1[[#This Row],[Diff jour_x000D_
Cumul
depuis le 24/01]]</f>
        <v>11.775136877131962</v>
      </c>
      <c r="AN62" s="44">
        <f>(Tableau1[[#This Row],[Montant
Tarif HP/HC]]-AK$59)/Tableau1[[#This Row],[Diff jour_x000D_
Cumul
depuis
précédente facture
16/02/2021]]</f>
        <v>9.9105697102230064</v>
      </c>
      <c r="AO62" s="44">
        <f>Tableau1[[#This Row],[Conso HP + HC
Cumul]]*0.1599</f>
        <v>679.73489999999993</v>
      </c>
      <c r="AP62" s="44">
        <f>Tableau1[[#This Row],[Montant
Tarif normal]]/Tableau1[[#This Row],[Diff jour_x000D_
Cumul]]</f>
        <v>10.985984443920584</v>
      </c>
      <c r="AQ62" s="44">
        <f>(Tableau1[[#This Row],[Conso HP / an
Cumul]]*0.1799)+(Tableau1[[#This Row],[Conso HC / an_x000D_
Cumul]]*0.1346)</f>
        <v>4156.2803542206484</v>
      </c>
      <c r="AR62" s="44">
        <f>Tableau1[[#This Row],[Conso HP + HC / an_x000D_
Cumul]]*0.1599</f>
        <v>4009.8843220310137</v>
      </c>
      <c r="AS62" s="38">
        <f>MONTH(Tableau1[[#This Row],[Date]])</f>
        <v>2</v>
      </c>
      <c r="AT62" s="38">
        <f>YEAR(Tableau1[[#This Row],[Date]])</f>
        <v>2021</v>
      </c>
    </row>
    <row r="63" spans="1:46" x14ac:dyDescent="0.2">
      <c r="A63" s="19">
        <v>44244.863194444442</v>
      </c>
      <c r="B63" s="20">
        <v>9.5</v>
      </c>
      <c r="C63" s="39">
        <f>IF(ISERROR(Tableau1[[#This Row],[Date]]-A62),"",Tableau1[[#This Row],[Date]]-A62)</f>
        <v>0.28194444443943212</v>
      </c>
      <c r="D63" s="40">
        <f>IF(ISERROR(Tableau1[[#This Row],[Date]]-A62),"",Tableau1[[#This Row],[Date]]-A62)</f>
        <v>0.28194444443943212</v>
      </c>
      <c r="E63" s="39">
        <f>Tableau1[[#This Row],[Date]]-$A$5</f>
        <v>62.154861111106584</v>
      </c>
      <c r="F63" s="40">
        <f>Tableau1[[#This Row],[Date]]-$A$5</f>
        <v>62.154861111106584</v>
      </c>
      <c r="G63" s="40">
        <f>Tableau1[[#This Row],[Diff jour_x000D_
Cumul]]-F$6</f>
        <v>24.071527777778101</v>
      </c>
      <c r="H63" s="40">
        <f>Tableau1[[#This Row],[Diff jour_x000D_
Cumul]]-F$59</f>
        <v>1.5520833333284827</v>
      </c>
      <c r="I63" s="21">
        <v>182693</v>
      </c>
      <c r="J63" s="38">
        <f>IF(ISERROR(Tableau1[[#This Row],[Index HP
kWh]]-I62),"",Tableau1[[#This Row],[Index HP
kWh]]-I62)</f>
        <v>12</v>
      </c>
      <c r="K63" s="40">
        <f>IF(ISERROR(Tableau1[[#This Row],[Différence HP
Instantané]]/(Tableau1[[#This Row],[Diff jour
Instantané]]*24)),"",Tableau1[[#This Row],[Différence HP
Instantané]]/(Tableau1[[#This Row],[Diff jour
Instantané]]*24))</f>
        <v>1.7733990148098522</v>
      </c>
      <c r="L63" s="40">
        <f>Tableau1[[#This Row],[Différence HP
Instantané]]/Tableau1[[#This Row],[Diff jour
Instantané]]</f>
        <v>42.561576355436451</v>
      </c>
      <c r="M63" s="40">
        <f>Tableau1[[#This Row],[Conso HP / jour
Instantané]]*365</f>
        <v>15534.975369734304</v>
      </c>
      <c r="N63" s="38">
        <f>Tableau1[[#This Row],[Index HP
kWh]]-$I$5</f>
        <v>2934</v>
      </c>
      <c r="O63" s="41">
        <f>Tableau1[[#This Row],[Différence HP
Cumul]]/(Tableau1[[#This Row],[Diff jour_x000D_
Cumul]]*24)</f>
        <v>1.9668614459851941</v>
      </c>
      <c r="P63" s="41">
        <f>Tableau1[[#This Row],[Différence HP
Cumul]]/Tableau1[[#This Row],[Diff jour_x000D_
Cumul]]</f>
        <v>47.204674703644656</v>
      </c>
      <c r="Q63" s="41">
        <f>Tableau1[[#This Row],[Conso HP / jour
Cumul]]*365</f>
        <v>17229.706266830301</v>
      </c>
      <c r="R63" s="21">
        <v>120761</v>
      </c>
      <c r="S63" s="38">
        <f>Tableau1[[#This Row],[Index HC_x000D_
kWh]]-R62</f>
        <v>0</v>
      </c>
      <c r="T63" s="42">
        <f>Tableau1[[#This Row],[Différence_x000D_ HC
Instantané]]/(Tableau1[[#This Row],[Diff jour
Instantané]]*24)</f>
        <v>0</v>
      </c>
      <c r="U63" s="42">
        <f>Tableau1[[#This Row],[Différence_x000D_ HC
Instantané]]/Tableau1[[#This Row],[Diff jour
Instantané]]</f>
        <v>0</v>
      </c>
      <c r="V63" s="42">
        <f>Tableau1[[#This Row],[Conso HC / jour_x000D_
Instantané]]*365</f>
        <v>0</v>
      </c>
      <c r="W63" s="38">
        <f>Tableau1[[#This Row],[Index HC_x000D_
kWh]]-$R$5</f>
        <v>1329</v>
      </c>
      <c r="X63" s="43">
        <f>Tableau1[[#This Row],[Différence HC
Cumul]]/(Tableau1[[#This Row],[Diff jour_x000D_
Cumul]]*24)</f>
        <v>0.89091985743501123</v>
      </c>
      <c r="Y63" s="43">
        <f>Tableau1[[#This Row],[Différence HC
Cumul]]/Tableau1[[#This Row],[Diff jour_x000D_
Cumul]]</f>
        <v>21.38207657844027</v>
      </c>
      <c r="Z63" s="43">
        <f>Tableau1[[#This Row],[Conso HC / jour_x000D_
Cumul]]*365</f>
        <v>7804.4579511306983</v>
      </c>
      <c r="AA63" s="38">
        <f>Tableau1[[#This Row],[Différence HP
Instantané]]+Tableau1[[#This Row],[Différence_x000D_ HC
Instantané]]</f>
        <v>12</v>
      </c>
      <c r="AB63" s="41">
        <f>Tableau1[[#This Row],[Conso HP + HC
Instantané]]/(Tableau1[[#This Row],[Diff jour
Instantané]]*24)</f>
        <v>1.7733990148098522</v>
      </c>
      <c r="AC63" s="34">
        <f>IF(ISERROR(Tableau1[[#This Row],[Date]]-A62),"",Tableau1[[#This Row],[Conso HP + HC
Instantané]]/Tableau1[[#This Row],[Diff jour
Instantané]])</f>
        <v>42.561576355436451</v>
      </c>
      <c r="AD63" s="41">
        <f>Tableau1[[#This Row],[Conso HP + HC / jour_x000D_
Instantané]]*365</f>
        <v>15534.975369734304</v>
      </c>
      <c r="AE63" s="38">
        <f>Tableau1[[#This Row],[Différence HP
Cumul]]+Tableau1[[#This Row],[Différence HC
Cumul]]</f>
        <v>4263</v>
      </c>
      <c r="AF63" s="40">
        <f>(Tableau1[[#This Row],[Conso HP + HC
Cumul]]-AE$6)/Tableau1[[#This Row],[Diff jour_x000D_
Cumul
depuis le 24/01]]</f>
        <v>70.290511496407333</v>
      </c>
      <c r="AG63" s="40">
        <f>(Tableau1[[#This Row],[Conso HP + HC
Cumul]]-AE$59)/Tableau1[[#This Row],[Diff jour_x000D_
Cumul
depuis
précédente facture
16/02/2021]]</f>
        <v>55.409395973327527</v>
      </c>
      <c r="AH63" s="41">
        <f>Tableau1[[#This Row],[Conso HP + HC
Cumul]]/(Tableau1[[#This Row],[Diff jour_x000D_
Cumul]]*24)</f>
        <v>2.8577813034202051</v>
      </c>
      <c r="AI63" s="41">
        <f>Tableau1[[#This Row],[Conso HP + HC
Cumul]]/Tableau1[[#This Row],[Diff jour_x000D_
Cumul]]</f>
        <v>68.586751282084933</v>
      </c>
      <c r="AJ63" s="41">
        <f>Tableau1[[#This Row],[Conso HP + HC / jour_x000D_
Cumul]]*365</f>
        <v>25034.164217960999</v>
      </c>
      <c r="AK63" s="44">
        <f>(Tableau1[[#This Row],[Différence HP
Cumul]]*0.1799)+(Tableau1[[#This Row],[Différence HC
Cumul]]*0.1346)</f>
        <v>706.71</v>
      </c>
      <c r="AL63" s="44">
        <f>Tableau1[[#This Row],[Montant
Tarif HP/HC]]/Tableau1[[#This Row],[Diff jour_x000D_
Cumul]]</f>
        <v>11.370148486643735</v>
      </c>
      <c r="AM63" s="44">
        <f>(Tableau1[[#This Row],[Montant
Tarif HP/HC]]-AK$6)/Tableau1[[#This Row],[Diff jour_x000D_
Cumul
depuis le 24/01]]</f>
        <v>11.726900037503809</v>
      </c>
      <c r="AN63" s="44">
        <f>(Tableau1[[#This Row],[Montant
Tarif HP/HC]]-AK$59)/Tableau1[[#This Row],[Diff jour_x000D_
Cumul
depuis
précédente facture
16/02/2021]]</f>
        <v>9.5011651007008719</v>
      </c>
      <c r="AO63" s="44">
        <f>Tableau1[[#This Row],[Conso HP + HC
Cumul]]*0.1599</f>
        <v>681.65369999999996</v>
      </c>
      <c r="AP63" s="44">
        <f>Tableau1[[#This Row],[Montant
Tarif normal]]/Tableau1[[#This Row],[Diff jour_x000D_
Cumul]]</f>
        <v>10.967021530005379</v>
      </c>
      <c r="AQ63" s="44">
        <f>(Tableau1[[#This Row],[Conso HP / an
Cumul]]*0.1799)+(Tableau1[[#This Row],[Conso HC / an_x000D_
Cumul]]*0.1346)</f>
        <v>4150.1041976249635</v>
      </c>
      <c r="AR63" s="44">
        <f>Tableau1[[#This Row],[Conso HP + HC / an_x000D_
Cumul]]*0.1599</f>
        <v>4002.9628584519633</v>
      </c>
      <c r="AS63" s="38">
        <f>MONTH(Tableau1[[#This Row],[Date]])</f>
        <v>2</v>
      </c>
      <c r="AT63" s="38">
        <f>YEAR(Tableau1[[#This Row],[Date]])</f>
        <v>2021</v>
      </c>
    </row>
    <row r="64" spans="1:46" x14ac:dyDescent="0.2">
      <c r="A64" s="19">
        <v>44245.308333333334</v>
      </c>
      <c r="B64" s="20">
        <v>9.9</v>
      </c>
      <c r="C64" s="39">
        <f>IF(ISERROR(Tableau1[[#This Row],[Date]]-A63),"",Tableau1[[#This Row],[Date]]-A63)</f>
        <v>0.44513888889196096</v>
      </c>
      <c r="D64" s="40">
        <f>IF(ISERROR(Tableau1[[#This Row],[Date]]-A63),"",Tableau1[[#This Row],[Date]]-A63)</f>
        <v>0.44513888889196096</v>
      </c>
      <c r="E64" s="39">
        <f>Tableau1[[#This Row],[Date]]-$A$5</f>
        <v>62.599999999998545</v>
      </c>
      <c r="F64" s="40">
        <f>Tableau1[[#This Row],[Date]]-$A$5</f>
        <v>62.599999999998545</v>
      </c>
      <c r="G64" s="40">
        <f>Tableau1[[#This Row],[Diff jour_x000D_
Cumul]]-F$6</f>
        <v>24.516666666670062</v>
      </c>
      <c r="H64" s="40">
        <f>Tableau1[[#This Row],[Diff jour_x000D_
Cumul]]-F$59</f>
        <v>1.9972222222204437</v>
      </c>
      <c r="I64" s="21">
        <v>182700</v>
      </c>
      <c r="J64" s="38">
        <f>IF(ISERROR(Tableau1[[#This Row],[Index HP
kWh]]-I63),"",Tableau1[[#This Row],[Index HP
kWh]]-I63)</f>
        <v>7</v>
      </c>
      <c r="K64" s="40">
        <f>IF(ISERROR(Tableau1[[#This Row],[Différence HP
Instantané]]/(Tableau1[[#This Row],[Diff jour
Instantané]]*24)),"",Tableau1[[#This Row],[Différence HP
Instantané]]/(Tableau1[[#This Row],[Diff jour
Instantané]]*24))</f>
        <v>0.65522620904383999</v>
      </c>
      <c r="L64" s="40">
        <f>Tableau1[[#This Row],[Différence HP
Instantané]]/Tableau1[[#This Row],[Diff jour
Instantané]]</f>
        <v>15.725429017052159</v>
      </c>
      <c r="M64" s="40">
        <f>Tableau1[[#This Row],[Conso HP / jour
Instantané]]*365</f>
        <v>5739.7815912240376</v>
      </c>
      <c r="N64" s="38">
        <f>Tableau1[[#This Row],[Index HP
kWh]]-$I$5</f>
        <v>2941</v>
      </c>
      <c r="O64" s="41">
        <f>Tableau1[[#This Row],[Différence HP
Cumul]]/(Tableau1[[#This Row],[Diff jour_x000D_
Cumul]]*24)</f>
        <v>1.9575346112886505</v>
      </c>
      <c r="P64" s="41">
        <f>Tableau1[[#This Row],[Différence HP
Cumul]]/Tableau1[[#This Row],[Diff jour_x000D_
Cumul]]</f>
        <v>46.98083067092761</v>
      </c>
      <c r="Q64" s="41">
        <f>Tableau1[[#This Row],[Conso HP / jour
Cumul]]*365</f>
        <v>17148.003194888577</v>
      </c>
      <c r="R64" s="21">
        <v>120775</v>
      </c>
      <c r="S64" s="38">
        <f>Tableau1[[#This Row],[Index HC_x000D_
kWh]]-R63</f>
        <v>14</v>
      </c>
      <c r="T64" s="42">
        <f>Tableau1[[#This Row],[Différence_x000D_ HC
Instantané]]/(Tableau1[[#This Row],[Diff jour
Instantané]]*24)</f>
        <v>1.31045241808768</v>
      </c>
      <c r="U64" s="42">
        <f>Tableau1[[#This Row],[Différence_x000D_ HC
Instantané]]/Tableau1[[#This Row],[Diff jour
Instantané]]</f>
        <v>31.450858034104318</v>
      </c>
      <c r="V64" s="42">
        <f>Tableau1[[#This Row],[Conso HC / jour_x000D_
Instantané]]*365</f>
        <v>11479.563182448075</v>
      </c>
      <c r="W64" s="38">
        <f>Tableau1[[#This Row],[Index HC_x000D_
kWh]]-$R$5</f>
        <v>1343</v>
      </c>
      <c r="X64" s="43">
        <f>Tableau1[[#This Row],[Différence HC
Cumul]]/(Tableau1[[#This Row],[Diff jour_x000D_
Cumul]]*24)</f>
        <v>0.89390308839192711</v>
      </c>
      <c r="Y64" s="43">
        <f>Tableau1[[#This Row],[Différence HC
Cumul]]/Tableau1[[#This Row],[Diff jour_x000D_
Cumul]]</f>
        <v>21.453674121406248</v>
      </c>
      <c r="Z64" s="43">
        <f>Tableau1[[#This Row],[Conso HC / jour_x000D_
Cumul]]*365</f>
        <v>7830.5910543132804</v>
      </c>
      <c r="AA64" s="38">
        <f>Tableau1[[#This Row],[Différence HP
Instantané]]+Tableau1[[#This Row],[Différence_x000D_ HC
Instantané]]</f>
        <v>21</v>
      </c>
      <c r="AB64" s="41">
        <f>Tableau1[[#This Row],[Conso HP + HC
Instantané]]/(Tableau1[[#This Row],[Diff jour
Instantané]]*24)</f>
        <v>1.9656786271315199</v>
      </c>
      <c r="AC64" s="34">
        <f>IF(ISERROR(Tableau1[[#This Row],[Date]]-A63),"",Tableau1[[#This Row],[Conso HP + HC
Instantané]]/Tableau1[[#This Row],[Diff jour
Instantané]])</f>
        <v>47.176287051156478</v>
      </c>
      <c r="AD64" s="41">
        <f>Tableau1[[#This Row],[Conso HP + HC / jour_x000D_
Instantané]]*365</f>
        <v>17219.344773672114</v>
      </c>
      <c r="AE64" s="38">
        <f>Tableau1[[#This Row],[Différence HP
Cumul]]+Tableau1[[#This Row],[Différence HC
Cumul]]</f>
        <v>4284</v>
      </c>
      <c r="AF64" s="40">
        <f>(Tableau1[[#This Row],[Conso HP + HC
Cumul]]-AE$6)/Tableau1[[#This Row],[Diff jour_x000D_
Cumul
depuis le 24/01]]</f>
        <v>69.870836165863878</v>
      </c>
      <c r="AG64" s="40">
        <f>(Tableau1[[#This Row],[Conso HP + HC
Cumul]]-AE$59)/Tableau1[[#This Row],[Diff jour_x000D_
Cumul
depuis
précédente facture
16/02/2021]]</f>
        <v>53.574408901299449</v>
      </c>
      <c r="AH64" s="41">
        <f>Tableau1[[#This Row],[Conso HP + HC
Cumul]]/(Tableau1[[#This Row],[Diff jour_x000D_
Cumul]]*24)</f>
        <v>2.8514376996805773</v>
      </c>
      <c r="AI64" s="41">
        <f>Tableau1[[#This Row],[Conso HP + HC
Cumul]]/Tableau1[[#This Row],[Diff jour_x000D_
Cumul]]</f>
        <v>68.434504792333854</v>
      </c>
      <c r="AJ64" s="41">
        <f>Tableau1[[#This Row],[Conso HP + HC / jour_x000D_
Cumul]]*365</f>
        <v>24978.594249201858</v>
      </c>
      <c r="AK64" s="44">
        <f>(Tableau1[[#This Row],[Différence HP
Cumul]]*0.1799)+(Tableau1[[#This Row],[Différence HC
Cumul]]*0.1346)</f>
        <v>709.8537</v>
      </c>
      <c r="AL64" s="44">
        <f>Tableau1[[#This Row],[Montant
Tarif HP/HC]]/Tableau1[[#This Row],[Diff jour_x000D_
Cumul]]</f>
        <v>11.339515974441158</v>
      </c>
      <c r="AM64" s="44">
        <f>(Tableau1[[#This Row],[Montant
Tarif HP/HC]]-AK$6)/Tableau1[[#This Row],[Diff jour_x000D_
Cumul
depuis le 24/01]]</f>
        <v>11.642206662132988</v>
      </c>
      <c r="AN64" s="44">
        <f>(Tableau1[[#This Row],[Montant
Tarif HP/HC]]-AK$59)/Tableau1[[#This Row],[Diff jour_x000D_
Cumul
depuis
précédente facture
16/02/2021]]</f>
        <v>8.9575910987562501</v>
      </c>
      <c r="AO64" s="44">
        <f>Tableau1[[#This Row],[Conso HP + HC
Cumul]]*0.1599</f>
        <v>685.01159999999993</v>
      </c>
      <c r="AP64" s="44">
        <f>Tableau1[[#This Row],[Montant
Tarif normal]]/Tableau1[[#This Row],[Diff jour_x000D_
Cumul]]</f>
        <v>10.942677316294183</v>
      </c>
      <c r="AQ64" s="44">
        <f>(Tableau1[[#This Row],[Conso HP / an
Cumul]]*0.1799)+(Tableau1[[#This Row],[Conso HC / an_x000D_
Cumul]]*0.1346)</f>
        <v>4138.923330671023</v>
      </c>
      <c r="AR64" s="44">
        <f>Tableau1[[#This Row],[Conso HP + HC / an_x000D_
Cumul]]*0.1599</f>
        <v>3994.0772204473769</v>
      </c>
      <c r="AS64" s="38">
        <f>MONTH(Tableau1[[#This Row],[Date]])</f>
        <v>2</v>
      </c>
      <c r="AT64" s="38">
        <f>YEAR(Tableau1[[#This Row],[Date]])</f>
        <v>2021</v>
      </c>
    </row>
    <row r="65" spans="1:46" x14ac:dyDescent="0.2">
      <c r="A65" s="19">
        <v>44245.650694444441</v>
      </c>
      <c r="B65" s="20">
        <v>9.5</v>
      </c>
      <c r="C65" s="39">
        <f>IF(ISERROR(Tableau1[[#This Row],[Date]]-A64),"",Tableau1[[#This Row],[Date]]-A64)</f>
        <v>0.34236111110658385</v>
      </c>
      <c r="D65" s="40">
        <f>IF(ISERROR(Tableau1[[#This Row],[Date]]-A64),"",Tableau1[[#This Row],[Date]]-A64)</f>
        <v>0.34236111110658385</v>
      </c>
      <c r="E65" s="39">
        <f>Tableau1[[#This Row],[Date]]-$A$5</f>
        <v>62.942361111105129</v>
      </c>
      <c r="F65" s="40">
        <f>Tableau1[[#This Row],[Date]]-$A$5</f>
        <v>62.942361111105129</v>
      </c>
      <c r="G65" s="40">
        <f>Tableau1[[#This Row],[Diff jour_x000D_
Cumul]]-F$6</f>
        <v>24.859027777776646</v>
      </c>
      <c r="H65" s="40">
        <f>Tableau1[[#This Row],[Diff jour_x000D_
Cumul]]-F$59</f>
        <v>2.3395833333270275</v>
      </c>
      <c r="I65" s="21">
        <v>182723</v>
      </c>
      <c r="J65" s="38">
        <f>IF(ISERROR(Tableau1[[#This Row],[Index HP
kWh]]-I64),"",Tableau1[[#This Row],[Index HP
kWh]]-I64)</f>
        <v>23</v>
      </c>
      <c r="K65" s="40">
        <f>IF(ISERROR(Tableau1[[#This Row],[Différence HP
Instantané]]/(Tableau1[[#This Row],[Diff jour
Instantané]]*24)),"",Tableau1[[#This Row],[Différence HP
Instantané]]/(Tableau1[[#This Row],[Diff jour
Instantané]]*24))</f>
        <v>2.7991886410106464</v>
      </c>
      <c r="L65" s="40">
        <f>Tableau1[[#This Row],[Différence HP
Instantané]]/Tableau1[[#This Row],[Diff jour
Instantané]]</f>
        <v>67.180527384255512</v>
      </c>
      <c r="M65" s="40">
        <f>Tableau1[[#This Row],[Conso HP / jour
Instantané]]*365</f>
        <v>24520.892495253262</v>
      </c>
      <c r="N65" s="38">
        <f>Tableau1[[#This Row],[Index HP
kWh]]-$I$5</f>
        <v>2964</v>
      </c>
      <c r="O65" s="41">
        <f>Tableau1[[#This Row],[Différence HP
Cumul]]/(Tableau1[[#This Row],[Diff jour_x000D_
Cumul]]*24)</f>
        <v>1.9621126030210279</v>
      </c>
      <c r="P65" s="41">
        <f>Tableau1[[#This Row],[Différence HP
Cumul]]/Tableau1[[#This Row],[Diff jour_x000D_
Cumul]]</f>
        <v>47.090702472504667</v>
      </c>
      <c r="Q65" s="41">
        <f>Tableau1[[#This Row],[Conso HP / jour
Cumul]]*365</f>
        <v>17188.106402464204</v>
      </c>
      <c r="R65" s="21">
        <v>120775</v>
      </c>
      <c r="S65" s="38">
        <f>Tableau1[[#This Row],[Index HC_x000D_
kWh]]-R64</f>
        <v>0</v>
      </c>
      <c r="T65" s="42">
        <f>Tableau1[[#This Row],[Différence_x000D_ HC
Instantané]]/(Tableau1[[#This Row],[Diff jour
Instantané]]*24)</f>
        <v>0</v>
      </c>
      <c r="U65" s="42">
        <f>Tableau1[[#This Row],[Différence_x000D_ HC
Instantané]]/Tableau1[[#This Row],[Diff jour
Instantané]]</f>
        <v>0</v>
      </c>
      <c r="V65" s="42">
        <f>Tableau1[[#This Row],[Conso HC / jour_x000D_
Instantané]]*365</f>
        <v>0</v>
      </c>
      <c r="W65" s="38">
        <f>Tableau1[[#This Row],[Index HC_x000D_
kWh]]-$R$5</f>
        <v>1343</v>
      </c>
      <c r="X65" s="43">
        <f>Tableau1[[#This Row],[Différence HC
Cumul]]/(Tableau1[[#This Row],[Diff jour_x000D_
Cumul]]*24)</f>
        <v>0.88904089941202447</v>
      </c>
      <c r="Y65" s="43">
        <f>Tableau1[[#This Row],[Différence HC
Cumul]]/Tableau1[[#This Row],[Diff jour_x000D_
Cumul]]</f>
        <v>21.336981585888587</v>
      </c>
      <c r="Z65" s="43">
        <f>Tableau1[[#This Row],[Conso HC / jour_x000D_
Cumul]]*365</f>
        <v>7787.9982788493344</v>
      </c>
      <c r="AA65" s="38">
        <f>Tableau1[[#This Row],[Différence HP
Instantané]]+Tableau1[[#This Row],[Différence_x000D_ HC
Instantané]]</f>
        <v>23</v>
      </c>
      <c r="AB65" s="41">
        <f>Tableau1[[#This Row],[Conso HP + HC
Instantané]]/(Tableau1[[#This Row],[Diff jour
Instantané]]*24)</f>
        <v>2.7991886410106464</v>
      </c>
      <c r="AC65" s="34">
        <f>IF(ISERROR(Tableau1[[#This Row],[Date]]-A64),"",Tableau1[[#This Row],[Conso HP + HC
Instantané]]/Tableau1[[#This Row],[Diff jour
Instantané]])</f>
        <v>67.180527384255512</v>
      </c>
      <c r="AD65" s="41">
        <f>Tableau1[[#This Row],[Conso HP + HC / jour_x000D_
Instantané]]*365</f>
        <v>24520.892495253262</v>
      </c>
      <c r="AE65" s="38">
        <f>Tableau1[[#This Row],[Différence HP
Cumul]]+Tableau1[[#This Row],[Différence HC
Cumul]]</f>
        <v>4307</v>
      </c>
      <c r="AF65" s="40">
        <f>(Tableau1[[#This Row],[Conso HP + HC
Cumul]]-AE$6)/Tableau1[[#This Row],[Diff jour_x000D_
Cumul
depuis le 24/01]]</f>
        <v>69.833784954049605</v>
      </c>
      <c r="AG65" s="40">
        <f>(Tableau1[[#This Row],[Conso HP + HC
Cumul]]-AE$59)/Tableau1[[#This Row],[Diff jour_x000D_
Cumul
depuis
précédente facture
16/02/2021]]</f>
        <v>55.565449688484584</v>
      </c>
      <c r="AH65" s="41">
        <f>Tableau1[[#This Row],[Conso HP + HC
Cumul]]/(Tableau1[[#This Row],[Diff jour_x000D_
Cumul]]*24)</f>
        <v>2.8511535024330521</v>
      </c>
      <c r="AI65" s="41">
        <f>Tableau1[[#This Row],[Conso HP + HC
Cumul]]/Tableau1[[#This Row],[Diff jour_x000D_
Cumul]]</f>
        <v>68.427684058393254</v>
      </c>
      <c r="AJ65" s="41">
        <f>Tableau1[[#This Row],[Conso HP + HC / jour_x000D_
Cumul]]*365</f>
        <v>24976.104681313536</v>
      </c>
      <c r="AK65" s="44">
        <f>(Tableau1[[#This Row],[Différence HP
Cumul]]*0.1799)+(Tableau1[[#This Row],[Différence HC
Cumul]]*0.1346)</f>
        <v>713.9914</v>
      </c>
      <c r="AL65" s="44">
        <f>Tableau1[[#This Row],[Montant
Tarif HP/HC]]/Tableau1[[#This Row],[Diff jour_x000D_
Cumul]]</f>
        <v>11.343575096264194</v>
      </c>
      <c r="AM65" s="44">
        <f>(Tableau1[[#This Row],[Montant
Tarif HP/HC]]-AK$6)/Tableau1[[#This Row],[Diff jour_x000D_
Cumul
depuis le 24/01]]</f>
        <v>11.648315557170124</v>
      </c>
      <c r="AN65" s="44">
        <f>(Tableau1[[#This Row],[Montant
Tarif HP/HC]]-AK$59)/Tableau1[[#This Row],[Diff jour_x000D_
Cumul
depuis
précédente facture
16/02/2021]]</f>
        <v>9.4153517364456878</v>
      </c>
      <c r="AO65" s="44">
        <f>Tableau1[[#This Row],[Conso HP + HC
Cumul]]*0.1599</f>
        <v>688.68929999999989</v>
      </c>
      <c r="AP65" s="44">
        <f>Tableau1[[#This Row],[Montant
Tarif normal]]/Tableau1[[#This Row],[Diff jour_x000D_
Cumul]]</f>
        <v>10.94158668093708</v>
      </c>
      <c r="AQ65" s="44">
        <f>(Tableau1[[#This Row],[Conso HP / an
Cumul]]*0.1799)+(Tableau1[[#This Row],[Conso HC / an_x000D_
Cumul]]*0.1346)</f>
        <v>4140.4049101364308</v>
      </c>
      <c r="AR65" s="44">
        <f>Tableau1[[#This Row],[Conso HP + HC / an_x000D_
Cumul]]*0.1599</f>
        <v>3993.6791385420343</v>
      </c>
      <c r="AS65" s="38">
        <f>MONTH(Tableau1[[#This Row],[Date]])</f>
        <v>2</v>
      </c>
      <c r="AT65" s="38">
        <f>YEAR(Tableau1[[#This Row],[Date]])</f>
        <v>2021</v>
      </c>
    </row>
    <row r="66" spans="1:46" x14ac:dyDescent="0.2">
      <c r="A66" s="19">
        <v>44246.314583333333</v>
      </c>
      <c r="B66" s="20">
        <v>7.6</v>
      </c>
      <c r="C66" s="39">
        <f>IF(ISERROR(Tableau1[[#This Row],[Date]]-A65),"",Tableau1[[#This Row],[Date]]-A65)</f>
        <v>0.66388888889196096</v>
      </c>
      <c r="D66" s="40">
        <f>IF(ISERROR(Tableau1[[#This Row],[Date]]-A65),"",Tableau1[[#This Row],[Date]]-A65)</f>
        <v>0.66388888889196096</v>
      </c>
      <c r="E66" s="39">
        <f>Tableau1[[#This Row],[Date]]-$A$5</f>
        <v>63.60624999999709</v>
      </c>
      <c r="F66" s="40">
        <f>Tableau1[[#This Row],[Date]]-$A$5</f>
        <v>63.60624999999709</v>
      </c>
      <c r="G66" s="40">
        <f>Tableau1[[#This Row],[Diff jour_x000D_
Cumul]]-F$6</f>
        <v>25.522916666668607</v>
      </c>
      <c r="H66" s="40">
        <f>Tableau1[[#This Row],[Diff jour_x000D_
Cumul]]-F$59</f>
        <v>3.0034722222189885</v>
      </c>
      <c r="I66" s="21">
        <v>182741</v>
      </c>
      <c r="J66" s="38">
        <f>IF(ISERROR(Tableau1[[#This Row],[Index HP
kWh]]-I65),"",Tableau1[[#This Row],[Index HP
kWh]]-I65)</f>
        <v>18</v>
      </c>
      <c r="K66" s="40">
        <f>IF(ISERROR(Tableau1[[#This Row],[Différence HP
Instantané]]/(Tableau1[[#This Row],[Diff jour
Instantané]]*24)),"",Tableau1[[#This Row],[Différence HP
Instantané]]/(Tableau1[[#This Row],[Diff jour
Instantané]]*24))</f>
        <v>1.1297071129654837</v>
      </c>
      <c r="L66" s="40">
        <f>Tableau1[[#This Row],[Différence HP
Instantané]]/Tableau1[[#This Row],[Diff jour
Instantané]]</f>
        <v>27.112970711171609</v>
      </c>
      <c r="M66" s="40">
        <f>Tableau1[[#This Row],[Conso HP / jour
Instantané]]*365</f>
        <v>9896.2343095776378</v>
      </c>
      <c r="N66" s="38">
        <f>Tableau1[[#This Row],[Index HP
kWh]]-$I$5</f>
        <v>2982</v>
      </c>
      <c r="O66" s="41">
        <f>Tableau1[[#This Row],[Différence HP
Cumul]]/(Tableau1[[#This Row],[Diff jour_x000D_
Cumul]]*24)</f>
        <v>1.9534243883267082</v>
      </c>
      <c r="P66" s="41">
        <f>Tableau1[[#This Row],[Différence HP
Cumul]]/Tableau1[[#This Row],[Diff jour_x000D_
Cumul]]</f>
        <v>46.882185319841</v>
      </c>
      <c r="Q66" s="41">
        <f>Tableau1[[#This Row],[Conso HP / jour
Cumul]]*365</f>
        <v>17111.997641741964</v>
      </c>
      <c r="R66" s="21">
        <v>120793</v>
      </c>
      <c r="S66" s="38">
        <f>Tableau1[[#This Row],[Index HC_x000D_
kWh]]-R65</f>
        <v>18</v>
      </c>
      <c r="T66" s="42">
        <f>Tableau1[[#This Row],[Différence_x000D_ HC
Instantané]]/(Tableau1[[#This Row],[Diff jour
Instantané]]*24)</f>
        <v>1.1297071129654837</v>
      </c>
      <c r="U66" s="42">
        <f>Tableau1[[#This Row],[Différence_x000D_ HC
Instantané]]/Tableau1[[#This Row],[Diff jour
Instantané]]</f>
        <v>27.112970711171609</v>
      </c>
      <c r="V66" s="42">
        <f>Tableau1[[#This Row],[Conso HC / jour_x000D_
Instantané]]*365</f>
        <v>9896.2343095776378</v>
      </c>
      <c r="W66" s="38">
        <f>Tableau1[[#This Row],[Index HC_x000D_
kWh]]-$R$5</f>
        <v>1361</v>
      </c>
      <c r="X66" s="43">
        <f>Tableau1[[#This Row],[Différence HC
Cumul]]/(Tableau1[[#This Row],[Diff jour_x000D_
Cumul]]*24)</f>
        <v>0.89155284792510059</v>
      </c>
      <c r="Y66" s="43">
        <f>Tableau1[[#This Row],[Différence HC
Cumul]]/Tableau1[[#This Row],[Diff jour_x000D_
Cumul]]</f>
        <v>21.397268350202413</v>
      </c>
      <c r="Z66" s="43">
        <f>Tableau1[[#This Row],[Conso HC / jour_x000D_
Cumul]]*365</f>
        <v>7810.0029478238812</v>
      </c>
      <c r="AA66" s="38">
        <f>Tableau1[[#This Row],[Différence HP
Instantané]]+Tableau1[[#This Row],[Différence_x000D_ HC
Instantané]]</f>
        <v>36</v>
      </c>
      <c r="AB66" s="41">
        <f>Tableau1[[#This Row],[Conso HP + HC
Instantané]]/(Tableau1[[#This Row],[Diff jour
Instantané]]*24)</f>
        <v>2.2594142259309673</v>
      </c>
      <c r="AC66" s="34">
        <f>IF(ISERROR(Tableau1[[#This Row],[Date]]-A65),"",Tableau1[[#This Row],[Conso HP + HC
Instantané]]/Tableau1[[#This Row],[Diff jour
Instantané]])</f>
        <v>54.225941422343219</v>
      </c>
      <c r="AD66" s="41">
        <f>Tableau1[[#This Row],[Conso HP + HC / jour_x000D_
Instantané]]*365</f>
        <v>19792.468619155276</v>
      </c>
      <c r="AE66" s="38">
        <f>Tableau1[[#This Row],[Différence HP
Cumul]]+Tableau1[[#This Row],[Différence HC
Cumul]]</f>
        <v>4343</v>
      </c>
      <c r="AF66" s="40">
        <f>(Tableau1[[#This Row],[Conso HP + HC
Cumul]]-AE$6)/Tableau1[[#This Row],[Diff jour_x000D_
Cumul
depuis le 24/01]]</f>
        <v>69.427801812091687</v>
      </c>
      <c r="AG66" s="40">
        <f>(Tableau1[[#This Row],[Conso HP + HC
Cumul]]-AE$59)/Tableau1[[#This Row],[Diff jour_x000D_
Cumul
depuis
précédente facture
16/02/2021]]</f>
        <v>55.269364161909216</v>
      </c>
      <c r="AH66" s="41">
        <f>Tableau1[[#This Row],[Conso HP + HC
Cumul]]/(Tableau1[[#This Row],[Diff jour_x000D_
Cumul]]*24)</f>
        <v>2.8449772362518089</v>
      </c>
      <c r="AI66" s="41">
        <f>Tableau1[[#This Row],[Conso HP + HC
Cumul]]/Tableau1[[#This Row],[Diff jour_x000D_
Cumul]]</f>
        <v>68.279453670043409</v>
      </c>
      <c r="AJ66" s="41">
        <f>Tableau1[[#This Row],[Conso HP + HC / jour_x000D_
Cumul]]*365</f>
        <v>24922.000589565843</v>
      </c>
      <c r="AK66" s="44">
        <f>(Tableau1[[#This Row],[Différence HP
Cumul]]*0.1799)+(Tableau1[[#This Row],[Différence HC
Cumul]]*0.1346)</f>
        <v>719.65240000000006</v>
      </c>
      <c r="AL66" s="44">
        <f>Tableau1[[#This Row],[Montant
Tarif HP/HC]]/Tableau1[[#This Row],[Diff jour_x000D_
Cumul]]</f>
        <v>11.314177458976641</v>
      </c>
      <c r="AM66" s="44">
        <f>(Tableau1[[#This Row],[Montant
Tarif HP/HC]]-AK$6)/Tableau1[[#This Row],[Diff jour_x000D_
Cumul
depuis le 24/01]]</f>
        <v>11.567126275405212</v>
      </c>
      <c r="AN66" s="44">
        <f>(Tableau1[[#This Row],[Montant
Tarif HP/HC]]-AK$59)/Tableau1[[#This Row],[Diff jour_x000D_
Cumul
depuis
précédente facture
16/02/2021]]</f>
        <v>9.2189965318018601</v>
      </c>
      <c r="AO66" s="44">
        <f>Tableau1[[#This Row],[Conso HP + HC
Cumul]]*0.1599</f>
        <v>694.44569999999999</v>
      </c>
      <c r="AP66" s="44">
        <f>Tableau1[[#This Row],[Montant
Tarif normal]]/Tableau1[[#This Row],[Diff jour_x000D_
Cumul]]</f>
        <v>10.917884641839942</v>
      </c>
      <c r="AQ66" s="44">
        <f>(Tableau1[[#This Row],[Conso HP / an
Cumul]]*0.1799)+(Tableau1[[#This Row],[Conso HC / an_x000D_
Cumul]]*0.1346)</f>
        <v>4129.674772526474</v>
      </c>
      <c r="AR66" s="44">
        <f>Tableau1[[#This Row],[Conso HP + HC / an_x000D_
Cumul]]*0.1599</f>
        <v>3985.0278942715781</v>
      </c>
      <c r="AS66" s="38">
        <f>MONTH(Tableau1[[#This Row],[Date]])</f>
        <v>2</v>
      </c>
      <c r="AT66" s="38">
        <f>YEAR(Tableau1[[#This Row],[Date]])</f>
        <v>2021</v>
      </c>
    </row>
    <row r="67" spans="1:46" x14ac:dyDescent="0.2">
      <c r="A67" s="19">
        <v>44246.565972222219</v>
      </c>
      <c r="B67" s="20">
        <v>13.7</v>
      </c>
      <c r="C67" s="39">
        <f>IF(ISERROR(Tableau1[[#This Row],[Date]]-A66),"",Tableau1[[#This Row],[Date]]-A66)</f>
        <v>0.25138888888614019</v>
      </c>
      <c r="D67" s="40">
        <f>IF(ISERROR(Tableau1[[#This Row],[Date]]-A66),"",Tableau1[[#This Row],[Date]]-A66)</f>
        <v>0.25138888888614019</v>
      </c>
      <c r="E67" s="39">
        <f>Tableau1[[#This Row],[Date]]-$A$5</f>
        <v>63.85763888888323</v>
      </c>
      <c r="F67" s="40">
        <f>Tableau1[[#This Row],[Date]]-$A$5</f>
        <v>63.85763888888323</v>
      </c>
      <c r="G67" s="40">
        <f>Tableau1[[#This Row],[Diff jour_x000D_
Cumul]]-F$6</f>
        <v>25.774305555554747</v>
      </c>
      <c r="H67" s="40">
        <f>Tableau1[[#This Row],[Diff jour_x000D_
Cumul]]-F$59</f>
        <v>3.2548611111051287</v>
      </c>
      <c r="I67" s="21">
        <v>182751</v>
      </c>
      <c r="J67" s="38">
        <f>IF(ISERROR(Tableau1[[#This Row],[Index HP
kWh]]-I66),"",Tableau1[[#This Row],[Index HP
kWh]]-I66)</f>
        <v>10</v>
      </c>
      <c r="K67" s="40">
        <f>IF(ISERROR(Tableau1[[#This Row],[Différence HP
Instantané]]/(Tableau1[[#This Row],[Diff jour
Instantané]]*24)),"",Tableau1[[#This Row],[Différence HP
Instantané]]/(Tableau1[[#This Row],[Diff jour
Instantané]]*24))</f>
        <v>1.6574585635540342</v>
      </c>
      <c r="L67" s="40">
        <f>Tableau1[[#This Row],[Différence HP
Instantané]]/Tableau1[[#This Row],[Diff jour
Instantané]]</f>
        <v>39.779005525296824</v>
      </c>
      <c r="M67" s="40">
        <f>Tableau1[[#This Row],[Conso HP / jour
Instantané]]*365</f>
        <v>14519.337016733341</v>
      </c>
      <c r="N67" s="38">
        <f>Tableau1[[#This Row],[Index HP
kWh]]-$I$5</f>
        <v>2992</v>
      </c>
      <c r="O67" s="41">
        <f>Tableau1[[#This Row],[Différence HP
Cumul]]/(Tableau1[[#This Row],[Diff jour_x000D_
Cumul]]*24)</f>
        <v>1.9522592572455648</v>
      </c>
      <c r="P67" s="41">
        <f>Tableau1[[#This Row],[Différence HP
Cumul]]/Tableau1[[#This Row],[Diff jour_x000D_
Cumul]]</f>
        <v>46.854222173893554</v>
      </c>
      <c r="Q67" s="41">
        <f>Tableau1[[#This Row],[Conso HP / jour
Cumul]]*365</f>
        <v>17101.791093471147</v>
      </c>
      <c r="R67" s="21">
        <v>120793</v>
      </c>
      <c r="S67" s="38">
        <f>Tableau1[[#This Row],[Index HC_x000D_
kWh]]-R66</f>
        <v>0</v>
      </c>
      <c r="T67" s="42">
        <f>Tableau1[[#This Row],[Différence_x000D_ HC
Instantané]]/(Tableau1[[#This Row],[Diff jour
Instantané]]*24)</f>
        <v>0</v>
      </c>
      <c r="U67" s="42">
        <f>Tableau1[[#This Row],[Différence_x000D_ HC
Instantané]]/Tableau1[[#This Row],[Diff jour
Instantané]]</f>
        <v>0</v>
      </c>
      <c r="V67" s="42">
        <f>Tableau1[[#This Row],[Conso HC / jour_x000D_
Instantané]]*365</f>
        <v>0</v>
      </c>
      <c r="W67" s="38">
        <f>Tableau1[[#This Row],[Index HC_x000D_
kWh]]-$R$5</f>
        <v>1361</v>
      </c>
      <c r="X67" s="43">
        <f>Tableau1[[#This Row],[Différence HC
Cumul]]/(Tableau1[[#This Row],[Diff jour_x000D_
Cumul]]*24)</f>
        <v>0.88804306454251791</v>
      </c>
      <c r="Y67" s="43">
        <f>Tableau1[[#This Row],[Différence HC
Cumul]]/Tableau1[[#This Row],[Diff jour_x000D_
Cumul]]</f>
        <v>21.313033549020432</v>
      </c>
      <c r="Z67" s="43">
        <f>Tableau1[[#This Row],[Conso HC / jour_x000D_
Cumul]]*365</f>
        <v>7779.2572453924577</v>
      </c>
      <c r="AA67" s="38">
        <f>Tableau1[[#This Row],[Différence HP
Instantané]]+Tableau1[[#This Row],[Différence_x000D_ HC
Instantané]]</f>
        <v>10</v>
      </c>
      <c r="AB67" s="41">
        <f>Tableau1[[#This Row],[Conso HP + HC
Instantané]]/(Tableau1[[#This Row],[Diff jour
Instantané]]*24)</f>
        <v>1.6574585635540342</v>
      </c>
      <c r="AC67" s="34">
        <f>IF(ISERROR(Tableau1[[#This Row],[Date]]-A66),"",Tableau1[[#This Row],[Conso HP + HC
Instantané]]/Tableau1[[#This Row],[Diff jour
Instantané]])</f>
        <v>39.779005525296824</v>
      </c>
      <c r="AD67" s="41">
        <f>Tableau1[[#This Row],[Conso HP + HC / jour_x000D_
Instantané]]*365</f>
        <v>14519.337016733341</v>
      </c>
      <c r="AE67" s="38">
        <f>Tableau1[[#This Row],[Différence HP
Cumul]]+Tableau1[[#This Row],[Différence HC
Cumul]]</f>
        <v>4353</v>
      </c>
      <c r="AF67" s="40">
        <f>(Tableau1[[#This Row],[Conso HP + HC
Cumul]]-AE$6)/Tableau1[[#This Row],[Diff jour_x000D_
Cumul
depuis le 24/01]]</f>
        <v>69.138623198170023</v>
      </c>
      <c r="AG67" s="40">
        <f>(Tableau1[[#This Row],[Conso HP + HC
Cumul]]-AE$59)/Tableau1[[#This Row],[Diff jour_x000D_
Cumul
depuis
précédente facture
16/02/2021]]</f>
        <v>54.072967783329595</v>
      </c>
      <c r="AH67" s="41">
        <f>Tableau1[[#This Row],[Conso HP + HC
Cumul]]/(Tableau1[[#This Row],[Diff jour_x000D_
Cumul]]*24)</f>
        <v>2.8403023217880827</v>
      </c>
      <c r="AI67" s="41">
        <f>Tableau1[[#This Row],[Conso HP + HC
Cumul]]/Tableau1[[#This Row],[Diff jour_x000D_
Cumul]]</f>
        <v>68.167255722913978</v>
      </c>
      <c r="AJ67" s="41">
        <f>Tableau1[[#This Row],[Conso HP + HC / jour_x000D_
Cumul]]*365</f>
        <v>24881.048338863602</v>
      </c>
      <c r="AK67" s="44">
        <f>(Tableau1[[#This Row],[Différence HP
Cumul]]*0.1799)+(Tableau1[[#This Row],[Différence HC
Cumul]]*0.1346)</f>
        <v>721.45140000000004</v>
      </c>
      <c r="AL67" s="44">
        <f>Tableau1[[#This Row],[Montant
Tarif HP/HC]]/Tableau1[[#This Row],[Diff jour_x000D_
Cumul]]</f>
        <v>11.297808884781601</v>
      </c>
      <c r="AM67" s="44">
        <f>(Tableau1[[#This Row],[Montant
Tarif HP/HC]]-AK$6)/Tableau1[[#This Row],[Diff jour_x000D_
Cumul
depuis le 24/01]]</f>
        <v>11.524104863263194</v>
      </c>
      <c r="AN67" s="44">
        <f>(Tableau1[[#This Row],[Montant
Tarif HP/HC]]-AK$59)/Tableau1[[#This Row],[Diff jour_x000D_
Cumul
depuis
précédente facture
16/02/2021]]</f>
        <v>9.0596799658796936</v>
      </c>
      <c r="AO67" s="44">
        <f>Tableau1[[#This Row],[Conso HP + HC
Cumul]]*0.1599</f>
        <v>696.04469999999992</v>
      </c>
      <c r="AP67" s="44">
        <f>Tableau1[[#This Row],[Montant
Tarif normal]]/Tableau1[[#This Row],[Diff jour_x000D_
Cumul]]</f>
        <v>10.899944190093946</v>
      </c>
      <c r="AQ67" s="44">
        <f>(Tableau1[[#This Row],[Conso HP / an
Cumul]]*0.1799)+(Tableau1[[#This Row],[Conso HC / an_x000D_
Cumul]]*0.1346)</f>
        <v>4123.7002429452841</v>
      </c>
      <c r="AR67" s="44">
        <f>Tableau1[[#This Row],[Conso HP + HC / an_x000D_
Cumul]]*0.1599</f>
        <v>3978.4796293842896</v>
      </c>
      <c r="AS67" s="38">
        <f>MONTH(Tableau1[[#This Row],[Date]])</f>
        <v>2</v>
      </c>
      <c r="AT67" s="38">
        <f>YEAR(Tableau1[[#This Row],[Date]])</f>
        <v>2021</v>
      </c>
    </row>
    <row r="68" spans="1:46" x14ac:dyDescent="0.2">
      <c r="A68" s="19">
        <v>44246.673611111109</v>
      </c>
      <c r="B68" s="20">
        <v>14.8</v>
      </c>
      <c r="C68" s="39">
        <f>IF(ISERROR(Tableau1[[#This Row],[Date]]-A67),"",Tableau1[[#This Row],[Date]]-A67)</f>
        <v>0.10763888889050577</v>
      </c>
      <c r="D68" s="40">
        <f>IF(ISERROR(Tableau1[[#This Row],[Date]]-A67),"",Tableau1[[#This Row],[Date]]-A67)</f>
        <v>0.10763888889050577</v>
      </c>
      <c r="E68" s="39">
        <f>Tableau1[[#This Row],[Date]]-$A$5</f>
        <v>63.965277777773736</v>
      </c>
      <c r="F68" s="40">
        <f>Tableau1[[#This Row],[Date]]-$A$5</f>
        <v>63.965277777773736</v>
      </c>
      <c r="G68" s="40">
        <f>Tableau1[[#This Row],[Diff jour_x000D_
Cumul]]-F$6</f>
        <v>25.881944444445253</v>
      </c>
      <c r="H68" s="40">
        <f>Tableau1[[#This Row],[Diff jour_x000D_
Cumul]]-F$59</f>
        <v>3.3624999999956344</v>
      </c>
      <c r="I68" s="21">
        <v>182752</v>
      </c>
      <c r="J68" s="38">
        <f>IF(ISERROR(Tableau1[[#This Row],[Index HP
kWh]]-I67),"",Tableau1[[#This Row],[Index HP
kWh]]-I67)</f>
        <v>1</v>
      </c>
      <c r="K68" s="40">
        <f>IF(ISERROR(Tableau1[[#This Row],[Différence HP
Instantané]]/(Tableau1[[#This Row],[Diff jour
Instantané]]*24)),"",Tableau1[[#This Row],[Différence HP
Instantané]]/(Tableau1[[#This Row],[Diff jour
Instantané]]*24))</f>
        <v>0.38709677418773369</v>
      </c>
      <c r="L68" s="40">
        <f>Tableau1[[#This Row],[Différence HP
Instantané]]/Tableau1[[#This Row],[Diff jour
Instantané]]</f>
        <v>9.2903225805056078</v>
      </c>
      <c r="M68" s="40">
        <f>Tableau1[[#This Row],[Conso HP / jour
Instantané]]*365</f>
        <v>3390.9677418845467</v>
      </c>
      <c r="N68" s="38">
        <f>Tableau1[[#This Row],[Index HP
kWh]]-$I$5</f>
        <v>2993</v>
      </c>
      <c r="O68" s="41">
        <f>Tableau1[[#This Row],[Différence HP
Cumul]]/(Tableau1[[#This Row],[Diff jour_x000D_
Cumul]]*24)</f>
        <v>1.9496254478342345</v>
      </c>
      <c r="P68" s="41">
        <f>Tableau1[[#This Row],[Différence HP
Cumul]]/Tableau1[[#This Row],[Diff jour_x000D_
Cumul]]</f>
        <v>46.791010748021627</v>
      </c>
      <c r="Q68" s="41">
        <f>Tableau1[[#This Row],[Conso HP / jour
Cumul]]*365</f>
        <v>17078.718923027893</v>
      </c>
      <c r="R68" s="21">
        <v>120793</v>
      </c>
      <c r="S68" s="38">
        <f>Tableau1[[#This Row],[Index HC_x000D_
kWh]]-R67</f>
        <v>0</v>
      </c>
      <c r="T68" s="42">
        <f>Tableau1[[#This Row],[Différence_x000D_ HC
Instantané]]/(Tableau1[[#This Row],[Diff jour
Instantané]]*24)</f>
        <v>0</v>
      </c>
      <c r="U68" s="42">
        <f>Tableau1[[#This Row],[Différence_x000D_ HC
Instantané]]/Tableau1[[#This Row],[Diff jour
Instantané]]</f>
        <v>0</v>
      </c>
      <c r="V68" s="42">
        <f>Tableau1[[#This Row],[Conso HC / jour_x000D_
Instantané]]*365</f>
        <v>0</v>
      </c>
      <c r="W68" s="38">
        <f>Tableau1[[#This Row],[Index HC_x000D_
kWh]]-$R$5</f>
        <v>1361</v>
      </c>
      <c r="X68" s="43">
        <f>Tableau1[[#This Row],[Différence HC
Cumul]]/(Tableau1[[#This Row],[Diff jour_x000D_
Cumul]]*24)</f>
        <v>0.88654869178162155</v>
      </c>
      <c r="Y68" s="43">
        <f>Tableau1[[#This Row],[Différence HC
Cumul]]/Tableau1[[#This Row],[Diff jour_x000D_
Cumul]]</f>
        <v>21.277168602758916</v>
      </c>
      <c r="Z68" s="43">
        <f>Tableau1[[#This Row],[Conso HC / jour_x000D_
Cumul]]*365</f>
        <v>7766.1665400070042</v>
      </c>
      <c r="AA68" s="38">
        <f>Tableau1[[#This Row],[Différence HP
Instantané]]+Tableau1[[#This Row],[Différence_x000D_ HC
Instantané]]</f>
        <v>1</v>
      </c>
      <c r="AB68" s="41">
        <f>Tableau1[[#This Row],[Conso HP + HC
Instantané]]/(Tableau1[[#This Row],[Diff jour
Instantané]]*24)</f>
        <v>0.38709677418773369</v>
      </c>
      <c r="AC68" s="34">
        <f>IF(ISERROR(Tableau1[[#This Row],[Date]]-A67),"",Tableau1[[#This Row],[Conso HP + HC
Instantané]]/Tableau1[[#This Row],[Diff jour
Instantané]])</f>
        <v>9.2903225805056078</v>
      </c>
      <c r="AD68" s="41">
        <f>Tableau1[[#This Row],[Conso HP + HC / jour_x000D_
Instantané]]*365</f>
        <v>3390.9677418845467</v>
      </c>
      <c r="AE68" s="38">
        <f>Tableau1[[#This Row],[Différence HP
Cumul]]+Tableau1[[#This Row],[Différence HC
Cumul]]</f>
        <v>4354</v>
      </c>
      <c r="AF68" s="40">
        <f>(Tableau1[[#This Row],[Conso HP + HC
Cumul]]-AE$6)/Tableau1[[#This Row],[Diff jour_x000D_
Cumul
depuis le 24/01]]</f>
        <v>68.889723638312844</v>
      </c>
      <c r="AG68" s="40">
        <f>(Tableau1[[#This Row],[Conso HP + HC
Cumul]]-AE$59)/Tableau1[[#This Row],[Diff jour_x000D_
Cumul
depuis
précédente facture
16/02/2021]]</f>
        <v>52.639405204529311</v>
      </c>
      <c r="AH68" s="41">
        <f>Tableau1[[#This Row],[Conso HP + HC
Cumul]]/(Tableau1[[#This Row],[Diff jour_x000D_
Cumul]]*24)</f>
        <v>2.836174139615856</v>
      </c>
      <c r="AI68" s="41">
        <f>Tableau1[[#This Row],[Conso HP + HC
Cumul]]/Tableau1[[#This Row],[Diff jour_x000D_
Cumul]]</f>
        <v>68.068179350780554</v>
      </c>
      <c r="AJ68" s="41">
        <f>Tableau1[[#This Row],[Conso HP + HC / jour_x000D_
Cumul]]*365</f>
        <v>24844.885463034901</v>
      </c>
      <c r="AK68" s="44">
        <f>(Tableau1[[#This Row],[Différence HP
Cumul]]*0.1799)+(Tableau1[[#This Row],[Différence HC
Cumul]]*0.1346)</f>
        <v>721.63130000000001</v>
      </c>
      <c r="AL68" s="44">
        <f>Tableau1[[#This Row],[Montant
Tarif HP/HC]]/Tableau1[[#This Row],[Diff jour_x000D_
Cumul]]</f>
        <v>11.281609727500442</v>
      </c>
      <c r="AM68" s="44">
        <f>(Tableau1[[#This Row],[Montant
Tarif HP/HC]]-AK$6)/Tableau1[[#This Row],[Diff jour_x000D_
Cumul
depuis le 24/01]]</f>
        <v>11.483128736248634</v>
      </c>
      <c r="AN68" s="44">
        <f>(Tableau1[[#This Row],[Montant
Tarif HP/HC]]-AK$59)/Tableau1[[#This Row],[Diff jour_x000D_
Cumul
depuis
précédente facture
16/02/2021]]</f>
        <v>8.8231672862568171</v>
      </c>
      <c r="AO68" s="44">
        <f>Tableau1[[#This Row],[Conso HP + HC
Cumul]]*0.1599</f>
        <v>696.20459999999991</v>
      </c>
      <c r="AP68" s="44">
        <f>Tableau1[[#This Row],[Montant
Tarif normal]]/Tableau1[[#This Row],[Diff jour_x000D_
Cumul]]</f>
        <v>10.884101878189808</v>
      </c>
      <c r="AQ68" s="44">
        <f>(Tableau1[[#This Row],[Conso HP / an
Cumul]]*0.1799)+(Tableau1[[#This Row],[Conso HC / an_x000D_
Cumul]]*0.1346)</f>
        <v>4117.7875505376614</v>
      </c>
      <c r="AR68" s="44">
        <f>Tableau1[[#This Row],[Conso HP + HC / an_x000D_
Cumul]]*0.1599</f>
        <v>3972.6971855392803</v>
      </c>
      <c r="AS68" s="38">
        <f>MONTH(Tableau1[[#This Row],[Date]])</f>
        <v>2</v>
      </c>
      <c r="AT68" s="38">
        <f>YEAR(Tableau1[[#This Row],[Date]])</f>
        <v>2021</v>
      </c>
    </row>
    <row r="69" spans="1:46" x14ac:dyDescent="0.2">
      <c r="A69" s="19">
        <v>44246.739583333336</v>
      </c>
      <c r="B69" s="20">
        <v>14</v>
      </c>
      <c r="C69" s="39">
        <f>IF(ISERROR(Tableau1[[#This Row],[Date]]-A68),"",Tableau1[[#This Row],[Date]]-A68)</f>
        <v>6.5972222226264421E-2</v>
      </c>
      <c r="D69" s="40">
        <f>IF(ISERROR(Tableau1[[#This Row],[Date]]-A68),"",Tableau1[[#This Row],[Date]]-A68)</f>
        <v>6.5972222226264421E-2</v>
      </c>
      <c r="E69" s="39">
        <f>Tableau1[[#This Row],[Date]]-$A$5</f>
        <v>64.03125</v>
      </c>
      <c r="F69" s="40">
        <f>Tableau1[[#This Row],[Date]]-$A$5</f>
        <v>64.03125</v>
      </c>
      <c r="G69" s="40">
        <f>Tableau1[[#This Row],[Diff jour_x000D_
Cumul]]-F$6</f>
        <v>25.947916666671517</v>
      </c>
      <c r="H69" s="40">
        <f>Tableau1[[#This Row],[Diff jour_x000D_
Cumul]]-F$59</f>
        <v>3.4284722222218988</v>
      </c>
      <c r="I69" s="21">
        <v>182755</v>
      </c>
      <c r="J69" s="38">
        <f>IF(ISERROR(Tableau1[[#This Row],[Index HP
kWh]]-I68),"",Tableau1[[#This Row],[Index HP
kWh]]-I68)</f>
        <v>3</v>
      </c>
      <c r="K69" s="40">
        <f>IF(ISERROR(Tableau1[[#This Row],[Différence HP
Instantané]]/(Tableau1[[#This Row],[Diff jour
Instantané]]*24)),"",Tableau1[[#This Row],[Différence HP
Instantané]]/(Tableau1[[#This Row],[Diff jour
Instantané]]*24))</f>
        <v>1.8947368419891704</v>
      </c>
      <c r="L69" s="40">
        <f>Tableau1[[#This Row],[Différence HP
Instantané]]/Tableau1[[#This Row],[Diff jour
Instantané]]</f>
        <v>45.473684207740085</v>
      </c>
      <c r="M69" s="40">
        <f>Tableau1[[#This Row],[Conso HP / jour
Instantané]]*365</f>
        <v>16597.894735825132</v>
      </c>
      <c r="N69" s="38">
        <f>Tableau1[[#This Row],[Index HP
kWh]]-$I$5</f>
        <v>2996</v>
      </c>
      <c r="O69" s="41">
        <f>Tableau1[[#This Row],[Différence HP
Cumul]]/(Tableau1[[#This Row],[Diff jour_x000D_
Cumul]]*24)</f>
        <v>1.9495688953961281</v>
      </c>
      <c r="P69" s="41">
        <f>Tableau1[[#This Row],[Différence HP
Cumul]]/Tableau1[[#This Row],[Diff jour_x000D_
Cumul]]</f>
        <v>46.789653489507074</v>
      </c>
      <c r="Q69" s="41">
        <f>Tableau1[[#This Row],[Conso HP / jour
Cumul]]*365</f>
        <v>17078.223523670084</v>
      </c>
      <c r="R69" s="21">
        <v>120793</v>
      </c>
      <c r="S69" s="38">
        <f>Tableau1[[#This Row],[Index HC_x000D_
kWh]]-R68</f>
        <v>0</v>
      </c>
      <c r="T69" s="42">
        <f>Tableau1[[#This Row],[Différence_x000D_ HC
Instantané]]/(Tableau1[[#This Row],[Diff jour
Instantané]]*24)</f>
        <v>0</v>
      </c>
      <c r="U69" s="42">
        <f>Tableau1[[#This Row],[Différence_x000D_ HC
Instantané]]/Tableau1[[#This Row],[Diff jour
Instantané]]</f>
        <v>0</v>
      </c>
      <c r="V69" s="42">
        <f>Tableau1[[#This Row],[Conso HC / jour_x000D_
Instantané]]*365</f>
        <v>0</v>
      </c>
      <c r="W69" s="38">
        <f>Tableau1[[#This Row],[Index HC_x000D_
kWh]]-$R$5</f>
        <v>1361</v>
      </c>
      <c r="X69" s="43">
        <f>Tableau1[[#This Row],[Différence HC
Cumul]]/(Tableau1[[#This Row],[Diff jour_x000D_
Cumul]]*24)</f>
        <v>0.88563526923702618</v>
      </c>
      <c r="Y69" s="43">
        <f>Tableau1[[#This Row],[Différence HC
Cumul]]/Tableau1[[#This Row],[Diff jour_x000D_
Cumul]]</f>
        <v>21.255246461688628</v>
      </c>
      <c r="Z69" s="43">
        <f>Tableau1[[#This Row],[Conso HC / jour_x000D_
Cumul]]*365</f>
        <v>7758.1649585163495</v>
      </c>
      <c r="AA69" s="38">
        <f>Tableau1[[#This Row],[Différence HP
Instantané]]+Tableau1[[#This Row],[Différence_x000D_ HC
Instantané]]</f>
        <v>3</v>
      </c>
      <c r="AB69" s="41">
        <f>Tableau1[[#This Row],[Conso HP + HC
Instantané]]/(Tableau1[[#This Row],[Diff jour
Instantané]]*24)</f>
        <v>1.8947368419891704</v>
      </c>
      <c r="AC69" s="34">
        <f>IF(ISERROR(Tableau1[[#This Row],[Date]]-A68),"",Tableau1[[#This Row],[Conso HP + HC
Instantané]]/Tableau1[[#This Row],[Diff jour
Instantané]])</f>
        <v>45.473684207740085</v>
      </c>
      <c r="AD69" s="41">
        <f>Tableau1[[#This Row],[Conso HP + HC / jour_x000D_
Instantané]]*365</f>
        <v>16597.894735825132</v>
      </c>
      <c r="AE69" s="38">
        <f>Tableau1[[#This Row],[Différence HP
Cumul]]+Tableau1[[#This Row],[Différence HC
Cumul]]</f>
        <v>4357</v>
      </c>
      <c r="AF69" s="40">
        <f>(Tableau1[[#This Row],[Conso HP + HC
Cumul]]-AE$6)/Tableau1[[#This Row],[Diff jour_x000D_
Cumul
depuis le 24/01]]</f>
        <v>68.830188679232421</v>
      </c>
      <c r="AG69" s="40">
        <f>(Tableau1[[#This Row],[Conso HP + HC
Cumul]]-AE$59)/Tableau1[[#This Row],[Diff jour_x000D_
Cumul
depuis
précédente facture
16/02/2021]]</f>
        <v>52.501519141183806</v>
      </c>
      <c r="AH69" s="41">
        <f>Tableau1[[#This Row],[Conso HP + HC
Cumul]]/(Tableau1[[#This Row],[Diff jour_x000D_
Cumul]]*24)</f>
        <v>2.8352041646331543</v>
      </c>
      <c r="AI69" s="41">
        <f>Tableau1[[#This Row],[Conso HP + HC
Cumul]]/Tableau1[[#This Row],[Diff jour_x000D_
Cumul]]</f>
        <v>68.044899951195703</v>
      </c>
      <c r="AJ69" s="41">
        <f>Tableau1[[#This Row],[Conso HP + HC / jour_x000D_
Cumul]]*365</f>
        <v>24836.38848218643</v>
      </c>
      <c r="AK69" s="44">
        <f>(Tableau1[[#This Row],[Différence HP
Cumul]]*0.1799)+(Tableau1[[#This Row],[Différence HC
Cumul]]*0.1346)</f>
        <v>722.17100000000005</v>
      </c>
      <c r="AL69" s="44">
        <f>Tableau1[[#This Row],[Montant
Tarif HP/HC]]/Tableau1[[#This Row],[Diff jour_x000D_
Cumul]]</f>
        <v>11.278414836505613</v>
      </c>
      <c r="AM69" s="44">
        <f>(Tableau1[[#This Row],[Montant
Tarif HP/HC]]-AK$6)/Tableau1[[#This Row],[Diff jour_x000D_
Cumul
depuis le 24/01]]</f>
        <v>11.474732396625717</v>
      </c>
      <c r="AN69" s="44">
        <f>(Tableau1[[#This Row],[Montant
Tarif HP/HC]]-AK$59)/Tableau1[[#This Row],[Diff jour_x000D_
Cumul
depuis
précédente facture
16/02/2021]]</f>
        <v>8.8108049422734869</v>
      </c>
      <c r="AO69" s="44">
        <f>Tableau1[[#This Row],[Conso HP + HC
Cumul]]*0.1599</f>
        <v>696.68429999999989</v>
      </c>
      <c r="AP69" s="44">
        <f>Tableau1[[#This Row],[Montant
Tarif normal]]/Tableau1[[#This Row],[Diff jour_x000D_
Cumul]]</f>
        <v>10.880379502196192</v>
      </c>
      <c r="AQ69" s="44">
        <f>(Tableau1[[#This Row],[Conso HP / an
Cumul]]*0.1799)+(Tableau1[[#This Row],[Conso HC / an_x000D_
Cumul]]*0.1346)</f>
        <v>4116.6214153245492</v>
      </c>
      <c r="AR69" s="44">
        <f>Tableau1[[#This Row],[Conso HP + HC / an_x000D_
Cumul]]*0.1599</f>
        <v>3971.3385183016098</v>
      </c>
      <c r="AS69" s="38">
        <f>MONTH(Tableau1[[#This Row],[Date]])</f>
        <v>2</v>
      </c>
      <c r="AT69" s="38">
        <f>YEAR(Tableau1[[#This Row],[Date]])</f>
        <v>2021</v>
      </c>
    </row>
    <row r="70" spans="1:46" x14ac:dyDescent="0.2">
      <c r="A70" s="19">
        <v>44247.353472222225</v>
      </c>
      <c r="B70" s="20">
        <v>10.5</v>
      </c>
      <c r="C70" s="39">
        <f>IF(ISERROR(Tableau1[[#This Row],[Date]]-A69),"",Tableau1[[#This Row],[Date]]-A69)</f>
        <v>0.61388888888905058</v>
      </c>
      <c r="D70" s="40">
        <f>IF(ISERROR(Tableau1[[#This Row],[Date]]-A69),"",Tableau1[[#This Row],[Date]]-A69)</f>
        <v>0.61388888888905058</v>
      </c>
      <c r="E70" s="39">
        <f>Tableau1[[#This Row],[Date]]-$A$5</f>
        <v>64.645138888889051</v>
      </c>
      <c r="F70" s="40">
        <f>Tableau1[[#This Row],[Date]]-$A$5</f>
        <v>64.645138888889051</v>
      </c>
      <c r="G70" s="40">
        <f>Tableau1[[#This Row],[Diff jour_x000D_
Cumul]]-F$6</f>
        <v>26.561805555560568</v>
      </c>
      <c r="H70" s="40">
        <f>Tableau1[[#This Row],[Diff jour_x000D_
Cumul]]-F$59</f>
        <v>4.0423611111109494</v>
      </c>
      <c r="I70" s="21">
        <v>182768</v>
      </c>
      <c r="J70" s="38">
        <f>IF(ISERROR(Tableau1[[#This Row],[Index HP
kWh]]-I69),"",Tableau1[[#This Row],[Index HP
kWh]]-I69)</f>
        <v>13</v>
      </c>
      <c r="K70" s="40">
        <f>IF(ISERROR(Tableau1[[#This Row],[Différence HP
Instantané]]/(Tableau1[[#This Row],[Diff jour
Instantané]]*24)),"",Tableau1[[#This Row],[Différence HP
Instantané]]/(Tableau1[[#This Row],[Diff jour
Instantané]]*24))</f>
        <v>0.88235294117623819</v>
      </c>
      <c r="L70" s="40">
        <f>Tableau1[[#This Row],[Différence HP
Instantané]]/Tableau1[[#This Row],[Diff jour
Instantané]]</f>
        <v>21.176470588229716</v>
      </c>
      <c r="M70" s="40">
        <f>Tableau1[[#This Row],[Conso HP / jour
Instantané]]*365</f>
        <v>7729.4117647038465</v>
      </c>
      <c r="N70" s="38">
        <f>Tableau1[[#This Row],[Index HP
kWh]]-$I$5</f>
        <v>3009</v>
      </c>
      <c r="O70" s="41">
        <f>Tableau1[[#This Row],[Différence HP
Cumul]]/(Tableau1[[#This Row],[Diff jour_x000D_
Cumul]]*24)</f>
        <v>1.9394343048050742</v>
      </c>
      <c r="P70" s="41">
        <f>Tableau1[[#This Row],[Différence HP
Cumul]]/Tableau1[[#This Row],[Diff jour_x000D_
Cumul]]</f>
        <v>46.546423315321782</v>
      </c>
      <c r="Q70" s="41">
        <f>Tableau1[[#This Row],[Conso HP / jour
Cumul]]*365</f>
        <v>16989.444510092449</v>
      </c>
      <c r="R70" s="21">
        <v>120809</v>
      </c>
      <c r="S70" s="38">
        <f>Tableau1[[#This Row],[Index HC_x000D_
kWh]]-R69</f>
        <v>16</v>
      </c>
      <c r="T70" s="42">
        <f>Tableau1[[#This Row],[Différence_x000D_ HC
Instantané]]/(Tableau1[[#This Row],[Diff jour
Instantané]]*24)</f>
        <v>1.085972850678447</v>
      </c>
      <c r="U70" s="42">
        <f>Tableau1[[#This Row],[Différence_x000D_ HC
Instantané]]/Tableau1[[#This Row],[Diff jour
Instantané]]</f>
        <v>26.063348416282729</v>
      </c>
      <c r="V70" s="42">
        <f>Tableau1[[#This Row],[Conso HC / jour_x000D_
Instantané]]*365</f>
        <v>9513.122171943196</v>
      </c>
      <c r="W70" s="38">
        <f>Tableau1[[#This Row],[Index HC_x000D_
kWh]]-$R$5</f>
        <v>1377</v>
      </c>
      <c r="X70" s="43">
        <f>Tableau1[[#This Row],[Différence HC
Cumul]]/(Tableau1[[#This Row],[Diff jour_x000D_
Cumul]]*24)</f>
        <v>0.88753773270740677</v>
      </c>
      <c r="Y70" s="43">
        <f>Tableau1[[#This Row],[Différence HC
Cumul]]/Tableau1[[#This Row],[Diff jour_x000D_
Cumul]]</f>
        <v>21.300905584977762</v>
      </c>
      <c r="Z70" s="43">
        <f>Tableau1[[#This Row],[Conso HC / jour_x000D_
Cumul]]*365</f>
        <v>7774.8305385168833</v>
      </c>
      <c r="AA70" s="38">
        <f>Tableau1[[#This Row],[Différence HP
Instantané]]+Tableau1[[#This Row],[Différence_x000D_ HC
Instantané]]</f>
        <v>29</v>
      </c>
      <c r="AB70" s="41">
        <f>Tableau1[[#This Row],[Conso HP + HC
Instantané]]/(Tableau1[[#This Row],[Diff jour
Instantané]]*24)</f>
        <v>1.9683257918546853</v>
      </c>
      <c r="AC70" s="34">
        <f>IF(ISERROR(Tableau1[[#This Row],[Date]]-A69),"",Tableau1[[#This Row],[Conso HP + HC
Instantané]]/Tableau1[[#This Row],[Diff jour
Instantané]])</f>
        <v>47.239819004512448</v>
      </c>
      <c r="AD70" s="41">
        <f>Tableau1[[#This Row],[Conso HP + HC / jour_x000D_
Instantané]]*365</f>
        <v>17242.533936647043</v>
      </c>
      <c r="AE70" s="38">
        <f>Tableau1[[#This Row],[Différence HP
Cumul]]+Tableau1[[#This Row],[Différence HC
Cumul]]</f>
        <v>4386</v>
      </c>
      <c r="AF70" s="40">
        <f>(Tableau1[[#This Row],[Conso HP + HC
Cumul]]-AE$6)/Tableau1[[#This Row],[Diff jour_x000D_
Cumul
depuis le 24/01]]</f>
        <v>68.331198201247275</v>
      </c>
      <c r="AG70" s="40">
        <f>(Tableau1[[#This Row],[Conso HP + HC
Cumul]]-AE$59)/Tableau1[[#This Row],[Diff jour_x000D_
Cumul
depuis
précédente facture
16/02/2021]]</f>
        <v>51.702456622575511</v>
      </c>
      <c r="AH70" s="41">
        <f>Tableau1[[#This Row],[Conso HP + HC
Cumul]]/(Tableau1[[#This Row],[Diff jour_x000D_
Cumul]]*24)</f>
        <v>2.8269720375124812</v>
      </c>
      <c r="AI70" s="41">
        <f>Tableau1[[#This Row],[Conso HP + HC
Cumul]]/Tableau1[[#This Row],[Diff jour_x000D_
Cumul]]</f>
        <v>67.847328900299544</v>
      </c>
      <c r="AJ70" s="41">
        <f>Tableau1[[#This Row],[Conso HP + HC / jour_x000D_
Cumul]]*365</f>
        <v>24764.275048609335</v>
      </c>
      <c r="AK70" s="44">
        <f>(Tableau1[[#This Row],[Différence HP
Cumul]]*0.1799)+(Tableau1[[#This Row],[Différence HC
Cumul]]*0.1346)</f>
        <v>726.66330000000005</v>
      </c>
      <c r="AL70" s="44">
        <f>Tableau1[[#This Row],[Montant
Tarif HP/HC]]/Tableau1[[#This Row],[Diff jour_x000D_
Cumul]]</f>
        <v>11.240803446164396</v>
      </c>
      <c r="AM70" s="44">
        <f>(Tableau1[[#This Row],[Montant
Tarif HP/HC]]-AK$6)/Tableau1[[#This Row],[Diff jour_x000D_
Cumul
depuis le 24/01]]</f>
        <v>11.378657951839731</v>
      </c>
      <c r="AN70" s="44">
        <f>(Tableau1[[#This Row],[Montant
Tarif HP/HC]]-AK$59)/Tableau1[[#This Row],[Diff jour_x000D_
Cumul
depuis
précédente facture
16/02/2021]]</f>
        <v>8.5840673423813953</v>
      </c>
      <c r="AO70" s="44">
        <f>Tableau1[[#This Row],[Conso HP + HC
Cumul]]*0.1599</f>
        <v>701.32139999999993</v>
      </c>
      <c r="AP70" s="44">
        <f>Tableau1[[#This Row],[Montant
Tarif normal]]/Tableau1[[#This Row],[Diff jour_x000D_
Cumul]]</f>
        <v>10.848787891157896</v>
      </c>
      <c r="AQ70" s="44">
        <f>(Tableau1[[#This Row],[Conso HP / an
Cumul]]*0.1799)+(Tableau1[[#This Row],[Conso HC / an_x000D_
Cumul]]*0.1346)</f>
        <v>4102.8932578500044</v>
      </c>
      <c r="AR70" s="44">
        <f>Tableau1[[#This Row],[Conso HP + HC / an_x000D_
Cumul]]*0.1599</f>
        <v>3959.8075802726325</v>
      </c>
      <c r="AS70" s="38">
        <f>MONTH(Tableau1[[#This Row],[Date]])</f>
        <v>2</v>
      </c>
      <c r="AT70" s="38">
        <f>YEAR(Tableau1[[#This Row],[Date]])</f>
        <v>2021</v>
      </c>
    </row>
    <row r="71" spans="1:46" x14ac:dyDescent="0.2">
      <c r="A71" s="19">
        <v>44247.567361111112</v>
      </c>
      <c r="B71" s="20">
        <v>14.8</v>
      </c>
      <c r="C71" s="39">
        <f>IF(ISERROR(Tableau1[[#This Row],[Date]]-A70),"",Tableau1[[#This Row],[Date]]-A70)</f>
        <v>0.21388888888759539</v>
      </c>
      <c r="D71" s="40">
        <f>IF(ISERROR(Tableau1[[#This Row],[Date]]-A70),"",Tableau1[[#This Row],[Date]]-A70)</f>
        <v>0.21388888888759539</v>
      </c>
      <c r="E71" s="39">
        <f>Tableau1[[#This Row],[Date]]-$A$5</f>
        <v>64.859027777776646</v>
      </c>
      <c r="F71" s="40">
        <f>Tableau1[[#This Row],[Date]]-$A$5</f>
        <v>64.859027777776646</v>
      </c>
      <c r="G71" s="40">
        <f>Tableau1[[#This Row],[Diff jour_x000D_
Cumul]]-F$6</f>
        <v>26.775694444448163</v>
      </c>
      <c r="H71" s="40">
        <f>Tableau1[[#This Row],[Diff jour_x000D_
Cumul]]-F$59</f>
        <v>4.2562499999985448</v>
      </c>
      <c r="I71" s="21">
        <v>182781</v>
      </c>
      <c r="J71" s="38">
        <f>IF(ISERROR(Tableau1[[#This Row],[Index HP
kWh]]-I70),"",Tableau1[[#This Row],[Index HP
kWh]]-I70)</f>
        <v>13</v>
      </c>
      <c r="K71" s="40">
        <f>IF(ISERROR(Tableau1[[#This Row],[Différence HP
Instantané]]/(Tableau1[[#This Row],[Diff jour
Instantané]]*24)),"",Tableau1[[#This Row],[Différence HP
Instantané]]/(Tableau1[[#This Row],[Diff jour
Instantané]]*24))</f>
        <v>2.5324675324828476</v>
      </c>
      <c r="L71" s="40">
        <f>Tableau1[[#This Row],[Différence HP
Instantané]]/Tableau1[[#This Row],[Diff jour
Instantané]]</f>
        <v>60.779220779588343</v>
      </c>
      <c r="M71" s="40">
        <f>Tableau1[[#This Row],[Conso HP / jour
Instantané]]*365</f>
        <v>22184.415584549744</v>
      </c>
      <c r="N71" s="38">
        <f>Tableau1[[#This Row],[Index HP
kWh]]-$I$5</f>
        <v>3022</v>
      </c>
      <c r="O71" s="41">
        <f>Tableau1[[#This Row],[Différence HP
Cumul]]/(Tableau1[[#This Row],[Diff jour_x000D_
Cumul]]*24)</f>
        <v>1.9413899804062569</v>
      </c>
      <c r="P71" s="41">
        <f>Tableau1[[#This Row],[Différence HP
Cumul]]/Tableau1[[#This Row],[Diff jour_x000D_
Cumul]]</f>
        <v>46.59335952975016</v>
      </c>
      <c r="Q71" s="41">
        <f>Tableau1[[#This Row],[Conso HP / jour
Cumul]]*365</f>
        <v>17006.576228358808</v>
      </c>
      <c r="R71" s="21">
        <v>120809</v>
      </c>
      <c r="S71" s="38">
        <f>Tableau1[[#This Row],[Index HC_x000D_
kWh]]-R70</f>
        <v>0</v>
      </c>
      <c r="T71" s="42">
        <f>Tableau1[[#This Row],[Différence_x000D_ HC
Instantané]]/(Tableau1[[#This Row],[Diff jour
Instantané]]*24)</f>
        <v>0</v>
      </c>
      <c r="U71" s="42">
        <f>Tableau1[[#This Row],[Différence_x000D_ HC
Instantané]]/Tableau1[[#This Row],[Diff jour
Instantané]]</f>
        <v>0</v>
      </c>
      <c r="V71" s="42">
        <f>Tableau1[[#This Row],[Conso HC / jour_x000D_
Instantané]]*365</f>
        <v>0</v>
      </c>
      <c r="W71" s="38">
        <f>Tableau1[[#This Row],[Index HC_x000D_
kWh]]-$R$5</f>
        <v>1377</v>
      </c>
      <c r="X71" s="43">
        <f>Tableau1[[#This Row],[Différence HC
Cumul]]/(Tableau1[[#This Row],[Diff jour_x000D_
Cumul]]*24)</f>
        <v>0.8846108547383903</v>
      </c>
      <c r="Y71" s="43">
        <f>Tableau1[[#This Row],[Différence HC
Cumul]]/Tableau1[[#This Row],[Diff jour_x000D_
Cumul]]</f>
        <v>21.230660513721368</v>
      </c>
      <c r="Z71" s="43">
        <f>Tableau1[[#This Row],[Conso HC / jour_x000D_
Cumul]]*365</f>
        <v>7749.1910875082995</v>
      </c>
      <c r="AA71" s="38">
        <f>Tableau1[[#This Row],[Différence HP
Instantané]]+Tableau1[[#This Row],[Différence_x000D_ HC
Instantané]]</f>
        <v>13</v>
      </c>
      <c r="AB71" s="41">
        <f>Tableau1[[#This Row],[Conso HP + HC
Instantané]]/(Tableau1[[#This Row],[Diff jour
Instantané]]*24)</f>
        <v>2.5324675324828476</v>
      </c>
      <c r="AC71" s="34">
        <f>IF(ISERROR(Tableau1[[#This Row],[Date]]-A70),"",Tableau1[[#This Row],[Conso HP + HC
Instantané]]/Tableau1[[#This Row],[Diff jour
Instantané]])</f>
        <v>60.779220779588343</v>
      </c>
      <c r="AD71" s="41">
        <f>Tableau1[[#This Row],[Conso HP + HC / jour_x000D_
Instantané]]*365</f>
        <v>22184.415584549744</v>
      </c>
      <c r="AE71" s="38">
        <f>Tableau1[[#This Row],[Différence HP
Cumul]]+Tableau1[[#This Row],[Différence HC
Cumul]]</f>
        <v>4399</v>
      </c>
      <c r="AF71" s="40">
        <f>(Tableau1[[#This Row],[Conso HP + HC
Cumul]]-AE$6)/Tableau1[[#This Row],[Diff jour_x000D_
Cumul
depuis le 24/01]]</f>
        <v>68.270871696439926</v>
      </c>
      <c r="AG71" s="40">
        <f>(Tableau1[[#This Row],[Conso HP + HC
Cumul]]-AE$59)/Tableau1[[#This Row],[Diff jour_x000D_
Cumul
depuis
précédente facture
16/02/2021]]</f>
        <v>52.158590308387879</v>
      </c>
      <c r="AH71" s="41">
        <f>Tableau1[[#This Row],[Conso HP + HC
Cumul]]/(Tableau1[[#This Row],[Diff jour_x000D_
Cumul]]*24)</f>
        <v>2.8260008351446473</v>
      </c>
      <c r="AI71" s="41">
        <f>Tableau1[[#This Row],[Conso HP + HC
Cumul]]/Tableau1[[#This Row],[Diff jour_x000D_
Cumul]]</f>
        <v>67.824020043471535</v>
      </c>
      <c r="AJ71" s="41">
        <f>Tableau1[[#This Row],[Conso HP + HC / jour_x000D_
Cumul]]*365</f>
        <v>24755.76731586711</v>
      </c>
      <c r="AK71" s="44">
        <f>(Tableau1[[#This Row],[Différence HP
Cumul]]*0.1799)+(Tableau1[[#This Row],[Différence HC
Cumul]]*0.1346)</f>
        <v>729.00200000000007</v>
      </c>
      <c r="AL71" s="44">
        <f>Tableau1[[#This Row],[Montant
Tarif HP/HC]]/Tableau1[[#This Row],[Diff jour_x000D_
Cumul]]</f>
        <v>11.239792284548951</v>
      </c>
      <c r="AM71" s="44">
        <f>(Tableau1[[#This Row],[Montant
Tarif HP/HC]]-AK$6)/Tableau1[[#This Row],[Diff jour_x000D_
Cumul
depuis le 24/01]]</f>
        <v>11.375107399433025</v>
      </c>
      <c r="AN71" s="44">
        <f>(Tableau1[[#This Row],[Montant
Tarif HP/HC]]-AK$59)/Tableau1[[#This Row],[Diff jour_x000D_
Cumul
depuis
précédente facture
16/02/2021]]</f>
        <v>8.7021674008840524</v>
      </c>
      <c r="AO71" s="44">
        <f>Tableau1[[#This Row],[Conso HP + HC
Cumul]]*0.1599</f>
        <v>703.40009999999995</v>
      </c>
      <c r="AP71" s="44">
        <f>Tableau1[[#This Row],[Montant
Tarif normal]]/Tableau1[[#This Row],[Diff jour_x000D_
Cumul]]</f>
        <v>10.845060804951096</v>
      </c>
      <c r="AQ71" s="44">
        <f>(Tableau1[[#This Row],[Conso HP / an
Cumul]]*0.1799)+(Tableau1[[#This Row],[Conso HC / an_x000D_
Cumul]]*0.1346)</f>
        <v>4102.524183860367</v>
      </c>
      <c r="AR71" s="44">
        <f>Tableau1[[#This Row],[Conso HP + HC / an_x000D_
Cumul]]*0.1599</f>
        <v>3958.4471938071506</v>
      </c>
      <c r="AS71" s="38">
        <f>MONTH(Tableau1[[#This Row],[Date]])</f>
        <v>2</v>
      </c>
      <c r="AT71" s="38">
        <f>YEAR(Tableau1[[#This Row],[Date]])</f>
        <v>2021</v>
      </c>
    </row>
    <row r="72" spans="1:46" x14ac:dyDescent="0.2">
      <c r="A72" s="19">
        <v>44248.736111111109</v>
      </c>
      <c r="B72" s="20">
        <v>14.5</v>
      </c>
      <c r="C72" s="39">
        <f>IF(ISERROR(Tableau1[[#This Row],[Date]]-A71),"",Tableau1[[#This Row],[Date]]-A71)</f>
        <v>1.1687499999970896</v>
      </c>
      <c r="D72" s="40">
        <f>IF(ISERROR(Tableau1[[#This Row],[Date]]-A71),"",Tableau1[[#This Row],[Date]]-A71)</f>
        <v>1.1687499999970896</v>
      </c>
      <c r="E72" s="39">
        <f>Tableau1[[#This Row],[Date]]-$A$5</f>
        <v>66.027777777773736</v>
      </c>
      <c r="F72" s="40">
        <f>Tableau1[[#This Row],[Date]]-$A$5</f>
        <v>66.027777777773736</v>
      </c>
      <c r="G72" s="40">
        <f>Tableau1[[#This Row],[Diff jour_x000D_
Cumul]]-F$6</f>
        <v>27.944444444445253</v>
      </c>
      <c r="H72" s="40">
        <f>Tableau1[[#This Row],[Diff jour_x000D_
Cumul]]-F$59</f>
        <v>5.4249999999956344</v>
      </c>
      <c r="I72" s="21">
        <v>182786</v>
      </c>
      <c r="J72" s="38">
        <f>IF(ISERROR(Tableau1[[#This Row],[Index HP
kWh]]-I71),"",Tableau1[[#This Row],[Index HP
kWh]]-I71)</f>
        <v>5</v>
      </c>
      <c r="K72" s="40">
        <f>IF(ISERROR(Tableau1[[#This Row],[Différence HP
Instantané]]/(Tableau1[[#This Row],[Diff jour
Instantané]]*24)),"",Tableau1[[#This Row],[Différence HP
Instantané]]/(Tableau1[[#This Row],[Diff jour
Instantané]]*24))</f>
        <v>0.17825311943003389</v>
      </c>
      <c r="L72" s="40">
        <f>Tableau1[[#This Row],[Différence HP
Instantané]]/Tableau1[[#This Row],[Diff jour
Instantané]]</f>
        <v>4.2780748663208135</v>
      </c>
      <c r="M72" s="40">
        <f>Tableau1[[#This Row],[Conso HP / jour
Instantané]]*365</f>
        <v>1561.4973262070969</v>
      </c>
      <c r="N72" s="38">
        <f>Tableau1[[#This Row],[Index HP
kWh]]-$I$5</f>
        <v>3027</v>
      </c>
      <c r="O72" s="41">
        <f>Tableau1[[#This Row],[Différence HP
Cumul]]/(Tableau1[[#This Row],[Diff jour_x000D_
Cumul]]*24)</f>
        <v>1.9101809002946057</v>
      </c>
      <c r="P72" s="41">
        <f>Tableau1[[#This Row],[Différence HP
Cumul]]/Tableau1[[#This Row],[Diff jour_x000D_
Cumul]]</f>
        <v>45.84434160707054</v>
      </c>
      <c r="Q72" s="41">
        <f>Tableau1[[#This Row],[Conso HP / jour
Cumul]]*365</f>
        <v>16733.184686580746</v>
      </c>
      <c r="R72" s="21">
        <v>120811</v>
      </c>
      <c r="S72" s="38">
        <f>Tableau1[[#This Row],[Index HC_x000D_
kWh]]-R71</f>
        <v>2</v>
      </c>
      <c r="T72" s="42">
        <f>Tableau1[[#This Row],[Différence_x000D_ HC
Instantané]]/(Tableau1[[#This Row],[Diff jour
Instantané]]*24)</f>
        <v>7.1301247772013562E-2</v>
      </c>
      <c r="U72" s="42">
        <f>Tableau1[[#This Row],[Différence_x000D_ HC
Instantané]]/Tableau1[[#This Row],[Diff jour
Instantané]]</f>
        <v>1.7112299465283254</v>
      </c>
      <c r="V72" s="42">
        <f>Tableau1[[#This Row],[Conso HC / jour_x000D_
Instantané]]*365</f>
        <v>624.5989304828388</v>
      </c>
      <c r="W72" s="38">
        <f>Tableau1[[#This Row],[Index HC_x000D_
kWh]]-$R$5</f>
        <v>1379</v>
      </c>
      <c r="X72" s="43">
        <f>Tableau1[[#This Row],[Différence HC
Cumul]]/(Tableau1[[#This Row],[Diff jour_x000D_
Cumul]]*24)</f>
        <v>0.87021455616328425</v>
      </c>
      <c r="Y72" s="43">
        <f>Tableau1[[#This Row],[Différence HC
Cumul]]/Tableau1[[#This Row],[Diff jour_x000D_
Cumul]]</f>
        <v>20.885149347918823</v>
      </c>
      <c r="Z72" s="43">
        <f>Tableau1[[#This Row],[Conso HC / jour_x000D_
Cumul]]*365</f>
        <v>7623.0795119903705</v>
      </c>
      <c r="AA72" s="38">
        <f>Tableau1[[#This Row],[Différence HP
Instantané]]+Tableau1[[#This Row],[Différence_x000D_ HC
Instantané]]</f>
        <v>7</v>
      </c>
      <c r="AB72" s="41">
        <f>Tableau1[[#This Row],[Conso HP + HC
Instantané]]/(Tableau1[[#This Row],[Diff jour
Instantané]]*24)</f>
        <v>0.24955436720204746</v>
      </c>
      <c r="AC72" s="34">
        <f>IF(ISERROR(Tableau1[[#This Row],[Date]]-A71),"",Tableau1[[#This Row],[Conso HP + HC
Instantané]]/Tableau1[[#This Row],[Diff jour
Instantané]])</f>
        <v>5.9893048128491388</v>
      </c>
      <c r="AD72" s="41">
        <f>Tableau1[[#This Row],[Conso HP + HC / jour_x000D_
Instantané]]*365</f>
        <v>2186.0962566899357</v>
      </c>
      <c r="AE72" s="38">
        <f>Tableau1[[#This Row],[Différence HP
Cumul]]+Tableau1[[#This Row],[Différence HC
Cumul]]</f>
        <v>4406</v>
      </c>
      <c r="AF72" s="40">
        <f>(Tableau1[[#This Row],[Conso HP + HC
Cumul]]-AE$6)/Tableau1[[#This Row],[Diff jour_x000D_
Cumul
depuis le 24/01]]</f>
        <v>65.666003976141241</v>
      </c>
      <c r="AG72" s="40">
        <f>(Tableau1[[#This Row],[Conso HP + HC
Cumul]]-AE$59)/Tableau1[[#This Row],[Diff jour_x000D_
Cumul
depuis
précédente facture
16/02/2021]]</f>
        <v>42.211981566854249</v>
      </c>
      <c r="AH72" s="41">
        <f>Tableau1[[#This Row],[Conso HP + HC
Cumul]]/(Tableau1[[#This Row],[Diff jour_x000D_
Cumul]]*24)</f>
        <v>2.7803954564578901</v>
      </c>
      <c r="AI72" s="41">
        <f>Tableau1[[#This Row],[Conso HP + HC
Cumul]]/Tableau1[[#This Row],[Diff jour_x000D_
Cumul]]</f>
        <v>66.729490954989359</v>
      </c>
      <c r="AJ72" s="41">
        <f>Tableau1[[#This Row],[Conso HP + HC / jour_x000D_
Cumul]]*365</f>
        <v>24356.264198571116</v>
      </c>
      <c r="AK72" s="44">
        <f>(Tableau1[[#This Row],[Différence HP
Cumul]]*0.1799)+(Tableau1[[#This Row],[Différence HC
Cumul]]*0.1346)</f>
        <v>730.17070000000001</v>
      </c>
      <c r="AL72" s="44">
        <f>Tableau1[[#This Row],[Montant
Tarif HP/HC]]/Tableau1[[#This Row],[Diff jour_x000D_
Cumul]]</f>
        <v>11.058538157341864</v>
      </c>
      <c r="AM72" s="44">
        <f>(Tableau1[[#This Row],[Montant
Tarif HP/HC]]-AK$6)/Tableau1[[#This Row],[Diff jour_x000D_
Cumul
depuis le 24/01]]</f>
        <v>10.94117654075515</v>
      </c>
      <c r="AN72" s="44">
        <f>(Tableau1[[#This Row],[Montant
Tarif HP/HC]]-AK$59)/Tableau1[[#This Row],[Diff jour_x000D_
Cumul
depuis
précédente facture
16/02/2021]]</f>
        <v>7.0428202765033694</v>
      </c>
      <c r="AO72" s="44">
        <f>Tableau1[[#This Row],[Conso HP + HC
Cumul]]*0.1599</f>
        <v>704.51939999999991</v>
      </c>
      <c r="AP72" s="44">
        <f>Tableau1[[#This Row],[Montant
Tarif normal]]/Tableau1[[#This Row],[Diff jour_x000D_
Cumul]]</f>
        <v>10.670045603702798</v>
      </c>
      <c r="AQ72" s="44">
        <f>(Tableau1[[#This Row],[Conso HP / an
Cumul]]*0.1799)+(Tableau1[[#This Row],[Conso HC / an_x000D_
Cumul]]*0.1346)</f>
        <v>4036.3664274297798</v>
      </c>
      <c r="AR72" s="44">
        <f>Tableau1[[#This Row],[Conso HP + HC / an_x000D_
Cumul]]*0.1599</f>
        <v>3894.5666453515209</v>
      </c>
      <c r="AS72" s="38">
        <f>MONTH(Tableau1[[#This Row],[Date]])</f>
        <v>2</v>
      </c>
      <c r="AT72" s="38">
        <f>YEAR(Tableau1[[#This Row],[Date]])</f>
        <v>2021</v>
      </c>
    </row>
    <row r="73" spans="1:46" x14ac:dyDescent="0.2">
      <c r="A73" s="19">
        <v>44249.348611111112</v>
      </c>
      <c r="B73" s="20">
        <v>9.9</v>
      </c>
      <c r="C73" s="39">
        <f>IF(ISERROR(Tableau1[[#This Row],[Date]]-A72),"",Tableau1[[#This Row],[Date]]-A72)</f>
        <v>0.61250000000291038</v>
      </c>
      <c r="D73" s="40">
        <f>IF(ISERROR(Tableau1[[#This Row],[Date]]-A72),"",Tableau1[[#This Row],[Date]]-A72)</f>
        <v>0.61250000000291038</v>
      </c>
      <c r="E73" s="39">
        <f>Tableau1[[#This Row],[Date]]-$A$5</f>
        <v>66.640277777776646</v>
      </c>
      <c r="F73" s="40">
        <f>Tableau1[[#This Row],[Date]]-$A$5</f>
        <v>66.640277777776646</v>
      </c>
      <c r="G73" s="40">
        <f>Tableau1[[#This Row],[Diff jour_x000D_
Cumul]]-F$6</f>
        <v>28.556944444448163</v>
      </c>
      <c r="H73" s="40">
        <f>Tableau1[[#This Row],[Diff jour_x000D_
Cumul]]-F$59</f>
        <v>6.0374999999985448</v>
      </c>
      <c r="I73" s="21">
        <v>182806</v>
      </c>
      <c r="J73" s="38">
        <f>IF(ISERROR(Tableau1[[#This Row],[Index HP
kWh]]-I72),"",Tableau1[[#This Row],[Index HP
kWh]]-I72)</f>
        <v>20</v>
      </c>
      <c r="K73" s="40">
        <f>IF(ISERROR(Tableau1[[#This Row],[Différence HP
Instantané]]/(Tableau1[[#This Row],[Diff jour
Instantané]]*24)),"",Tableau1[[#This Row],[Différence HP
Instantané]]/(Tableau1[[#This Row],[Diff jour
Instantané]]*24))</f>
        <v>1.36054421768061</v>
      </c>
      <c r="L73" s="40">
        <f>Tableau1[[#This Row],[Différence HP
Instantané]]/Tableau1[[#This Row],[Diff jour
Instantané]]</f>
        <v>32.653061224334643</v>
      </c>
      <c r="M73" s="40">
        <f>Tableau1[[#This Row],[Conso HP / jour
Instantané]]*365</f>
        <v>11918.367346882145</v>
      </c>
      <c r="N73" s="38">
        <f>Tableau1[[#This Row],[Index HP
kWh]]-$I$5</f>
        <v>3047</v>
      </c>
      <c r="O73" s="41">
        <f>Tableau1[[#This Row],[Différence HP
Cumul]]/(Tableau1[[#This Row],[Diff jour_x000D_
Cumul]]*24)</f>
        <v>1.9051291136075019</v>
      </c>
      <c r="P73" s="41">
        <f>Tableau1[[#This Row],[Différence HP
Cumul]]/Tableau1[[#This Row],[Diff jour_x000D_
Cumul]]</f>
        <v>45.723098726580048</v>
      </c>
      <c r="Q73" s="41">
        <f>Tableau1[[#This Row],[Conso HP / jour
Cumul]]*365</f>
        <v>16688.931035201716</v>
      </c>
      <c r="R73" s="21">
        <v>120826</v>
      </c>
      <c r="S73" s="38">
        <f>Tableau1[[#This Row],[Index HC_x000D_
kWh]]-R72</f>
        <v>15</v>
      </c>
      <c r="T73" s="42">
        <f>Tableau1[[#This Row],[Différence_x000D_ HC
Instantané]]/(Tableau1[[#This Row],[Diff jour
Instantané]]*24)</f>
        <v>1.0204081632604576</v>
      </c>
      <c r="U73" s="42">
        <f>Tableau1[[#This Row],[Différence_x000D_ HC
Instantané]]/Tableau1[[#This Row],[Diff jour
Instantané]]</f>
        <v>24.48979591825098</v>
      </c>
      <c r="V73" s="42">
        <f>Tableau1[[#This Row],[Conso HC / jour_x000D_
Instantané]]*365</f>
        <v>8938.7755101616076</v>
      </c>
      <c r="W73" s="38">
        <f>Tableau1[[#This Row],[Index HC_x000D_
kWh]]-$R$5</f>
        <v>1394</v>
      </c>
      <c r="X73" s="43">
        <f>Tableau1[[#This Row],[Différence HC
Cumul]]/(Tableau1[[#This Row],[Diff jour_x000D_
Cumul]]*24)</f>
        <v>0.87159500635669762</v>
      </c>
      <c r="Y73" s="43">
        <f>Tableau1[[#This Row],[Différence HC
Cumul]]/Tableau1[[#This Row],[Diff jour_x000D_
Cumul]]</f>
        <v>20.918280152560744</v>
      </c>
      <c r="Z73" s="43">
        <f>Tableau1[[#This Row],[Conso HC / jour_x000D_
Cumul]]*365</f>
        <v>7635.1722556846717</v>
      </c>
      <c r="AA73" s="38">
        <f>Tableau1[[#This Row],[Différence HP
Instantané]]+Tableau1[[#This Row],[Différence_x000D_ HC
Instantané]]</f>
        <v>35</v>
      </c>
      <c r="AB73" s="41">
        <f>Tableau1[[#This Row],[Conso HP + HC
Instantané]]/(Tableau1[[#This Row],[Diff jour
Instantané]]*24)</f>
        <v>2.3809523809410673</v>
      </c>
      <c r="AC73" s="34">
        <f>IF(ISERROR(Tableau1[[#This Row],[Date]]-A72),"",Tableau1[[#This Row],[Conso HP + HC
Instantané]]/Tableau1[[#This Row],[Diff jour
Instantané]])</f>
        <v>57.142857142585619</v>
      </c>
      <c r="AD73" s="41">
        <f>Tableau1[[#This Row],[Conso HP + HC / jour_x000D_
Instantané]]*365</f>
        <v>20857.142857043749</v>
      </c>
      <c r="AE73" s="38">
        <f>Tableau1[[#This Row],[Différence HP
Cumul]]+Tableau1[[#This Row],[Différence HC
Cumul]]</f>
        <v>4441</v>
      </c>
      <c r="AF73" s="40">
        <f>(Tableau1[[#This Row],[Conso HP + HC
Cumul]]-AE$6)/Tableau1[[#This Row],[Diff jour_x000D_
Cumul
depuis le 24/01]]</f>
        <v>65.48319634258182</v>
      </c>
      <c r="AG73" s="40">
        <f>(Tableau1[[#This Row],[Conso HP + HC
Cumul]]-AE$59)/Tableau1[[#This Row],[Diff jour_x000D_
Cumul
depuis
précédente facture
16/02/2021]]</f>
        <v>43.726708074544703</v>
      </c>
      <c r="AH73" s="41">
        <f>Tableau1[[#This Row],[Conso HP + HC
Cumul]]/(Tableau1[[#This Row],[Diff jour_x000D_
Cumul]]*24)</f>
        <v>2.7767241199641997</v>
      </c>
      <c r="AI73" s="41">
        <f>Tableau1[[#This Row],[Conso HP + HC
Cumul]]/Tableau1[[#This Row],[Diff jour_x000D_
Cumul]]</f>
        <v>66.641378879140788</v>
      </c>
      <c r="AJ73" s="41">
        <f>Tableau1[[#This Row],[Conso HP + HC / jour_x000D_
Cumul]]*365</f>
        <v>24324.103290886389</v>
      </c>
      <c r="AK73" s="44">
        <f>(Tableau1[[#This Row],[Différence HP
Cumul]]*0.1799)+(Tableau1[[#This Row],[Différence HC
Cumul]]*0.1346)</f>
        <v>735.78769999999997</v>
      </c>
      <c r="AL73" s="44">
        <f>Tableau1[[#This Row],[Montant
Tarif HP/HC]]/Tableau1[[#This Row],[Diff jour_x000D_
Cumul]]</f>
        <v>11.041185969446426</v>
      </c>
      <c r="AM73" s="44">
        <f>(Tableau1[[#This Row],[Montant
Tarif HP/HC]]-AK$6)/Tableau1[[#This Row],[Diff jour_x000D_
Cumul
depuis le 24/01]]</f>
        <v>10.90320081707946</v>
      </c>
      <c r="AN73" s="44">
        <f>(Tableau1[[#This Row],[Montant
Tarif HP/HC]]-AK$59)/Tableau1[[#This Row],[Diff jour_x000D_
Cumul
depuis
précédente facture
16/02/2021]]</f>
        <v>7.2586832298154134</v>
      </c>
      <c r="AO73" s="44">
        <f>Tableau1[[#This Row],[Conso HP + HC
Cumul]]*0.1599</f>
        <v>710.1158999999999</v>
      </c>
      <c r="AP73" s="44">
        <f>Tableau1[[#This Row],[Montant
Tarif normal]]/Tableau1[[#This Row],[Diff jour_x000D_
Cumul]]</f>
        <v>10.655956482774611</v>
      </c>
      <c r="AQ73" s="44">
        <f>(Tableau1[[#This Row],[Conso HP / an
Cumul]]*0.1799)+(Tableau1[[#This Row],[Conso HC / an_x000D_
Cumul]]*0.1346)</f>
        <v>4030.0328788479455</v>
      </c>
      <c r="AR73" s="44">
        <f>Tableau1[[#This Row],[Conso HP + HC / an_x000D_
Cumul]]*0.1599</f>
        <v>3889.4241162127332</v>
      </c>
      <c r="AS73" s="38">
        <f>MONTH(Tableau1[[#This Row],[Date]])</f>
        <v>2</v>
      </c>
      <c r="AT73" s="38">
        <f>YEAR(Tableau1[[#This Row],[Date]])</f>
        <v>2021</v>
      </c>
    </row>
    <row r="74" spans="1:46" x14ac:dyDescent="0.2">
      <c r="A74" s="19">
        <v>44249.555555555555</v>
      </c>
      <c r="B74" s="20">
        <v>12.3</v>
      </c>
      <c r="C74" s="39">
        <f>IF(ISERROR(Tableau1[[#This Row],[Date]]-A73),"",Tableau1[[#This Row],[Date]]-A73)</f>
        <v>0.2069444444423425</v>
      </c>
      <c r="D74" s="40">
        <f>IF(ISERROR(Tableau1[[#This Row],[Date]]-A73),"",Tableau1[[#This Row],[Date]]-A73)</f>
        <v>0.2069444444423425</v>
      </c>
      <c r="E74" s="39">
        <f>Tableau1[[#This Row],[Date]]-$A$5</f>
        <v>66.847222222218988</v>
      </c>
      <c r="F74" s="40">
        <f>Tableau1[[#This Row],[Date]]-$A$5</f>
        <v>66.847222222218988</v>
      </c>
      <c r="G74" s="40">
        <f>Tableau1[[#This Row],[Diff jour_x000D_
Cumul]]-F$6</f>
        <v>28.763888888890506</v>
      </c>
      <c r="H74" s="40">
        <f>Tableau1[[#This Row],[Diff jour_x000D_
Cumul]]-F$59</f>
        <v>6.2444444444408873</v>
      </c>
      <c r="I74" s="21">
        <v>182817</v>
      </c>
      <c r="J74" s="38">
        <f>IF(ISERROR(Tableau1[[#This Row],[Index HP
kWh]]-I73),"",Tableau1[[#This Row],[Index HP
kWh]]-I73)</f>
        <v>11</v>
      </c>
      <c r="K74" s="40">
        <f>IF(ISERROR(Tableau1[[#This Row],[Différence HP
Instantané]]/(Tableau1[[#This Row],[Diff jour
Instantané]]*24)),"",Tableau1[[#This Row],[Différence HP
Instantané]]/(Tableau1[[#This Row],[Diff jour
Instantané]]*24))</f>
        <v>2.2147651006936364</v>
      </c>
      <c r="L74" s="40">
        <f>Tableau1[[#This Row],[Différence HP
Instantané]]/Tableau1[[#This Row],[Diff jour
Instantané]]</f>
        <v>53.154362416647274</v>
      </c>
      <c r="M74" s="40">
        <f>Tableau1[[#This Row],[Conso HP / jour
Instantané]]*365</f>
        <v>19401.342282076253</v>
      </c>
      <c r="N74" s="38">
        <f>Tableau1[[#This Row],[Index HP
kWh]]-$I$5</f>
        <v>3058</v>
      </c>
      <c r="O74" s="41">
        <f>Tableau1[[#This Row],[Différence HP
Cumul]]/(Tableau1[[#This Row],[Diff jour_x000D_
Cumul]]*24)</f>
        <v>1.906087679202253</v>
      </c>
      <c r="P74" s="41">
        <f>Tableau1[[#This Row],[Différence HP
Cumul]]/Tableau1[[#This Row],[Diff jour_x000D_
Cumul]]</f>
        <v>45.746104300854071</v>
      </c>
      <c r="Q74" s="41">
        <f>Tableau1[[#This Row],[Conso HP / jour
Cumul]]*365</f>
        <v>16697.328069811738</v>
      </c>
      <c r="R74" s="21">
        <v>120826</v>
      </c>
      <c r="S74" s="38">
        <f>Tableau1[[#This Row],[Index HC_x000D_
kWh]]-R73</f>
        <v>0</v>
      </c>
      <c r="T74" s="42">
        <f>Tableau1[[#This Row],[Différence_x000D_ HC
Instantané]]/(Tableau1[[#This Row],[Diff jour
Instantané]]*24)</f>
        <v>0</v>
      </c>
      <c r="U74" s="42">
        <f>Tableau1[[#This Row],[Différence_x000D_ HC
Instantané]]/Tableau1[[#This Row],[Diff jour
Instantané]]</f>
        <v>0</v>
      </c>
      <c r="V74" s="42">
        <f>Tableau1[[#This Row],[Conso HC / jour_x000D_
Instantané]]*365</f>
        <v>0</v>
      </c>
      <c r="W74" s="38">
        <f>Tableau1[[#This Row],[Index HC_x000D_
kWh]]-$R$5</f>
        <v>1394</v>
      </c>
      <c r="X74" s="43">
        <f>Tableau1[[#This Row],[Différence HC
Cumul]]/(Tableau1[[#This Row],[Diff jour_x000D_
Cumul]]*24)</f>
        <v>0.86889673800128864</v>
      </c>
      <c r="Y74" s="43">
        <f>Tableau1[[#This Row],[Différence HC
Cumul]]/Tableau1[[#This Row],[Diff jour_x000D_
Cumul]]</f>
        <v>20.853521712030929</v>
      </c>
      <c r="Z74" s="43">
        <f>Tableau1[[#This Row],[Conso HC / jour_x000D_
Cumul]]*365</f>
        <v>7611.535424891289</v>
      </c>
      <c r="AA74" s="38">
        <f>Tableau1[[#This Row],[Différence HP
Instantané]]+Tableau1[[#This Row],[Différence_x000D_ HC
Instantané]]</f>
        <v>11</v>
      </c>
      <c r="AB74" s="41">
        <f>Tableau1[[#This Row],[Conso HP + HC
Instantané]]/(Tableau1[[#This Row],[Diff jour
Instantané]]*24)</f>
        <v>2.2147651006936364</v>
      </c>
      <c r="AC74" s="34">
        <f>IF(ISERROR(Tableau1[[#This Row],[Date]]-A73),"",Tableau1[[#This Row],[Conso HP + HC
Instantané]]/Tableau1[[#This Row],[Diff jour
Instantané]])</f>
        <v>53.154362416647274</v>
      </c>
      <c r="AD74" s="41">
        <f>Tableau1[[#This Row],[Conso HP + HC / jour_x000D_
Instantané]]*365</f>
        <v>19401.342282076253</v>
      </c>
      <c r="AE74" s="38">
        <f>Tableau1[[#This Row],[Différence HP
Cumul]]+Tableau1[[#This Row],[Différence HC
Cumul]]</f>
        <v>4452</v>
      </c>
      <c r="AF74" s="40">
        <f>(Tableau1[[#This Row],[Conso HP + HC
Cumul]]-AE$6)/Tableau1[[#This Row],[Diff jour_x000D_
Cumul
depuis le 24/01]]</f>
        <v>65.394495412840357</v>
      </c>
      <c r="AG74" s="40">
        <f>(Tableau1[[#This Row],[Conso HP + HC
Cumul]]-AE$59)/Tableau1[[#This Row],[Diff jour_x000D_
Cumul
depuis
précédente facture
16/02/2021]]</f>
        <v>44.039145907498394</v>
      </c>
      <c r="AH74" s="41">
        <f>Tableau1[[#This Row],[Conso HP + HC
Cumul]]/(Tableau1[[#This Row],[Diff jour_x000D_
Cumul]]*24)</f>
        <v>2.7749844172035418</v>
      </c>
      <c r="AI74" s="41">
        <f>Tableau1[[#This Row],[Conso HP + HC
Cumul]]/Tableau1[[#This Row],[Diff jour_x000D_
Cumul]]</f>
        <v>66.599626012884997</v>
      </c>
      <c r="AJ74" s="41">
        <f>Tableau1[[#This Row],[Conso HP + HC / jour_x000D_
Cumul]]*365</f>
        <v>24308.863494703022</v>
      </c>
      <c r="AK74" s="44">
        <f>(Tableau1[[#This Row],[Différence HP
Cumul]]*0.1799)+(Tableau1[[#This Row],[Différence HC
Cumul]]*0.1346)</f>
        <v>737.76659999999993</v>
      </c>
      <c r="AL74" s="44">
        <f>Tableau1[[#This Row],[Montant
Tarif HP/HC]]/Tableau1[[#This Row],[Diff jour_x000D_
Cumul]]</f>
        <v>11.03660818616301</v>
      </c>
      <c r="AM74" s="44">
        <f>(Tableau1[[#This Row],[Montant
Tarif HP/HC]]-AK$6)/Tableau1[[#This Row],[Diff jour_x000D_
Cumul
depuis le 24/01]]</f>
        <v>10.893554804441683</v>
      </c>
      <c r="AN74" s="44">
        <f>(Tableau1[[#This Row],[Montant
Tarif HP/HC]]-AK$59)/Tableau1[[#This Row],[Diff jour_x000D_
Cumul
depuis
précédente facture
16/02/2021]]</f>
        <v>7.335032028473921</v>
      </c>
      <c r="AO74" s="44">
        <f>Tableau1[[#This Row],[Conso HP + HC
Cumul]]*0.1599</f>
        <v>711.87479999999994</v>
      </c>
      <c r="AP74" s="44">
        <f>Tableau1[[#This Row],[Montant
Tarif normal]]/Tableau1[[#This Row],[Diff jour_x000D_
Cumul]]</f>
        <v>10.649280199460311</v>
      </c>
      <c r="AQ74" s="44">
        <f>(Tableau1[[#This Row],[Conso HP / an
Cumul]]*0.1799)+(Tableau1[[#This Row],[Conso HC / an_x000D_
Cumul]]*0.1346)</f>
        <v>4028.3619879494991</v>
      </c>
      <c r="AR74" s="44">
        <f>Tableau1[[#This Row],[Conso HP + HC / an_x000D_
Cumul]]*0.1599</f>
        <v>3886.9872728030127</v>
      </c>
      <c r="AS74" s="38">
        <f>MONTH(Tableau1[[#This Row],[Date]])</f>
        <v>2</v>
      </c>
      <c r="AT74" s="38">
        <f>YEAR(Tableau1[[#This Row],[Date]])</f>
        <v>2021</v>
      </c>
    </row>
    <row r="75" spans="1:46" x14ac:dyDescent="0.2">
      <c r="A75" s="19">
        <v>44249.961111111108</v>
      </c>
      <c r="B75" s="20">
        <v>10.1</v>
      </c>
      <c r="C75" s="39">
        <f>IF(ISERROR(Tableau1[[#This Row],[Date]]-A74),"",Tableau1[[#This Row],[Date]]-A74)</f>
        <v>0.40555555555329192</v>
      </c>
      <c r="D75" s="40">
        <f>IF(ISERROR(Tableau1[[#This Row],[Date]]-A74),"",Tableau1[[#This Row],[Date]]-A74)</f>
        <v>0.40555555555329192</v>
      </c>
      <c r="E75" s="39">
        <f>Tableau1[[#This Row],[Date]]-$A$5</f>
        <v>67.25277777777228</v>
      </c>
      <c r="F75" s="40">
        <f>Tableau1[[#This Row],[Date]]-$A$5</f>
        <v>67.25277777777228</v>
      </c>
      <c r="G75" s="40">
        <f>Tableau1[[#This Row],[Diff jour_x000D_
Cumul]]-F$6</f>
        <v>29.169444444443798</v>
      </c>
      <c r="H75" s="40">
        <f>Tableau1[[#This Row],[Diff jour_x000D_
Cumul]]-F$59</f>
        <v>6.6499999999941792</v>
      </c>
      <c r="I75" s="21">
        <v>182834</v>
      </c>
      <c r="J75" s="38">
        <f>IF(ISERROR(Tableau1[[#This Row],[Index HP
kWh]]-I74),"",Tableau1[[#This Row],[Index HP
kWh]]-I74)</f>
        <v>17</v>
      </c>
      <c r="K75" s="40">
        <f>IF(ISERROR(Tableau1[[#This Row],[Différence HP
Instantané]]/(Tableau1[[#This Row],[Diff jour
Instantané]]*24)),"",Tableau1[[#This Row],[Différence HP
Instantané]]/(Tableau1[[#This Row],[Diff jour
Instantané]]*24))</f>
        <v>1.7465753424755019</v>
      </c>
      <c r="L75" s="40">
        <f>Tableau1[[#This Row],[Différence HP
Instantané]]/Tableau1[[#This Row],[Diff jour
Instantané]]</f>
        <v>41.917808219412052</v>
      </c>
      <c r="M75" s="40">
        <f>Tableau1[[#This Row],[Conso HP / jour
Instantané]]*365</f>
        <v>15300.0000000854</v>
      </c>
      <c r="N75" s="38">
        <f>Tableau1[[#This Row],[Index HP
kWh]]-$I$5</f>
        <v>3075</v>
      </c>
      <c r="O75" s="41">
        <f>Tableau1[[#This Row],[Différence HP
Cumul]]/(Tableau1[[#This Row],[Diff jour_x000D_
Cumul]]*24)</f>
        <v>1.9051257692785828</v>
      </c>
      <c r="P75" s="41">
        <f>Tableau1[[#This Row],[Différence HP
Cumul]]/Tableau1[[#This Row],[Diff jour_x000D_
Cumul]]</f>
        <v>45.723018462685992</v>
      </c>
      <c r="Q75" s="41">
        <f>Tableau1[[#This Row],[Conso HP / jour
Cumul]]*365</f>
        <v>16688.901738880388</v>
      </c>
      <c r="R75" s="21">
        <v>120827</v>
      </c>
      <c r="S75" s="38">
        <f>Tableau1[[#This Row],[Index HC_x000D_
kWh]]-R74</f>
        <v>1</v>
      </c>
      <c r="T75" s="42">
        <f>Tableau1[[#This Row],[Différence_x000D_ HC
Instantané]]/(Tableau1[[#This Row],[Diff jour
Instantané]]*24)</f>
        <v>0.10273972602797071</v>
      </c>
      <c r="U75" s="42">
        <f>Tableau1[[#This Row],[Différence_x000D_ HC
Instantané]]/Tableau1[[#This Row],[Diff jour
Instantané]]</f>
        <v>2.4657534246712971</v>
      </c>
      <c r="V75" s="42">
        <f>Tableau1[[#This Row],[Conso HC / jour_x000D_
Instantané]]*365</f>
        <v>900.00000000502348</v>
      </c>
      <c r="W75" s="38">
        <f>Tableau1[[#This Row],[Index HC_x000D_
kWh]]-$R$5</f>
        <v>1395</v>
      </c>
      <c r="X75" s="43">
        <f>Tableau1[[#This Row],[Différence HC
Cumul]]/(Tableau1[[#This Row],[Diff jour_x000D_
Cumul]]*24)</f>
        <v>0.8642765685019913</v>
      </c>
      <c r="Y75" s="43">
        <f>Tableau1[[#This Row],[Différence HC
Cumul]]/Tableau1[[#This Row],[Diff jour_x000D_
Cumul]]</f>
        <v>20.74263764404779</v>
      </c>
      <c r="Z75" s="43">
        <f>Tableau1[[#This Row],[Conso HC / jour_x000D_
Cumul]]*365</f>
        <v>7571.0627400774429</v>
      </c>
      <c r="AA75" s="38">
        <f>Tableau1[[#This Row],[Différence HP
Instantané]]+Tableau1[[#This Row],[Différence_x000D_ HC
Instantané]]</f>
        <v>18</v>
      </c>
      <c r="AB75" s="41">
        <f>Tableau1[[#This Row],[Conso HP + HC
Instantané]]/(Tableau1[[#This Row],[Diff jour
Instantané]]*24)</f>
        <v>1.8493150685034727</v>
      </c>
      <c r="AC75" s="34">
        <f>IF(ISERROR(Tableau1[[#This Row],[Date]]-A74),"",Tableau1[[#This Row],[Conso HP + HC
Instantané]]/Tableau1[[#This Row],[Diff jour
Instantané]])</f>
        <v>44.383561644083343</v>
      </c>
      <c r="AD75" s="41">
        <f>Tableau1[[#This Row],[Conso HP + HC / jour_x000D_
Instantané]]*365</f>
        <v>16200.00000009042</v>
      </c>
      <c r="AE75" s="38">
        <f>Tableau1[[#This Row],[Différence HP
Cumul]]+Tableau1[[#This Row],[Différence HC
Cumul]]</f>
        <v>4470</v>
      </c>
      <c r="AF75" s="40">
        <f>(Tableau1[[#This Row],[Conso HP + HC
Cumul]]-AE$6)/Tableau1[[#This Row],[Diff jour_x000D_
Cumul
depuis le 24/01]]</f>
        <v>65.102371202744038</v>
      </c>
      <c r="AG75" s="40">
        <f>(Tableau1[[#This Row],[Conso HP + HC
Cumul]]-AE$59)/Tableau1[[#This Row],[Diff jour_x000D_
Cumul
depuis
précédente facture
16/02/2021]]</f>
        <v>44.060150375978417</v>
      </c>
      <c r="AH75" s="41">
        <f>Tableau1[[#This Row],[Conso HP + HC
Cumul]]/(Tableau1[[#This Row],[Diff jour_x000D_
Cumul]]*24)</f>
        <v>2.7694023377805741</v>
      </c>
      <c r="AI75" s="41">
        <f>Tableau1[[#This Row],[Conso HP + HC
Cumul]]/Tableau1[[#This Row],[Diff jour_x000D_
Cumul]]</f>
        <v>66.465656106733775</v>
      </c>
      <c r="AJ75" s="41">
        <f>Tableau1[[#This Row],[Conso HP + HC / jour_x000D_
Cumul]]*365</f>
        <v>24259.964478957827</v>
      </c>
      <c r="AK75" s="44">
        <f>(Tableau1[[#This Row],[Différence HP
Cumul]]*0.1799)+(Tableau1[[#This Row],[Différence HC
Cumul]]*0.1346)</f>
        <v>740.95949999999993</v>
      </c>
      <c r="AL75" s="44">
        <f>Tableau1[[#This Row],[Montant
Tarif HP/HC]]/Tableau1[[#This Row],[Diff jour_x000D_
Cumul]]</f>
        <v>11.017530048326041</v>
      </c>
      <c r="AM75" s="44">
        <f>(Tableau1[[#This Row],[Montant
Tarif HP/HC]]-AK$6)/Tableau1[[#This Row],[Diff jour_x000D_
Cumul
depuis le 24/01]]</f>
        <v>10.851557375488285</v>
      </c>
      <c r="AN75" s="44">
        <f>(Tableau1[[#This Row],[Montant
Tarif HP/HC]]-AK$59)/Tableau1[[#This Row],[Diff jour_x000D_
Cumul
depuis
précédente facture
16/02/2021]]</f>
        <v>7.3678345864726076</v>
      </c>
      <c r="AO75" s="44">
        <f>Tableau1[[#This Row],[Conso HP + HC
Cumul]]*0.1599</f>
        <v>714.75299999999993</v>
      </c>
      <c r="AP75" s="44">
        <f>Tableau1[[#This Row],[Montant
Tarif normal]]/Tableau1[[#This Row],[Diff jour_x000D_
Cumul]]</f>
        <v>10.627858411466731</v>
      </c>
      <c r="AQ75" s="44">
        <f>(Tableau1[[#This Row],[Conso HP / an
Cumul]]*0.1799)+(Tableau1[[#This Row],[Conso HC / an_x000D_
Cumul]]*0.1346)</f>
        <v>4021.3984676390055</v>
      </c>
      <c r="AR75" s="44">
        <f>Tableau1[[#This Row],[Conso HP + HC / an_x000D_
Cumul]]*0.1599</f>
        <v>3879.1683201853562</v>
      </c>
      <c r="AS75" s="38">
        <f>MONTH(Tableau1[[#This Row],[Date]])</f>
        <v>2</v>
      </c>
      <c r="AT75" s="38">
        <f>YEAR(Tableau1[[#This Row],[Date]])</f>
        <v>2021</v>
      </c>
    </row>
    <row r="76" spans="1:46" x14ac:dyDescent="0.2">
      <c r="A76" s="19">
        <v>44250.270833333336</v>
      </c>
      <c r="B76" s="20">
        <v>7.1</v>
      </c>
      <c r="C76" s="39">
        <f>IF(ISERROR(Tableau1[[#This Row],[Date]]-A75),"",Tableau1[[#This Row],[Date]]-A75)</f>
        <v>0.30972222222771961</v>
      </c>
      <c r="D76" s="40">
        <f>IF(ISERROR(Tableau1[[#This Row],[Date]]-A75),"",Tableau1[[#This Row],[Date]]-A75)</f>
        <v>0.30972222222771961</v>
      </c>
      <c r="E76" s="39">
        <f>Tableau1[[#This Row],[Date]]-$A$5</f>
        <v>67.5625</v>
      </c>
      <c r="F76" s="40">
        <f>Tableau1[[#This Row],[Date]]-$A$5</f>
        <v>67.5625</v>
      </c>
      <c r="G76" s="40">
        <f>Tableau1[[#This Row],[Diff jour_x000D_
Cumul]]-F$6</f>
        <v>29.479166666671517</v>
      </c>
      <c r="H76" s="40">
        <f>Tableau1[[#This Row],[Diff jour_x000D_
Cumul]]-F$59</f>
        <v>6.9597222222218988</v>
      </c>
      <c r="I76" s="21">
        <v>182834</v>
      </c>
      <c r="J76" s="38">
        <f>IF(ISERROR(Tableau1[[#This Row],[Index HP
kWh]]-I75),"",Tableau1[[#This Row],[Index HP
kWh]]-I75)</f>
        <v>0</v>
      </c>
      <c r="K76" s="40">
        <f>IF(ISERROR(Tableau1[[#This Row],[Différence HP
Instantané]]/(Tableau1[[#This Row],[Diff jour
Instantané]]*24)),"",Tableau1[[#This Row],[Différence HP
Instantané]]/(Tableau1[[#This Row],[Diff jour
Instantané]]*24))</f>
        <v>0</v>
      </c>
      <c r="L76" s="40">
        <f>Tableau1[[#This Row],[Différence HP
Instantané]]/Tableau1[[#This Row],[Diff jour
Instantané]]</f>
        <v>0</v>
      </c>
      <c r="M76" s="40">
        <f>Tableau1[[#This Row],[Conso HP / jour
Instantané]]*365</f>
        <v>0</v>
      </c>
      <c r="N76" s="38">
        <f>Tableau1[[#This Row],[Index HP
kWh]]-$I$5</f>
        <v>3075</v>
      </c>
      <c r="O76" s="41">
        <f>Tableau1[[#This Row],[Différence HP
Cumul]]/(Tableau1[[#This Row],[Diff jour_x000D_
Cumul]]*24)</f>
        <v>1.8963922294172062</v>
      </c>
      <c r="P76" s="41">
        <f>Tableau1[[#This Row],[Différence HP
Cumul]]/Tableau1[[#This Row],[Diff jour_x000D_
Cumul]]</f>
        <v>45.513413506012952</v>
      </c>
      <c r="Q76" s="41">
        <f>Tableau1[[#This Row],[Conso HP / jour
Cumul]]*365</f>
        <v>16612.395929694729</v>
      </c>
      <c r="R76" s="21">
        <v>120841</v>
      </c>
      <c r="S76" s="38">
        <f>Tableau1[[#This Row],[Index HC_x000D_
kWh]]-R75</f>
        <v>14</v>
      </c>
      <c r="T76" s="42">
        <f>Tableau1[[#This Row],[Différence_x000D_ HC
Instantané]]/(Tableau1[[#This Row],[Diff jour
Instantané]]*24)</f>
        <v>1.8834080717154495</v>
      </c>
      <c r="U76" s="42">
        <f>Tableau1[[#This Row],[Différence_x000D_ HC
Instantané]]/Tableau1[[#This Row],[Diff jour
Instantané]]</f>
        <v>45.201793721170787</v>
      </c>
      <c r="V76" s="42">
        <f>Tableau1[[#This Row],[Conso HC / jour_x000D_
Instantané]]*365</f>
        <v>16498.654708227339</v>
      </c>
      <c r="W76" s="38">
        <f>Tableau1[[#This Row],[Index HC_x000D_
kWh]]-$R$5</f>
        <v>1409</v>
      </c>
      <c r="X76" s="43">
        <f>Tableau1[[#This Row],[Différence HC
Cumul]]/(Tableau1[[#This Row],[Diff jour_x000D_
Cumul]]*24)</f>
        <v>0.86894850447116867</v>
      </c>
      <c r="Y76" s="43">
        <f>Tableau1[[#This Row],[Différence HC
Cumul]]/Tableau1[[#This Row],[Diff jour_x000D_
Cumul]]</f>
        <v>20.85476410730805</v>
      </c>
      <c r="Z76" s="43">
        <f>Tableau1[[#This Row],[Conso HC / jour_x000D_
Cumul]]*365</f>
        <v>7611.9888991674379</v>
      </c>
      <c r="AA76" s="38">
        <f>Tableau1[[#This Row],[Différence HP
Instantané]]+Tableau1[[#This Row],[Différence_x000D_ HC
Instantané]]</f>
        <v>14</v>
      </c>
      <c r="AB76" s="41">
        <f>Tableau1[[#This Row],[Conso HP + HC
Instantané]]/(Tableau1[[#This Row],[Diff jour
Instantané]]*24)</f>
        <v>1.8834080717154495</v>
      </c>
      <c r="AC76" s="34">
        <f>IF(ISERROR(Tableau1[[#This Row],[Date]]-A75),"",Tableau1[[#This Row],[Conso HP + HC
Instantané]]/Tableau1[[#This Row],[Diff jour
Instantané]])</f>
        <v>45.201793721170787</v>
      </c>
      <c r="AD76" s="41">
        <f>Tableau1[[#This Row],[Conso HP + HC / jour_x000D_
Instantané]]*365</f>
        <v>16498.654708227339</v>
      </c>
      <c r="AE76" s="38">
        <f>Tableau1[[#This Row],[Différence HP
Cumul]]+Tableau1[[#This Row],[Différence HC
Cumul]]</f>
        <v>4484</v>
      </c>
      <c r="AF76" s="40">
        <f>(Tableau1[[#This Row],[Conso HP + HC
Cumul]]-AE$6)/Tableau1[[#This Row],[Diff jour_x000D_
Cumul
depuis le 24/01]]</f>
        <v>64.893286219070589</v>
      </c>
      <c r="AG76" s="40">
        <f>(Tableau1[[#This Row],[Conso HP + HC
Cumul]]-AE$59)/Tableau1[[#This Row],[Diff jour_x000D_
Cumul
depuis
précédente facture
16/02/2021]]</f>
        <v>44.110955897028589</v>
      </c>
      <c r="AH76" s="41">
        <f>Tableau1[[#This Row],[Conso HP + HC
Cumul]]/(Tableau1[[#This Row],[Diff jour_x000D_
Cumul]]*24)</f>
        <v>2.7653407338883751</v>
      </c>
      <c r="AI76" s="41">
        <f>Tableau1[[#This Row],[Conso HP + HC
Cumul]]/Tableau1[[#This Row],[Diff jour_x000D_
Cumul]]</f>
        <v>66.368177613320995</v>
      </c>
      <c r="AJ76" s="41">
        <f>Tableau1[[#This Row],[Conso HP + HC / jour_x000D_
Cumul]]*365</f>
        <v>24224.384828862163</v>
      </c>
      <c r="AK76" s="44">
        <f>(Tableau1[[#This Row],[Différence HP
Cumul]]*0.1799)+(Tableau1[[#This Row],[Différence HC
Cumul]]*0.1346)</f>
        <v>742.84389999999996</v>
      </c>
      <c r="AL76" s="44">
        <f>Tableau1[[#This Row],[Montant
Tarif HP/HC]]/Tableau1[[#This Row],[Diff jour_x000D_
Cumul]]</f>
        <v>10.994914338575393</v>
      </c>
      <c r="AM76" s="44">
        <f>(Tableau1[[#This Row],[Montant
Tarif HP/HC]]-AK$6)/Tableau1[[#This Row],[Diff jour_x000D_
Cumul
depuis le 24/01]]</f>
        <v>10.801468833920481</v>
      </c>
      <c r="AN76" s="44">
        <f>(Tableau1[[#This Row],[Montant
Tarif HP/HC]]-AK$59)/Tableau1[[#This Row],[Diff jour_x000D_
Cumul
depuis
précédente facture
16/02/2021]]</f>
        <v>7.3107084414291936</v>
      </c>
      <c r="AO76" s="44">
        <f>Tableau1[[#This Row],[Conso HP + HC
Cumul]]*0.1599</f>
        <v>716.99159999999995</v>
      </c>
      <c r="AP76" s="44">
        <f>Tableau1[[#This Row],[Montant
Tarif normal]]/Tableau1[[#This Row],[Diff jour_x000D_
Cumul]]</f>
        <v>10.612271600370027</v>
      </c>
      <c r="AQ76" s="44">
        <f>(Tableau1[[#This Row],[Conso HP / an
Cumul]]*0.1799)+(Tableau1[[#This Row],[Conso HC / an_x000D_
Cumul]]*0.1346)</f>
        <v>4013.1437335800192</v>
      </c>
      <c r="AR76" s="44">
        <f>Tableau1[[#This Row],[Conso HP + HC / an_x000D_
Cumul]]*0.1599</f>
        <v>3873.4791341350597</v>
      </c>
      <c r="AS76" s="38">
        <f>MONTH(Tableau1[[#This Row],[Date]])</f>
        <v>2</v>
      </c>
      <c r="AT76" s="38">
        <f>YEAR(Tableau1[[#This Row],[Date]])</f>
        <v>2021</v>
      </c>
    </row>
    <row r="77" spans="1:46" x14ac:dyDescent="0.2">
      <c r="A77" s="19">
        <v>44250.556250000001</v>
      </c>
      <c r="B77" s="20">
        <v>15.3</v>
      </c>
      <c r="C77" s="39">
        <f>IF(ISERROR(Tableau1[[#This Row],[Date]]-A76),"",Tableau1[[#This Row],[Date]]-A76)</f>
        <v>0.28541666666569654</v>
      </c>
      <c r="D77" s="40">
        <f>IF(ISERROR(Tableau1[[#This Row],[Date]]-A76),"",Tableau1[[#This Row],[Date]]-A76)</f>
        <v>0.28541666666569654</v>
      </c>
      <c r="E77" s="39">
        <f>Tableau1[[#This Row],[Date]]-$A$5</f>
        <v>67.847916666665697</v>
      </c>
      <c r="F77" s="40">
        <f>Tableau1[[#This Row],[Date]]-$A$5</f>
        <v>67.847916666665697</v>
      </c>
      <c r="G77" s="40">
        <f>Tableau1[[#This Row],[Diff jour_x000D_
Cumul]]-F$6</f>
        <v>29.764583333337214</v>
      </c>
      <c r="H77" s="40">
        <f>Tableau1[[#This Row],[Diff jour_x000D_
Cumul]]-F$59</f>
        <v>7.2451388888875954</v>
      </c>
      <c r="I77" s="21">
        <v>182845</v>
      </c>
      <c r="J77" s="38">
        <f>IF(ISERROR(Tableau1[[#This Row],[Index HP
kWh]]-I76),"",Tableau1[[#This Row],[Index HP
kWh]]-I76)</f>
        <v>11</v>
      </c>
      <c r="K77" s="40">
        <f>IF(ISERROR(Tableau1[[#This Row],[Différence HP
Instantané]]/(Tableau1[[#This Row],[Diff jour
Instantané]]*24)),"",Tableau1[[#This Row],[Différence HP
Instantané]]/(Tableau1[[#This Row],[Diff jour
Instantané]]*24))</f>
        <v>1.6058394160638525</v>
      </c>
      <c r="L77" s="40">
        <f>Tableau1[[#This Row],[Différence HP
Instantané]]/Tableau1[[#This Row],[Diff jour
Instantané]]</f>
        <v>38.540145985532455</v>
      </c>
      <c r="M77" s="40">
        <f>Tableau1[[#This Row],[Conso HP / jour
Instantané]]*365</f>
        <v>14067.153284719347</v>
      </c>
      <c r="N77" s="38">
        <f>Tableau1[[#This Row],[Index HP
kWh]]-$I$5</f>
        <v>3086</v>
      </c>
      <c r="O77" s="41">
        <f>Tableau1[[#This Row],[Différence HP
Cumul]]/(Tableau1[[#This Row],[Diff jour_x000D_
Cumul]]*24)</f>
        <v>1.8951699573187855</v>
      </c>
      <c r="P77" s="41">
        <f>Tableau1[[#This Row],[Différence HP
Cumul]]/Tableau1[[#This Row],[Diff jour_x000D_
Cumul]]</f>
        <v>45.484078975650846</v>
      </c>
      <c r="Q77" s="41">
        <f>Tableau1[[#This Row],[Conso HP / jour
Cumul]]*365</f>
        <v>16601.688826112557</v>
      </c>
      <c r="R77" s="21">
        <v>120841</v>
      </c>
      <c r="S77" s="38">
        <f>Tableau1[[#This Row],[Index HC_x000D_
kWh]]-R76</f>
        <v>0</v>
      </c>
      <c r="T77" s="42">
        <f>Tableau1[[#This Row],[Différence_x000D_ HC
Instantané]]/(Tableau1[[#This Row],[Diff jour
Instantané]]*24)</f>
        <v>0</v>
      </c>
      <c r="U77" s="42">
        <f>Tableau1[[#This Row],[Différence_x000D_ HC
Instantané]]/Tableau1[[#This Row],[Diff jour
Instantané]]</f>
        <v>0</v>
      </c>
      <c r="V77" s="42">
        <f>Tableau1[[#This Row],[Conso HC / jour_x000D_
Instantané]]*365</f>
        <v>0</v>
      </c>
      <c r="W77" s="38">
        <f>Tableau1[[#This Row],[Index HC_x000D_
kWh]]-$R$5</f>
        <v>1409</v>
      </c>
      <c r="X77" s="43">
        <f>Tableau1[[#This Row],[Différence HC
Cumul]]/(Tableau1[[#This Row],[Diff jour_x000D_
Cumul]]*24)</f>
        <v>0.86529308809532357</v>
      </c>
      <c r="Y77" s="43">
        <f>Tableau1[[#This Row],[Différence HC
Cumul]]/Tableau1[[#This Row],[Diff jour_x000D_
Cumul]]</f>
        <v>20.767034114287767</v>
      </c>
      <c r="Z77" s="43">
        <f>Tableau1[[#This Row],[Conso HC / jour_x000D_
Cumul]]*365</f>
        <v>7579.9674517150352</v>
      </c>
      <c r="AA77" s="38">
        <f>Tableau1[[#This Row],[Différence HP
Instantané]]+Tableau1[[#This Row],[Différence_x000D_ HC
Instantané]]</f>
        <v>11</v>
      </c>
      <c r="AB77" s="41">
        <f>Tableau1[[#This Row],[Conso HP + HC
Instantané]]/(Tableau1[[#This Row],[Diff jour
Instantané]]*24)</f>
        <v>1.6058394160638525</v>
      </c>
      <c r="AC77" s="34">
        <f>IF(ISERROR(Tableau1[[#This Row],[Date]]-A76),"",Tableau1[[#This Row],[Conso HP + HC
Instantané]]/Tableau1[[#This Row],[Diff jour
Instantané]])</f>
        <v>38.540145985532455</v>
      </c>
      <c r="AD77" s="41">
        <f>Tableau1[[#This Row],[Conso HP + HC / jour_x000D_
Instantané]]*365</f>
        <v>14067.153284719347</v>
      </c>
      <c r="AE77" s="38">
        <f>Tableau1[[#This Row],[Différence HP
Cumul]]+Tableau1[[#This Row],[Différence HC
Cumul]]</f>
        <v>4495</v>
      </c>
      <c r="AF77" s="40">
        <f>(Tableau1[[#This Row],[Conso HP + HC
Cumul]]-AE$6)/Tableau1[[#This Row],[Diff jour_x000D_
Cumul
depuis le 24/01]]</f>
        <v>64.640582347580292</v>
      </c>
      <c r="AG77" s="40">
        <f>(Tableau1[[#This Row],[Conso HP + HC
Cumul]]-AE$59)/Tableau1[[#This Row],[Diff jour_x000D_
Cumul
depuis
précédente facture
16/02/2021]]</f>
        <v>43.891498130938537</v>
      </c>
      <c r="AH77" s="41">
        <f>Tableau1[[#This Row],[Conso HP + HC
Cumul]]/(Tableau1[[#This Row],[Diff jour_x000D_
Cumul]]*24)</f>
        <v>2.760463045414109</v>
      </c>
      <c r="AI77" s="41">
        <f>Tableau1[[#This Row],[Conso HP + HC
Cumul]]/Tableau1[[#This Row],[Diff jour_x000D_
Cumul]]</f>
        <v>66.251113089938613</v>
      </c>
      <c r="AJ77" s="41">
        <f>Tableau1[[#This Row],[Conso HP + HC / jour_x000D_
Cumul]]*365</f>
        <v>24181.656277827595</v>
      </c>
      <c r="AK77" s="44">
        <f>(Tableau1[[#This Row],[Différence HP
Cumul]]*0.1799)+(Tableau1[[#This Row],[Différence HC
Cumul]]*0.1346)</f>
        <v>744.82280000000003</v>
      </c>
      <c r="AL77" s="44">
        <f>Tableau1[[#This Row],[Montant
Tarif HP/HC]]/Tableau1[[#This Row],[Diff jour_x000D_
Cumul]]</f>
        <v>10.977828599502722</v>
      </c>
      <c r="AM77" s="44">
        <f>(Tableau1[[#This Row],[Montant
Tarif HP/HC]]-AK$6)/Tableau1[[#This Row],[Diff jour_x000D_
Cumul
depuis le 24/01]]</f>
        <v>10.764377126057251</v>
      </c>
      <c r="AN77" s="44">
        <f>(Tableau1[[#This Row],[Montant
Tarif HP/HC]]-AK$59)/Tableau1[[#This Row],[Diff jour_x000D_
Cumul
depuis
précédente facture
16/02/2021]]</f>
        <v>7.295843573278411</v>
      </c>
      <c r="AO77" s="44">
        <f>Tableau1[[#This Row],[Conso HP + HC
Cumul]]*0.1599</f>
        <v>718.75049999999999</v>
      </c>
      <c r="AP77" s="44">
        <f>Tableau1[[#This Row],[Montant
Tarif normal]]/Tableau1[[#This Row],[Diff jour_x000D_
Cumul]]</f>
        <v>10.593552983081183</v>
      </c>
      <c r="AQ77" s="44">
        <f>(Tableau1[[#This Row],[Conso HP / an
Cumul]]*0.1799)+(Tableau1[[#This Row],[Conso HC / an_x000D_
Cumul]]*0.1346)</f>
        <v>4006.9074388184931</v>
      </c>
      <c r="AR77" s="44">
        <f>Tableau1[[#This Row],[Conso HP + HC / an_x000D_
Cumul]]*0.1599</f>
        <v>3866.6468388246321</v>
      </c>
      <c r="AS77" s="38">
        <f>MONTH(Tableau1[[#This Row],[Date]])</f>
        <v>2</v>
      </c>
      <c r="AT77" s="38">
        <f>YEAR(Tableau1[[#This Row],[Date]])</f>
        <v>2021</v>
      </c>
    </row>
    <row r="78" spans="1:46" x14ac:dyDescent="0.2">
      <c r="A78" s="19">
        <v>44250.962500000001</v>
      </c>
      <c r="B78" s="20">
        <v>11.5</v>
      </c>
      <c r="C78" s="39">
        <f>IF(ISERROR(Tableau1[[#This Row],[Date]]-A77),"",Tableau1[[#This Row],[Date]]-A77)</f>
        <v>0.40625</v>
      </c>
      <c r="D78" s="40">
        <f>IF(ISERROR(Tableau1[[#This Row],[Date]]-A77),"",Tableau1[[#This Row],[Date]]-A77)</f>
        <v>0.40625</v>
      </c>
      <c r="E78" s="39">
        <f>Tableau1[[#This Row],[Date]]-$A$5</f>
        <v>68.254166666665697</v>
      </c>
      <c r="F78" s="40">
        <f>Tableau1[[#This Row],[Date]]-$A$5</f>
        <v>68.254166666665697</v>
      </c>
      <c r="G78" s="40">
        <f>Tableau1[[#This Row],[Diff jour_x000D_
Cumul]]-F$6</f>
        <v>30.170833333337214</v>
      </c>
      <c r="H78" s="40">
        <f>Tableau1[[#This Row],[Diff jour_x000D_
Cumul]]-F$59</f>
        <v>7.6513888888875954</v>
      </c>
      <c r="I78" s="21">
        <v>182860</v>
      </c>
      <c r="J78" s="38">
        <f>IF(ISERROR(Tableau1[[#This Row],[Index HP
kWh]]-I77),"",Tableau1[[#This Row],[Index HP
kWh]]-I77)</f>
        <v>15</v>
      </c>
      <c r="K78" s="40">
        <f>IF(ISERROR(Tableau1[[#This Row],[Différence HP
Instantané]]/(Tableau1[[#This Row],[Diff jour
Instantané]]*24)),"",Tableau1[[#This Row],[Différence HP
Instantané]]/(Tableau1[[#This Row],[Diff jour
Instantané]]*24))</f>
        <v>1.5384615384615385</v>
      </c>
      <c r="L78" s="40">
        <f>Tableau1[[#This Row],[Différence HP
Instantané]]/Tableau1[[#This Row],[Diff jour
Instantané]]</f>
        <v>36.92307692307692</v>
      </c>
      <c r="M78" s="40">
        <f>Tableau1[[#This Row],[Conso HP / jour
Instantané]]*365</f>
        <v>13476.923076923076</v>
      </c>
      <c r="N78" s="38">
        <f>Tableau1[[#This Row],[Index HP
kWh]]-$I$5</f>
        <v>3101</v>
      </c>
      <c r="O78" s="41">
        <f>Tableau1[[#This Row],[Différence HP
Cumul]]/(Tableau1[[#This Row],[Diff jour_x000D_
Cumul]]*24)</f>
        <v>1.8930468225383335</v>
      </c>
      <c r="P78" s="41">
        <f>Tableau1[[#This Row],[Différence HP
Cumul]]/Tableau1[[#This Row],[Diff jour_x000D_
Cumul]]</f>
        <v>45.433123740920003</v>
      </c>
      <c r="Q78" s="41">
        <f>Tableau1[[#This Row],[Conso HP / jour
Cumul]]*365</f>
        <v>16583.090165435802</v>
      </c>
      <c r="R78" s="21">
        <v>120842</v>
      </c>
      <c r="S78" s="38">
        <f>Tableau1[[#This Row],[Index HC_x000D_
kWh]]-R77</f>
        <v>1</v>
      </c>
      <c r="T78" s="42">
        <f>Tableau1[[#This Row],[Différence_x000D_ HC
Instantané]]/(Tableau1[[#This Row],[Diff jour
Instantané]]*24)</f>
        <v>0.10256410256410256</v>
      </c>
      <c r="U78" s="42">
        <f>Tableau1[[#This Row],[Différence_x000D_ HC
Instantané]]/Tableau1[[#This Row],[Diff jour
Instantané]]</f>
        <v>2.4615384615384617</v>
      </c>
      <c r="V78" s="42">
        <f>Tableau1[[#This Row],[Conso HC / jour_x000D_
Instantané]]*365</f>
        <v>898.46153846153857</v>
      </c>
      <c r="W78" s="38">
        <f>Tableau1[[#This Row],[Index HC_x000D_
kWh]]-$R$5</f>
        <v>1410</v>
      </c>
      <c r="X78" s="43">
        <f>Tableau1[[#This Row],[Différence HC
Cumul]]/(Tableau1[[#This Row],[Diff jour_x000D_
Cumul]]*24)</f>
        <v>0.86075331176364078</v>
      </c>
      <c r="Y78" s="43">
        <f>Tableau1[[#This Row],[Différence HC
Cumul]]/Tableau1[[#This Row],[Diff jour_x000D_
Cumul]]</f>
        <v>20.658079482327381</v>
      </c>
      <c r="Z78" s="43">
        <f>Tableau1[[#This Row],[Conso HC / jour_x000D_
Cumul]]*365</f>
        <v>7540.1990110494935</v>
      </c>
      <c r="AA78" s="38">
        <f>Tableau1[[#This Row],[Différence HP
Instantané]]+Tableau1[[#This Row],[Différence_x000D_ HC
Instantané]]</f>
        <v>16</v>
      </c>
      <c r="AB78" s="41">
        <f>Tableau1[[#This Row],[Conso HP + HC
Instantané]]/(Tableau1[[#This Row],[Diff jour
Instantané]]*24)</f>
        <v>1.641025641025641</v>
      </c>
      <c r="AC78" s="34">
        <f>IF(ISERROR(Tableau1[[#This Row],[Date]]-A77),"",Tableau1[[#This Row],[Conso HP + HC
Instantané]]/Tableau1[[#This Row],[Diff jour
Instantané]])</f>
        <v>39.384615384615387</v>
      </c>
      <c r="AD78" s="41">
        <f>Tableau1[[#This Row],[Conso HP + HC / jour_x000D_
Instantané]]*365</f>
        <v>14375.384615384617</v>
      </c>
      <c r="AE78" s="38">
        <f>Tableau1[[#This Row],[Différence HP
Cumul]]+Tableau1[[#This Row],[Différence HC
Cumul]]</f>
        <v>4511</v>
      </c>
      <c r="AF78" s="40">
        <f>(Tableau1[[#This Row],[Conso HP + HC
Cumul]]-AE$6)/Tableau1[[#This Row],[Diff jour_x000D_
Cumul
depuis le 24/01]]</f>
        <v>64.300510979138252</v>
      </c>
      <c r="AG78" s="40">
        <f>(Tableau1[[#This Row],[Conso HP + HC
Cumul]]-AE$59)/Tableau1[[#This Row],[Diff jour_x000D_
Cumul
depuis
précédente facture
16/02/2021]]</f>
        <v>43.652205481946027</v>
      </c>
      <c r="AH78" s="41">
        <f>Tableau1[[#This Row],[Conso HP + HC
Cumul]]/(Tableau1[[#This Row],[Diff jour_x000D_
Cumul]]*24)</f>
        <v>2.7538001343019745</v>
      </c>
      <c r="AI78" s="41">
        <f>Tableau1[[#This Row],[Conso HP + HC
Cumul]]/Tableau1[[#This Row],[Diff jour_x000D_
Cumul]]</f>
        <v>66.09120322324739</v>
      </c>
      <c r="AJ78" s="41">
        <f>Tableau1[[#This Row],[Conso HP + HC / jour_x000D_
Cumul]]*365</f>
        <v>24123.289176485298</v>
      </c>
      <c r="AK78" s="44">
        <f>(Tableau1[[#This Row],[Différence HP
Cumul]]*0.1799)+(Tableau1[[#This Row],[Différence HC
Cumul]]*0.1346)</f>
        <v>747.65589999999997</v>
      </c>
      <c r="AL78" s="44">
        <f>Tableau1[[#This Row],[Montant
Tarif HP/HC]]/Tableau1[[#This Row],[Diff jour_x000D_
Cumul]]</f>
        <v>10.953996459312773</v>
      </c>
      <c r="AM78" s="44">
        <f>(Tableau1[[#This Row],[Montant
Tarif HP/HC]]-AK$6)/Tableau1[[#This Row],[Diff jour_x000D_
Cumul
depuis le 24/01]]</f>
        <v>10.713336831927911</v>
      </c>
      <c r="AN78" s="44">
        <f>(Tableau1[[#This Row],[Montant
Tarif HP/HC]]-AK$59)/Tableau1[[#This Row],[Diff jour_x000D_
Cumul
depuis
précédente facture
16/02/2021]]</f>
        <v>7.2787438736625116</v>
      </c>
      <c r="AO78" s="44">
        <f>Tableau1[[#This Row],[Conso HP + HC
Cumul]]*0.1599</f>
        <v>721.30889999999999</v>
      </c>
      <c r="AP78" s="44">
        <f>Tableau1[[#This Row],[Montant
Tarif normal]]/Tableau1[[#This Row],[Diff jour_x000D_
Cumul]]</f>
        <v>10.567983395397256</v>
      </c>
      <c r="AQ78" s="44">
        <f>(Tableau1[[#This Row],[Conso HP / an
Cumul]]*0.1799)+(Tableau1[[#This Row],[Conso HC / an_x000D_
Cumul]]*0.1346)</f>
        <v>3998.2087076491625</v>
      </c>
      <c r="AR78" s="44">
        <f>Tableau1[[#This Row],[Conso HP + HC / an_x000D_
Cumul]]*0.1599</f>
        <v>3857.3139393199986</v>
      </c>
      <c r="AS78" s="38">
        <f>MONTH(Tableau1[[#This Row],[Date]])</f>
        <v>2</v>
      </c>
      <c r="AT78" s="38">
        <f>YEAR(Tableau1[[#This Row],[Date]])</f>
        <v>2021</v>
      </c>
    </row>
    <row r="79" spans="1:46" x14ac:dyDescent="0.2">
      <c r="A79" s="19">
        <v>44251.287499999999</v>
      </c>
      <c r="B79" s="20">
        <v>9.4</v>
      </c>
      <c r="C79" s="39">
        <f>IF(ISERROR(Tableau1[[#This Row],[Date]]-A78),"",Tableau1[[#This Row],[Date]]-A78)</f>
        <v>0.32499999999708962</v>
      </c>
      <c r="D79" s="40">
        <f>IF(ISERROR(Tableau1[[#This Row],[Date]]-A78),"",Tableau1[[#This Row],[Date]]-A78)</f>
        <v>0.32499999999708962</v>
      </c>
      <c r="E79" s="39">
        <f>Tableau1[[#This Row],[Date]]-$A$5</f>
        <v>68.579166666662786</v>
      </c>
      <c r="F79" s="40">
        <f>Tableau1[[#This Row],[Date]]-$A$5</f>
        <v>68.579166666662786</v>
      </c>
      <c r="G79" s="40">
        <f>Tableau1[[#This Row],[Diff jour_x000D_
Cumul]]-F$6</f>
        <v>30.495833333334303</v>
      </c>
      <c r="H79" s="40">
        <f>Tableau1[[#This Row],[Diff jour_x000D_
Cumul]]-F$59</f>
        <v>7.976388888884685</v>
      </c>
      <c r="I79" s="21">
        <v>182860</v>
      </c>
      <c r="J79" s="38">
        <f>IF(ISERROR(Tableau1[[#This Row],[Index HP
kWh]]-I78),"",Tableau1[[#This Row],[Index HP
kWh]]-I78)</f>
        <v>0</v>
      </c>
      <c r="K79" s="40">
        <f>IF(ISERROR(Tableau1[[#This Row],[Différence HP
Instantané]]/(Tableau1[[#This Row],[Diff jour
Instantané]]*24)),"",Tableau1[[#This Row],[Différence HP
Instantané]]/(Tableau1[[#This Row],[Diff jour
Instantané]]*24))</f>
        <v>0</v>
      </c>
      <c r="L79" s="40">
        <f>Tableau1[[#This Row],[Différence HP
Instantané]]/Tableau1[[#This Row],[Diff jour
Instantané]]</f>
        <v>0</v>
      </c>
      <c r="M79" s="40">
        <f>Tableau1[[#This Row],[Conso HP / jour
Instantané]]*365</f>
        <v>0</v>
      </c>
      <c r="N79" s="38">
        <f>Tableau1[[#This Row],[Index HP
kWh]]-$I$5</f>
        <v>3101</v>
      </c>
      <c r="O79" s="41">
        <f>Tableau1[[#This Row],[Différence HP
Cumul]]/(Tableau1[[#This Row],[Diff jour_x000D_
Cumul]]*24)</f>
        <v>1.8840755817486941</v>
      </c>
      <c r="P79" s="41">
        <f>Tableau1[[#This Row],[Différence HP
Cumul]]/Tableau1[[#This Row],[Diff jour_x000D_
Cumul]]</f>
        <v>45.217813961968659</v>
      </c>
      <c r="Q79" s="41">
        <f>Tableau1[[#This Row],[Conso HP / jour
Cumul]]*365</f>
        <v>16504.502096118562</v>
      </c>
      <c r="R79" s="21">
        <v>120853</v>
      </c>
      <c r="S79" s="38">
        <f>Tableau1[[#This Row],[Index HC_x000D_
kWh]]-R78</f>
        <v>11</v>
      </c>
      <c r="T79" s="42">
        <f>Tableau1[[#This Row],[Différence_x000D_ HC
Instantané]]/(Tableau1[[#This Row],[Diff jour
Instantané]]*24)</f>
        <v>1.4102564102690391</v>
      </c>
      <c r="U79" s="42">
        <f>Tableau1[[#This Row],[Différence_x000D_ HC
Instantané]]/Tableau1[[#This Row],[Diff jour
Instantané]]</f>
        <v>33.846153846456936</v>
      </c>
      <c r="V79" s="42">
        <f>Tableau1[[#This Row],[Conso HC / jour_x000D_
Instantané]]*365</f>
        <v>12353.846153956782</v>
      </c>
      <c r="W79" s="38">
        <f>Tableau1[[#This Row],[Index HC_x000D_
kWh]]-$R$5</f>
        <v>1421</v>
      </c>
      <c r="X79" s="43">
        <f>Tableau1[[#This Row],[Différence HC
Cumul]]/(Tableau1[[#This Row],[Diff jour_x000D_
Cumul]]*24)</f>
        <v>0.86335743362299067</v>
      </c>
      <c r="Y79" s="43">
        <f>Tableau1[[#This Row],[Différence HC
Cumul]]/Tableau1[[#This Row],[Diff jour_x000D_
Cumul]]</f>
        <v>20.720578406951777</v>
      </c>
      <c r="Z79" s="43">
        <f>Tableau1[[#This Row],[Conso HC / jour_x000D_
Cumul]]*365</f>
        <v>7563.0111185373989</v>
      </c>
      <c r="AA79" s="38">
        <f>Tableau1[[#This Row],[Différence HP
Instantané]]+Tableau1[[#This Row],[Différence_x000D_ HC
Instantané]]</f>
        <v>11</v>
      </c>
      <c r="AB79" s="41">
        <f>Tableau1[[#This Row],[Conso HP + HC
Instantané]]/(Tableau1[[#This Row],[Diff jour
Instantané]]*24)</f>
        <v>1.4102564102690391</v>
      </c>
      <c r="AC79" s="34">
        <f>IF(ISERROR(Tableau1[[#This Row],[Date]]-A78),"",Tableau1[[#This Row],[Conso HP + HC
Instantané]]/Tableau1[[#This Row],[Diff jour
Instantané]])</f>
        <v>33.846153846456936</v>
      </c>
      <c r="AD79" s="41">
        <f>Tableau1[[#This Row],[Conso HP + HC / jour_x000D_
Instantané]]*365</f>
        <v>12353.846153956782</v>
      </c>
      <c r="AE79" s="38">
        <f>Tableau1[[#This Row],[Différence HP
Cumul]]+Tableau1[[#This Row],[Différence HC
Cumul]]</f>
        <v>4522</v>
      </c>
      <c r="AF79" s="40">
        <f>(Tableau1[[#This Row],[Conso HP + HC
Cumul]]-AE$6)/Tableau1[[#This Row],[Diff jour_x000D_
Cumul
depuis le 24/01]]</f>
        <v>63.975952999041553</v>
      </c>
      <c r="AG79" s="40">
        <f>(Tableau1[[#This Row],[Conso HP + HC
Cumul]]-AE$59)/Tableau1[[#This Row],[Diff jour_x000D_
Cumul
depuis
précédente facture
16/02/2021]]</f>
        <v>43.252655406604724</v>
      </c>
      <c r="AH79" s="41">
        <f>Tableau1[[#This Row],[Conso HP + HC
Cumul]]/(Tableau1[[#This Row],[Diff jour_x000D_
Cumul]]*24)</f>
        <v>2.7474330153716848</v>
      </c>
      <c r="AI79" s="41">
        <f>Tableau1[[#This Row],[Conso HP + HC
Cumul]]/Tableau1[[#This Row],[Diff jour_x000D_
Cumul]]</f>
        <v>65.938392368920432</v>
      </c>
      <c r="AJ79" s="41">
        <f>Tableau1[[#This Row],[Conso HP + HC / jour_x000D_
Cumul]]*365</f>
        <v>24067.513214655959</v>
      </c>
      <c r="AK79" s="44">
        <f>(Tableau1[[#This Row],[Différence HP
Cumul]]*0.1799)+(Tableau1[[#This Row],[Différence HC
Cumul]]*0.1346)</f>
        <v>749.13650000000007</v>
      </c>
      <c r="AL79" s="44">
        <f>Tableau1[[#This Row],[Montant
Tarif HP/HC]]/Tableau1[[#This Row],[Diff jour_x000D_
Cumul]]</f>
        <v>10.923674585333872</v>
      </c>
      <c r="AM79" s="44">
        <f>(Tableau1[[#This Row],[Montant
Tarif HP/HC]]-AK$6)/Tableau1[[#This Row],[Diff jour_x000D_
Cumul
depuis le 24/01]]</f>
        <v>10.647713622079182</v>
      </c>
      <c r="AN79" s="44">
        <f>(Tableau1[[#This Row],[Montant
Tarif HP/HC]]-AK$59)/Tableau1[[#This Row],[Diff jour_x000D_
Cumul
depuis
précédente facture
16/02/2021]]</f>
        <v>7.1677924429778441</v>
      </c>
      <c r="AO79" s="44">
        <f>Tableau1[[#This Row],[Conso HP + HC
Cumul]]*0.1599</f>
        <v>723.06779999999992</v>
      </c>
      <c r="AP79" s="44">
        <f>Tableau1[[#This Row],[Montant
Tarif normal]]/Tableau1[[#This Row],[Diff jour_x000D_
Cumul]]</f>
        <v>10.543548939790377</v>
      </c>
      <c r="AQ79" s="44">
        <f>(Tableau1[[#This Row],[Conso HP / an
Cumul]]*0.1799)+(Tableau1[[#This Row],[Conso HC / an_x000D_
Cumul]]*0.1346)</f>
        <v>3987.1412236468632</v>
      </c>
      <c r="AR79" s="44">
        <f>Tableau1[[#This Row],[Conso HP + HC / an_x000D_
Cumul]]*0.1599</f>
        <v>3848.3953630234873</v>
      </c>
      <c r="AS79" s="38">
        <f>MONTH(Tableau1[[#This Row],[Date]])</f>
        <v>2</v>
      </c>
      <c r="AT79" s="38">
        <f>YEAR(Tableau1[[#This Row],[Date]])</f>
        <v>2021</v>
      </c>
    </row>
    <row r="80" spans="1:46" x14ac:dyDescent="0.2">
      <c r="A80" s="19">
        <v>44251.57708333333</v>
      </c>
      <c r="B80" s="20">
        <v>16.899999999999999</v>
      </c>
      <c r="C80" s="39">
        <f>IF(ISERROR(Tableau1[[#This Row],[Date]]-A79),"",Tableau1[[#This Row],[Date]]-A79)</f>
        <v>0.28958333333139308</v>
      </c>
      <c r="D80" s="40">
        <f>IF(ISERROR(Tableau1[[#This Row],[Date]]-A79),"",Tableau1[[#This Row],[Date]]-A79)</f>
        <v>0.28958333333139308</v>
      </c>
      <c r="E80" s="39">
        <f>Tableau1[[#This Row],[Date]]-$A$5</f>
        <v>68.868749999994179</v>
      </c>
      <c r="F80" s="40">
        <f>Tableau1[[#This Row],[Date]]-$A$5</f>
        <v>68.868749999994179</v>
      </c>
      <c r="G80" s="40">
        <f>Tableau1[[#This Row],[Diff jour_x000D_
Cumul]]-F$6</f>
        <v>30.785416666665697</v>
      </c>
      <c r="H80" s="40">
        <f>Tableau1[[#This Row],[Diff jour_x000D_
Cumul]]-F$59</f>
        <v>8.2659722222160781</v>
      </c>
      <c r="I80" s="21">
        <v>182874</v>
      </c>
      <c r="J80" s="38">
        <f>IF(ISERROR(Tableau1[[#This Row],[Index HP
kWh]]-I79),"",Tableau1[[#This Row],[Index HP
kWh]]-I79)</f>
        <v>14</v>
      </c>
      <c r="K80" s="40">
        <f>IF(ISERROR(Tableau1[[#This Row],[Différence HP
Instantané]]/(Tableau1[[#This Row],[Diff jour
Instantané]]*24)),"",Tableau1[[#This Row],[Différence HP
Instantané]]/(Tableau1[[#This Row],[Diff jour
Instantané]]*24))</f>
        <v>2.0143884892221298</v>
      </c>
      <c r="L80" s="40">
        <f>Tableau1[[#This Row],[Différence HP
Instantané]]/Tableau1[[#This Row],[Diff jour
Instantané]]</f>
        <v>48.345323741331114</v>
      </c>
      <c r="M80" s="40">
        <f>Tableau1[[#This Row],[Conso HP / jour
Instantané]]*365</f>
        <v>17646.043165585856</v>
      </c>
      <c r="N80" s="38">
        <f>Tableau1[[#This Row],[Index HP
kWh]]-$I$5</f>
        <v>3115</v>
      </c>
      <c r="O80" s="41">
        <f>Tableau1[[#This Row],[Différence HP
Cumul]]/(Tableau1[[#This Row],[Diff jour_x000D_
Cumul]]*24)</f>
        <v>1.8846235290560325</v>
      </c>
      <c r="P80" s="41">
        <f>Tableau1[[#This Row],[Différence HP
Cumul]]/Tableau1[[#This Row],[Diff jour_x000D_
Cumul]]</f>
        <v>45.230964697344781</v>
      </c>
      <c r="Q80" s="41">
        <f>Tableau1[[#This Row],[Conso HP / jour
Cumul]]*365</f>
        <v>16509.302114530845</v>
      </c>
      <c r="R80" s="21">
        <v>120853</v>
      </c>
      <c r="S80" s="38">
        <f>Tableau1[[#This Row],[Index HC_x000D_
kWh]]-R79</f>
        <v>0</v>
      </c>
      <c r="T80" s="42">
        <f>Tableau1[[#This Row],[Différence_x000D_ HC
Instantané]]/(Tableau1[[#This Row],[Diff jour
Instantané]]*24)</f>
        <v>0</v>
      </c>
      <c r="U80" s="42">
        <f>Tableau1[[#This Row],[Différence_x000D_ HC
Instantané]]/Tableau1[[#This Row],[Diff jour
Instantané]]</f>
        <v>0</v>
      </c>
      <c r="V80" s="42">
        <f>Tableau1[[#This Row],[Conso HC / jour_x000D_
Instantané]]*365</f>
        <v>0</v>
      </c>
      <c r="W80" s="38">
        <f>Tableau1[[#This Row],[Index HC_x000D_
kWh]]-$R$5</f>
        <v>1421</v>
      </c>
      <c r="X80" s="43">
        <f>Tableau1[[#This Row],[Différence HC
Cumul]]/(Tableau1[[#This Row],[Diff jour_x000D_
Cumul]]*24)</f>
        <v>0.85972713797387545</v>
      </c>
      <c r="Y80" s="43">
        <f>Tableau1[[#This Row],[Différence HC
Cumul]]/Tableau1[[#This Row],[Diff jour_x000D_
Cumul]]</f>
        <v>20.633451311373012</v>
      </c>
      <c r="Z80" s="43">
        <f>Tableau1[[#This Row],[Conso HC / jour_x000D_
Cumul]]*365</f>
        <v>7531.2097286511489</v>
      </c>
      <c r="AA80" s="38">
        <f>Tableau1[[#This Row],[Différence HP
Instantané]]+Tableau1[[#This Row],[Différence_x000D_ HC
Instantané]]</f>
        <v>14</v>
      </c>
      <c r="AB80" s="41">
        <f>Tableau1[[#This Row],[Conso HP + HC
Instantané]]/(Tableau1[[#This Row],[Diff jour
Instantané]]*24)</f>
        <v>2.0143884892221298</v>
      </c>
      <c r="AC80" s="34">
        <f>IF(ISERROR(Tableau1[[#This Row],[Date]]-A79),"",Tableau1[[#This Row],[Conso HP + HC
Instantané]]/Tableau1[[#This Row],[Diff jour
Instantané]])</f>
        <v>48.345323741331114</v>
      </c>
      <c r="AD80" s="41">
        <f>Tableau1[[#This Row],[Conso HP + HC / jour_x000D_
Instantané]]*365</f>
        <v>17646.043165585856</v>
      </c>
      <c r="AE80" s="38">
        <f>Tableau1[[#This Row],[Différence HP
Cumul]]+Tableau1[[#This Row],[Différence HC
Cumul]]</f>
        <v>4536</v>
      </c>
      <c r="AF80" s="40">
        <f>(Tableau1[[#This Row],[Conso HP + HC
Cumul]]-AE$6)/Tableau1[[#This Row],[Diff jour_x000D_
Cumul
depuis le 24/01]]</f>
        <v>63.82892332679365</v>
      </c>
      <c r="AG80" s="40">
        <f>(Tableau1[[#This Row],[Conso HP + HC
Cumul]]-AE$59)/Tableau1[[#This Row],[Diff jour_x000D_
Cumul
depuis
précédente facture
16/02/2021]]</f>
        <v>43.431067798066394</v>
      </c>
      <c r="AH80" s="41">
        <f>Tableau1[[#This Row],[Conso HP + HC
Cumul]]/(Tableau1[[#This Row],[Diff jour_x000D_
Cumul]]*24)</f>
        <v>2.744350667029908</v>
      </c>
      <c r="AI80" s="41">
        <f>Tableau1[[#This Row],[Conso HP + HC
Cumul]]/Tableau1[[#This Row],[Diff jour_x000D_
Cumul]]</f>
        <v>65.864416008717797</v>
      </c>
      <c r="AJ80" s="41">
        <f>Tableau1[[#This Row],[Conso HP + HC / jour_x000D_
Cumul]]*365</f>
        <v>24040.511843181997</v>
      </c>
      <c r="AK80" s="44">
        <f>(Tableau1[[#This Row],[Différence HP
Cumul]]*0.1799)+(Tableau1[[#This Row],[Différence HC
Cumul]]*0.1346)</f>
        <v>751.65509999999995</v>
      </c>
      <c r="AL80" s="44">
        <f>Tableau1[[#This Row],[Montant
Tarif HP/HC]]/Tableau1[[#This Row],[Diff jour_x000D_
Cumul]]</f>
        <v>10.914313095563132</v>
      </c>
      <c r="AM80" s="44">
        <f>(Tableau1[[#This Row],[Montant
Tarif HP/HC]]-AK$6)/Tableau1[[#This Row],[Diff jour_x000D_
Cumul
depuis le 24/01]]</f>
        <v>10.629367259931307</v>
      </c>
      <c r="AN80" s="44">
        <f>(Tableau1[[#This Row],[Montant
Tarif HP/HC]]-AK$59)/Tableau1[[#This Row],[Diff jour_x000D_
Cumul
depuis
précédente facture
16/02/2021]]</f>
        <v>7.2213767957711372</v>
      </c>
      <c r="AO80" s="44">
        <f>Tableau1[[#This Row],[Conso HP + HC
Cumul]]*0.1599</f>
        <v>725.30639999999994</v>
      </c>
      <c r="AP80" s="44">
        <f>Tableau1[[#This Row],[Montant
Tarif normal]]/Tableau1[[#This Row],[Diff jour_x000D_
Cumul]]</f>
        <v>10.531720119793974</v>
      </c>
      <c r="AQ80" s="44">
        <f>(Tableau1[[#This Row],[Conso HP / an
Cumul]]*0.1799)+(Tableau1[[#This Row],[Conso HC / an_x000D_
Cumul]]*0.1346)</f>
        <v>3983.7242798805437</v>
      </c>
      <c r="AR80" s="44">
        <f>Tableau1[[#This Row],[Conso HP + HC / an_x000D_
Cumul]]*0.1599</f>
        <v>3844.0778437248009</v>
      </c>
      <c r="AS80" s="38">
        <f>MONTH(Tableau1[[#This Row],[Date]])</f>
        <v>2</v>
      </c>
      <c r="AT80" s="38">
        <f>YEAR(Tableau1[[#This Row],[Date]])</f>
        <v>2021</v>
      </c>
    </row>
    <row r="81" spans="1:46" x14ac:dyDescent="0.2">
      <c r="A81" s="19">
        <v>44251.938888888886</v>
      </c>
      <c r="B81" s="20">
        <v>8.8000000000000007</v>
      </c>
      <c r="C81" s="39">
        <f>IF(ISERROR(Tableau1[[#This Row],[Date]]-A80),"",Tableau1[[#This Row],[Date]]-A80)</f>
        <v>0.36180555555620231</v>
      </c>
      <c r="D81" s="40">
        <f>IF(ISERROR(Tableau1[[#This Row],[Date]]-A80),"",Tableau1[[#This Row],[Date]]-A80)</f>
        <v>0.36180555555620231</v>
      </c>
      <c r="E81" s="39">
        <f>Tableau1[[#This Row],[Date]]-$A$5</f>
        <v>69.230555555550382</v>
      </c>
      <c r="F81" s="40">
        <f>Tableau1[[#This Row],[Date]]-$A$5</f>
        <v>69.230555555550382</v>
      </c>
      <c r="G81" s="40">
        <f>Tableau1[[#This Row],[Diff jour_x000D_
Cumul]]-F$6</f>
        <v>31.147222222221899</v>
      </c>
      <c r="H81" s="40">
        <f>Tableau1[[#This Row],[Diff jour_x000D_
Cumul]]-F$59</f>
        <v>8.6277777777722804</v>
      </c>
      <c r="I81" s="21">
        <v>182883</v>
      </c>
      <c r="J81" s="38">
        <f>IF(ISERROR(Tableau1[[#This Row],[Index HP
kWh]]-I80),"",Tableau1[[#This Row],[Index HP
kWh]]-I80)</f>
        <v>9</v>
      </c>
      <c r="K81" s="40">
        <f>IF(ISERROR(Tableau1[[#This Row],[Différence HP
Instantané]]/(Tableau1[[#This Row],[Diff jour
Instantané]]*24)),"",Tableau1[[#This Row],[Différence HP
Instantané]]/(Tableau1[[#This Row],[Diff jour
Instantané]]*24))</f>
        <v>1.0364683301325042</v>
      </c>
      <c r="L81" s="40">
        <f>Tableau1[[#This Row],[Différence HP
Instantané]]/Tableau1[[#This Row],[Diff jour
Instantané]]</f>
        <v>24.875239923180104</v>
      </c>
      <c r="M81" s="40">
        <f>Tableau1[[#This Row],[Conso HP / jour
Instantané]]*365</f>
        <v>9079.4625719607375</v>
      </c>
      <c r="N81" s="38">
        <f>Tableau1[[#This Row],[Index HP
kWh]]-$I$5</f>
        <v>3124</v>
      </c>
      <c r="O81" s="41">
        <f>Tableau1[[#This Row],[Différence HP
Cumul]]/(Tableau1[[#This Row],[Diff jour_x000D_
Cumul]]*24)</f>
        <v>1.8801909882439314</v>
      </c>
      <c r="P81" s="41">
        <f>Tableau1[[#This Row],[Différence HP
Cumul]]/Tableau1[[#This Row],[Diff jour_x000D_
Cumul]]</f>
        <v>45.124583717854357</v>
      </c>
      <c r="Q81" s="41">
        <f>Tableau1[[#This Row],[Conso HP / jour
Cumul]]*365</f>
        <v>16470.473057016839</v>
      </c>
      <c r="R81" s="21">
        <v>120853</v>
      </c>
      <c r="S81" s="38">
        <f>Tableau1[[#This Row],[Index HC_x000D_
kWh]]-R80</f>
        <v>0</v>
      </c>
      <c r="T81" s="42">
        <f>Tableau1[[#This Row],[Différence_x000D_ HC
Instantané]]/(Tableau1[[#This Row],[Diff jour
Instantané]]*24)</f>
        <v>0</v>
      </c>
      <c r="U81" s="42">
        <f>Tableau1[[#This Row],[Différence_x000D_ HC
Instantané]]/Tableau1[[#This Row],[Diff jour
Instantané]]</f>
        <v>0</v>
      </c>
      <c r="V81" s="42">
        <f>Tableau1[[#This Row],[Conso HC / jour_x000D_
Instantané]]*365</f>
        <v>0</v>
      </c>
      <c r="W81" s="38">
        <f>Tableau1[[#This Row],[Index HC_x000D_
kWh]]-$R$5</f>
        <v>1421</v>
      </c>
      <c r="X81" s="43">
        <f>Tableau1[[#This Row],[Différence HC
Cumul]]/(Tableau1[[#This Row],[Diff jour_x000D_
Cumul]]*24)</f>
        <v>0.85523412109303021</v>
      </c>
      <c r="Y81" s="43">
        <f>Tableau1[[#This Row],[Différence HC
Cumul]]/Tableau1[[#This Row],[Diff jour_x000D_
Cumul]]</f>
        <v>20.525618906232726</v>
      </c>
      <c r="Z81" s="43">
        <f>Tableau1[[#This Row],[Conso HC / jour_x000D_
Cumul]]*365</f>
        <v>7491.8509007749453</v>
      </c>
      <c r="AA81" s="38">
        <f>Tableau1[[#This Row],[Différence HP
Instantané]]+Tableau1[[#This Row],[Différence_x000D_ HC
Instantané]]</f>
        <v>9</v>
      </c>
      <c r="AB81" s="41">
        <f>Tableau1[[#This Row],[Conso HP + HC
Instantané]]/(Tableau1[[#This Row],[Diff jour
Instantané]]*24)</f>
        <v>1.0364683301325042</v>
      </c>
      <c r="AC81" s="34">
        <f>IF(ISERROR(Tableau1[[#This Row],[Date]]-A80),"",Tableau1[[#This Row],[Conso HP + HC
Instantané]]/Tableau1[[#This Row],[Diff jour
Instantané]])</f>
        <v>24.875239923180104</v>
      </c>
      <c r="AD81" s="41">
        <f>Tableau1[[#This Row],[Conso HP + HC / jour_x000D_
Instantané]]*365</f>
        <v>9079.4625719607375</v>
      </c>
      <c r="AE81" s="38">
        <f>Tableau1[[#This Row],[Différence HP
Cumul]]+Tableau1[[#This Row],[Différence HC
Cumul]]</f>
        <v>4545</v>
      </c>
      <c r="AF81" s="40">
        <f>(Tableau1[[#This Row],[Conso HP + HC
Cumul]]-AE$6)/Tableau1[[#This Row],[Diff jour_x000D_
Cumul
depuis le 24/01]]</f>
        <v>63.376438062963288</v>
      </c>
      <c r="AG81" s="40">
        <f>(Tableau1[[#This Row],[Conso HP + HC
Cumul]]-AE$59)/Tableau1[[#This Row],[Diff jour_x000D_
Cumul
depuis
précédente facture
16/02/2021]]</f>
        <v>42.652929813291827</v>
      </c>
      <c r="AH81" s="41">
        <f>Tableau1[[#This Row],[Conso HP + HC
Cumul]]/(Tableau1[[#This Row],[Diff jour_x000D_
Cumul]]*24)</f>
        <v>2.7354251093369615</v>
      </c>
      <c r="AI81" s="41">
        <f>Tableau1[[#This Row],[Conso HP + HC
Cumul]]/Tableau1[[#This Row],[Diff jour_x000D_
Cumul]]</f>
        <v>65.650202624087086</v>
      </c>
      <c r="AJ81" s="41">
        <f>Tableau1[[#This Row],[Conso HP + HC / jour_x000D_
Cumul]]*365</f>
        <v>23962.323957791785</v>
      </c>
      <c r="AK81" s="44">
        <f>(Tableau1[[#This Row],[Différence HP
Cumul]]*0.1799)+(Tableau1[[#This Row],[Différence HC
Cumul]]*0.1346)</f>
        <v>753.27420000000006</v>
      </c>
      <c r="AL81" s="44">
        <f>Tableau1[[#This Row],[Montant
Tarif HP/HC]]/Tableau1[[#This Row],[Diff jour_x000D_
Cumul]]</f>
        <v>10.880660915620924</v>
      </c>
      <c r="AM81" s="44">
        <f>(Tableau1[[#This Row],[Montant
Tarif HP/HC]]-AK$6)/Tableau1[[#This Row],[Diff jour_x000D_
Cumul
depuis le 24/01]]</f>
        <v>10.557878890573551</v>
      </c>
      <c r="AN81" s="44">
        <f>(Tableau1[[#This Row],[Montant
Tarif HP/HC]]-AK$59)/Tableau1[[#This Row],[Diff jour_x000D_
Cumul
depuis
précédente facture
16/02/2021]]</f>
        <v>7.1062099162955876</v>
      </c>
      <c r="AO81" s="44">
        <f>Tableau1[[#This Row],[Conso HP + HC
Cumul]]*0.1599</f>
        <v>726.74549999999999</v>
      </c>
      <c r="AP81" s="44">
        <f>Tableau1[[#This Row],[Montant
Tarif normal]]/Tableau1[[#This Row],[Diff jour_x000D_
Cumul]]</f>
        <v>10.497467399591525</v>
      </c>
      <c r="AQ81" s="44">
        <f>(Tableau1[[#This Row],[Conso HP / an
Cumul]]*0.1799)+(Tableau1[[#This Row],[Conso HC / an_x000D_
Cumul]]*0.1346)</f>
        <v>3971.4412342016371</v>
      </c>
      <c r="AR81" s="44">
        <f>Tableau1[[#This Row],[Conso HP + HC / an_x000D_
Cumul]]*0.1599</f>
        <v>3831.5756008509061</v>
      </c>
      <c r="AS81" s="38">
        <f>MONTH(Tableau1[[#This Row],[Date]])</f>
        <v>2</v>
      </c>
      <c r="AT81" s="38">
        <f>YEAR(Tableau1[[#This Row],[Date]])</f>
        <v>2021</v>
      </c>
    </row>
    <row r="82" spans="1:46" x14ac:dyDescent="0.2">
      <c r="A82" s="19">
        <v>44252.257638888892</v>
      </c>
      <c r="B82" s="20">
        <v>10.199999999999999</v>
      </c>
      <c r="C82" s="39">
        <f>IF(ISERROR(Tableau1[[#This Row],[Date]]-A81),"",Tableau1[[#This Row],[Date]]-A81)</f>
        <v>0.31875000000582077</v>
      </c>
      <c r="D82" s="40">
        <f>IF(ISERROR(Tableau1[[#This Row],[Date]]-A81),"",Tableau1[[#This Row],[Date]]-A81)</f>
        <v>0.31875000000582077</v>
      </c>
      <c r="E82" s="39">
        <f>Tableau1[[#This Row],[Date]]-$A$5</f>
        <v>69.549305555556202</v>
      </c>
      <c r="F82" s="40">
        <f>Tableau1[[#This Row],[Date]]-$A$5</f>
        <v>69.549305555556202</v>
      </c>
      <c r="G82" s="40">
        <f>Tableau1[[#This Row],[Diff jour_x000D_
Cumul]]-F$6</f>
        <v>31.46597222222772</v>
      </c>
      <c r="H82" s="40">
        <f>Tableau1[[#This Row],[Diff jour_x000D_
Cumul]]-F$59</f>
        <v>8.9465277777781012</v>
      </c>
      <c r="I82" s="21">
        <v>182883</v>
      </c>
      <c r="J82" s="38">
        <f>IF(ISERROR(Tableau1[[#This Row],[Index HP
kWh]]-I81),"",Tableau1[[#This Row],[Index HP
kWh]]-I81)</f>
        <v>0</v>
      </c>
      <c r="K82" s="40">
        <f>IF(ISERROR(Tableau1[[#This Row],[Différence HP
Instantané]]/(Tableau1[[#This Row],[Diff jour
Instantané]]*24)),"",Tableau1[[#This Row],[Différence HP
Instantané]]/(Tableau1[[#This Row],[Diff jour
Instantané]]*24))</f>
        <v>0</v>
      </c>
      <c r="L82" s="40">
        <f>Tableau1[[#This Row],[Différence HP
Instantané]]/Tableau1[[#This Row],[Diff jour
Instantané]]</f>
        <v>0</v>
      </c>
      <c r="M82" s="40">
        <f>Tableau1[[#This Row],[Conso HP / jour
Instantané]]*365</f>
        <v>0</v>
      </c>
      <c r="N82" s="38">
        <f>Tableau1[[#This Row],[Index HP
kWh]]-$I$5</f>
        <v>3124</v>
      </c>
      <c r="O82" s="41">
        <f>Tableau1[[#This Row],[Différence HP
Cumul]]/(Tableau1[[#This Row],[Diff jour_x000D_
Cumul]]*24)</f>
        <v>1.8715739233756852</v>
      </c>
      <c r="P82" s="41">
        <f>Tableau1[[#This Row],[Différence HP
Cumul]]/Tableau1[[#This Row],[Diff jour_x000D_
Cumul]]</f>
        <v>44.917774161016446</v>
      </c>
      <c r="Q82" s="41">
        <f>Tableau1[[#This Row],[Conso HP / jour
Cumul]]*365</f>
        <v>16394.987568771005</v>
      </c>
      <c r="R82" s="21">
        <v>120855</v>
      </c>
      <c r="S82" s="38">
        <f>Tableau1[[#This Row],[Index HC_x000D_
kWh]]-R81</f>
        <v>2</v>
      </c>
      <c r="T82" s="42">
        <f>Tableau1[[#This Row],[Différence_x000D_ HC
Instantané]]/(Tableau1[[#This Row],[Diff jour
Instantané]]*24)</f>
        <v>0.26143790849195786</v>
      </c>
      <c r="U82" s="42">
        <f>Tableau1[[#This Row],[Différence_x000D_ HC
Instantané]]/Tableau1[[#This Row],[Diff jour
Instantané]]</f>
        <v>6.2745098038069882</v>
      </c>
      <c r="V82" s="42">
        <f>Tableau1[[#This Row],[Conso HC / jour_x000D_
Instantané]]*365</f>
        <v>2290.1960783895506</v>
      </c>
      <c r="W82" s="38">
        <f>Tableau1[[#This Row],[Index HC_x000D_
kWh]]-$R$5</f>
        <v>1423</v>
      </c>
      <c r="X82" s="43">
        <f>Tableau1[[#This Row],[Différence HC
Cumul]]/(Tableau1[[#This Row],[Diff jour_x000D_
Cumul]]*24)</f>
        <v>0.85251270581421257</v>
      </c>
      <c r="Y82" s="43">
        <f>Tableau1[[#This Row],[Différence HC
Cumul]]/Tableau1[[#This Row],[Diff jour_x000D_
Cumul]]</f>
        <v>20.460304939541103</v>
      </c>
      <c r="Z82" s="43">
        <f>Tableau1[[#This Row],[Conso HC / jour_x000D_
Cumul]]*365</f>
        <v>7468.011302932503</v>
      </c>
      <c r="AA82" s="38">
        <f>Tableau1[[#This Row],[Différence HP
Instantané]]+Tableau1[[#This Row],[Différence_x000D_ HC
Instantané]]</f>
        <v>2</v>
      </c>
      <c r="AB82" s="41">
        <f>Tableau1[[#This Row],[Conso HP + HC
Instantané]]/(Tableau1[[#This Row],[Diff jour
Instantané]]*24)</f>
        <v>0.26143790849195786</v>
      </c>
      <c r="AC82" s="34">
        <f>IF(ISERROR(Tableau1[[#This Row],[Date]]-A81),"",Tableau1[[#This Row],[Conso HP + HC
Instantané]]/Tableau1[[#This Row],[Diff jour
Instantané]])</f>
        <v>6.2745098038069882</v>
      </c>
      <c r="AD82" s="41">
        <f>Tableau1[[#This Row],[Conso HP + HC / jour_x000D_
Instantané]]*365</f>
        <v>2290.1960783895506</v>
      </c>
      <c r="AE82" s="38">
        <f>Tableau1[[#This Row],[Différence HP
Cumul]]+Tableau1[[#This Row],[Différence HC
Cumul]]</f>
        <v>4547</v>
      </c>
      <c r="AF82" s="40">
        <f>(Tableau1[[#This Row],[Conso HP + HC
Cumul]]-AE$6)/Tableau1[[#This Row],[Diff jour_x000D_
Cumul
depuis le 24/01]]</f>
        <v>62.797996071583121</v>
      </c>
      <c r="AG82" s="40">
        <f>(Tableau1[[#This Row],[Conso HP + HC
Cumul]]-AE$59)/Tableau1[[#This Row],[Diff jour_x000D_
Cumul
depuis
précédente facture
16/02/2021]]</f>
        <v>41.356826826048341</v>
      </c>
      <c r="AH82" s="41">
        <f>Tableau1[[#This Row],[Conso HP + HC
Cumul]]/(Tableau1[[#This Row],[Diff jour_x000D_
Cumul]]*24)</f>
        <v>2.7240866291898977</v>
      </c>
      <c r="AI82" s="41">
        <f>Tableau1[[#This Row],[Conso HP + HC
Cumul]]/Tableau1[[#This Row],[Diff jour_x000D_
Cumul]]</f>
        <v>65.378079100557542</v>
      </c>
      <c r="AJ82" s="41">
        <f>Tableau1[[#This Row],[Conso HP + HC / jour_x000D_
Cumul]]*365</f>
        <v>23862.998871703501</v>
      </c>
      <c r="AK82" s="44">
        <f>(Tableau1[[#This Row],[Différence HP
Cumul]]*0.1799)+(Tableau1[[#This Row],[Différence HC
Cumul]]*0.1346)</f>
        <v>753.54340000000002</v>
      </c>
      <c r="AL82" s="44">
        <f>Tableau1[[#This Row],[Montant
Tarif HP/HC]]/Tableau1[[#This Row],[Diff jour_x000D_
Cumul]]</f>
        <v>10.834664616429091</v>
      </c>
      <c r="AM82" s="44">
        <f>(Tableau1[[#This Row],[Montant
Tarif HP/HC]]-AK$6)/Tableau1[[#This Row],[Diff jour_x000D_
Cumul
depuis le 24/01]]</f>
        <v>10.459482951157934</v>
      </c>
      <c r="AN82" s="44">
        <f>(Tableau1[[#This Row],[Montant
Tarif HP/HC]]-AK$59)/Tableau1[[#This Row],[Diff jour_x000D_
Cumul
depuis
précédente facture
16/02/2021]]</f>
        <v>6.8831172863461036</v>
      </c>
      <c r="AO82" s="44">
        <f>Tableau1[[#This Row],[Conso HP + HC
Cumul]]*0.1599</f>
        <v>727.06529999999998</v>
      </c>
      <c r="AP82" s="44">
        <f>Tableau1[[#This Row],[Montant
Tarif normal]]/Tableau1[[#This Row],[Diff jour_x000D_
Cumul]]</f>
        <v>10.453954848179151</v>
      </c>
      <c r="AQ82" s="44">
        <f>(Tableau1[[#This Row],[Conso HP / an
Cumul]]*0.1799)+(Tableau1[[#This Row],[Conso HC / an_x000D_
Cumul]]*0.1346)</f>
        <v>3954.6525849966188</v>
      </c>
      <c r="AR82" s="44">
        <f>Tableau1[[#This Row],[Conso HP + HC / an_x000D_
Cumul]]*0.1599</f>
        <v>3815.6935195853894</v>
      </c>
      <c r="AS82" s="38">
        <f>MONTH(Tableau1[[#This Row],[Date]])</f>
        <v>2</v>
      </c>
      <c r="AT82" s="38">
        <f>YEAR(Tableau1[[#This Row],[Date]])</f>
        <v>2021</v>
      </c>
    </row>
    <row r="83" spans="1:46" x14ac:dyDescent="0.2">
      <c r="A83" s="19">
        <v>44252.679861111108</v>
      </c>
      <c r="B83" s="20">
        <v>13.4</v>
      </c>
      <c r="C83" s="39">
        <f>IF(ISERROR(Tableau1[[#This Row],[Date]]-A82),"",Tableau1[[#This Row],[Date]]-A82)</f>
        <v>0.42222222221607808</v>
      </c>
      <c r="D83" s="40">
        <f>IF(ISERROR(Tableau1[[#This Row],[Date]]-A82),"",Tableau1[[#This Row],[Date]]-A82)</f>
        <v>0.42222222221607808</v>
      </c>
      <c r="E83" s="39">
        <f>Tableau1[[#This Row],[Date]]-$A$5</f>
        <v>69.97152777777228</v>
      </c>
      <c r="F83" s="40">
        <f>Tableau1[[#This Row],[Date]]-$A$5</f>
        <v>69.97152777777228</v>
      </c>
      <c r="G83" s="40">
        <f>Tableau1[[#This Row],[Diff jour_x000D_
Cumul]]-F$6</f>
        <v>31.888194444443798</v>
      </c>
      <c r="H83" s="40">
        <f>Tableau1[[#This Row],[Diff jour_x000D_
Cumul]]-F$59</f>
        <v>9.3687499999941792</v>
      </c>
      <c r="I83" s="21">
        <v>182899</v>
      </c>
      <c r="J83" s="38">
        <f>IF(ISERROR(Tableau1[[#This Row],[Index HP
kWh]]-I82),"",Tableau1[[#This Row],[Index HP
kWh]]-I82)</f>
        <v>16</v>
      </c>
      <c r="K83" s="40">
        <f>IF(ISERROR(Tableau1[[#This Row],[Différence HP
Instantané]]/(Tableau1[[#This Row],[Diff jour
Instantané]]*24)),"",Tableau1[[#This Row],[Différence HP
Instantané]]/(Tableau1[[#This Row],[Diff jour
Instantané]]*24))</f>
        <v>1.5789473684440294</v>
      </c>
      <c r="L83" s="40">
        <f>Tableau1[[#This Row],[Différence HP
Instantané]]/Tableau1[[#This Row],[Diff jour
Instantané]]</f>
        <v>37.894736842656705</v>
      </c>
      <c r="M83" s="40">
        <f>Tableau1[[#This Row],[Conso HP / jour
Instantané]]*365</f>
        <v>13831.578947569697</v>
      </c>
      <c r="N83" s="38">
        <f>Tableau1[[#This Row],[Index HP
kWh]]-$I$5</f>
        <v>3140</v>
      </c>
      <c r="O83" s="41">
        <f>Tableau1[[#This Row],[Différence HP
Cumul]]/(Tableau1[[#This Row],[Diff jour_x000D_
Cumul]]*24)</f>
        <v>1.8698081560953841</v>
      </c>
      <c r="P83" s="41">
        <f>Tableau1[[#This Row],[Différence HP
Cumul]]/Tableau1[[#This Row],[Diff jour_x000D_
Cumul]]</f>
        <v>44.875395746289215</v>
      </c>
      <c r="Q83" s="41">
        <f>Tableau1[[#This Row],[Conso HP / jour
Cumul]]*365</f>
        <v>16379.519447395563</v>
      </c>
      <c r="R83" s="21">
        <v>120856</v>
      </c>
      <c r="S83" s="38">
        <f>Tableau1[[#This Row],[Index HC_x000D_
kWh]]-R82</f>
        <v>1</v>
      </c>
      <c r="T83" s="42">
        <f>Tableau1[[#This Row],[Différence_x000D_ HC
Instantané]]/(Tableau1[[#This Row],[Diff jour
Instantané]]*24)</f>
        <v>9.8684210527751837E-2</v>
      </c>
      <c r="U83" s="42">
        <f>Tableau1[[#This Row],[Différence_x000D_ HC
Instantané]]/Tableau1[[#This Row],[Diff jour
Instantané]]</f>
        <v>2.3684210526660441</v>
      </c>
      <c r="V83" s="42">
        <f>Tableau1[[#This Row],[Conso HC / jour_x000D_
Instantané]]*365</f>
        <v>864.47368422310603</v>
      </c>
      <c r="W83" s="38">
        <f>Tableau1[[#This Row],[Index HC_x000D_
kWh]]-$R$5</f>
        <v>1424</v>
      </c>
      <c r="X83" s="43">
        <f>Tableau1[[#This Row],[Différence HC
Cumul]]/(Tableau1[[#This Row],[Diff jour_x000D_
Cumul]]*24)</f>
        <v>0.84796395359230159</v>
      </c>
      <c r="Y83" s="43">
        <f>Tableau1[[#This Row],[Différence HC
Cumul]]/Tableau1[[#This Row],[Diff jour_x000D_
Cumul]]</f>
        <v>20.351134886215238</v>
      </c>
      <c r="Z83" s="43">
        <f>Tableau1[[#This Row],[Conso HC / jour_x000D_
Cumul]]*365</f>
        <v>7428.1642334685621</v>
      </c>
      <c r="AA83" s="38">
        <f>Tableau1[[#This Row],[Différence HP
Instantané]]+Tableau1[[#This Row],[Différence_x000D_ HC
Instantané]]</f>
        <v>17</v>
      </c>
      <c r="AB83" s="41">
        <f>Tableau1[[#This Row],[Conso HP + HC
Instantané]]/(Tableau1[[#This Row],[Diff jour
Instantané]]*24)</f>
        <v>1.6776315789717813</v>
      </c>
      <c r="AC83" s="34">
        <f>IF(ISERROR(Tableau1[[#This Row],[Date]]-A82),"",Tableau1[[#This Row],[Conso HP + HC
Instantané]]/Tableau1[[#This Row],[Diff jour
Instantané]])</f>
        <v>40.263157895322749</v>
      </c>
      <c r="AD83" s="41">
        <f>Tableau1[[#This Row],[Conso HP + HC / jour_x000D_
Instantané]]*365</f>
        <v>14696.052631792803</v>
      </c>
      <c r="AE83" s="38">
        <f>Tableau1[[#This Row],[Différence HP
Cumul]]+Tableau1[[#This Row],[Différence HC
Cumul]]</f>
        <v>4564</v>
      </c>
      <c r="AF83" s="40">
        <f>(Tableau1[[#This Row],[Conso HP + HC
Cumul]]-AE$6)/Tableau1[[#This Row],[Diff jour_x000D_
Cumul
depuis le 24/01]]</f>
        <v>62.499618894140951</v>
      </c>
      <c r="AG83" s="40">
        <f>(Tableau1[[#This Row],[Conso HP + HC
Cumul]]-AE$59)/Tableau1[[#This Row],[Diff jour_x000D_
Cumul
depuis
précédente facture
16/02/2021]]</f>
        <v>41.307538358931602</v>
      </c>
      <c r="AH83" s="41">
        <f>Tableau1[[#This Row],[Conso HP + HC
Cumul]]/(Tableau1[[#This Row],[Diff jour_x000D_
Cumul]]*24)</f>
        <v>2.7177721096876857</v>
      </c>
      <c r="AI83" s="41">
        <f>Tableau1[[#This Row],[Conso HP + HC
Cumul]]/Tableau1[[#This Row],[Diff jour_x000D_
Cumul]]</f>
        <v>65.226530632504449</v>
      </c>
      <c r="AJ83" s="41">
        <f>Tableau1[[#This Row],[Conso HP + HC / jour_x000D_
Cumul]]*365</f>
        <v>23807.683680864124</v>
      </c>
      <c r="AK83" s="44">
        <f>(Tableau1[[#This Row],[Différence HP
Cumul]]*0.1799)+(Tableau1[[#This Row],[Différence HC
Cumul]]*0.1346)</f>
        <v>756.55639999999994</v>
      </c>
      <c r="AL83" s="44">
        <f>Tableau1[[#This Row],[Montant
Tarif HP/HC]]/Tableau1[[#This Row],[Diff jour_x000D_
Cumul]]</f>
        <v>10.812346450442</v>
      </c>
      <c r="AM83" s="44">
        <f>(Tableau1[[#This Row],[Montant
Tarif HP/HC]]-AK$6)/Tableau1[[#This Row],[Diff jour_x000D_
Cumul
depuis le 24/01]]</f>
        <v>10.415478385853559</v>
      </c>
      <c r="AN83" s="44">
        <f>(Tableau1[[#This Row],[Montant
Tarif HP/HC]]-AK$59)/Tableau1[[#This Row],[Diff jour_x000D_
Cumul
depuis
précédente facture
16/02/2021]]</f>
        <v>6.8945163442337654</v>
      </c>
      <c r="AO83" s="44">
        <f>Tableau1[[#This Row],[Conso HP + HC
Cumul]]*0.1599</f>
        <v>729.78359999999998</v>
      </c>
      <c r="AP83" s="44">
        <f>Tableau1[[#This Row],[Montant
Tarif normal]]/Tableau1[[#This Row],[Diff jour_x000D_
Cumul]]</f>
        <v>10.429722248137463</v>
      </c>
      <c r="AQ83" s="44">
        <f>(Tableau1[[#This Row],[Conso HP / an
Cumul]]*0.1799)+(Tableau1[[#This Row],[Conso HC / an_x000D_
Cumul]]*0.1346)</f>
        <v>3946.5064544113302</v>
      </c>
      <c r="AR83" s="44">
        <f>Tableau1[[#This Row],[Conso HP + HC / an_x000D_
Cumul]]*0.1599</f>
        <v>3806.8486205701729</v>
      </c>
      <c r="AS83" s="38">
        <f>MONTH(Tableau1[[#This Row],[Date]])</f>
        <v>2</v>
      </c>
      <c r="AT83" s="38">
        <f>YEAR(Tableau1[[#This Row],[Date]])</f>
        <v>2021</v>
      </c>
    </row>
    <row r="84" spans="1:46" x14ac:dyDescent="0.2">
      <c r="A84" s="19">
        <v>44252.955555555556</v>
      </c>
      <c r="B84" s="20">
        <v>9.8000000000000007</v>
      </c>
      <c r="C84" s="39">
        <f>IF(ISERROR(Tableau1[[#This Row],[Date]]-A83),"",Tableau1[[#This Row],[Date]]-A83)</f>
        <v>0.27569444444816327</v>
      </c>
      <c r="D84" s="40">
        <f>IF(ISERROR(Tableau1[[#This Row],[Date]]-A83),"",Tableau1[[#This Row],[Date]]-A83)</f>
        <v>0.27569444444816327</v>
      </c>
      <c r="E84" s="39">
        <f>Tableau1[[#This Row],[Date]]-$A$5</f>
        <v>70.247222222220444</v>
      </c>
      <c r="F84" s="40">
        <f>Tableau1[[#This Row],[Date]]-$A$5</f>
        <v>70.247222222220444</v>
      </c>
      <c r="G84" s="40">
        <f>Tableau1[[#This Row],[Diff jour_x000D_
Cumul]]-F$6</f>
        <v>32.163888888891961</v>
      </c>
      <c r="H84" s="40">
        <f>Tableau1[[#This Row],[Diff jour_x000D_
Cumul]]-F$59</f>
        <v>9.6444444444423425</v>
      </c>
      <c r="I84" s="21">
        <v>182911</v>
      </c>
      <c r="J84" s="38">
        <f>IF(ISERROR(Tableau1[[#This Row],[Index HP
kWh]]-I83),"",Tableau1[[#This Row],[Index HP
kWh]]-I83)</f>
        <v>12</v>
      </c>
      <c r="K84" s="40">
        <f>IF(ISERROR(Tableau1[[#This Row],[Différence HP
Instantané]]/(Tableau1[[#This Row],[Diff jour
Instantané]]*24)),"",Tableau1[[#This Row],[Différence HP
Instantané]]/(Tableau1[[#This Row],[Diff jour
Instantané]]*24))</f>
        <v>1.8136020150888865</v>
      </c>
      <c r="L84" s="40">
        <f>Tableau1[[#This Row],[Différence HP
Instantané]]/Tableau1[[#This Row],[Diff jour
Instantané]]</f>
        <v>43.52644836213328</v>
      </c>
      <c r="M84" s="40">
        <f>Tableau1[[#This Row],[Conso HP / jour
Instantané]]*365</f>
        <v>15887.153652178647</v>
      </c>
      <c r="N84" s="38">
        <f>Tableau1[[#This Row],[Index HP
kWh]]-$I$5</f>
        <v>3152</v>
      </c>
      <c r="O84" s="41">
        <f>Tableau1[[#This Row],[Différence HP
Cumul]]/(Tableau1[[#This Row],[Diff jour_x000D_
Cumul]]*24)</f>
        <v>1.8695875677172367</v>
      </c>
      <c r="P84" s="41">
        <f>Tableau1[[#This Row],[Différence HP
Cumul]]/Tableau1[[#This Row],[Diff jour_x000D_
Cumul]]</f>
        <v>44.870101625213678</v>
      </c>
      <c r="Q84" s="41">
        <f>Tableau1[[#This Row],[Conso HP / jour
Cumul]]*365</f>
        <v>16377.587093202992</v>
      </c>
      <c r="R84" s="21">
        <v>120857</v>
      </c>
      <c r="S84" s="38">
        <f>Tableau1[[#This Row],[Index HC_x000D_
kWh]]-R83</f>
        <v>1</v>
      </c>
      <c r="T84" s="42">
        <f>Tableau1[[#This Row],[Différence_x000D_ HC
Instantané]]/(Tableau1[[#This Row],[Diff jour
Instantané]]*24)</f>
        <v>0.15113350125740721</v>
      </c>
      <c r="U84" s="42">
        <f>Tableau1[[#This Row],[Différence_x000D_ HC
Instantané]]/Tableau1[[#This Row],[Diff jour
Instantané]]</f>
        <v>3.627204030177773</v>
      </c>
      <c r="V84" s="42">
        <f>Tableau1[[#This Row],[Conso HC / jour_x000D_
Instantané]]*365</f>
        <v>1323.9294710148872</v>
      </c>
      <c r="W84" s="38">
        <f>Tableau1[[#This Row],[Index HC_x000D_
kWh]]-$R$5</f>
        <v>1425</v>
      </c>
      <c r="X84" s="43">
        <f>Tableau1[[#This Row],[Différence HC
Cumul]]/(Tableau1[[#This Row],[Diff jour_x000D_
Cumul]]*24)</f>
        <v>0.84522915101429641</v>
      </c>
      <c r="Y84" s="43">
        <f>Tableau1[[#This Row],[Différence HC
Cumul]]/Tableau1[[#This Row],[Diff jour_x000D_
Cumul]]</f>
        <v>20.285499624343114</v>
      </c>
      <c r="Z84" s="43">
        <f>Tableau1[[#This Row],[Conso HC / jour_x000D_
Cumul]]*365</f>
        <v>7404.2073628852368</v>
      </c>
      <c r="AA84" s="38">
        <f>Tableau1[[#This Row],[Différence HP
Instantané]]+Tableau1[[#This Row],[Différence_x000D_ HC
Instantané]]</f>
        <v>13</v>
      </c>
      <c r="AB84" s="41">
        <f>Tableau1[[#This Row],[Conso HP + HC
Instantané]]/(Tableau1[[#This Row],[Diff jour
Instantané]]*24)</f>
        <v>1.9647355163462938</v>
      </c>
      <c r="AC84" s="34">
        <f>IF(ISERROR(Tableau1[[#This Row],[Date]]-A83),"",Tableau1[[#This Row],[Conso HP + HC
Instantané]]/Tableau1[[#This Row],[Diff jour
Instantané]])</f>
        <v>47.153652392311052</v>
      </c>
      <c r="AD84" s="41">
        <f>Tableau1[[#This Row],[Conso HP + HC / jour_x000D_
Instantané]]*365</f>
        <v>17211.083123193534</v>
      </c>
      <c r="AE84" s="38">
        <f>Tableau1[[#This Row],[Différence HP
Cumul]]+Tableau1[[#This Row],[Différence HC
Cumul]]</f>
        <v>4577</v>
      </c>
      <c r="AF84" s="40">
        <f>(Tableau1[[#This Row],[Conso HP + HC
Cumul]]-AE$6)/Tableau1[[#This Row],[Diff jour_x000D_
Cumul
depuis le 24/01]]</f>
        <v>62.368080145084292</v>
      </c>
      <c r="AG84" s="40">
        <f>(Tableau1[[#This Row],[Conso HP + HC
Cumul]]-AE$59)/Tableau1[[#This Row],[Diff jour_x000D_
Cumul
depuis
précédente facture
16/02/2021]]</f>
        <v>41.474654377889223</v>
      </c>
      <c r="AH84" s="41">
        <f>Tableau1[[#This Row],[Conso HP + HC
Cumul]]/(Tableau1[[#This Row],[Diff jour_x000D_
Cumul]]*24)</f>
        <v>2.7148167187315329</v>
      </c>
      <c r="AI84" s="41">
        <f>Tableau1[[#This Row],[Conso HP + HC
Cumul]]/Tableau1[[#This Row],[Diff jour_x000D_
Cumul]]</f>
        <v>65.155601249556796</v>
      </c>
      <c r="AJ84" s="41">
        <f>Tableau1[[#This Row],[Conso HP + HC / jour_x000D_
Cumul]]*365</f>
        <v>23781.794456088232</v>
      </c>
      <c r="AK84" s="44">
        <f>(Tableau1[[#This Row],[Différence HP
Cumul]]*0.1799)+(Tableau1[[#This Row],[Différence HC
Cumul]]*0.1346)</f>
        <v>758.84979999999996</v>
      </c>
      <c r="AL84" s="44">
        <f>Tableau1[[#This Row],[Montant
Tarif HP/HC]]/Tableau1[[#This Row],[Diff jour_x000D_
Cumul]]</f>
        <v>10.802559531812523</v>
      </c>
      <c r="AM84" s="44">
        <f>(Tableau1[[#This Row],[Montant
Tarif HP/HC]]-AK$6)/Tableau1[[#This Row],[Diff jour_x000D_
Cumul
depuis le 24/01]]</f>
        <v>10.397505138612011</v>
      </c>
      <c r="AN84" s="44">
        <f>(Tableau1[[#This Row],[Montant
Tarif HP/HC]]-AK$59)/Tableau1[[#This Row],[Diff jour_x000D_
Cumul
depuis
précédente facture
16/02/2021]]</f>
        <v>6.935225806453122</v>
      </c>
      <c r="AO84" s="44">
        <f>Tableau1[[#This Row],[Conso HP + HC
Cumul]]*0.1599</f>
        <v>731.86229999999989</v>
      </c>
      <c r="AP84" s="44">
        <f>Tableau1[[#This Row],[Montant
Tarif normal]]/Tableau1[[#This Row],[Diff jour_x000D_
Cumul]]</f>
        <v>10.418380639804129</v>
      </c>
      <c r="AQ84" s="44">
        <f>(Tableau1[[#This Row],[Conso HP / an
Cumul]]*0.1799)+(Tableau1[[#This Row],[Conso HC / an_x000D_
Cumul]]*0.1346)</f>
        <v>3942.9342291115713</v>
      </c>
      <c r="AR84" s="44">
        <f>Tableau1[[#This Row],[Conso HP + HC / an_x000D_
Cumul]]*0.1599</f>
        <v>3802.7089335285077</v>
      </c>
      <c r="AS84" s="38">
        <f>MONTH(Tableau1[[#This Row],[Date]])</f>
        <v>2</v>
      </c>
      <c r="AT84" s="38">
        <f>YEAR(Tableau1[[#This Row],[Date]])</f>
        <v>2021</v>
      </c>
    </row>
    <row r="85" spans="1:46" x14ac:dyDescent="0.2">
      <c r="A85" s="19">
        <v>44253.279861111114</v>
      </c>
      <c r="B85" s="20">
        <v>6.3</v>
      </c>
      <c r="C85" s="39">
        <f>IF(ISERROR(Tableau1[[#This Row],[Date]]-A84),"",Tableau1[[#This Row],[Date]]-A84)</f>
        <v>0.3243055555576575</v>
      </c>
      <c r="D85" s="40">
        <f>IF(ISERROR(Tableau1[[#This Row],[Date]]-A84),"",Tableau1[[#This Row],[Date]]-A84)</f>
        <v>0.3243055555576575</v>
      </c>
      <c r="E85" s="39">
        <f>Tableau1[[#This Row],[Date]]-$A$5</f>
        <v>70.571527777778101</v>
      </c>
      <c r="F85" s="40">
        <f>Tableau1[[#This Row],[Date]]-$A$5</f>
        <v>70.571527777778101</v>
      </c>
      <c r="G85" s="40">
        <f>Tableau1[[#This Row],[Diff jour_x000D_
Cumul]]-F$6</f>
        <v>32.488194444449618</v>
      </c>
      <c r="H85" s="40">
        <f>Tableau1[[#This Row],[Diff jour_x000D_
Cumul]]-F$59</f>
        <v>9.96875</v>
      </c>
      <c r="I85" s="21">
        <v>182912</v>
      </c>
      <c r="J85" s="38">
        <f>IF(ISERROR(Tableau1[[#This Row],[Index HP
kWh]]-I84),"",Tableau1[[#This Row],[Index HP
kWh]]-I84)</f>
        <v>1</v>
      </c>
      <c r="K85" s="40">
        <f>IF(ISERROR(Tableau1[[#This Row],[Différence HP
Instantané]]/(Tableau1[[#This Row],[Diff jour
Instantané]]*24)),"",Tableau1[[#This Row],[Différence HP
Instantané]]/(Tableau1[[#This Row],[Diff jour
Instantané]]*24))</f>
        <v>0.12847965738674758</v>
      </c>
      <c r="L85" s="40">
        <f>Tableau1[[#This Row],[Différence HP
Instantané]]/Tableau1[[#This Row],[Diff jour
Instantané]]</f>
        <v>3.083511777281942</v>
      </c>
      <c r="M85" s="40">
        <f>Tableau1[[#This Row],[Conso HP / jour
Instantané]]*365</f>
        <v>1125.4817987079089</v>
      </c>
      <c r="N85" s="38">
        <f>Tableau1[[#This Row],[Index HP
kWh]]-$I$5</f>
        <v>3153</v>
      </c>
      <c r="O85" s="41">
        <f>Tableau1[[#This Row],[Différence HP
Cumul]]/(Tableau1[[#This Row],[Diff jour_x000D_
Cumul]]*24)</f>
        <v>1.8615864518858833</v>
      </c>
      <c r="P85" s="41">
        <f>Tableau1[[#This Row],[Différence HP
Cumul]]/Tableau1[[#This Row],[Diff jour_x000D_
Cumul]]</f>
        <v>44.6780748452612</v>
      </c>
      <c r="Q85" s="41">
        <f>Tableau1[[#This Row],[Conso HP / jour
Cumul]]*365</f>
        <v>16307.497318520338</v>
      </c>
      <c r="R85" s="21">
        <v>120868</v>
      </c>
      <c r="S85" s="38">
        <f>Tableau1[[#This Row],[Index HC_x000D_
kWh]]-R84</f>
        <v>11</v>
      </c>
      <c r="T85" s="42">
        <f>Tableau1[[#This Row],[Différence_x000D_ HC
Instantané]]/(Tableau1[[#This Row],[Diff jour
Instantané]]*24)</f>
        <v>1.4132762312542233</v>
      </c>
      <c r="U85" s="42">
        <f>Tableau1[[#This Row],[Différence_x000D_ HC
Instantané]]/Tableau1[[#This Row],[Diff jour
Instantané]]</f>
        <v>33.918629550101357</v>
      </c>
      <c r="V85" s="42">
        <f>Tableau1[[#This Row],[Conso HC / jour_x000D_
Instantané]]*365</f>
        <v>12380.299785786996</v>
      </c>
      <c r="W85" s="38">
        <f>Tableau1[[#This Row],[Index HC_x000D_
kWh]]-$R$5</f>
        <v>1436</v>
      </c>
      <c r="X85" s="43">
        <f>Tableau1[[#This Row],[Différence HC
Cumul]]/(Tableau1[[#This Row],[Diff jour_x000D_
Cumul]]*24)</f>
        <v>0.84783956387825199</v>
      </c>
      <c r="Y85" s="43">
        <f>Tableau1[[#This Row],[Différence HC
Cumul]]/Tableau1[[#This Row],[Diff jour_x000D_
Cumul]]</f>
        <v>20.348149533078047</v>
      </c>
      <c r="Z85" s="43">
        <f>Tableau1[[#This Row],[Conso HC / jour_x000D_
Cumul]]*365</f>
        <v>7427.0745795734874</v>
      </c>
      <c r="AA85" s="38">
        <f>Tableau1[[#This Row],[Différence HP
Instantané]]+Tableau1[[#This Row],[Différence_x000D_ HC
Instantané]]</f>
        <v>12</v>
      </c>
      <c r="AB85" s="41">
        <f>Tableau1[[#This Row],[Conso HP + HC
Instantané]]/(Tableau1[[#This Row],[Diff jour
Instantané]]*24)</f>
        <v>1.541755888640971</v>
      </c>
      <c r="AC85" s="34">
        <f>IF(ISERROR(Tableau1[[#This Row],[Date]]-A84),"",Tableau1[[#This Row],[Conso HP + HC
Instantané]]/Tableau1[[#This Row],[Diff jour
Instantané]])</f>
        <v>37.002141327383299</v>
      </c>
      <c r="AD85" s="41">
        <f>Tableau1[[#This Row],[Conso HP + HC / jour_x000D_
Instantané]]*365</f>
        <v>13505.781584494904</v>
      </c>
      <c r="AE85" s="38">
        <f>Tableau1[[#This Row],[Différence HP
Cumul]]+Tableau1[[#This Row],[Différence HC
Cumul]]</f>
        <v>4589</v>
      </c>
      <c r="AF85" s="40">
        <f>(Tableau1[[#This Row],[Conso HP + HC
Cumul]]-AE$6)/Tableau1[[#This Row],[Diff jour_x000D_
Cumul
depuis le 24/01]]</f>
        <v>62.114870786386874</v>
      </c>
      <c r="AG85" s="40">
        <f>(Tableau1[[#This Row],[Conso HP + HC
Cumul]]-AE$59)/Tableau1[[#This Row],[Diff jour_x000D_
Cumul
depuis
précédente facture
16/02/2021]]</f>
        <v>41.329153605015676</v>
      </c>
      <c r="AH85" s="41">
        <f>Tableau1[[#This Row],[Conso HP + HC
Cumul]]/(Tableau1[[#This Row],[Diff jour_x000D_
Cumul]]*24)</f>
        <v>2.7094260157641354</v>
      </c>
      <c r="AI85" s="41">
        <f>Tableau1[[#This Row],[Conso HP + HC
Cumul]]/Tableau1[[#This Row],[Diff jour_x000D_
Cumul]]</f>
        <v>65.026224378339251</v>
      </c>
      <c r="AJ85" s="41">
        <f>Tableau1[[#This Row],[Conso HP + HC / jour_x000D_
Cumul]]*365</f>
        <v>23734.571898093825</v>
      </c>
      <c r="AK85" s="44">
        <f>(Tableau1[[#This Row],[Différence HP
Cumul]]*0.1799)+(Tableau1[[#This Row],[Différence HC
Cumul]]*0.1346)</f>
        <v>760.51029999999992</v>
      </c>
      <c r="AL85" s="44">
        <f>Tableau1[[#This Row],[Montant
Tarif HP/HC]]/Tableau1[[#This Row],[Diff jour_x000D_
Cumul]]</f>
        <v>10.776446591814794</v>
      </c>
      <c r="AM85" s="44">
        <f>(Tableau1[[#This Row],[Montant
Tarif HP/HC]]-AK$6)/Tableau1[[#This Row],[Diff jour_x000D_
Cumul
depuis le 24/01]]</f>
        <v>10.344825428038449</v>
      </c>
      <c r="AN85" s="44">
        <f>(Tableau1[[#This Row],[Montant
Tarif HP/HC]]-AK$59)/Tableau1[[#This Row],[Diff jour_x000D_
Cumul
depuis
précédente facture
16/02/2021]]</f>
        <v>6.8761780564263262</v>
      </c>
      <c r="AO85" s="44">
        <f>Tableau1[[#This Row],[Conso HP + HC
Cumul]]*0.1599</f>
        <v>733.78109999999992</v>
      </c>
      <c r="AP85" s="44">
        <f>Tableau1[[#This Row],[Montant
Tarif normal]]/Tableau1[[#This Row],[Diff jour_x000D_
Cumul]]</f>
        <v>10.397693278096446</v>
      </c>
      <c r="AQ85" s="44">
        <f>(Tableau1[[#This Row],[Conso HP / an
Cumul]]*0.1799)+(Tableau1[[#This Row],[Conso HC / an_x000D_
Cumul]]*0.1346)</f>
        <v>3933.4030060124005</v>
      </c>
      <c r="AR85" s="44">
        <f>Tableau1[[#This Row],[Conso HP + HC / an_x000D_
Cumul]]*0.1599</f>
        <v>3795.1580465052025</v>
      </c>
      <c r="AS85" s="38">
        <f>MONTH(Tableau1[[#This Row],[Date]])</f>
        <v>2</v>
      </c>
      <c r="AT85" s="38">
        <f>YEAR(Tableau1[[#This Row],[Date]])</f>
        <v>2021</v>
      </c>
    </row>
    <row r="86" spans="1:46" x14ac:dyDescent="0.2">
      <c r="A86" s="19">
        <v>44253.582638888889</v>
      </c>
      <c r="B86" s="20">
        <v>13.1</v>
      </c>
      <c r="C86" s="39">
        <f>IF(ISERROR(Tableau1[[#This Row],[Date]]-A85),"",Tableau1[[#This Row],[Date]]-A85)</f>
        <v>0.30277777777519077</v>
      </c>
      <c r="D86" s="40">
        <f>IF(ISERROR(Tableau1[[#This Row],[Date]]-A85),"",Tableau1[[#This Row],[Date]]-A85)</f>
        <v>0.30277777777519077</v>
      </c>
      <c r="E86" s="39">
        <f>Tableau1[[#This Row],[Date]]-$A$5</f>
        <v>70.874305555553292</v>
      </c>
      <c r="F86" s="40">
        <f>Tableau1[[#This Row],[Date]]-$A$5</f>
        <v>70.874305555553292</v>
      </c>
      <c r="G86" s="40">
        <f>Tableau1[[#This Row],[Diff jour_x000D_
Cumul]]-F$6</f>
        <v>32.790972222224809</v>
      </c>
      <c r="H86" s="40">
        <f>Tableau1[[#This Row],[Diff jour_x000D_
Cumul]]-F$59</f>
        <v>10.271527777775191</v>
      </c>
      <c r="I86" s="21">
        <v>182926</v>
      </c>
      <c r="J86" s="38">
        <f>IF(ISERROR(Tableau1[[#This Row],[Index HP
kWh]]-I85),"",Tableau1[[#This Row],[Index HP
kWh]]-I85)</f>
        <v>14</v>
      </c>
      <c r="K86" s="40">
        <f>IF(ISERROR(Tableau1[[#This Row],[Différence HP
Instantané]]/(Tableau1[[#This Row],[Diff jour
Instantané]]*24)),"",Tableau1[[#This Row],[Différence HP
Instantané]]/(Tableau1[[#This Row],[Diff jour
Instantané]]*24))</f>
        <v>1.9266055046036175</v>
      </c>
      <c r="L86" s="40">
        <f>Tableau1[[#This Row],[Différence HP
Instantané]]/Tableau1[[#This Row],[Diff jour
Instantané]]</f>
        <v>46.238532110486815</v>
      </c>
      <c r="M86" s="40">
        <f>Tableau1[[#This Row],[Conso HP / jour
Instantané]]*365</f>
        <v>16877.064220327688</v>
      </c>
      <c r="N86" s="38">
        <f>Tableau1[[#This Row],[Index HP
kWh]]-$I$5</f>
        <v>3167</v>
      </c>
      <c r="O86" s="41">
        <f>Tableau1[[#This Row],[Différence HP
Cumul]]/(Tableau1[[#This Row],[Diff jour_x000D_
Cumul]]*24)</f>
        <v>1.8618642157968044</v>
      </c>
      <c r="P86" s="41">
        <f>Tableau1[[#This Row],[Différence HP
Cumul]]/Tableau1[[#This Row],[Diff jour_x000D_
Cumul]]</f>
        <v>44.684741179123307</v>
      </c>
      <c r="Q86" s="41">
        <f>Tableau1[[#This Row],[Conso HP / jour
Cumul]]*365</f>
        <v>16309.930530380007</v>
      </c>
      <c r="R86" s="21">
        <v>120868</v>
      </c>
      <c r="S86" s="38">
        <f>Tableau1[[#This Row],[Index HC_x000D_
kWh]]-R85</f>
        <v>0</v>
      </c>
      <c r="T86" s="42">
        <f>Tableau1[[#This Row],[Différence_x000D_ HC
Instantané]]/(Tableau1[[#This Row],[Diff jour
Instantané]]*24)</f>
        <v>0</v>
      </c>
      <c r="U86" s="42">
        <f>Tableau1[[#This Row],[Différence_x000D_ HC
Instantané]]/Tableau1[[#This Row],[Diff jour
Instantané]]</f>
        <v>0</v>
      </c>
      <c r="V86" s="42">
        <f>Tableau1[[#This Row],[Conso HC / jour_x000D_
Instantané]]*365</f>
        <v>0</v>
      </c>
      <c r="W86" s="38">
        <f>Tableau1[[#This Row],[Index HC_x000D_
kWh]]-$R$5</f>
        <v>1436</v>
      </c>
      <c r="X86" s="43">
        <f>Tableau1[[#This Row],[Différence HC
Cumul]]/(Tableau1[[#This Row],[Diff jour_x000D_
Cumul]]*24)</f>
        <v>0.84421756043075824</v>
      </c>
      <c r="Y86" s="43">
        <f>Tableau1[[#This Row],[Différence HC
Cumul]]/Tableau1[[#This Row],[Diff jour_x000D_
Cumul]]</f>
        <v>20.261221450338198</v>
      </c>
      <c r="Z86" s="43">
        <f>Tableau1[[#This Row],[Conso HC / jour_x000D_
Cumul]]*365</f>
        <v>7395.345829373442</v>
      </c>
      <c r="AA86" s="38">
        <f>Tableau1[[#This Row],[Différence HP
Instantané]]+Tableau1[[#This Row],[Différence_x000D_ HC
Instantané]]</f>
        <v>14</v>
      </c>
      <c r="AB86" s="41">
        <f>Tableau1[[#This Row],[Conso HP + HC
Instantané]]/(Tableau1[[#This Row],[Diff jour
Instantané]]*24)</f>
        <v>1.9266055046036175</v>
      </c>
      <c r="AC86" s="34">
        <f>IF(ISERROR(Tableau1[[#This Row],[Date]]-A85),"",Tableau1[[#This Row],[Conso HP + HC
Instantané]]/Tableau1[[#This Row],[Diff jour
Instantané]])</f>
        <v>46.238532110486815</v>
      </c>
      <c r="AD86" s="41">
        <f>Tableau1[[#This Row],[Conso HP + HC / jour_x000D_
Instantané]]*365</f>
        <v>16877.064220327688</v>
      </c>
      <c r="AE86" s="38">
        <f>Tableau1[[#This Row],[Différence HP
Cumul]]+Tableau1[[#This Row],[Différence HC
Cumul]]</f>
        <v>4603</v>
      </c>
      <c r="AF86" s="40">
        <f>(Tableau1[[#This Row],[Conso HP + HC
Cumul]]-AE$6)/Tableau1[[#This Row],[Diff jour_x000D_
Cumul
depuis le 24/01]]</f>
        <v>61.968275482322142</v>
      </c>
      <c r="AG86" s="40">
        <f>(Tableau1[[#This Row],[Conso HP + HC
Cumul]]-AE$59)/Tableau1[[#This Row],[Diff jour_x000D_
Cumul
depuis
précédente facture
16/02/2021]]</f>
        <v>41.473869244821479</v>
      </c>
      <c r="AH86" s="41">
        <f>Tableau1[[#This Row],[Conso HP + HC
Cumul]]/(Tableau1[[#This Row],[Diff jour_x000D_
Cumul]]*24)</f>
        <v>2.7060817762275629</v>
      </c>
      <c r="AI86" s="41">
        <f>Tableau1[[#This Row],[Conso HP + HC
Cumul]]/Tableau1[[#This Row],[Diff jour_x000D_
Cumul]]</f>
        <v>64.945962629461505</v>
      </c>
      <c r="AJ86" s="41">
        <f>Tableau1[[#This Row],[Conso HP + HC / jour_x000D_
Cumul]]*365</f>
        <v>23705.27635975345</v>
      </c>
      <c r="AK86" s="44">
        <f>(Tableau1[[#This Row],[Différence HP
Cumul]]*0.1799)+(Tableau1[[#This Row],[Différence HC
Cumul]]*0.1346)</f>
        <v>763.02890000000002</v>
      </c>
      <c r="AL86" s="44">
        <f>Tableau1[[#This Row],[Montant
Tarif HP/HC]]/Tableau1[[#This Row],[Diff jour_x000D_
Cumul]]</f>
        <v>10.765945345339805</v>
      </c>
      <c r="AM86" s="44">
        <f>(Tableau1[[#This Row],[Montant
Tarif HP/HC]]-AK$6)/Tableau1[[#This Row],[Diff jour_x000D_
Cumul
depuis le 24/01]]</f>
        <v>10.326113471271343</v>
      </c>
      <c r="AN86" s="44">
        <f>(Tableau1[[#This Row],[Montant
Tarif HP/HC]]-AK$59)/Tableau1[[#This Row],[Diff jour_x000D_
Cumul
depuis
précédente facture
16/02/2021]]</f>
        <v>6.9186883915912265</v>
      </c>
      <c r="AO86" s="44">
        <f>Tableau1[[#This Row],[Conso HP + HC
Cumul]]*0.1599</f>
        <v>736.01969999999994</v>
      </c>
      <c r="AP86" s="44">
        <f>Tableau1[[#This Row],[Montant
Tarif normal]]/Tableau1[[#This Row],[Diff jour_x000D_
Cumul]]</f>
        <v>10.384859424450894</v>
      </c>
      <c r="AQ86" s="44">
        <f>(Tableau1[[#This Row],[Conso HP / an
Cumul]]*0.1799)+(Tableau1[[#This Row],[Conso HC / an_x000D_
Cumul]]*0.1346)</f>
        <v>3929.5700510490287</v>
      </c>
      <c r="AR86" s="44">
        <f>Tableau1[[#This Row],[Conso HP + HC / an_x000D_
Cumul]]*0.1599</f>
        <v>3790.4736899245763</v>
      </c>
      <c r="AS86" s="38">
        <f>MONTH(Tableau1[[#This Row],[Date]])</f>
        <v>2</v>
      </c>
      <c r="AT86" s="38">
        <f>YEAR(Tableau1[[#This Row],[Date]])</f>
        <v>2021</v>
      </c>
    </row>
    <row r="87" spans="1:46" x14ac:dyDescent="0.2">
      <c r="A87" s="19">
        <v>44254.361111111109</v>
      </c>
      <c r="B87" s="20">
        <v>1.8</v>
      </c>
      <c r="C87" s="39">
        <f>IF(ISERROR(Tableau1[[#This Row],[Date]]-A86),"",Tableau1[[#This Row],[Date]]-A86)</f>
        <v>0.77847222222044365</v>
      </c>
      <c r="D87" s="40">
        <f>IF(ISERROR(Tableau1[[#This Row],[Date]]-A86),"",Tableau1[[#This Row],[Date]]-A86)</f>
        <v>0.77847222222044365</v>
      </c>
      <c r="E87" s="39">
        <f>Tableau1[[#This Row],[Date]]-$A$5</f>
        <v>71.652777777773736</v>
      </c>
      <c r="F87" s="40">
        <f>Tableau1[[#This Row],[Date]]-$A$5</f>
        <v>71.652777777773736</v>
      </c>
      <c r="G87" s="40">
        <f>Tableau1[[#This Row],[Diff jour_x000D_
Cumul]]-F$6</f>
        <v>33.569444444445253</v>
      </c>
      <c r="H87" s="40">
        <f>Tableau1[[#This Row],[Diff jour_x000D_
Cumul]]-F$59</f>
        <v>11.049999999995634</v>
      </c>
      <c r="I87" s="21">
        <v>182948</v>
      </c>
      <c r="J87" s="38">
        <f>IF(ISERROR(Tableau1[[#This Row],[Index HP
kWh]]-I86),"",Tableau1[[#This Row],[Index HP
kWh]]-I86)</f>
        <v>22</v>
      </c>
      <c r="K87" s="40">
        <f>IF(ISERROR(Tableau1[[#This Row],[Différence HP
Instantané]]/(Tableau1[[#This Row],[Diff jour
Instantané]]*24)),"",Tableau1[[#This Row],[Différence HP
Instantané]]/(Tableau1[[#This Row],[Diff jour
Instantané]]*24))</f>
        <v>1.1775200713675431</v>
      </c>
      <c r="L87" s="40">
        <f>Tableau1[[#This Row],[Différence HP
Instantané]]/Tableau1[[#This Row],[Diff jour
Instantané]]</f>
        <v>28.260481712821033</v>
      </c>
      <c r="M87" s="40">
        <f>Tableau1[[#This Row],[Conso HP / jour
Instantané]]*365</f>
        <v>10315.075825179678</v>
      </c>
      <c r="N87" s="38">
        <f>Tableau1[[#This Row],[Index HP
kWh]]-$I$5</f>
        <v>3189</v>
      </c>
      <c r="O87" s="41">
        <f>Tableau1[[#This Row],[Différence HP
Cumul]]/(Tableau1[[#This Row],[Diff jour_x000D_
Cumul]]*24)</f>
        <v>1.8544291529367203</v>
      </c>
      <c r="P87" s="41">
        <f>Tableau1[[#This Row],[Différence HP
Cumul]]/Tableau1[[#This Row],[Diff jour_x000D_
Cumul]]</f>
        <v>44.506299670481283</v>
      </c>
      <c r="Q87" s="41">
        <f>Tableau1[[#This Row],[Conso HP / jour
Cumul]]*365</f>
        <v>16244.799379725668</v>
      </c>
      <c r="R87" s="21">
        <v>120888</v>
      </c>
      <c r="S87" s="38">
        <f>Tableau1[[#This Row],[Index HC_x000D_
kWh]]-R86</f>
        <v>20</v>
      </c>
      <c r="T87" s="42">
        <f>Tableau1[[#This Row],[Différence_x000D_ HC
Instantané]]/(Tableau1[[#This Row],[Diff jour
Instantané]]*24)</f>
        <v>1.0704727921523118</v>
      </c>
      <c r="U87" s="42">
        <f>Tableau1[[#This Row],[Différence_x000D_ HC
Instantané]]/Tableau1[[#This Row],[Diff jour
Instantané]]</f>
        <v>25.691347011655484</v>
      </c>
      <c r="V87" s="42">
        <f>Tableau1[[#This Row],[Conso HC / jour_x000D_
Instantané]]*365</f>
        <v>9377.3416592542526</v>
      </c>
      <c r="W87" s="38">
        <f>Tableau1[[#This Row],[Index HC_x000D_
kWh]]-$R$5</f>
        <v>1456</v>
      </c>
      <c r="X87" s="43">
        <f>Tableau1[[#This Row],[Différence HC
Cumul]]/(Tableau1[[#This Row],[Diff jour_x000D_
Cumul]]*24)</f>
        <v>0.84667571234740191</v>
      </c>
      <c r="Y87" s="43">
        <f>Tableau1[[#This Row],[Différence HC
Cumul]]/Tableau1[[#This Row],[Diff jour_x000D_
Cumul]]</f>
        <v>20.320217096337647</v>
      </c>
      <c r="Z87" s="43">
        <f>Tableau1[[#This Row],[Conso HC / jour_x000D_
Cumul]]*365</f>
        <v>7416.8792401632409</v>
      </c>
      <c r="AA87" s="38">
        <f>Tableau1[[#This Row],[Différence HP
Instantané]]+Tableau1[[#This Row],[Différence_x000D_ HC
Instantané]]</f>
        <v>42</v>
      </c>
      <c r="AB87" s="41">
        <f>Tableau1[[#This Row],[Conso HP + HC
Instantané]]/(Tableau1[[#This Row],[Diff jour
Instantané]]*24)</f>
        <v>2.2479928635198552</v>
      </c>
      <c r="AC87" s="34">
        <f>IF(ISERROR(Tableau1[[#This Row],[Date]]-A86),"",Tableau1[[#This Row],[Conso HP + HC
Instantané]]/Tableau1[[#This Row],[Diff jour
Instantané]])</f>
        <v>53.95182872447652</v>
      </c>
      <c r="AD87" s="41">
        <f>Tableau1[[#This Row],[Conso HP + HC / jour_x000D_
Instantané]]*365</f>
        <v>19692.417484433929</v>
      </c>
      <c r="AE87" s="38">
        <f>Tableau1[[#This Row],[Différence HP
Cumul]]+Tableau1[[#This Row],[Différence HC
Cumul]]</f>
        <v>4645</v>
      </c>
      <c r="AF87" s="40">
        <f>(Tableau1[[#This Row],[Conso HP + HC
Cumul]]-AE$6)/Tableau1[[#This Row],[Diff jour_x000D_
Cumul
depuis le 24/01]]</f>
        <v>61.782374844847496</v>
      </c>
      <c r="AG87" s="40">
        <f>(Tableau1[[#This Row],[Conso HP + HC
Cumul]]-AE$59)/Tableau1[[#This Row],[Diff jour_x000D_
Cumul
depuis
précédente facture
16/02/2021]]</f>
        <v>42.35294117648732</v>
      </c>
      <c r="AH87" s="41">
        <f>Tableau1[[#This Row],[Conso HP + HC
Cumul]]/(Tableau1[[#This Row],[Diff jour_x000D_
Cumul]]*24)</f>
        <v>2.7011048652841221</v>
      </c>
      <c r="AI87" s="41">
        <f>Tableau1[[#This Row],[Conso HP + HC
Cumul]]/Tableau1[[#This Row],[Diff jour_x000D_
Cumul]]</f>
        <v>64.826516766818926</v>
      </c>
      <c r="AJ87" s="41">
        <f>Tableau1[[#This Row],[Conso HP + HC / jour_x000D_
Cumul]]*365</f>
        <v>23661.678619888909</v>
      </c>
      <c r="AK87" s="44">
        <f>(Tableau1[[#This Row],[Différence HP
Cumul]]*0.1799)+(Tableau1[[#This Row],[Différence HC
Cumul]]*0.1346)</f>
        <v>769.67869999999994</v>
      </c>
      <c r="AL87" s="44">
        <f>Tableau1[[#This Row],[Montant
Tarif HP/HC]]/Tableau1[[#This Row],[Diff jour_x000D_
Cumul]]</f>
        <v>10.74178453188663</v>
      </c>
      <c r="AM87" s="44">
        <f>(Tableau1[[#This Row],[Montant
Tarif HP/HC]]-AK$6)/Tableau1[[#This Row],[Diff jour_x000D_
Cumul
depuis le 24/01]]</f>
        <v>10.284742738932311</v>
      </c>
      <c r="AN87" s="44">
        <f>(Tableau1[[#This Row],[Montant
Tarif HP/HC]]-AK$59)/Tableau1[[#This Row],[Diff jour_x000D_
Cumul
depuis
précédente facture
16/02/2021]]</f>
        <v>7.033058823532186</v>
      </c>
      <c r="AO87" s="44">
        <f>Tableau1[[#This Row],[Conso HP + HC
Cumul]]*0.1599</f>
        <v>742.73549999999989</v>
      </c>
      <c r="AP87" s="44">
        <f>Tableau1[[#This Row],[Montant
Tarif normal]]/Tableau1[[#This Row],[Diff jour_x000D_
Cumul]]</f>
        <v>10.365760031014345</v>
      </c>
      <c r="AQ87" s="44">
        <f>(Tableau1[[#This Row],[Conso HP / an
Cumul]]*0.1799)+(Tableau1[[#This Row],[Conso HC / an_x000D_
Cumul]]*0.1346)</f>
        <v>3920.7513541386197</v>
      </c>
      <c r="AR87" s="44">
        <f>Tableau1[[#This Row],[Conso HP + HC / an_x000D_
Cumul]]*0.1599</f>
        <v>3783.5024113202362</v>
      </c>
      <c r="AS87" s="38">
        <f>MONTH(Tableau1[[#This Row],[Date]])</f>
        <v>2</v>
      </c>
      <c r="AT87" s="38">
        <f>YEAR(Tableau1[[#This Row],[Date]])</f>
        <v>2021</v>
      </c>
    </row>
    <row r="88" spans="1:46" x14ac:dyDescent="0.2">
      <c r="A88" s="19">
        <v>44254.574999999997</v>
      </c>
      <c r="B88" s="20">
        <v>10.7</v>
      </c>
      <c r="C88" s="39">
        <f>IF(ISERROR(Tableau1[[#This Row],[Date]]-A87),"",Tableau1[[#This Row],[Date]]-A87)</f>
        <v>0.21388888888759539</v>
      </c>
      <c r="D88" s="40">
        <f>IF(ISERROR(Tableau1[[#This Row],[Date]]-A87),"",Tableau1[[#This Row],[Date]]-A87)</f>
        <v>0.21388888888759539</v>
      </c>
      <c r="E88" s="39">
        <f>Tableau1[[#This Row],[Date]]-$A$5</f>
        <v>71.866666666661331</v>
      </c>
      <c r="F88" s="40">
        <f>Tableau1[[#This Row],[Date]]-$A$5</f>
        <v>71.866666666661331</v>
      </c>
      <c r="G88" s="40">
        <f>Tableau1[[#This Row],[Diff jour_x000D_
Cumul]]-F$6</f>
        <v>33.783333333332848</v>
      </c>
      <c r="H88" s="40">
        <f>Tableau1[[#This Row],[Diff jour_x000D_
Cumul]]-F$59</f>
        <v>11.26388888888323</v>
      </c>
      <c r="I88" s="21">
        <v>182962</v>
      </c>
      <c r="J88" s="38">
        <f>IF(ISERROR(Tableau1[[#This Row],[Index HP
kWh]]-I87),"",Tableau1[[#This Row],[Index HP
kWh]]-I87)</f>
        <v>14</v>
      </c>
      <c r="K88" s="40">
        <f>IF(ISERROR(Tableau1[[#This Row],[Différence HP
Instantané]]/(Tableau1[[#This Row],[Diff jour
Instantané]]*24)),"",Tableau1[[#This Row],[Différence HP
Instantané]]/(Tableau1[[#This Row],[Diff jour
Instantané]]*24))</f>
        <v>2.7272727272892205</v>
      </c>
      <c r="L88" s="40">
        <f>Tableau1[[#This Row],[Différence HP
Instantané]]/Tableau1[[#This Row],[Diff jour
Instantané]]</f>
        <v>65.454545454941297</v>
      </c>
      <c r="M88" s="40">
        <f>Tableau1[[#This Row],[Conso HP / jour
Instantané]]*365</f>
        <v>23890.909091053574</v>
      </c>
      <c r="N88" s="38">
        <f>Tableau1[[#This Row],[Index HP
kWh]]-$I$5</f>
        <v>3203</v>
      </c>
      <c r="O88" s="41">
        <f>Tableau1[[#This Row],[Différence HP
Cumul]]/(Tableau1[[#This Row],[Diff jour_x000D_
Cumul]]*24)</f>
        <v>1.8570269016698966</v>
      </c>
      <c r="P88" s="41">
        <f>Tableau1[[#This Row],[Différence HP
Cumul]]/Tableau1[[#This Row],[Diff jour_x000D_
Cumul]]</f>
        <v>44.56864564007752</v>
      </c>
      <c r="Q88" s="41">
        <f>Tableau1[[#This Row],[Conso HP / jour
Cumul]]*365</f>
        <v>16267.555658628295</v>
      </c>
      <c r="R88" s="21">
        <v>120888</v>
      </c>
      <c r="S88" s="38">
        <f>Tableau1[[#This Row],[Index HC_x000D_
kWh]]-R87</f>
        <v>0</v>
      </c>
      <c r="T88" s="42">
        <f>Tableau1[[#This Row],[Différence_x000D_ HC
Instantané]]/(Tableau1[[#This Row],[Diff jour
Instantané]]*24)</f>
        <v>0</v>
      </c>
      <c r="U88" s="42">
        <f>Tableau1[[#This Row],[Différence_x000D_ HC
Instantané]]/Tableau1[[#This Row],[Diff jour
Instantané]]</f>
        <v>0</v>
      </c>
      <c r="V88" s="42">
        <f>Tableau1[[#This Row],[Conso HC / jour_x000D_
Instantané]]*365</f>
        <v>0</v>
      </c>
      <c r="W88" s="38">
        <f>Tableau1[[#This Row],[Index HC_x000D_
kWh]]-$R$5</f>
        <v>1456</v>
      </c>
      <c r="X88" s="43">
        <f>Tableau1[[#This Row],[Différence HC
Cumul]]/(Tableau1[[#This Row],[Diff jour_x000D_
Cumul]]*24)</f>
        <v>0.84415584415590683</v>
      </c>
      <c r="Y88" s="43">
        <f>Tableau1[[#This Row],[Différence HC
Cumul]]/Tableau1[[#This Row],[Diff jour_x000D_
Cumul]]</f>
        <v>20.259740259741765</v>
      </c>
      <c r="Z88" s="43">
        <f>Tableau1[[#This Row],[Conso HC / jour_x000D_
Cumul]]*365</f>
        <v>7394.8051948057446</v>
      </c>
      <c r="AA88" s="38">
        <f>Tableau1[[#This Row],[Différence HP
Instantané]]+Tableau1[[#This Row],[Différence_x000D_ HC
Instantané]]</f>
        <v>14</v>
      </c>
      <c r="AB88" s="41">
        <f>Tableau1[[#This Row],[Conso HP + HC
Instantané]]/(Tableau1[[#This Row],[Diff jour
Instantané]]*24)</f>
        <v>2.7272727272892205</v>
      </c>
      <c r="AC88" s="34">
        <f>IF(ISERROR(Tableau1[[#This Row],[Date]]-A87),"",Tableau1[[#This Row],[Conso HP + HC
Instantané]]/Tableau1[[#This Row],[Diff jour
Instantané]])</f>
        <v>65.454545454941297</v>
      </c>
      <c r="AD88" s="41">
        <f>Tableau1[[#This Row],[Conso HP + HC / jour_x000D_
Instantané]]*365</f>
        <v>23890.909091053574</v>
      </c>
      <c r="AE88" s="38">
        <f>Tableau1[[#This Row],[Différence HP
Cumul]]+Tableau1[[#This Row],[Différence HC
Cumul]]</f>
        <v>4659</v>
      </c>
      <c r="AF88" s="40">
        <f>(Tableau1[[#This Row],[Conso HP + HC
Cumul]]-AE$6)/Tableau1[[#This Row],[Diff jour_x000D_
Cumul
depuis le 24/01]]</f>
        <v>61.80562407498855</v>
      </c>
      <c r="AG88" s="40">
        <f>(Tableau1[[#This Row],[Conso HP + HC
Cumul]]-AE$59)/Tableau1[[#This Row],[Diff jour_x000D_
Cumul
depuis
précédente facture
16/02/2021]]</f>
        <v>42.791615289787224</v>
      </c>
      <c r="AH88" s="41">
        <f>Tableau1[[#This Row],[Conso HP + HC
Cumul]]/(Tableau1[[#This Row],[Diff jour_x000D_
Cumul]]*24)</f>
        <v>2.7011827458258035</v>
      </c>
      <c r="AI88" s="41">
        <f>Tableau1[[#This Row],[Conso HP + HC
Cumul]]/Tableau1[[#This Row],[Diff jour_x000D_
Cumul]]</f>
        <v>64.828385899819281</v>
      </c>
      <c r="AJ88" s="41">
        <f>Tableau1[[#This Row],[Conso HP + HC / jour_x000D_
Cumul]]*365</f>
        <v>23662.360853434038</v>
      </c>
      <c r="AK88" s="44">
        <f>(Tableau1[[#This Row],[Différence HP
Cumul]]*0.1799)+(Tableau1[[#This Row],[Différence HC
Cumul]]*0.1346)</f>
        <v>772.19730000000004</v>
      </c>
      <c r="AL88" s="44">
        <f>Tableau1[[#This Row],[Montant
Tarif HP/HC]]/Tableau1[[#This Row],[Diff jour_x000D_
Cumul]]</f>
        <v>10.744860389611189</v>
      </c>
      <c r="AM88" s="44">
        <f>(Tableau1[[#This Row],[Montant
Tarif HP/HC]]-AK$6)/Tableau1[[#This Row],[Diff jour_x000D_
Cumul
depuis le 24/01]]</f>
        <v>10.294179575727824</v>
      </c>
      <c r="AN88" s="44">
        <f>(Tableau1[[#This Row],[Montant
Tarif HP/HC]]-AK$59)/Tableau1[[#This Row],[Diff jour_x000D_
Cumul
depuis
précédente facture
16/02/2021]]</f>
        <v>7.1231082614092562</v>
      </c>
      <c r="AO88" s="44">
        <f>Tableau1[[#This Row],[Conso HP + HC
Cumul]]*0.1599</f>
        <v>744.97409999999991</v>
      </c>
      <c r="AP88" s="44">
        <f>Tableau1[[#This Row],[Montant
Tarif normal]]/Tableau1[[#This Row],[Diff jour_x000D_
Cumul]]</f>
        <v>10.366058905381102</v>
      </c>
      <c r="AQ88" s="44">
        <f>(Tableau1[[#This Row],[Conso HP / an
Cumul]]*0.1799)+(Tableau1[[#This Row],[Conso HC / an_x000D_
Cumul]]*0.1346)</f>
        <v>3921.8740422080837</v>
      </c>
      <c r="AR88" s="44">
        <f>Tableau1[[#This Row],[Conso HP + HC / an_x000D_
Cumul]]*0.1599</f>
        <v>3783.6115004641024</v>
      </c>
      <c r="AS88" s="38">
        <f>MONTH(Tableau1[[#This Row],[Date]])</f>
        <v>2</v>
      </c>
      <c r="AT88" s="38">
        <f>YEAR(Tableau1[[#This Row],[Date]])</f>
        <v>2021</v>
      </c>
    </row>
    <row r="89" spans="1:46" x14ac:dyDescent="0.2">
      <c r="A89" s="19">
        <v>44255.336805555555</v>
      </c>
      <c r="B89" s="20">
        <v>1.2</v>
      </c>
      <c r="C89" s="39">
        <f>IF(ISERROR(Tableau1[[#This Row],[Date]]-A88),"",Tableau1[[#This Row],[Date]]-A88)</f>
        <v>0.7618055555576575</v>
      </c>
      <c r="D89" s="40">
        <f>IF(ISERROR(Tableau1[[#This Row],[Date]]-A88),"",Tableau1[[#This Row],[Date]]-A88)</f>
        <v>0.7618055555576575</v>
      </c>
      <c r="E89" s="39">
        <f>Tableau1[[#This Row],[Date]]-$A$5</f>
        <v>72.628472222218988</v>
      </c>
      <c r="F89" s="40">
        <f>Tableau1[[#This Row],[Date]]-$A$5</f>
        <v>72.628472222218988</v>
      </c>
      <c r="G89" s="40">
        <f>Tableau1[[#This Row],[Diff jour_x000D_
Cumul]]-F$6</f>
        <v>34.545138888890506</v>
      </c>
      <c r="H89" s="40">
        <f>Tableau1[[#This Row],[Diff jour_x000D_
Cumul]]-F$59</f>
        <v>12.025694444440887</v>
      </c>
      <c r="I89" s="21">
        <v>182988</v>
      </c>
      <c r="J89" s="38">
        <f>IF(ISERROR(Tableau1[[#This Row],[Index HP
kWh]]-I88),"",Tableau1[[#This Row],[Index HP
kWh]]-I88)</f>
        <v>26</v>
      </c>
      <c r="K89" s="40">
        <f>IF(ISERROR(Tableau1[[#This Row],[Différence HP
Instantané]]/(Tableau1[[#This Row],[Diff jour
Instantané]]*24)),"",Tableau1[[#This Row],[Différence HP
Instantané]]/(Tableau1[[#This Row],[Diff jour
Instantané]]*24))</f>
        <v>1.4220601640799413</v>
      </c>
      <c r="L89" s="40">
        <f>Tableau1[[#This Row],[Différence HP
Instantané]]/Tableau1[[#This Row],[Diff jour
Instantané]]</f>
        <v>34.129443937918595</v>
      </c>
      <c r="M89" s="40">
        <f>Tableau1[[#This Row],[Conso HP / jour
Instantané]]*365</f>
        <v>12457.247037340287</v>
      </c>
      <c r="N89" s="38">
        <f>Tableau1[[#This Row],[Index HP
kWh]]-$I$5</f>
        <v>3229</v>
      </c>
      <c r="O89" s="41">
        <f>Tableau1[[#This Row],[Différence HP
Cumul]]/(Tableau1[[#This Row],[Diff jour_x000D_
Cumul]]*24)</f>
        <v>1.8524645025578106</v>
      </c>
      <c r="P89" s="41">
        <f>Tableau1[[#This Row],[Différence HP
Cumul]]/Tableau1[[#This Row],[Diff jour_x000D_
Cumul]]</f>
        <v>44.459148061387452</v>
      </c>
      <c r="Q89" s="41">
        <f>Tableau1[[#This Row],[Conso HP / jour
Cumul]]*365</f>
        <v>16227.58904240642</v>
      </c>
      <c r="R89" s="21">
        <v>120909</v>
      </c>
      <c r="S89" s="38">
        <f>Tableau1[[#This Row],[Index HC_x000D_
kWh]]-R88</f>
        <v>21</v>
      </c>
      <c r="T89" s="42">
        <f>Tableau1[[#This Row],[Différence_x000D_ HC
Instantané]]/(Tableau1[[#This Row],[Diff jour
Instantané]]*24)</f>
        <v>1.1485870556030295</v>
      </c>
      <c r="U89" s="42">
        <f>Tableau1[[#This Row],[Différence_x000D_ HC
Instantané]]/Tableau1[[#This Row],[Diff jour
Instantané]]</f>
        <v>27.566089334472711</v>
      </c>
      <c r="V89" s="42">
        <f>Tableau1[[#This Row],[Conso HC / jour_x000D_
Instantané]]*365</f>
        <v>10061.62260708254</v>
      </c>
      <c r="W89" s="38">
        <f>Tableau1[[#This Row],[Index HC_x000D_
kWh]]-$R$5</f>
        <v>1477</v>
      </c>
      <c r="X89" s="43">
        <f>Tableau1[[#This Row],[Différence HC
Cumul]]/(Tableau1[[#This Row],[Diff jour_x000D_
Cumul]]*24)</f>
        <v>0.84734904623037666</v>
      </c>
      <c r="Y89" s="43">
        <f>Tableau1[[#This Row],[Différence HC
Cumul]]/Tableau1[[#This Row],[Diff jour_x000D_
Cumul]]</f>
        <v>20.336377109529039</v>
      </c>
      <c r="Z89" s="43">
        <f>Tableau1[[#This Row],[Conso HC / jour_x000D_
Cumul]]*365</f>
        <v>7422.7776449780995</v>
      </c>
      <c r="AA89" s="38">
        <f>Tableau1[[#This Row],[Différence HP
Instantané]]+Tableau1[[#This Row],[Différence_x000D_ HC
Instantané]]</f>
        <v>47</v>
      </c>
      <c r="AB89" s="41">
        <f>Tableau1[[#This Row],[Conso HP + HC
Instantané]]/(Tableau1[[#This Row],[Diff jour
Instantané]]*24)</f>
        <v>2.5706472196829711</v>
      </c>
      <c r="AC89" s="34">
        <f>IF(ISERROR(Tableau1[[#This Row],[Date]]-A88),"",Tableau1[[#This Row],[Conso HP + HC
Instantané]]/Tableau1[[#This Row],[Diff jour
Instantané]])</f>
        <v>61.695533272391302</v>
      </c>
      <c r="AD89" s="41">
        <f>Tableau1[[#This Row],[Conso HP + HC / jour_x000D_
Instantané]]*365</f>
        <v>22518.869644422826</v>
      </c>
      <c r="AE89" s="38">
        <f>Tableau1[[#This Row],[Différence HP
Cumul]]+Tableau1[[#This Row],[Différence HC
Cumul]]</f>
        <v>4706</v>
      </c>
      <c r="AF89" s="40">
        <f>(Tableau1[[#This Row],[Conso HP + HC
Cumul]]-AE$6)/Tableau1[[#This Row],[Diff jour_x000D_
Cumul
depuis le 24/01]]</f>
        <v>61.8031963011329</v>
      </c>
      <c r="AG89" s="40">
        <f>(Tableau1[[#This Row],[Conso HP + HC
Cumul]]-AE$59)/Tableau1[[#This Row],[Diff jour_x000D_
Cumul
depuis
précédente facture
16/02/2021]]</f>
        <v>43.989143616112798</v>
      </c>
      <c r="AH89" s="41">
        <f>Tableau1[[#This Row],[Conso HP + HC
Cumul]]/(Tableau1[[#This Row],[Diff jour_x000D_
Cumul]]*24)</f>
        <v>2.6998135487881871</v>
      </c>
      <c r="AI89" s="41">
        <f>Tableau1[[#This Row],[Conso HP + HC
Cumul]]/Tableau1[[#This Row],[Diff jour_x000D_
Cumul]]</f>
        <v>64.795525170916491</v>
      </c>
      <c r="AJ89" s="41">
        <f>Tableau1[[#This Row],[Conso HP + HC / jour_x000D_
Cumul]]*365</f>
        <v>23650.366687384518</v>
      </c>
      <c r="AK89" s="44">
        <f>(Tableau1[[#This Row],[Différence HP
Cumul]]*0.1799)+(Tableau1[[#This Row],[Différence HC
Cumul]]*0.1346)</f>
        <v>779.70130000000006</v>
      </c>
      <c r="AL89" s="44">
        <f>Tableau1[[#This Row],[Montant
Tarif HP/HC]]/Tableau1[[#This Row],[Diff jour_x000D_
Cumul]]</f>
        <v>10.735477095186212</v>
      </c>
      <c r="AM89" s="44">
        <f>(Tableau1[[#This Row],[Montant
Tarif HP/HC]]-AK$6)/Tableau1[[#This Row],[Diff jour_x000D_
Cumul
depuis le 24/01]]</f>
        <v>10.284390551813772</v>
      </c>
      <c r="AN89" s="44">
        <f>(Tableau1[[#This Row],[Montant
Tarif HP/HC]]-AK$59)/Tableau1[[#This Row],[Diff jour_x000D_
Cumul
depuis
précédente facture
16/02/2021]]</f>
        <v>7.295869723395362</v>
      </c>
      <c r="AO89" s="44">
        <f>Tableau1[[#This Row],[Conso HP + HC
Cumul]]*0.1599</f>
        <v>752.48939999999993</v>
      </c>
      <c r="AP89" s="44">
        <f>Tableau1[[#This Row],[Montant
Tarif normal]]/Tableau1[[#This Row],[Diff jour_x000D_
Cumul]]</f>
        <v>10.360804474829546</v>
      </c>
      <c r="AQ89" s="44">
        <f>(Tableau1[[#This Row],[Conso HP / an
Cumul]]*0.1799)+(Tableau1[[#This Row],[Conso HC / an_x000D_
Cumul]]*0.1346)</f>
        <v>3918.4491397429674</v>
      </c>
      <c r="AR89" s="44">
        <f>Tableau1[[#This Row],[Conso HP + HC / an_x000D_
Cumul]]*0.1599</f>
        <v>3781.6936333127842</v>
      </c>
      <c r="AS89" s="38">
        <f>MONTH(Tableau1[[#This Row],[Date]])</f>
        <v>2</v>
      </c>
      <c r="AT89" s="38">
        <f>YEAR(Tableau1[[#This Row],[Date]])</f>
        <v>2021</v>
      </c>
    </row>
    <row r="90" spans="1:46" x14ac:dyDescent="0.2">
      <c r="A90" s="19">
        <v>44255.982638888891</v>
      </c>
      <c r="B90" s="20">
        <v>4.8</v>
      </c>
      <c r="C90" s="39">
        <f>IF(ISERROR(Tableau1[[#This Row],[Date]]-A89),"",Tableau1[[#This Row],[Date]]-A89)</f>
        <v>0.64583333333575865</v>
      </c>
      <c r="D90" s="40">
        <f>IF(ISERROR(Tableau1[[#This Row],[Date]]-A89),"",Tableau1[[#This Row],[Date]]-A89)</f>
        <v>0.64583333333575865</v>
      </c>
      <c r="E90" s="39">
        <f>Tableau1[[#This Row],[Date]]-$A$5</f>
        <v>73.274305555554747</v>
      </c>
      <c r="F90" s="40">
        <f>Tableau1[[#This Row],[Date]]-$A$5</f>
        <v>73.274305555554747</v>
      </c>
      <c r="G90" s="40">
        <f>Tableau1[[#This Row],[Diff jour_x000D_
Cumul]]-F$6</f>
        <v>35.190972222226264</v>
      </c>
      <c r="H90" s="40">
        <f>Tableau1[[#This Row],[Diff jour_x000D_
Cumul]]-F$59</f>
        <v>12.671527777776646</v>
      </c>
      <c r="I90" s="21">
        <v>183028</v>
      </c>
      <c r="J90" s="38">
        <f>IF(ISERROR(Tableau1[[#This Row],[Index HP
kWh]]-I89),"",Tableau1[[#This Row],[Index HP
kWh]]-I89)</f>
        <v>40</v>
      </c>
      <c r="K90" s="40">
        <f>IF(ISERROR(Tableau1[[#This Row],[Différence HP
Instantané]]/(Tableau1[[#This Row],[Diff jour
Instantané]]*24)),"",Tableau1[[#This Row],[Différence HP
Instantané]]/(Tableau1[[#This Row],[Diff jour
Instantané]]*24))</f>
        <v>2.5806451612806316</v>
      </c>
      <c r="L90" s="40">
        <f>Tableau1[[#This Row],[Différence HP
Instantané]]/Tableau1[[#This Row],[Diff jour
Instantané]]</f>
        <v>61.935483870735155</v>
      </c>
      <c r="M90" s="40">
        <f>Tableau1[[#This Row],[Conso HP / jour
Instantané]]*365</f>
        <v>22606.451612818331</v>
      </c>
      <c r="N90" s="38">
        <f>Tableau1[[#This Row],[Index HP
kWh]]-$I$5</f>
        <v>3269</v>
      </c>
      <c r="O90" s="41">
        <f>Tableau1[[#This Row],[Différence HP
Cumul]]/(Tableau1[[#This Row],[Diff jour_x000D_
Cumul]]*24)</f>
        <v>1.8588826233237186</v>
      </c>
      <c r="P90" s="41">
        <f>Tableau1[[#This Row],[Différence HP
Cumul]]/Tableau1[[#This Row],[Diff jour_x000D_
Cumul]]</f>
        <v>44.613182959769247</v>
      </c>
      <c r="Q90" s="41">
        <f>Tableau1[[#This Row],[Conso HP / jour
Cumul]]*365</f>
        <v>16283.811780315775</v>
      </c>
      <c r="R90" s="21">
        <v>120911</v>
      </c>
      <c r="S90" s="38">
        <f>Tableau1[[#This Row],[Index HC_x000D_
kWh]]-R89</f>
        <v>2</v>
      </c>
      <c r="T90" s="42">
        <f>Tableau1[[#This Row],[Différence_x000D_ HC
Instantané]]/(Tableau1[[#This Row],[Diff jour
Instantané]]*24)</f>
        <v>0.12903225806403157</v>
      </c>
      <c r="U90" s="42">
        <f>Tableau1[[#This Row],[Différence_x000D_ HC
Instantané]]/Tableau1[[#This Row],[Diff jour
Instantané]]</f>
        <v>3.0967741935367576</v>
      </c>
      <c r="V90" s="42">
        <f>Tableau1[[#This Row],[Conso HC / jour_x000D_
Instantané]]*365</f>
        <v>1130.3225806409166</v>
      </c>
      <c r="W90" s="38">
        <f>Tableau1[[#This Row],[Index HC_x000D_
kWh]]-$R$5</f>
        <v>1479</v>
      </c>
      <c r="X90" s="43">
        <f>Tableau1[[#This Row],[Différence HC
Cumul]]/(Tableau1[[#This Row],[Diff jour_x000D_
Cumul]]*24)</f>
        <v>0.84101786475857443</v>
      </c>
      <c r="Y90" s="43">
        <f>Tableau1[[#This Row],[Différence HC
Cumul]]/Tableau1[[#This Row],[Diff jour_x000D_
Cumul]]</f>
        <v>20.184428754205786</v>
      </c>
      <c r="Z90" s="43">
        <f>Tableau1[[#This Row],[Conso HC / jour_x000D_
Cumul]]*365</f>
        <v>7367.3164952851121</v>
      </c>
      <c r="AA90" s="38">
        <f>Tableau1[[#This Row],[Différence HP
Instantané]]+Tableau1[[#This Row],[Différence_x000D_ HC
Instantané]]</f>
        <v>42</v>
      </c>
      <c r="AB90" s="41">
        <f>Tableau1[[#This Row],[Conso HP + HC
Instantané]]/(Tableau1[[#This Row],[Diff jour
Instantané]]*24)</f>
        <v>2.7096774193446631</v>
      </c>
      <c r="AC90" s="34">
        <f>IF(ISERROR(Tableau1[[#This Row],[Date]]-A89),"",Tableau1[[#This Row],[Conso HP + HC
Instantané]]/Tableau1[[#This Row],[Diff jour
Instantané]])</f>
        <v>65.032258064271915</v>
      </c>
      <c r="AD90" s="41">
        <f>Tableau1[[#This Row],[Conso HP + HC / jour_x000D_
Instantané]]*365</f>
        <v>23736.774193459249</v>
      </c>
      <c r="AE90" s="38">
        <f>Tableau1[[#This Row],[Différence HP
Cumul]]+Tableau1[[#This Row],[Différence HC
Cumul]]</f>
        <v>4748</v>
      </c>
      <c r="AF90" s="40">
        <f>(Tableau1[[#This Row],[Conso HP + HC
Cumul]]-AE$6)/Tableau1[[#This Row],[Diff jour_x000D_
Cumul
depuis le 24/01]]</f>
        <v>61.862456832750667</v>
      </c>
      <c r="AG90" s="40">
        <f>(Tableau1[[#This Row],[Conso HP + HC
Cumul]]-AE$59)/Tableau1[[#This Row],[Diff jour_x000D_
Cumul
depuis
précédente facture
16/02/2021]]</f>
        <v>45.061653970519728</v>
      </c>
      <c r="AH90" s="41">
        <f>Tableau1[[#This Row],[Conso HP + HC
Cumul]]/(Tableau1[[#This Row],[Diff jour_x000D_
Cumul]]*24)</f>
        <v>2.6999004880822928</v>
      </c>
      <c r="AI90" s="41">
        <f>Tableau1[[#This Row],[Conso HP + HC
Cumul]]/Tableau1[[#This Row],[Diff jour_x000D_
Cumul]]</f>
        <v>64.79761171397503</v>
      </c>
      <c r="AJ90" s="41">
        <f>Tableau1[[#This Row],[Conso HP + HC / jour_x000D_
Cumul]]*365</f>
        <v>23651.128275600888</v>
      </c>
      <c r="AK90" s="44">
        <f>(Tableau1[[#This Row],[Différence HP
Cumul]]*0.1799)+(Tableau1[[#This Row],[Différence HC
Cumul]]*0.1346)</f>
        <v>787.16650000000004</v>
      </c>
      <c r="AL90" s="44">
        <f>Tableau1[[#This Row],[Montant
Tarif HP/HC]]/Tableau1[[#This Row],[Diff jour_x000D_
Cumul]]</f>
        <v>10.742735724778587</v>
      </c>
      <c r="AM90" s="44">
        <f>(Tableau1[[#This Row],[Montant
Tarif HP/HC]]-AK$6)/Tableau1[[#This Row],[Diff jour_x000D_
Cumul
depuis le 24/01]]</f>
        <v>10.307782851503504</v>
      </c>
      <c r="AN90" s="44">
        <f>(Tableau1[[#This Row],[Montant
Tarif HP/HC]]-AK$59)/Tableau1[[#This Row],[Diff jour_x000D_
Cumul
depuis
précédente facture
16/02/2021]]</f>
        <v>7.5131508741169695</v>
      </c>
      <c r="AO90" s="44">
        <f>Tableau1[[#This Row],[Conso HP + HC
Cumul]]*0.1599</f>
        <v>759.20519999999999</v>
      </c>
      <c r="AP90" s="44">
        <f>Tableau1[[#This Row],[Montant
Tarif normal]]/Tableau1[[#This Row],[Diff jour_x000D_
Cumul]]</f>
        <v>10.361138113064607</v>
      </c>
      <c r="AQ90" s="44">
        <f>(Tableau1[[#This Row],[Conso HP / an
Cumul]]*0.1799)+(Tableau1[[#This Row],[Conso HC / an_x000D_
Cumul]]*0.1346)</f>
        <v>3921.098539544184</v>
      </c>
      <c r="AR90" s="44">
        <f>Tableau1[[#This Row],[Conso HP + HC / an_x000D_
Cumul]]*0.1599</f>
        <v>3781.8154112685816</v>
      </c>
      <c r="AS90" s="38">
        <f>MONTH(Tableau1[[#This Row],[Date]])</f>
        <v>2</v>
      </c>
      <c r="AT90" s="38">
        <f>YEAR(Tableau1[[#This Row],[Date]])</f>
        <v>2021</v>
      </c>
    </row>
    <row r="91" spans="1:46" x14ac:dyDescent="0.2">
      <c r="A91" s="19">
        <v>44256.304861111108</v>
      </c>
      <c r="B91" s="20">
        <v>1.5</v>
      </c>
      <c r="C91" s="39">
        <f>IF(ISERROR(Tableau1[[#This Row],[Date]]-A90),"",Tableau1[[#This Row],[Date]]-A90)</f>
        <v>0.32222222221753327</v>
      </c>
      <c r="D91" s="40">
        <f>IF(ISERROR(Tableau1[[#This Row],[Date]]-A90),"",Tableau1[[#This Row],[Date]]-A90)</f>
        <v>0.32222222221753327</v>
      </c>
      <c r="E91" s="39">
        <f>Tableau1[[#This Row],[Date]]-$A$5</f>
        <v>73.59652777777228</v>
      </c>
      <c r="F91" s="40">
        <f>Tableau1[[#This Row],[Date]]-$A$5</f>
        <v>73.59652777777228</v>
      </c>
      <c r="G91" s="40">
        <f>Tableau1[[#This Row],[Diff jour_x000D_
Cumul]]-F$6</f>
        <v>35.513194444443798</v>
      </c>
      <c r="H91" s="40">
        <f>Tableau1[[#This Row],[Diff jour_x000D_
Cumul]]-F$59</f>
        <v>12.993749999994179</v>
      </c>
      <c r="I91" s="21">
        <v>183031</v>
      </c>
      <c r="J91" s="38">
        <f>IF(ISERROR(Tableau1[[#This Row],[Index HP
kWh]]-I90),"",Tableau1[[#This Row],[Index HP
kWh]]-I90)</f>
        <v>3</v>
      </c>
      <c r="K91" s="40">
        <f>IF(ISERROR(Tableau1[[#This Row],[Différence HP
Instantané]]/(Tableau1[[#This Row],[Diff jour
Instantané]]*24)),"",Tableau1[[#This Row],[Différence HP
Instantané]]/(Tableau1[[#This Row],[Diff jour
Instantané]]*24))</f>
        <v>0.38793103448840377</v>
      </c>
      <c r="L91" s="40">
        <f>Tableau1[[#This Row],[Différence HP
Instantané]]/Tableau1[[#This Row],[Diff jour
Instantané]]</f>
        <v>9.3103448277216909</v>
      </c>
      <c r="M91" s="40">
        <f>Tableau1[[#This Row],[Conso HP / jour
Instantané]]*365</f>
        <v>3398.2758621184171</v>
      </c>
      <c r="N91" s="38">
        <f>Tableau1[[#This Row],[Index HP
kWh]]-$I$5</f>
        <v>3272</v>
      </c>
      <c r="O91" s="41">
        <f>Tableau1[[#This Row],[Différence HP
Cumul]]/(Tableau1[[#This Row],[Diff jour_x000D_
Cumul]]*24)</f>
        <v>1.8524424650167925</v>
      </c>
      <c r="P91" s="41">
        <f>Tableau1[[#This Row],[Différence HP
Cumul]]/Tableau1[[#This Row],[Diff jour_x000D_
Cumul]]</f>
        <v>44.458619160403025</v>
      </c>
      <c r="Q91" s="41">
        <f>Tableau1[[#This Row],[Conso HP / jour
Cumul]]*365</f>
        <v>16227.395993547105</v>
      </c>
      <c r="R91" s="21">
        <v>120929</v>
      </c>
      <c r="S91" s="38">
        <f>Tableau1[[#This Row],[Index HC_x000D_
kWh]]-R90</f>
        <v>18</v>
      </c>
      <c r="T91" s="42">
        <f>Tableau1[[#This Row],[Différence_x000D_ HC
Instantané]]/(Tableau1[[#This Row],[Diff jour
Instantané]]*24)</f>
        <v>2.3275862069304227</v>
      </c>
      <c r="U91" s="42">
        <f>Tableau1[[#This Row],[Différence_x000D_ HC
Instantané]]/Tableau1[[#This Row],[Diff jour
Instantané]]</f>
        <v>55.862068966330142</v>
      </c>
      <c r="V91" s="42">
        <f>Tableau1[[#This Row],[Conso HC / jour_x000D_
Instantané]]*365</f>
        <v>20389.655172710503</v>
      </c>
      <c r="W91" s="38">
        <f>Tableau1[[#This Row],[Index HC_x000D_
kWh]]-$R$5</f>
        <v>1497</v>
      </c>
      <c r="X91" s="43">
        <f>Tableau1[[#This Row],[Différence HC
Cumul]]/(Tableau1[[#This Row],[Diff jour_x000D_
Cumul]]*24)</f>
        <v>0.84752639673903984</v>
      </c>
      <c r="Y91" s="43">
        <f>Tableau1[[#This Row],[Différence HC
Cumul]]/Tableau1[[#This Row],[Diff jour_x000D_
Cumul]]</f>
        <v>20.340633521736958</v>
      </c>
      <c r="Z91" s="43">
        <f>Tableau1[[#This Row],[Conso HC / jour_x000D_
Cumul]]*365</f>
        <v>7424.3312354339896</v>
      </c>
      <c r="AA91" s="38">
        <f>Tableau1[[#This Row],[Différence HP
Instantané]]+Tableau1[[#This Row],[Différence_x000D_ HC
Instantané]]</f>
        <v>21</v>
      </c>
      <c r="AB91" s="41">
        <f>Tableau1[[#This Row],[Conso HP + HC
Instantané]]/(Tableau1[[#This Row],[Diff jour
Instantané]]*24)</f>
        <v>2.7155172414188264</v>
      </c>
      <c r="AC91" s="34">
        <f>IF(ISERROR(Tableau1[[#This Row],[Date]]-A90),"",Tableau1[[#This Row],[Conso HP + HC
Instantané]]/Tableau1[[#This Row],[Diff jour
Instantané]])</f>
        <v>65.172413794051835</v>
      </c>
      <c r="AD91" s="41">
        <f>Tableau1[[#This Row],[Conso HP + HC / jour_x000D_
Instantané]]*365</f>
        <v>23787.931034828918</v>
      </c>
      <c r="AE91" s="38">
        <f>Tableau1[[#This Row],[Différence HP
Cumul]]+Tableau1[[#This Row],[Différence HC
Cumul]]</f>
        <v>4769</v>
      </c>
      <c r="AF91" s="40">
        <f>(Tableau1[[#This Row],[Conso HP + HC
Cumul]]-AE$6)/Tableau1[[#This Row],[Diff jour_x000D_
Cumul
depuis le 24/01]]</f>
        <v>61.892489098340945</v>
      </c>
      <c r="AG91" s="40">
        <f>(Tableau1[[#This Row],[Conso HP + HC
Cumul]]-AE$59)/Tableau1[[#This Row],[Diff jour_x000D_
Cumul
depuis
précédente facture
16/02/2021]]</f>
        <v>45.560365560385968</v>
      </c>
      <c r="AH91" s="41">
        <f>Tableau1[[#This Row],[Conso HP + HC
Cumul]]/(Tableau1[[#This Row],[Diff jour_x000D_
Cumul]]*24)</f>
        <v>2.6999688617558326</v>
      </c>
      <c r="AI91" s="41">
        <f>Tableau1[[#This Row],[Conso HP + HC
Cumul]]/Tableau1[[#This Row],[Diff jour_x000D_
Cumul]]</f>
        <v>64.799252682139979</v>
      </c>
      <c r="AJ91" s="41">
        <f>Tableau1[[#This Row],[Conso HP + HC / jour_x000D_
Cumul]]*365</f>
        <v>23651.727228981094</v>
      </c>
      <c r="AK91" s="44">
        <f>(Tableau1[[#This Row],[Différence HP
Cumul]]*0.1799)+(Tableau1[[#This Row],[Différence HC
Cumul]]*0.1346)</f>
        <v>790.12899999999991</v>
      </c>
      <c r="AL91" s="44">
        <f>Tableau1[[#This Row],[Montant
Tarif HP/HC]]/Tableau1[[#This Row],[Diff jour_x000D_
Cumul]]</f>
        <v>10.735954858982296</v>
      </c>
      <c r="AM91" s="44">
        <f>(Tableau1[[#This Row],[Montant
Tarif HP/HC]]-AK$6)/Tableau1[[#This Row],[Diff jour_x000D_
Cumul
depuis le 24/01]]</f>
        <v>10.297676841549686</v>
      </c>
      <c r="AN91" s="44">
        <f>(Tableau1[[#This Row],[Montant
Tarif HP/HC]]-AK$59)/Tableau1[[#This Row],[Diff jour_x000D_
Cumul
depuis
précédente facture
16/02/2021]]</f>
        <v>7.5548321308355098</v>
      </c>
      <c r="AO91" s="44">
        <f>Tableau1[[#This Row],[Conso HP + HC
Cumul]]*0.1599</f>
        <v>762.56309999999996</v>
      </c>
      <c r="AP91" s="44">
        <f>Tableau1[[#This Row],[Montant
Tarif normal]]/Tableau1[[#This Row],[Diff jour_x000D_
Cumul]]</f>
        <v>10.361400503874183</v>
      </c>
      <c r="AQ91" s="44">
        <f>(Tableau1[[#This Row],[Conso HP / an
Cumul]]*0.1799)+(Tableau1[[#This Row],[Conso HC / an_x000D_
Cumul]]*0.1346)</f>
        <v>3918.623523528539</v>
      </c>
      <c r="AR91" s="44">
        <f>Tableau1[[#This Row],[Conso HP + HC / an_x000D_
Cumul]]*0.1599</f>
        <v>3781.9111839140764</v>
      </c>
      <c r="AS91" s="38">
        <f>MONTH(Tableau1[[#This Row],[Date]])</f>
        <v>3</v>
      </c>
      <c r="AT91" s="38">
        <f>YEAR(Tableau1[[#This Row],[Date]])</f>
        <v>2021</v>
      </c>
    </row>
    <row r="92" spans="1:46" x14ac:dyDescent="0.2">
      <c r="A92" s="19">
        <v>44256.575694444444</v>
      </c>
      <c r="B92" s="20">
        <v>15.3</v>
      </c>
      <c r="C92" s="39">
        <f>IF(ISERROR(Tableau1[[#This Row],[Date]]-A91),"",Tableau1[[#This Row],[Date]]-A91)</f>
        <v>0.27083333333575865</v>
      </c>
      <c r="D92" s="40">
        <f>IF(ISERROR(Tableau1[[#This Row],[Date]]-A91),"",Tableau1[[#This Row],[Date]]-A91)</f>
        <v>0.27083333333575865</v>
      </c>
      <c r="E92" s="39">
        <f>Tableau1[[#This Row],[Date]]-$A$5</f>
        <v>73.867361111108039</v>
      </c>
      <c r="F92" s="40">
        <f>Tableau1[[#This Row],[Date]]-$A$5</f>
        <v>73.867361111108039</v>
      </c>
      <c r="G92" s="40">
        <f>Tableau1[[#This Row],[Diff jour_x000D_
Cumul]]-F$6</f>
        <v>35.784027777779556</v>
      </c>
      <c r="H92" s="40">
        <f>Tableau1[[#This Row],[Diff jour_x000D_
Cumul]]-F$59</f>
        <v>13.264583333329938</v>
      </c>
      <c r="I92" s="21">
        <v>183048</v>
      </c>
      <c r="J92" s="38">
        <f>IF(ISERROR(Tableau1[[#This Row],[Index HP
kWh]]-I91),"",Tableau1[[#This Row],[Index HP
kWh]]-I91)</f>
        <v>17</v>
      </c>
      <c r="K92" s="40">
        <f>IF(ISERROR(Tableau1[[#This Row],[Différence HP
Instantané]]/(Tableau1[[#This Row],[Diff jour
Instantané]]*24)),"",Tableau1[[#This Row],[Différence HP
Instantané]]/(Tableau1[[#This Row],[Diff jour
Instantané]]*24))</f>
        <v>2.6153846153611946</v>
      </c>
      <c r="L92" s="40">
        <f>Tableau1[[#This Row],[Différence HP
Instantané]]/Tableau1[[#This Row],[Diff jour
Instantané]]</f>
        <v>62.76923076866867</v>
      </c>
      <c r="M92" s="40">
        <f>Tableau1[[#This Row],[Conso HP / jour
Instantané]]*365</f>
        <v>22910.769230564063</v>
      </c>
      <c r="N92" s="38">
        <f>Tableau1[[#This Row],[Index HP
kWh]]-$I$5</f>
        <v>3289</v>
      </c>
      <c r="O92" s="41">
        <f>Tableau1[[#This Row],[Différence HP
Cumul]]/(Tableau1[[#This Row],[Diff jour_x000D_
Cumul]]*24)</f>
        <v>1.855239778506973</v>
      </c>
      <c r="P92" s="41">
        <f>Tableau1[[#This Row],[Différence HP
Cumul]]/Tableau1[[#This Row],[Diff jour_x000D_
Cumul]]</f>
        <v>44.525754684167353</v>
      </c>
      <c r="Q92" s="41">
        <f>Tableau1[[#This Row],[Conso HP / jour
Cumul]]*365</f>
        <v>16251.900459721084</v>
      </c>
      <c r="R92" s="21">
        <v>120929</v>
      </c>
      <c r="S92" s="38">
        <f>Tableau1[[#This Row],[Index HC_x000D_
kWh]]-R91</f>
        <v>0</v>
      </c>
      <c r="T92" s="42">
        <f>Tableau1[[#This Row],[Différence_x000D_ HC
Instantané]]/(Tableau1[[#This Row],[Diff jour
Instantané]]*24)</f>
        <v>0</v>
      </c>
      <c r="U92" s="42">
        <f>Tableau1[[#This Row],[Différence_x000D_ HC
Instantané]]/Tableau1[[#This Row],[Diff jour
Instantané]]</f>
        <v>0</v>
      </c>
      <c r="V92" s="42">
        <f>Tableau1[[#This Row],[Conso HC / jour_x000D_
Instantané]]*365</f>
        <v>0</v>
      </c>
      <c r="W92" s="38">
        <f>Tableau1[[#This Row],[Index HC_x000D_
kWh]]-$R$5</f>
        <v>1497</v>
      </c>
      <c r="X92" s="43">
        <f>Tableau1[[#This Row],[Différence HC
Cumul]]/(Tableau1[[#This Row],[Diff jour_x000D_
Cumul]]*24)</f>
        <v>0.84441895665093902</v>
      </c>
      <c r="Y92" s="43">
        <f>Tableau1[[#This Row],[Différence HC
Cumul]]/Tableau1[[#This Row],[Diff jour_x000D_
Cumul]]</f>
        <v>20.266054959622537</v>
      </c>
      <c r="Z92" s="43">
        <f>Tableau1[[#This Row],[Conso HC / jour_x000D_
Cumul]]*365</f>
        <v>7397.1100602622255</v>
      </c>
      <c r="AA92" s="38">
        <f>Tableau1[[#This Row],[Différence HP
Instantané]]+Tableau1[[#This Row],[Différence_x000D_ HC
Instantané]]</f>
        <v>17</v>
      </c>
      <c r="AB92" s="41">
        <f>Tableau1[[#This Row],[Conso HP + HC
Instantané]]/(Tableau1[[#This Row],[Diff jour
Instantané]]*24)</f>
        <v>2.6153846153611946</v>
      </c>
      <c r="AC92" s="34">
        <f>IF(ISERROR(Tableau1[[#This Row],[Date]]-A91),"",Tableau1[[#This Row],[Conso HP + HC
Instantané]]/Tableau1[[#This Row],[Diff jour
Instantané]])</f>
        <v>62.76923076866867</v>
      </c>
      <c r="AD92" s="41">
        <f>Tableau1[[#This Row],[Conso HP + HC / jour_x000D_
Instantané]]*365</f>
        <v>22910.769230564063</v>
      </c>
      <c r="AE92" s="38">
        <f>Tableau1[[#This Row],[Différence HP
Cumul]]+Tableau1[[#This Row],[Différence HC
Cumul]]</f>
        <v>4786</v>
      </c>
      <c r="AF92" s="40">
        <f>(Tableau1[[#This Row],[Conso HP + HC
Cumul]]-AE$6)/Tableau1[[#This Row],[Diff jour_x000D_
Cumul
depuis le 24/01]]</f>
        <v>61.89912476469253</v>
      </c>
      <c r="AG92" s="40">
        <f>(Tableau1[[#This Row],[Conso HP + HC
Cumul]]-AE$59)/Tableau1[[#This Row],[Diff jour_x000D_
Cumul
depuis
précédente facture
16/02/2021]]</f>
        <v>45.911732370044732</v>
      </c>
      <c r="AH92" s="41">
        <f>Tableau1[[#This Row],[Conso HP + HC
Cumul]]/(Tableau1[[#This Row],[Diff jour_x000D_
Cumul]]*24)</f>
        <v>2.6996587351579122</v>
      </c>
      <c r="AI92" s="41">
        <f>Tableau1[[#This Row],[Conso HP + HC
Cumul]]/Tableau1[[#This Row],[Diff jour_x000D_
Cumul]]</f>
        <v>64.79180964378989</v>
      </c>
      <c r="AJ92" s="41">
        <f>Tableau1[[#This Row],[Conso HP + HC / jour_x000D_
Cumul]]*365</f>
        <v>23649.010519983309</v>
      </c>
      <c r="AK92" s="44">
        <f>(Tableau1[[#This Row],[Différence HP
Cumul]]*0.1799)+(Tableau1[[#This Row],[Différence HC
Cumul]]*0.1346)</f>
        <v>793.18730000000005</v>
      </c>
      <c r="AL92" s="44">
        <f>Tableau1[[#This Row],[Montant
Tarif HP/HC]]/Tableau1[[#This Row],[Diff jour_x000D_
Cumul]]</f>
        <v>10.7379942652469</v>
      </c>
      <c r="AM92" s="44">
        <f>(Tableau1[[#This Row],[Montant
Tarif HP/HC]]-AK$6)/Tableau1[[#This Row],[Diff jour_x000D_
Cumul
depuis le 24/01]]</f>
        <v>10.305203826970708</v>
      </c>
      <c r="AN92" s="44">
        <f>(Tableau1[[#This Row],[Montant
Tarif HP/HC]]-AK$59)/Tableau1[[#This Row],[Diff jour_x000D_
Cumul
depuis
précédente facture
16/02/2021]]</f>
        <v>7.6311405685585791</v>
      </c>
      <c r="AO92" s="44">
        <f>Tableau1[[#This Row],[Conso HP + HC
Cumul]]*0.1599</f>
        <v>765.28139999999996</v>
      </c>
      <c r="AP92" s="44">
        <f>Tableau1[[#This Row],[Montant
Tarif normal]]/Tableau1[[#This Row],[Diff jour_x000D_
Cumul]]</f>
        <v>10.360210362042002</v>
      </c>
      <c r="AQ92" s="44">
        <f>(Tableau1[[#This Row],[Conso HP / an
Cumul]]*0.1799)+(Tableau1[[#This Row],[Conso HC / an_x000D_
Cumul]]*0.1346)</f>
        <v>3919.3679068151187</v>
      </c>
      <c r="AR92" s="44">
        <f>Tableau1[[#This Row],[Conso HP + HC / an_x000D_
Cumul]]*0.1599</f>
        <v>3781.4767821453306</v>
      </c>
      <c r="AS92" s="38">
        <f>MONTH(Tableau1[[#This Row],[Date]])</f>
        <v>3</v>
      </c>
      <c r="AT92" s="38">
        <f>YEAR(Tableau1[[#This Row],[Date]])</f>
        <v>2021</v>
      </c>
    </row>
    <row r="93" spans="1:46" x14ac:dyDescent="0.2">
      <c r="A93" s="19">
        <v>44256.975694444445</v>
      </c>
      <c r="B93" s="20">
        <v>7.2</v>
      </c>
      <c r="C93" s="39">
        <f>IF(ISERROR(Tableau1[[#This Row],[Date]]-A92),"",Tableau1[[#This Row],[Date]]-A92)</f>
        <v>0.40000000000145519</v>
      </c>
      <c r="D93" s="40">
        <f>IF(ISERROR(Tableau1[[#This Row],[Date]]-A92),"",Tableau1[[#This Row],[Date]]-A92)</f>
        <v>0.40000000000145519</v>
      </c>
      <c r="E93" s="39">
        <f>Tableau1[[#This Row],[Date]]-$A$5</f>
        <v>74.267361111109494</v>
      </c>
      <c r="F93" s="40">
        <f>Tableau1[[#This Row],[Date]]-$A$5</f>
        <v>74.267361111109494</v>
      </c>
      <c r="G93" s="40">
        <f>Tableau1[[#This Row],[Diff jour_x000D_
Cumul]]-F$6</f>
        <v>36.184027777781012</v>
      </c>
      <c r="H93" s="40">
        <f>Tableau1[[#This Row],[Diff jour_x000D_
Cumul]]-F$59</f>
        <v>13.664583333331393</v>
      </c>
      <c r="I93" s="21">
        <v>183065</v>
      </c>
      <c r="J93" s="38">
        <f>IF(ISERROR(Tableau1[[#This Row],[Index HP
kWh]]-I92),"",Tableau1[[#This Row],[Index HP
kWh]]-I92)</f>
        <v>17</v>
      </c>
      <c r="K93" s="40">
        <f>IF(ISERROR(Tableau1[[#This Row],[Différence HP
Instantané]]/(Tableau1[[#This Row],[Diff jour
Instantané]]*24)),"",Tableau1[[#This Row],[Différence HP
Instantané]]/(Tableau1[[#This Row],[Diff jour
Instantané]]*24))</f>
        <v>1.7708333333268911</v>
      </c>
      <c r="L93" s="40">
        <f>Tableau1[[#This Row],[Différence HP
Instantané]]/Tableau1[[#This Row],[Diff jour
Instantané]]</f>
        <v>42.499999999845386</v>
      </c>
      <c r="M93" s="40">
        <f>Tableau1[[#This Row],[Conso HP / jour
Instantané]]*365</f>
        <v>15512.499999943566</v>
      </c>
      <c r="N93" s="38">
        <f>Tableau1[[#This Row],[Index HP
kWh]]-$I$5</f>
        <v>3306</v>
      </c>
      <c r="O93" s="41">
        <f>Tableau1[[#This Row],[Différence HP
Cumul]]/(Tableau1[[#This Row],[Diff jour_x000D_
Cumul]]*24)</f>
        <v>1.8547851699472095</v>
      </c>
      <c r="P93" s="41">
        <f>Tableau1[[#This Row],[Différence HP
Cumul]]/Tableau1[[#This Row],[Diff jour_x000D_
Cumul]]</f>
        <v>44.514844078733027</v>
      </c>
      <c r="Q93" s="41">
        <f>Tableau1[[#This Row],[Conso HP / jour
Cumul]]*365</f>
        <v>16247.918088737555</v>
      </c>
      <c r="R93" s="21">
        <v>120931</v>
      </c>
      <c r="S93" s="38">
        <f>Tableau1[[#This Row],[Index HC_x000D_
kWh]]-R92</f>
        <v>2</v>
      </c>
      <c r="T93" s="42">
        <f>Tableau1[[#This Row],[Différence_x000D_ HC
Instantané]]/(Tableau1[[#This Row],[Diff jour
Instantané]]*24)</f>
        <v>0.20833333333257542</v>
      </c>
      <c r="U93" s="42">
        <f>Tableau1[[#This Row],[Différence_x000D_ HC
Instantané]]/Tableau1[[#This Row],[Diff jour
Instantané]]</f>
        <v>4.9999999999818101</v>
      </c>
      <c r="V93" s="42">
        <f>Tableau1[[#This Row],[Conso HC / jour_x000D_
Instantané]]*365</f>
        <v>1824.9999999933607</v>
      </c>
      <c r="W93" s="38">
        <f>Tableau1[[#This Row],[Index HC_x000D_
kWh]]-$R$5</f>
        <v>1499</v>
      </c>
      <c r="X93" s="43">
        <f>Tableau1[[#This Row],[Différence HC
Cumul]]/(Tableau1[[#This Row],[Diff jour_x000D_
Cumul]]*24)</f>
        <v>0.84099303380244006</v>
      </c>
      <c r="Y93" s="43">
        <f>Tableau1[[#This Row],[Différence HC
Cumul]]/Tableau1[[#This Row],[Diff jour_x000D_
Cumul]]</f>
        <v>20.183832811258561</v>
      </c>
      <c r="Z93" s="43">
        <f>Tableau1[[#This Row],[Conso HC / jour_x000D_
Cumul]]*365</f>
        <v>7367.0989761093751</v>
      </c>
      <c r="AA93" s="38">
        <f>Tableau1[[#This Row],[Différence HP
Instantané]]+Tableau1[[#This Row],[Différence_x000D_ HC
Instantané]]</f>
        <v>19</v>
      </c>
      <c r="AB93" s="41">
        <f>Tableau1[[#This Row],[Conso HP + HC
Instantané]]/(Tableau1[[#This Row],[Diff jour
Instantané]]*24)</f>
        <v>1.9791666666594665</v>
      </c>
      <c r="AC93" s="34">
        <f>IF(ISERROR(Tableau1[[#This Row],[Date]]-A92),"",Tableau1[[#This Row],[Conso HP + HC
Instantané]]/Tableau1[[#This Row],[Diff jour
Instantané]])</f>
        <v>47.499999999827196</v>
      </c>
      <c r="AD93" s="41">
        <f>Tableau1[[#This Row],[Conso HP + HC / jour_x000D_
Instantané]]*365</f>
        <v>17337.499999936925</v>
      </c>
      <c r="AE93" s="38">
        <f>Tableau1[[#This Row],[Différence HP
Cumul]]+Tableau1[[#This Row],[Différence HC
Cumul]]</f>
        <v>4805</v>
      </c>
      <c r="AF93" s="40">
        <f>(Tableau1[[#This Row],[Conso HP + HC
Cumul]]-AE$6)/Tableau1[[#This Row],[Diff jour_x000D_
Cumul
depuis le 24/01]]</f>
        <v>61.739948181550957</v>
      </c>
      <c r="AG93" s="40">
        <f>(Tableau1[[#This Row],[Conso HP + HC
Cumul]]-AE$59)/Tableau1[[#This Row],[Diff jour_x000D_
Cumul
depuis
précédente facture
16/02/2021]]</f>
        <v>45.958225339235064</v>
      </c>
      <c r="AH93" s="41">
        <f>Tableau1[[#This Row],[Conso HP + HC
Cumul]]/(Tableau1[[#This Row],[Diff jour_x000D_
Cumul]]*24)</f>
        <v>2.6957782037496494</v>
      </c>
      <c r="AI93" s="41">
        <f>Tableau1[[#This Row],[Conso HP + HC
Cumul]]/Tableau1[[#This Row],[Diff jour_x000D_
Cumul]]</f>
        <v>64.698676889991589</v>
      </c>
      <c r="AJ93" s="41">
        <f>Tableau1[[#This Row],[Conso HP + HC / jour_x000D_
Cumul]]*365</f>
        <v>23615.017064846928</v>
      </c>
      <c r="AK93" s="44">
        <f>(Tableau1[[#This Row],[Différence HP
Cumul]]*0.1799)+(Tableau1[[#This Row],[Différence HC
Cumul]]*0.1346)</f>
        <v>796.51480000000004</v>
      </c>
      <c r="AL93" s="44">
        <f>Tableau1[[#This Row],[Montant
Tarif HP/HC]]/Tableau1[[#This Row],[Diff jour_x000D_
Cumul]]</f>
        <v>10.724964346159474</v>
      </c>
      <c r="AM93" s="44">
        <f>(Tableau1[[#This Row],[Montant
Tarif HP/HC]]-AK$6)/Tableau1[[#This Row],[Diff jour_x000D_
Cumul
depuis le 24/01]]</f>
        <v>10.283244371940354</v>
      </c>
      <c r="AN93" s="44">
        <f>(Tableau1[[#This Row],[Montant
Tarif HP/HC]]-AK$59)/Tableau1[[#This Row],[Diff jour_x000D_
Cumul
depuis
précédente facture
16/02/2021]]</f>
        <v>7.6512687909753243</v>
      </c>
      <c r="AO93" s="44">
        <f>Tableau1[[#This Row],[Conso HP + HC
Cumul]]*0.1599</f>
        <v>768.31949999999995</v>
      </c>
      <c r="AP93" s="44">
        <f>Tableau1[[#This Row],[Montant
Tarif normal]]/Tableau1[[#This Row],[Diff jour_x000D_
Cumul]]</f>
        <v>10.345318434709654</v>
      </c>
      <c r="AQ93" s="44">
        <f>(Tableau1[[#This Row],[Conso HP / an
Cumul]]*0.1799)+(Tableau1[[#This Row],[Conso HC / an_x000D_
Cumul]]*0.1346)</f>
        <v>3914.6119863482081</v>
      </c>
      <c r="AR93" s="44">
        <f>Tableau1[[#This Row],[Conso HP + HC / an_x000D_
Cumul]]*0.1599</f>
        <v>3776.0412286690234</v>
      </c>
      <c r="AS93" s="38">
        <f>MONTH(Tableau1[[#This Row],[Date]])</f>
        <v>3</v>
      </c>
      <c r="AT93" s="38">
        <f>YEAR(Tableau1[[#This Row],[Date]])</f>
        <v>2021</v>
      </c>
    </row>
    <row r="94" spans="1:46" x14ac:dyDescent="0.2">
      <c r="A94" s="19">
        <v>44257.306944444441</v>
      </c>
      <c r="B94" s="20">
        <v>8</v>
      </c>
      <c r="C94" s="39">
        <f>IF(ISERROR(Tableau1[[#This Row],[Date]]-A93),"",Tableau1[[#This Row],[Date]]-A93)</f>
        <v>0.33124999999563443</v>
      </c>
      <c r="D94" s="40">
        <f>IF(ISERROR(Tableau1[[#This Row],[Date]]-A93),"",Tableau1[[#This Row],[Date]]-A93)</f>
        <v>0.33124999999563443</v>
      </c>
      <c r="E94" s="39">
        <f>Tableau1[[#This Row],[Date]]-$A$5</f>
        <v>74.598611111105129</v>
      </c>
      <c r="F94" s="40">
        <f>Tableau1[[#This Row],[Date]]-$A$5</f>
        <v>74.598611111105129</v>
      </c>
      <c r="G94" s="40">
        <f>Tableau1[[#This Row],[Diff jour_x000D_
Cumul]]-F$6</f>
        <v>36.515277777776646</v>
      </c>
      <c r="H94" s="40">
        <f>Tableau1[[#This Row],[Diff jour_x000D_
Cumul]]-F$59</f>
        <v>13.995833333327028</v>
      </c>
      <c r="I94" s="21">
        <v>183067</v>
      </c>
      <c r="J94" s="38">
        <f>IF(ISERROR(Tableau1[[#This Row],[Index HP
kWh]]-I93),"",Tableau1[[#This Row],[Index HP
kWh]]-I93)</f>
        <v>2</v>
      </c>
      <c r="K94" s="40">
        <f>IF(ISERROR(Tableau1[[#This Row],[Différence HP
Instantané]]/(Tableau1[[#This Row],[Diff jour
Instantané]]*24)),"",Tableau1[[#This Row],[Différence HP
Instantané]]/(Tableau1[[#This Row],[Diff jour
Instantané]]*24))</f>
        <v>0.25157232704734067</v>
      </c>
      <c r="L94" s="40">
        <f>Tableau1[[#This Row],[Différence HP
Instantané]]/Tableau1[[#This Row],[Diff jour
Instantané]]</f>
        <v>6.0377358491361752</v>
      </c>
      <c r="M94" s="40">
        <f>Tableau1[[#This Row],[Conso HP / jour
Instantané]]*365</f>
        <v>2203.7735849347041</v>
      </c>
      <c r="N94" s="38">
        <f>Tableau1[[#This Row],[Index HP
kWh]]-$I$5</f>
        <v>3308</v>
      </c>
      <c r="O94" s="41">
        <f>Tableau1[[#This Row],[Différence HP
Cumul]]/(Tableau1[[#This Row],[Diff jour_x000D_
Cumul]]*24)</f>
        <v>1.8476662136249178</v>
      </c>
      <c r="P94" s="41">
        <f>Tableau1[[#This Row],[Différence HP
Cumul]]/Tableau1[[#This Row],[Diff jour_x000D_
Cumul]]</f>
        <v>44.343989126998025</v>
      </c>
      <c r="Q94" s="41">
        <f>Tableau1[[#This Row],[Conso HP / jour
Cumul]]*365</f>
        <v>16185.556031354279</v>
      </c>
      <c r="R94" s="21">
        <v>120945</v>
      </c>
      <c r="S94" s="38">
        <f>Tableau1[[#This Row],[Index HC_x000D_
kWh]]-R93</f>
        <v>14</v>
      </c>
      <c r="T94" s="42">
        <f>Tableau1[[#This Row],[Différence_x000D_ HC
Instantané]]/(Tableau1[[#This Row],[Diff jour
Instantané]]*24)</f>
        <v>1.7610062893313845</v>
      </c>
      <c r="U94" s="42">
        <f>Tableau1[[#This Row],[Différence_x000D_ HC
Instantané]]/Tableau1[[#This Row],[Diff jour
Instantané]]</f>
        <v>42.264150943953233</v>
      </c>
      <c r="V94" s="42">
        <f>Tableau1[[#This Row],[Conso HC / jour_x000D_
Instantané]]*365</f>
        <v>15426.41509454293</v>
      </c>
      <c r="W94" s="38">
        <f>Tableau1[[#This Row],[Index HC_x000D_
kWh]]-$R$5</f>
        <v>1513</v>
      </c>
      <c r="X94" s="43">
        <f>Tableau1[[#This Row],[Différence HC
Cumul]]/(Tableau1[[#This Row],[Diff jour_x000D_
Cumul]]*24)</f>
        <v>0.84507828936351292</v>
      </c>
      <c r="Y94" s="43">
        <f>Tableau1[[#This Row],[Différence HC
Cumul]]/Tableau1[[#This Row],[Diff jour_x000D_
Cumul]]</f>
        <v>20.281878944724308</v>
      </c>
      <c r="Z94" s="43">
        <f>Tableau1[[#This Row],[Conso HC / jour_x000D_
Cumul]]*365</f>
        <v>7402.8858148243726</v>
      </c>
      <c r="AA94" s="38">
        <f>Tableau1[[#This Row],[Différence HP
Instantané]]+Tableau1[[#This Row],[Différence_x000D_ HC
Instantané]]</f>
        <v>16</v>
      </c>
      <c r="AB94" s="41">
        <f>Tableau1[[#This Row],[Conso HP + HC
Instantané]]/(Tableau1[[#This Row],[Diff jour
Instantané]]*24)</f>
        <v>2.0125786163787254</v>
      </c>
      <c r="AC94" s="34">
        <f>IF(ISERROR(Tableau1[[#This Row],[Date]]-A93),"",Tableau1[[#This Row],[Conso HP + HC
Instantané]]/Tableau1[[#This Row],[Diff jour
Instantané]])</f>
        <v>48.301886793089402</v>
      </c>
      <c r="AD94" s="41">
        <f>Tableau1[[#This Row],[Conso HP + HC / jour_x000D_
Instantané]]*365</f>
        <v>17630.188679477633</v>
      </c>
      <c r="AE94" s="38">
        <f>Tableau1[[#This Row],[Différence HP
Cumul]]+Tableau1[[#This Row],[Différence HC
Cumul]]</f>
        <v>4821</v>
      </c>
      <c r="AF94" s="40">
        <f>(Tableau1[[#This Row],[Conso HP + HC
Cumul]]-AE$6)/Tableau1[[#This Row],[Diff jour_x000D_
Cumul
depuis le 24/01]]</f>
        <v>61.618044197636081</v>
      </c>
      <c r="AG94" s="40">
        <f>(Tableau1[[#This Row],[Conso HP + HC
Cumul]]-AE$59)/Tableau1[[#This Row],[Diff jour_x000D_
Cumul
depuis
précédente facture
16/02/2021]]</f>
        <v>46.013694551970715</v>
      </c>
      <c r="AH94" s="41">
        <f>Tableau1[[#This Row],[Conso HP + HC
Cumul]]/(Tableau1[[#This Row],[Diff jour_x000D_
Cumul]]*24)</f>
        <v>2.6927445029884307</v>
      </c>
      <c r="AI94" s="41">
        <f>Tableau1[[#This Row],[Conso HP + HC
Cumul]]/Tableau1[[#This Row],[Diff jour_x000D_
Cumul]]</f>
        <v>64.625868071722337</v>
      </c>
      <c r="AJ94" s="41">
        <f>Tableau1[[#This Row],[Conso HP + HC / jour_x000D_
Cumul]]*365</f>
        <v>23588.441846178652</v>
      </c>
      <c r="AK94" s="44">
        <f>(Tableau1[[#This Row],[Différence HP
Cumul]]*0.1799)+(Tableau1[[#This Row],[Différence HC
Cumul]]*0.1346)</f>
        <v>798.75900000000001</v>
      </c>
      <c r="AL94" s="44">
        <f>Tableau1[[#This Row],[Montant
Tarif HP/HC]]/Tableau1[[#This Row],[Diff jour_x000D_
Cumul]]</f>
        <v>10.707424549906838</v>
      </c>
      <c r="AM94" s="44">
        <f>(Tableau1[[#This Row],[Montant
Tarif HP/HC]]-AK$6)/Tableau1[[#This Row],[Diff jour_x000D_
Cumul
depuis le 24/01]]</f>
        <v>10.251418660378393</v>
      </c>
      <c r="AN94" s="44">
        <f>(Tableau1[[#This Row],[Montant
Tarif HP/HC]]-AK$59)/Tableau1[[#This Row],[Diff jour_x000D_
Cumul
depuis
précédente facture
16/02/2021]]</f>
        <v>7.6305281333764681</v>
      </c>
      <c r="AO94" s="44">
        <f>Tableau1[[#This Row],[Conso HP + HC
Cumul]]*0.1599</f>
        <v>770.87789999999995</v>
      </c>
      <c r="AP94" s="44">
        <f>Tableau1[[#This Row],[Montant
Tarif normal]]/Tableau1[[#This Row],[Diff jour_x000D_
Cumul]]</f>
        <v>10.333676304668401</v>
      </c>
      <c r="AQ94" s="44">
        <f>(Tableau1[[#This Row],[Conso HP / an
Cumul]]*0.1799)+(Tableau1[[#This Row],[Conso HC / an_x000D_
Cumul]]*0.1346)</f>
        <v>3908.2099607159957</v>
      </c>
      <c r="AR94" s="44">
        <f>Tableau1[[#This Row],[Conso HP + HC / an_x000D_
Cumul]]*0.1599</f>
        <v>3771.791851203966</v>
      </c>
      <c r="AS94" s="38">
        <f>MONTH(Tableau1[[#This Row],[Date]])</f>
        <v>3</v>
      </c>
      <c r="AT94" s="38">
        <f>YEAR(Tableau1[[#This Row],[Date]])</f>
        <v>2021</v>
      </c>
    </row>
    <row r="95" spans="1:46" x14ac:dyDescent="0.2">
      <c r="A95" s="19">
        <v>44257.621527777781</v>
      </c>
      <c r="B95" s="20">
        <v>14.9</v>
      </c>
      <c r="C95" s="39">
        <f>IF(ISERROR(Tableau1[[#This Row],[Date]]-A94),"",Tableau1[[#This Row],[Date]]-A94)</f>
        <v>0.31458333334012423</v>
      </c>
      <c r="D95" s="40">
        <f>IF(ISERROR(Tableau1[[#This Row],[Date]]-A94),"",Tableau1[[#This Row],[Date]]-A94)</f>
        <v>0.31458333334012423</v>
      </c>
      <c r="E95" s="39">
        <f>Tableau1[[#This Row],[Date]]-$A$5</f>
        <v>74.913194444445253</v>
      </c>
      <c r="F95" s="40">
        <f>Tableau1[[#This Row],[Date]]-$A$5</f>
        <v>74.913194444445253</v>
      </c>
      <c r="G95" s="40">
        <f>Tableau1[[#This Row],[Diff jour_x000D_
Cumul]]-F$6</f>
        <v>36.82986111111677</v>
      </c>
      <c r="H95" s="40">
        <f>Tableau1[[#This Row],[Diff jour_x000D_
Cumul]]-F$59</f>
        <v>14.310416666667152</v>
      </c>
      <c r="I95" s="21">
        <v>183084</v>
      </c>
      <c r="J95" s="38">
        <f>IF(ISERROR(Tableau1[[#This Row],[Index HP
kWh]]-I94),"",Tableau1[[#This Row],[Index HP
kWh]]-I94)</f>
        <v>17</v>
      </c>
      <c r="K95" s="40">
        <f>IF(ISERROR(Tableau1[[#This Row],[Différence HP
Instantané]]/(Tableau1[[#This Row],[Diff jour
Instantané]]*24)),"",Tableau1[[#This Row],[Différence HP
Instantané]]/(Tableau1[[#This Row],[Diff jour
Instantané]]*24))</f>
        <v>2.2516556290904663</v>
      </c>
      <c r="L95" s="40">
        <f>Tableau1[[#This Row],[Différence HP
Instantané]]/Tableau1[[#This Row],[Diff jour
Instantané]]</f>
        <v>54.039735098171192</v>
      </c>
      <c r="M95" s="40">
        <f>Tableau1[[#This Row],[Conso HP / jour
Instantané]]*365</f>
        <v>19724.503310832486</v>
      </c>
      <c r="N95" s="38">
        <f>Tableau1[[#This Row],[Index HP
kWh]]-$I$5</f>
        <v>3325</v>
      </c>
      <c r="O95" s="41">
        <f>Tableau1[[#This Row],[Différence HP
Cumul]]/(Tableau1[[#This Row],[Diff jour_x000D_
Cumul]]*24)</f>
        <v>1.8493626882966197</v>
      </c>
      <c r="P95" s="41">
        <f>Tableau1[[#This Row],[Différence HP
Cumul]]/Tableau1[[#This Row],[Diff jour_x000D_
Cumul]]</f>
        <v>44.38470451911887</v>
      </c>
      <c r="Q95" s="41">
        <f>Tableau1[[#This Row],[Conso HP / jour
Cumul]]*365</f>
        <v>16200.417149478388</v>
      </c>
      <c r="R95" s="21">
        <v>120945</v>
      </c>
      <c r="S95" s="38">
        <f>Tableau1[[#This Row],[Index HC_x000D_
kWh]]-R94</f>
        <v>0</v>
      </c>
      <c r="T95" s="42">
        <f>Tableau1[[#This Row],[Différence_x000D_ HC
Instantané]]/(Tableau1[[#This Row],[Diff jour
Instantané]]*24)</f>
        <v>0</v>
      </c>
      <c r="U95" s="42">
        <f>Tableau1[[#This Row],[Différence_x000D_ HC
Instantané]]/Tableau1[[#This Row],[Diff jour
Instantané]]</f>
        <v>0</v>
      </c>
      <c r="V95" s="42">
        <f>Tableau1[[#This Row],[Conso HC / jour_x000D_
Instantané]]*365</f>
        <v>0</v>
      </c>
      <c r="W95" s="38">
        <f>Tableau1[[#This Row],[Index HC_x000D_
kWh]]-$R$5</f>
        <v>1513</v>
      </c>
      <c r="X95" s="43">
        <f>Tableau1[[#This Row],[Différence HC
Cumul]]/(Tableau1[[#This Row],[Diff jour_x000D_
Cumul]]*24)</f>
        <v>0.8415295480880558</v>
      </c>
      <c r="Y95" s="43">
        <f>Tableau1[[#This Row],[Différence HC
Cumul]]/Tableau1[[#This Row],[Diff jour_x000D_
Cumul]]</f>
        <v>20.196709154113339</v>
      </c>
      <c r="Z95" s="43">
        <f>Tableau1[[#This Row],[Conso HC / jour_x000D_
Cumul]]*365</f>
        <v>7371.7988412513687</v>
      </c>
      <c r="AA95" s="38">
        <f>Tableau1[[#This Row],[Différence HP
Instantané]]+Tableau1[[#This Row],[Différence_x000D_ HC
Instantané]]</f>
        <v>17</v>
      </c>
      <c r="AB95" s="41">
        <f>Tableau1[[#This Row],[Conso HP + HC
Instantané]]/(Tableau1[[#This Row],[Diff jour
Instantané]]*24)</f>
        <v>2.2516556290904663</v>
      </c>
      <c r="AC95" s="34">
        <f>IF(ISERROR(Tableau1[[#This Row],[Date]]-A94),"",Tableau1[[#This Row],[Conso HP + HC
Instantané]]/Tableau1[[#This Row],[Diff jour
Instantané]])</f>
        <v>54.039735098171192</v>
      </c>
      <c r="AD95" s="41">
        <f>Tableau1[[#This Row],[Conso HP + HC / jour_x000D_
Instantané]]*365</f>
        <v>19724.503310832486</v>
      </c>
      <c r="AE95" s="38">
        <f>Tableau1[[#This Row],[Différence HP
Cumul]]+Tableau1[[#This Row],[Différence HC
Cumul]]</f>
        <v>4838</v>
      </c>
      <c r="AF95" s="40">
        <f>(Tableau1[[#This Row],[Conso HP + HC
Cumul]]-AE$6)/Tableau1[[#This Row],[Diff jour_x000D_
Cumul
depuis le 24/01]]</f>
        <v>61.553313849335318</v>
      </c>
      <c r="AG95" s="40">
        <f>(Tableau1[[#This Row],[Conso HP + HC
Cumul]]-AE$59)/Tableau1[[#This Row],[Diff jour_x000D_
Cumul
depuis
précédente facture
16/02/2021]]</f>
        <v>46.190129567621085</v>
      </c>
      <c r="AH95" s="41">
        <f>Tableau1[[#This Row],[Conso HP + HC
Cumul]]/(Tableau1[[#This Row],[Diff jour_x000D_
Cumul]]*24)</f>
        <v>2.6908922363846757</v>
      </c>
      <c r="AI95" s="41">
        <f>Tableau1[[#This Row],[Conso HP + HC
Cumul]]/Tableau1[[#This Row],[Diff jour_x000D_
Cumul]]</f>
        <v>64.581413673232205</v>
      </c>
      <c r="AJ95" s="41">
        <f>Tableau1[[#This Row],[Conso HP + HC / jour_x000D_
Cumul]]*365</f>
        <v>23572.215990729754</v>
      </c>
      <c r="AK95" s="44">
        <f>(Tableau1[[#This Row],[Différence HP
Cumul]]*0.1799)+(Tableau1[[#This Row],[Différence HC
Cumul]]*0.1346)</f>
        <v>801.81730000000005</v>
      </c>
      <c r="AL95" s="44">
        <f>Tableau1[[#This Row],[Montant
Tarif HP/HC]]/Tableau1[[#This Row],[Diff jour_x000D_
Cumul]]</f>
        <v>10.703285395133141</v>
      </c>
      <c r="AM95" s="44">
        <f>(Tableau1[[#This Row],[Montant
Tarif HP/HC]]-AK$6)/Tableau1[[#This Row],[Diff jour_x000D_
Cumul
depuis le 24/01]]</f>
        <v>10.246894465917158</v>
      </c>
      <c r="AN95" s="44">
        <f>(Tableau1[[#This Row],[Montant
Tarif HP/HC]]-AK$59)/Tableau1[[#This Row],[Diff jour_x000D_
Cumul
depuis
précédente facture
16/02/2021]]</f>
        <v>7.676499053719354</v>
      </c>
      <c r="AO95" s="44">
        <f>Tableau1[[#This Row],[Conso HP + HC
Cumul]]*0.1599</f>
        <v>773.59619999999995</v>
      </c>
      <c r="AP95" s="44">
        <f>Tableau1[[#This Row],[Montant
Tarif normal]]/Tableau1[[#This Row],[Diff jour_x000D_
Cumul]]</f>
        <v>10.326568046349831</v>
      </c>
      <c r="AQ95" s="44">
        <f>(Tableau1[[#This Row],[Conso HP / an
Cumul]]*0.1799)+(Tableau1[[#This Row],[Conso HC / an_x000D_
Cumul]]*0.1346)</f>
        <v>3906.6991692235961</v>
      </c>
      <c r="AR95" s="44">
        <f>Tableau1[[#This Row],[Conso HP + HC / an_x000D_
Cumul]]*0.1599</f>
        <v>3769.1973369176872</v>
      </c>
      <c r="AS95" s="38">
        <f>MONTH(Tableau1[[#This Row],[Date]])</f>
        <v>3</v>
      </c>
      <c r="AT95" s="38">
        <f>YEAR(Tableau1[[#This Row],[Date]])</f>
        <v>2021</v>
      </c>
    </row>
    <row r="96" spans="1:46" x14ac:dyDescent="0.2">
      <c r="A96" s="19">
        <v>44257.945833333331</v>
      </c>
      <c r="B96" s="20">
        <v>9.6999999999999993</v>
      </c>
      <c r="C96" s="39">
        <f>IF(ISERROR(Tableau1[[#This Row],[Date]]-A95),"",Tableau1[[#This Row],[Date]]-A95)</f>
        <v>0.32430555555038154</v>
      </c>
      <c r="D96" s="40">
        <f>IF(ISERROR(Tableau1[[#This Row],[Date]]-A95),"",Tableau1[[#This Row],[Date]]-A95)</f>
        <v>0.32430555555038154</v>
      </c>
      <c r="E96" s="39">
        <f>Tableau1[[#This Row],[Date]]-$A$5</f>
        <v>75.237499999995634</v>
      </c>
      <c r="F96" s="40">
        <f>Tableau1[[#This Row],[Date]]-$A$5</f>
        <v>75.237499999995634</v>
      </c>
      <c r="G96" s="40">
        <f>Tableau1[[#This Row],[Diff jour_x000D_
Cumul]]-F$6</f>
        <v>37.154166666667152</v>
      </c>
      <c r="H96" s="40">
        <f>Tableau1[[#This Row],[Diff jour_x000D_
Cumul]]-F$59</f>
        <v>14.634722222217533</v>
      </c>
      <c r="I96" s="21">
        <v>183097</v>
      </c>
      <c r="J96" s="38">
        <f>IF(ISERROR(Tableau1[[#This Row],[Index HP
kWh]]-I95),"",Tableau1[[#This Row],[Index HP
kWh]]-I95)</f>
        <v>13</v>
      </c>
      <c r="K96" s="40">
        <f>IF(ISERROR(Tableau1[[#This Row],[Différence HP
Instantané]]/(Tableau1[[#This Row],[Diff jour
Instantané]]*24)),"",Tableau1[[#This Row],[Différence HP
Instantané]]/(Tableau1[[#This Row],[Diff jour
Instantané]]*24))</f>
        <v>1.670235546065191</v>
      </c>
      <c r="L96" s="40">
        <f>Tableau1[[#This Row],[Différence HP
Instantané]]/Tableau1[[#This Row],[Diff jour
Instantané]]</f>
        <v>40.085653105564589</v>
      </c>
      <c r="M96" s="40">
        <f>Tableau1[[#This Row],[Conso HP / jour
Instantané]]*365</f>
        <v>14631.263383531075</v>
      </c>
      <c r="N96" s="38">
        <f>Tableau1[[#This Row],[Index HP
kWh]]-$I$5</f>
        <v>3338</v>
      </c>
      <c r="O96" s="41">
        <f>Tableau1[[#This Row],[Différence HP
Cumul]]/(Tableau1[[#This Row],[Diff jour_x000D_
Cumul]]*24)</f>
        <v>1.8485905742926254</v>
      </c>
      <c r="P96" s="41">
        <f>Tableau1[[#This Row],[Différence HP
Cumul]]/Tableau1[[#This Row],[Diff jour_x000D_
Cumul]]</f>
        <v>44.366173783023008</v>
      </c>
      <c r="Q96" s="41">
        <f>Tableau1[[#This Row],[Conso HP / jour
Cumul]]*365</f>
        <v>16193.653430803399</v>
      </c>
      <c r="R96" s="21">
        <v>120945</v>
      </c>
      <c r="S96" s="38">
        <f>Tableau1[[#This Row],[Index HC_x000D_
kWh]]-R95</f>
        <v>0</v>
      </c>
      <c r="T96" s="42">
        <f>Tableau1[[#This Row],[Différence_x000D_ HC
Instantané]]/(Tableau1[[#This Row],[Diff jour
Instantané]]*24)</f>
        <v>0</v>
      </c>
      <c r="U96" s="42">
        <f>Tableau1[[#This Row],[Différence_x000D_ HC
Instantané]]/Tableau1[[#This Row],[Diff jour
Instantané]]</f>
        <v>0</v>
      </c>
      <c r="V96" s="42">
        <f>Tableau1[[#This Row],[Conso HC / jour_x000D_
Instantané]]*365</f>
        <v>0</v>
      </c>
      <c r="W96" s="38">
        <f>Tableau1[[#This Row],[Index HC_x000D_
kWh]]-$R$5</f>
        <v>1513</v>
      </c>
      <c r="X96" s="43">
        <f>Tableau1[[#This Row],[Différence HC
Cumul]]/(Tableau1[[#This Row],[Diff jour_x000D_
Cumul]]*24)</f>
        <v>0.83790219859339188</v>
      </c>
      <c r="Y96" s="43">
        <f>Tableau1[[#This Row],[Différence HC
Cumul]]/Tableau1[[#This Row],[Diff jour_x000D_
Cumul]]</f>
        <v>20.109652766241407</v>
      </c>
      <c r="Z96" s="43">
        <f>Tableau1[[#This Row],[Conso HC / jour_x000D_
Cumul]]*365</f>
        <v>7340.0232596781134</v>
      </c>
      <c r="AA96" s="38">
        <f>Tableau1[[#This Row],[Différence HP
Instantané]]+Tableau1[[#This Row],[Différence_x000D_ HC
Instantané]]</f>
        <v>13</v>
      </c>
      <c r="AB96" s="41">
        <f>Tableau1[[#This Row],[Conso HP + HC
Instantané]]/(Tableau1[[#This Row],[Diff jour
Instantané]]*24)</f>
        <v>1.670235546065191</v>
      </c>
      <c r="AC96" s="34">
        <f>IF(ISERROR(Tableau1[[#This Row],[Date]]-A95),"",Tableau1[[#This Row],[Conso HP + HC
Instantané]]/Tableau1[[#This Row],[Diff jour
Instantané]])</f>
        <v>40.085653105564589</v>
      </c>
      <c r="AD96" s="41">
        <f>Tableau1[[#This Row],[Conso HP + HC / jour_x000D_
Instantané]]*365</f>
        <v>14631.263383531075</v>
      </c>
      <c r="AE96" s="38">
        <f>Tableau1[[#This Row],[Différence HP
Cumul]]+Tableau1[[#This Row],[Différence HC
Cumul]]</f>
        <v>4851</v>
      </c>
      <c r="AF96" s="40">
        <f>(Tableau1[[#This Row],[Conso HP + HC
Cumul]]-AE$6)/Tableau1[[#This Row],[Diff jour_x000D_
Cumul
depuis le 24/01]]</f>
        <v>61.365930245597497</v>
      </c>
      <c r="AG96" s="40">
        <f>(Tableau1[[#This Row],[Conso HP + HC
Cumul]]-AE$59)/Tableau1[[#This Row],[Diff jour_x000D_
Cumul
depuis
précédente facture
16/02/2021]]</f>
        <v>46.054854322877048</v>
      </c>
      <c r="AH96" s="41">
        <f>Tableau1[[#This Row],[Conso HP + HC
Cumul]]/(Tableau1[[#This Row],[Diff jour_x000D_
Cumul]]*24)</f>
        <v>2.6864927728860173</v>
      </c>
      <c r="AI96" s="41">
        <f>Tableau1[[#This Row],[Conso HP + HC
Cumul]]/Tableau1[[#This Row],[Diff jour_x000D_
Cumul]]</f>
        <v>64.475826549264411</v>
      </c>
      <c r="AJ96" s="41">
        <f>Tableau1[[#This Row],[Conso HP + HC / jour_x000D_
Cumul]]*365</f>
        <v>23533.676690481509</v>
      </c>
      <c r="AK96" s="44">
        <f>(Tableau1[[#This Row],[Différence HP
Cumul]]*0.1799)+(Tableau1[[#This Row],[Différence HC
Cumul]]*0.1346)</f>
        <v>804.15600000000006</v>
      </c>
      <c r="AL96" s="44">
        <f>Tableau1[[#This Row],[Montant
Tarif HP/HC]]/Tableau1[[#This Row],[Diff jour_x000D_
Cumul]]</f>
        <v>10.688233925901933</v>
      </c>
      <c r="AM96" s="44">
        <f>(Tableau1[[#This Row],[Montant
Tarif HP/HC]]-AK$6)/Tableau1[[#This Row],[Diff jour_x000D_
Cumul
depuis le 24/01]]</f>
        <v>10.220398788830192</v>
      </c>
      <c r="AN96" s="44">
        <f>(Tableau1[[#This Row],[Montant
Tarif HP/HC]]-AK$59)/Tableau1[[#This Row],[Diff jour_x000D_
Cumul
depuis
précédente facture
16/02/2021]]</f>
        <v>7.6661926544581895</v>
      </c>
      <c r="AO96" s="44">
        <f>Tableau1[[#This Row],[Conso HP + HC
Cumul]]*0.1599</f>
        <v>775.67489999999998</v>
      </c>
      <c r="AP96" s="44">
        <f>Tableau1[[#This Row],[Montant
Tarif normal]]/Tableau1[[#This Row],[Diff jour_x000D_
Cumul]]</f>
        <v>10.30968466522738</v>
      </c>
      <c r="AQ96" s="44">
        <f>(Tableau1[[#This Row],[Conso HP / an
Cumul]]*0.1799)+(Tableau1[[#This Row],[Conso HC / an_x000D_
Cumul]]*0.1346)</f>
        <v>3901.2053829542056</v>
      </c>
      <c r="AR96" s="44">
        <f>Tableau1[[#This Row],[Conso HP + HC / an_x000D_
Cumul]]*0.1599</f>
        <v>3763.0349028079927</v>
      </c>
      <c r="AS96" s="38">
        <f>MONTH(Tableau1[[#This Row],[Date]])</f>
        <v>3</v>
      </c>
      <c r="AT96" s="38">
        <f>YEAR(Tableau1[[#This Row],[Date]])</f>
        <v>2021</v>
      </c>
    </row>
    <row r="97" spans="1:46" x14ac:dyDescent="0.2">
      <c r="A97" s="19">
        <v>44258.293055555558</v>
      </c>
      <c r="B97" s="20">
        <v>8.9</v>
      </c>
      <c r="C97" s="39">
        <f>IF(ISERROR(Tableau1[[#This Row],[Date]]-A96),"",Tableau1[[#This Row],[Date]]-A96)</f>
        <v>0.34722222222626442</v>
      </c>
      <c r="D97" s="40">
        <f>IF(ISERROR(Tableau1[[#This Row],[Date]]-A96),"",Tableau1[[#This Row],[Date]]-A96)</f>
        <v>0.34722222222626442</v>
      </c>
      <c r="E97" s="39">
        <f>Tableau1[[#This Row],[Date]]-$A$5</f>
        <v>75.584722222221899</v>
      </c>
      <c r="F97" s="40">
        <f>Tableau1[[#This Row],[Date]]-$A$5</f>
        <v>75.584722222221899</v>
      </c>
      <c r="G97" s="40">
        <f>Tableau1[[#This Row],[Diff jour_x000D_
Cumul]]-F$6</f>
        <v>37.501388888893416</v>
      </c>
      <c r="H97" s="40">
        <f>Tableau1[[#This Row],[Diff jour_x000D_
Cumul]]-F$59</f>
        <v>14.981944444443798</v>
      </c>
      <c r="I97" s="21">
        <v>183098</v>
      </c>
      <c r="J97" s="38">
        <f>IF(ISERROR(Tableau1[[#This Row],[Index HP
kWh]]-I96),"",Tableau1[[#This Row],[Index HP
kWh]]-I96)</f>
        <v>1</v>
      </c>
      <c r="K97" s="40">
        <f>IF(ISERROR(Tableau1[[#This Row],[Différence HP
Instantané]]/(Tableau1[[#This Row],[Diff jour
Instantané]]*24)),"",Tableau1[[#This Row],[Différence HP
Instantané]]/(Tableau1[[#This Row],[Diff jour
Instantané]]*24))</f>
        <v>0.11999999999860302</v>
      </c>
      <c r="L97" s="40">
        <f>Tableau1[[#This Row],[Différence HP
Instantané]]/Tableau1[[#This Row],[Diff jour
Instantané]]</f>
        <v>2.8799999999664725</v>
      </c>
      <c r="M97" s="40">
        <f>Tableau1[[#This Row],[Conso HP / jour
Instantané]]*365</f>
        <v>1051.1999999877626</v>
      </c>
      <c r="N97" s="38">
        <f>Tableau1[[#This Row],[Index HP
kWh]]-$I$5</f>
        <v>3339</v>
      </c>
      <c r="O97" s="41">
        <f>Tableau1[[#This Row],[Différence HP
Cumul]]/(Tableau1[[#This Row],[Diff jour_x000D_
Cumul]]*24)</f>
        <v>1.840649749177715</v>
      </c>
      <c r="P97" s="41">
        <f>Tableau1[[#This Row],[Différence HP
Cumul]]/Tableau1[[#This Row],[Diff jour_x000D_
Cumul]]</f>
        <v>44.175593980265162</v>
      </c>
      <c r="Q97" s="41">
        <f>Tableau1[[#This Row],[Conso HP / jour
Cumul]]*365</f>
        <v>16124.091802796784</v>
      </c>
      <c r="R97" s="21">
        <v>120960</v>
      </c>
      <c r="S97" s="38">
        <f>Tableau1[[#This Row],[Index HC_x000D_
kWh]]-R96</f>
        <v>15</v>
      </c>
      <c r="T97" s="42">
        <f>Tableau1[[#This Row],[Différence_x000D_ HC
Instantané]]/(Tableau1[[#This Row],[Diff jour
Instantané]]*24)</f>
        <v>1.7999999999790453</v>
      </c>
      <c r="U97" s="42">
        <f>Tableau1[[#This Row],[Différence_x000D_ HC
Instantané]]/Tableau1[[#This Row],[Diff jour
Instantané]]</f>
        <v>43.199999999497088</v>
      </c>
      <c r="V97" s="42">
        <f>Tableau1[[#This Row],[Conso HC / jour_x000D_
Instantané]]*365</f>
        <v>15767.999999816437</v>
      </c>
      <c r="W97" s="38">
        <f>Tableau1[[#This Row],[Index HC_x000D_
kWh]]-$R$5</f>
        <v>1528</v>
      </c>
      <c r="X97" s="43">
        <f>Tableau1[[#This Row],[Différence HC
Cumul]]/(Tableau1[[#This Row],[Diff jour_x000D_
Cumul]]*24)</f>
        <v>0.84232189779680999</v>
      </c>
      <c r="Y97" s="43">
        <f>Tableau1[[#This Row],[Différence HC
Cumul]]/Tableau1[[#This Row],[Diff jour_x000D_
Cumul]]</f>
        <v>20.215725547123441</v>
      </c>
      <c r="Z97" s="43">
        <f>Tableau1[[#This Row],[Conso HC / jour_x000D_
Cumul]]*365</f>
        <v>7378.7398247000556</v>
      </c>
      <c r="AA97" s="38">
        <f>Tableau1[[#This Row],[Différence HP
Instantané]]+Tableau1[[#This Row],[Différence_x000D_ HC
Instantané]]</f>
        <v>16</v>
      </c>
      <c r="AB97" s="41">
        <f>Tableau1[[#This Row],[Conso HP + HC
Instantané]]/(Tableau1[[#This Row],[Diff jour
Instantané]]*24)</f>
        <v>1.9199999999776483</v>
      </c>
      <c r="AC97" s="34">
        <f>IF(ISERROR(Tableau1[[#This Row],[Date]]-A96),"",Tableau1[[#This Row],[Conso HP + HC
Instantané]]/Tableau1[[#This Row],[Diff jour
Instantané]])</f>
        <v>46.07999999946356</v>
      </c>
      <c r="AD97" s="41">
        <f>Tableau1[[#This Row],[Conso HP + HC / jour_x000D_
Instantané]]*365</f>
        <v>16819.199999804201</v>
      </c>
      <c r="AE97" s="38">
        <f>Tableau1[[#This Row],[Différence HP
Cumul]]+Tableau1[[#This Row],[Différence HC
Cumul]]</f>
        <v>4867</v>
      </c>
      <c r="AF97" s="40">
        <f>(Tableau1[[#This Row],[Conso HP + HC
Cumul]]-AE$6)/Tableau1[[#This Row],[Diff jour_x000D_
Cumul
depuis le 24/01]]</f>
        <v>61.224399096322372</v>
      </c>
      <c r="AG97" s="40">
        <f>(Tableau1[[#This Row],[Conso HP + HC
Cumul]]-AE$59)/Tableau1[[#This Row],[Diff jour_x000D_
Cumul
depuis
précédente facture
16/02/2021]]</f>
        <v>46.055437100215208</v>
      </c>
      <c r="AH97" s="41">
        <f>Tableau1[[#This Row],[Conso HP + HC
Cumul]]/(Tableau1[[#This Row],[Diff jour_x000D_
Cumul]]*24)</f>
        <v>2.6829716469745248</v>
      </c>
      <c r="AI97" s="41">
        <f>Tableau1[[#This Row],[Conso HP + HC
Cumul]]/Tableau1[[#This Row],[Diff jour_x000D_
Cumul]]</f>
        <v>64.391319527388603</v>
      </c>
      <c r="AJ97" s="41">
        <f>Tableau1[[#This Row],[Conso HP + HC / jour_x000D_
Cumul]]*365</f>
        <v>23502.831627496842</v>
      </c>
      <c r="AK97" s="44">
        <f>(Tableau1[[#This Row],[Différence HP
Cumul]]*0.1799)+(Tableau1[[#This Row],[Différence HC
Cumul]]*0.1346)</f>
        <v>806.35490000000004</v>
      </c>
      <c r="AL97" s="44">
        <f>Tableau1[[#This Row],[Montant
Tarif HP/HC]]/Tableau1[[#This Row],[Diff jour_x000D_
Cumul]]</f>
        <v>10.668226015692518</v>
      </c>
      <c r="AM97" s="44">
        <f>(Tableau1[[#This Row],[Montant
Tarif HP/HC]]-AK$6)/Tableau1[[#This Row],[Diff jour_x000D_
Cumul
depuis le 24/01]]</f>
        <v>10.184404133179024</v>
      </c>
      <c r="AN97" s="44">
        <f>(Tableau1[[#This Row],[Montant
Tarif HP/HC]]-AK$59)/Tableau1[[#This Row],[Diff jour_x000D_
Cumul
depuis
précédente facture
16/02/2021]]</f>
        <v>7.6352906276076391</v>
      </c>
      <c r="AO97" s="44">
        <f>Tableau1[[#This Row],[Conso HP + HC
Cumul]]*0.1599</f>
        <v>778.23329999999999</v>
      </c>
      <c r="AP97" s="44">
        <f>Tableau1[[#This Row],[Montant
Tarif normal]]/Tableau1[[#This Row],[Diff jour_x000D_
Cumul]]</f>
        <v>10.296171992429437</v>
      </c>
      <c r="AQ97" s="44">
        <f>(Tableau1[[#This Row],[Conso HP / an
Cumul]]*0.1799)+(Tableau1[[#This Row],[Conso HC / an_x000D_
Cumul]]*0.1346)</f>
        <v>3893.9024957277688</v>
      </c>
      <c r="AR97" s="44">
        <f>Tableau1[[#This Row],[Conso HP + HC / an_x000D_
Cumul]]*0.1599</f>
        <v>3758.1027772367447</v>
      </c>
      <c r="AS97" s="38">
        <f>MONTH(Tableau1[[#This Row],[Date]])</f>
        <v>3</v>
      </c>
      <c r="AT97" s="38">
        <f>YEAR(Tableau1[[#This Row],[Date]])</f>
        <v>2021</v>
      </c>
    </row>
    <row r="98" spans="1:46" x14ac:dyDescent="0.2">
      <c r="A98" s="19">
        <v>44258.59097222222</v>
      </c>
      <c r="B98" s="20">
        <v>12.7</v>
      </c>
      <c r="C98" s="39">
        <f>IF(ISERROR(Tableau1[[#This Row],[Date]]-A97),"",Tableau1[[#This Row],[Date]]-A97)</f>
        <v>0.29791666666278616</v>
      </c>
      <c r="D98" s="40">
        <f>IF(ISERROR(Tableau1[[#This Row],[Date]]-A97),"",Tableau1[[#This Row],[Date]]-A97)</f>
        <v>0.29791666666278616</v>
      </c>
      <c r="E98" s="39">
        <f>Tableau1[[#This Row],[Date]]-$A$5</f>
        <v>75.882638888884685</v>
      </c>
      <c r="F98" s="40">
        <f>Tableau1[[#This Row],[Date]]-$A$5</f>
        <v>75.882638888884685</v>
      </c>
      <c r="G98" s="40">
        <f>Tableau1[[#This Row],[Diff jour_x000D_
Cumul]]-F$6</f>
        <v>37.799305555556202</v>
      </c>
      <c r="H98" s="40">
        <f>Tableau1[[#This Row],[Diff jour_x000D_
Cumul]]-F$59</f>
        <v>15.279861111106584</v>
      </c>
      <c r="I98" s="21">
        <v>183113</v>
      </c>
      <c r="J98" s="38">
        <f>IF(ISERROR(Tableau1[[#This Row],[Index HP
kWh]]-I97),"",Tableau1[[#This Row],[Index HP
kWh]]-I97)</f>
        <v>15</v>
      </c>
      <c r="K98" s="40">
        <f>IF(ISERROR(Tableau1[[#This Row],[Différence HP
Instantané]]/(Tableau1[[#This Row],[Diff jour
Instantané]]*24)),"",Tableau1[[#This Row],[Différence HP
Instantané]]/(Tableau1[[#This Row],[Diff jour
Instantané]]*24))</f>
        <v>2.0979020979294241</v>
      </c>
      <c r="L98" s="40">
        <f>Tableau1[[#This Row],[Différence HP
Instantané]]/Tableau1[[#This Row],[Diff jour
Instantané]]</f>
        <v>50.349650350306177</v>
      </c>
      <c r="M98" s="40">
        <f>Tableau1[[#This Row],[Conso HP / jour
Instantané]]*365</f>
        <v>18377.622377861753</v>
      </c>
      <c r="N98" s="38">
        <f>Tableau1[[#This Row],[Index HP
kWh]]-$I$5</f>
        <v>3354</v>
      </c>
      <c r="O98" s="41">
        <f>Tableau1[[#This Row],[Différence HP
Cumul]]/(Tableau1[[#This Row],[Diff jour_x000D_
Cumul]]*24)</f>
        <v>1.8416597267345511</v>
      </c>
      <c r="P98" s="41">
        <f>Tableau1[[#This Row],[Différence HP
Cumul]]/Tableau1[[#This Row],[Diff jour_x000D_
Cumul]]</f>
        <v>44.199833441629231</v>
      </c>
      <c r="Q98" s="41">
        <f>Tableau1[[#This Row],[Conso HP / jour
Cumul]]*365</f>
        <v>16132.939206194669</v>
      </c>
      <c r="R98" s="21">
        <v>120960</v>
      </c>
      <c r="S98" s="38">
        <f>Tableau1[[#This Row],[Index HC_x000D_
kWh]]-R97</f>
        <v>0</v>
      </c>
      <c r="T98" s="42">
        <f>Tableau1[[#This Row],[Différence_x000D_ HC
Instantané]]/(Tableau1[[#This Row],[Diff jour
Instantané]]*24)</f>
        <v>0</v>
      </c>
      <c r="U98" s="42">
        <f>Tableau1[[#This Row],[Différence_x000D_ HC
Instantané]]/Tableau1[[#This Row],[Diff jour
Instantané]]</f>
        <v>0</v>
      </c>
      <c r="V98" s="42">
        <f>Tableau1[[#This Row],[Conso HC / jour_x000D_
Instantané]]*365</f>
        <v>0</v>
      </c>
      <c r="W98" s="38">
        <f>Tableau1[[#This Row],[Index HC_x000D_
kWh]]-$R$5</f>
        <v>1528</v>
      </c>
      <c r="X98" s="43">
        <f>Tableau1[[#This Row],[Différence HC
Cumul]]/(Tableau1[[#This Row],[Diff jour_x000D_
Cumul]]*24)</f>
        <v>0.83901492619272344</v>
      </c>
      <c r="Y98" s="43">
        <f>Tableau1[[#This Row],[Différence HC
Cumul]]/Tableau1[[#This Row],[Diff jour_x000D_
Cumul]]</f>
        <v>20.136358228625362</v>
      </c>
      <c r="Z98" s="43">
        <f>Tableau1[[#This Row],[Conso HC / jour_x000D_
Cumul]]*365</f>
        <v>7349.770753448257</v>
      </c>
      <c r="AA98" s="38">
        <f>Tableau1[[#This Row],[Différence HP
Instantané]]+Tableau1[[#This Row],[Différence_x000D_ HC
Instantané]]</f>
        <v>15</v>
      </c>
      <c r="AB98" s="41">
        <f>Tableau1[[#This Row],[Conso HP + HC
Instantané]]/(Tableau1[[#This Row],[Diff jour
Instantané]]*24)</f>
        <v>2.0979020979294241</v>
      </c>
      <c r="AC98" s="34">
        <f>IF(ISERROR(Tableau1[[#This Row],[Date]]-A97),"",Tableau1[[#This Row],[Conso HP + HC
Instantané]]/Tableau1[[#This Row],[Diff jour
Instantané]])</f>
        <v>50.349650350306177</v>
      </c>
      <c r="AD98" s="41">
        <f>Tableau1[[#This Row],[Conso HP + HC / jour_x000D_
Instantané]]*365</f>
        <v>18377.622377861753</v>
      </c>
      <c r="AE98" s="38">
        <f>Tableau1[[#This Row],[Différence HP
Cumul]]+Tableau1[[#This Row],[Différence HC
Cumul]]</f>
        <v>4882</v>
      </c>
      <c r="AF98" s="40">
        <f>(Tableau1[[#This Row],[Conso HP + HC
Cumul]]-AE$6)/Tableau1[[#This Row],[Diff jour_x000D_
Cumul
depuis le 24/01]]</f>
        <v>61.138689349817987</v>
      </c>
      <c r="AG98" s="40">
        <f>(Tableau1[[#This Row],[Conso HP + HC
Cumul]]-AE$59)/Tableau1[[#This Row],[Diff jour_x000D_
Cumul
depuis
précédente facture
16/02/2021]]</f>
        <v>46.139162841444382</v>
      </c>
      <c r="AH98" s="41">
        <f>Tableau1[[#This Row],[Conso HP + HC
Cumul]]/(Tableau1[[#This Row],[Diff jour_x000D_
Cumul]]*24)</f>
        <v>2.6806746529272747</v>
      </c>
      <c r="AI98" s="41">
        <f>Tableau1[[#This Row],[Conso HP + HC
Cumul]]/Tableau1[[#This Row],[Diff jour_x000D_
Cumul]]</f>
        <v>64.336191670254593</v>
      </c>
      <c r="AJ98" s="41">
        <f>Tableau1[[#This Row],[Conso HP + HC / jour_x000D_
Cumul]]*365</f>
        <v>23482.709959642925</v>
      </c>
      <c r="AK98" s="44">
        <f>(Tableau1[[#This Row],[Différence HP
Cumul]]*0.1799)+(Tableau1[[#This Row],[Différence HC
Cumul]]*0.1346)</f>
        <v>809.05340000000001</v>
      </c>
      <c r="AL98" s="44">
        <f>Tableau1[[#This Row],[Montant
Tarif HP/HC]]/Tableau1[[#This Row],[Diff jour_x000D_
Cumul]]</f>
        <v>10.661903853722071</v>
      </c>
      <c r="AM98" s="44">
        <f>(Tableau1[[#This Row],[Montant
Tarif HP/HC]]-AK$6)/Tableau1[[#This Row],[Diff jour_x000D_
Cumul
depuis le 24/01]]</f>
        <v>10.175525564475951</v>
      </c>
      <c r="AN98" s="44">
        <f>(Tableau1[[#This Row],[Montant
Tarif HP/HC]]-AK$59)/Tableau1[[#This Row],[Diff jour_x000D_
Cumul
depuis
précédente facture
16/02/2021]]</f>
        <v>7.6630277689428716</v>
      </c>
      <c r="AO98" s="44">
        <f>Tableau1[[#This Row],[Conso HP + HC
Cumul]]*0.1599</f>
        <v>780.63179999999988</v>
      </c>
      <c r="AP98" s="44">
        <f>Tableau1[[#This Row],[Montant
Tarif normal]]/Tableau1[[#This Row],[Diff jour_x000D_
Cumul]]</f>
        <v>10.287357048073707</v>
      </c>
      <c r="AQ98" s="44">
        <f>(Tableau1[[#This Row],[Conso HP / an
Cumul]]*0.1799)+(Tableau1[[#This Row],[Conso HC / an_x000D_
Cumul]]*0.1346)</f>
        <v>3891.5949066085564</v>
      </c>
      <c r="AR98" s="44">
        <f>Tableau1[[#This Row],[Conso HP + HC / an_x000D_
Cumul]]*0.1599</f>
        <v>3754.8853225469034</v>
      </c>
      <c r="AS98" s="38">
        <f>MONTH(Tableau1[[#This Row],[Date]])</f>
        <v>3</v>
      </c>
      <c r="AT98" s="38">
        <f>YEAR(Tableau1[[#This Row],[Date]])</f>
        <v>2021</v>
      </c>
    </row>
    <row r="99" spans="1:46" x14ac:dyDescent="0.2">
      <c r="A99" s="19">
        <v>44259.288888888892</v>
      </c>
      <c r="B99" s="20">
        <v>5.7</v>
      </c>
      <c r="C99" s="39">
        <f>IF(ISERROR(Tableau1[[#This Row],[Date]]-A98),"",Tableau1[[#This Row],[Date]]-A98)</f>
        <v>0.69791666667151731</v>
      </c>
      <c r="D99" s="40">
        <f>IF(ISERROR(Tableau1[[#This Row],[Date]]-A98),"",Tableau1[[#This Row],[Date]]-A98)</f>
        <v>0.69791666667151731</v>
      </c>
      <c r="E99" s="39">
        <f>Tableau1[[#This Row],[Date]]-$A$5</f>
        <v>76.580555555556202</v>
      </c>
      <c r="F99" s="40">
        <f>Tableau1[[#This Row],[Date]]-$A$5</f>
        <v>76.580555555556202</v>
      </c>
      <c r="G99" s="40">
        <f>Tableau1[[#This Row],[Diff jour_x000D_
Cumul]]-F$6</f>
        <v>38.49722222222772</v>
      </c>
      <c r="H99" s="40">
        <f>Tableau1[[#This Row],[Diff jour_x000D_
Cumul]]-F$59</f>
        <v>15.977777777778101</v>
      </c>
      <c r="I99" s="21">
        <v>183126</v>
      </c>
      <c r="J99" s="38">
        <f>IF(ISERROR(Tableau1[[#This Row],[Index HP
kWh]]-I98),"",Tableau1[[#This Row],[Index HP
kWh]]-I98)</f>
        <v>13</v>
      </c>
      <c r="K99" s="40">
        <f>IF(ISERROR(Tableau1[[#This Row],[Différence HP
Instantané]]/(Tableau1[[#This Row],[Diff jour
Instantané]]*24)),"",Tableau1[[#This Row],[Différence HP
Instantané]]/(Tableau1[[#This Row],[Diff jour
Instantané]]*24))</f>
        <v>0.77611940297968052</v>
      </c>
      <c r="L99" s="40">
        <f>Tableau1[[#This Row],[Différence HP
Instantané]]/Tableau1[[#This Row],[Diff jour
Instantané]]</f>
        <v>18.626865671512331</v>
      </c>
      <c r="M99" s="40">
        <f>Tableau1[[#This Row],[Conso HP / jour
Instantané]]*365</f>
        <v>6798.8059701020011</v>
      </c>
      <c r="N99" s="38">
        <f>Tableau1[[#This Row],[Index HP
kWh]]-$I$5</f>
        <v>3367</v>
      </c>
      <c r="O99" s="41">
        <f>Tableau1[[#This Row],[Différence HP
Cumul]]/(Tableau1[[#This Row],[Diff jour_x000D_
Cumul]]*24)</f>
        <v>1.8319489281439143</v>
      </c>
      <c r="P99" s="41">
        <f>Tableau1[[#This Row],[Différence HP
Cumul]]/Tableau1[[#This Row],[Diff jour_x000D_
Cumul]]</f>
        <v>43.966774275453943</v>
      </c>
      <c r="Q99" s="41">
        <f>Tableau1[[#This Row],[Conso HP / jour
Cumul]]*365</f>
        <v>16047.872610540689</v>
      </c>
      <c r="R99" s="21">
        <v>120977</v>
      </c>
      <c r="S99" s="38">
        <f>Tableau1[[#This Row],[Index HC_x000D_
kWh]]-R98</f>
        <v>17</v>
      </c>
      <c r="T99" s="42">
        <f>Tableau1[[#This Row],[Différence_x000D_ HC
Instantané]]/(Tableau1[[#This Row],[Diff jour
Instantané]]*24)</f>
        <v>1.0149253731272745</v>
      </c>
      <c r="U99" s="42">
        <f>Tableau1[[#This Row],[Différence_x000D_ HC
Instantané]]/Tableau1[[#This Row],[Diff jour
Instantané]]</f>
        <v>24.358208955054586</v>
      </c>
      <c r="V99" s="42">
        <f>Tableau1[[#This Row],[Conso HC / jour_x000D_
Instantané]]*365</f>
        <v>8890.7462685949231</v>
      </c>
      <c r="W99" s="38">
        <f>Tableau1[[#This Row],[Index HC_x000D_
kWh]]-$R$5</f>
        <v>1545</v>
      </c>
      <c r="X99" s="43">
        <f>Tableau1[[#This Row],[Différence HC
Cumul]]/(Tableau1[[#This Row],[Diff jour_x000D_
Cumul]]*24)</f>
        <v>0.84061808553084272</v>
      </c>
      <c r="Y99" s="43">
        <f>Tableau1[[#This Row],[Différence HC
Cumul]]/Tableau1[[#This Row],[Diff jour_x000D_
Cumul]]</f>
        <v>20.174834052740227</v>
      </c>
      <c r="Z99" s="43">
        <f>Tableau1[[#This Row],[Conso HC / jour_x000D_
Cumul]]*365</f>
        <v>7363.8144292501829</v>
      </c>
      <c r="AA99" s="38">
        <f>Tableau1[[#This Row],[Différence HP
Instantané]]+Tableau1[[#This Row],[Différence_x000D_ HC
Instantané]]</f>
        <v>30</v>
      </c>
      <c r="AB99" s="41">
        <f>Tableau1[[#This Row],[Conso HP + HC
Instantané]]/(Tableau1[[#This Row],[Diff jour
Instantané]]*24)</f>
        <v>1.791044776106955</v>
      </c>
      <c r="AC99" s="34">
        <f>IF(ISERROR(Tableau1[[#This Row],[Date]]-A98),"",Tableau1[[#This Row],[Conso HP + HC
Instantané]]/Tableau1[[#This Row],[Diff jour
Instantané]])</f>
        <v>42.98507462656692</v>
      </c>
      <c r="AD99" s="41">
        <f>Tableau1[[#This Row],[Conso HP + HC / jour_x000D_
Instantané]]*365</f>
        <v>15689.552238696926</v>
      </c>
      <c r="AE99" s="38">
        <f>Tableau1[[#This Row],[Différence HP
Cumul]]+Tableau1[[#This Row],[Différence HC
Cumul]]</f>
        <v>4912</v>
      </c>
      <c r="AF99" s="40">
        <f>(Tableau1[[#This Row],[Conso HP + HC
Cumul]]-AE$6)/Tableau1[[#This Row],[Diff jour_x000D_
Cumul
depuis le 24/01]]</f>
        <v>60.809582220930778</v>
      </c>
      <c r="AG99" s="40">
        <f>(Tableau1[[#This Row],[Conso HP + HC
Cumul]]-AE$59)/Tableau1[[#This Row],[Diff jour_x000D_
Cumul
depuis
précédente facture
16/02/2021]]</f>
        <v>46.001390820583211</v>
      </c>
      <c r="AH99" s="41">
        <f>Tableau1[[#This Row],[Conso HP + HC
Cumul]]/(Tableau1[[#This Row],[Diff jour_x000D_
Cumul]]*24)</f>
        <v>2.6725670136747572</v>
      </c>
      <c r="AI99" s="41">
        <f>Tableau1[[#This Row],[Conso HP + HC
Cumul]]/Tableau1[[#This Row],[Diff jour_x000D_
Cumul]]</f>
        <v>64.141608328194167</v>
      </c>
      <c r="AJ99" s="41">
        <f>Tableau1[[#This Row],[Conso HP + HC / jour_x000D_
Cumul]]*365</f>
        <v>23411.687039790871</v>
      </c>
      <c r="AK99" s="44">
        <f>(Tableau1[[#This Row],[Différence HP
Cumul]]*0.1799)+(Tableau1[[#This Row],[Différence HC
Cumul]]*0.1346)</f>
        <v>813.68029999999999</v>
      </c>
      <c r="AL99" s="44">
        <f>Tableau1[[#This Row],[Montant
Tarif HP/HC]]/Tableau1[[#This Row],[Diff jour_x000D_
Cumul]]</f>
        <v>10.625155355652998</v>
      </c>
      <c r="AM99" s="44">
        <f>(Tableau1[[#This Row],[Montant
Tarif HP/HC]]-AK$6)/Tableau1[[#This Row],[Diff jour_x000D_
Cumul
depuis le 24/01]]</f>
        <v>10.11124121509344</v>
      </c>
      <c r="AN99" s="44">
        <f>(Tableau1[[#This Row],[Montant
Tarif HP/HC]]-AK$59)/Tableau1[[#This Row],[Diff jour_x000D_
Cumul
depuis
précédente facture
16/02/2021]]</f>
        <v>7.6178866481222389</v>
      </c>
      <c r="AO99" s="44">
        <f>Tableau1[[#This Row],[Conso HP + HC
Cumul]]*0.1599</f>
        <v>785.42879999999991</v>
      </c>
      <c r="AP99" s="44">
        <f>Tableau1[[#This Row],[Montant
Tarif normal]]/Tableau1[[#This Row],[Diff jour_x000D_
Cumul]]</f>
        <v>10.256243171678246</v>
      </c>
      <c r="AQ99" s="44">
        <f>(Tableau1[[#This Row],[Conso HP / an
Cumul]]*0.1799)+(Tableau1[[#This Row],[Conso HC / an_x000D_
Cumul]]*0.1346)</f>
        <v>3878.1817048133444</v>
      </c>
      <c r="AR99" s="44">
        <f>Tableau1[[#This Row],[Conso HP + HC / an_x000D_
Cumul]]*0.1599</f>
        <v>3743.5287576625601</v>
      </c>
      <c r="AS99" s="38">
        <f>MONTH(Tableau1[[#This Row],[Date]])</f>
        <v>3</v>
      </c>
      <c r="AT99" s="38">
        <f>YEAR(Tableau1[[#This Row],[Date]])</f>
        <v>2021</v>
      </c>
    </row>
    <row r="100" spans="1:46" x14ac:dyDescent="0.2">
      <c r="A100" s="19">
        <v>44259.567361111112</v>
      </c>
      <c r="B100" s="20">
        <v>12.5</v>
      </c>
      <c r="C100" s="39">
        <f>IF(ISERROR(Tableau1[[#This Row],[Date]]-A99),"",Tableau1[[#This Row],[Date]]-A99)</f>
        <v>0.27847222222044365</v>
      </c>
      <c r="D100" s="40">
        <f>IF(ISERROR(Tableau1[[#This Row],[Date]]-A99),"",Tableau1[[#This Row],[Date]]-A99)</f>
        <v>0.27847222222044365</v>
      </c>
      <c r="E100" s="39">
        <f>Tableau1[[#This Row],[Date]]-$A$5</f>
        <v>76.859027777776646</v>
      </c>
      <c r="F100" s="40">
        <f>Tableau1[[#This Row],[Date]]-$A$5</f>
        <v>76.859027777776646</v>
      </c>
      <c r="G100" s="40">
        <f>Tableau1[[#This Row],[Diff jour_x000D_
Cumul]]-F$6</f>
        <v>38.775694444448163</v>
      </c>
      <c r="H100" s="40">
        <f>Tableau1[[#This Row],[Diff jour_x000D_
Cumul]]-F$59</f>
        <v>16.256249999998545</v>
      </c>
      <c r="I100" s="21">
        <v>183141</v>
      </c>
      <c r="J100" s="38">
        <f>IF(ISERROR(Tableau1[[#This Row],[Index HP
kWh]]-I99),"",Tableau1[[#This Row],[Index HP
kWh]]-I99)</f>
        <v>15</v>
      </c>
      <c r="K100" s="40">
        <f>IF(ISERROR(Tableau1[[#This Row],[Différence HP
Instantané]]/(Tableau1[[#This Row],[Diff jour
Instantané]]*24)),"",Tableau1[[#This Row],[Différence HP
Instantané]]/(Tableau1[[#This Row],[Diff jour
Instantané]]*24))</f>
        <v>2.2443890274457559</v>
      </c>
      <c r="L100" s="40">
        <f>Tableau1[[#This Row],[Différence HP
Instantané]]/Tableau1[[#This Row],[Diff jour
Instantané]]</f>
        <v>53.865336658698148</v>
      </c>
      <c r="M100" s="40">
        <f>Tableau1[[#This Row],[Conso HP / jour
Instantané]]*365</f>
        <v>19660.847880424823</v>
      </c>
      <c r="N100" s="38">
        <f>Tableau1[[#This Row],[Index HP
kWh]]-$I$5</f>
        <v>3382</v>
      </c>
      <c r="O100" s="41">
        <f>Tableau1[[#This Row],[Différence HP
Cumul]]/(Tableau1[[#This Row],[Diff jour_x000D_
Cumul]]*24)</f>
        <v>1.8334432628278954</v>
      </c>
      <c r="P100" s="41">
        <f>Tableau1[[#This Row],[Différence HP
Cumul]]/Tableau1[[#This Row],[Diff jour_x000D_
Cumul]]</f>
        <v>44.002638307869489</v>
      </c>
      <c r="Q100" s="41">
        <f>Tableau1[[#This Row],[Conso HP / jour
Cumul]]*365</f>
        <v>16060.962982372364</v>
      </c>
      <c r="R100" s="21">
        <v>120977</v>
      </c>
      <c r="S100" s="38">
        <f>Tableau1[[#This Row],[Index HC_x000D_
kWh]]-R99</f>
        <v>0</v>
      </c>
      <c r="T100" s="42">
        <f>Tableau1[[#This Row],[Différence_x000D_ HC
Instantané]]/(Tableau1[[#This Row],[Diff jour
Instantané]]*24)</f>
        <v>0</v>
      </c>
      <c r="U100" s="42">
        <f>Tableau1[[#This Row],[Différence_x000D_ HC
Instantané]]/Tableau1[[#This Row],[Diff jour
Instantané]]</f>
        <v>0</v>
      </c>
      <c r="V100" s="42">
        <f>Tableau1[[#This Row],[Conso HC / jour_x000D_
Instantané]]*365</f>
        <v>0</v>
      </c>
      <c r="W100" s="38">
        <f>Tableau1[[#This Row],[Index HC_x000D_
kWh]]-$R$5</f>
        <v>1545</v>
      </c>
      <c r="X100" s="43">
        <f>Tableau1[[#This Row],[Différence HC
Cumul]]/(Tableau1[[#This Row],[Diff jour_x000D_
Cumul]]*24)</f>
        <v>0.83757239534863936</v>
      </c>
      <c r="Y100" s="43">
        <f>Tableau1[[#This Row],[Différence HC
Cumul]]/Tableau1[[#This Row],[Diff jour_x000D_
Cumul]]</f>
        <v>20.101737488367345</v>
      </c>
      <c r="Z100" s="43">
        <f>Tableau1[[#This Row],[Conso HC / jour_x000D_
Cumul]]*365</f>
        <v>7337.1341832540811</v>
      </c>
      <c r="AA100" s="38">
        <f>Tableau1[[#This Row],[Différence HP
Instantané]]+Tableau1[[#This Row],[Différence_x000D_ HC
Instantané]]</f>
        <v>15</v>
      </c>
      <c r="AB100" s="41">
        <f>Tableau1[[#This Row],[Conso HP + HC
Instantané]]/(Tableau1[[#This Row],[Diff jour
Instantané]]*24)</f>
        <v>2.2443890274457559</v>
      </c>
      <c r="AC100" s="34">
        <f>IF(ISERROR(Tableau1[[#This Row],[Date]]-A99),"",Tableau1[[#This Row],[Conso HP + HC
Instantané]]/Tableau1[[#This Row],[Diff jour
Instantané]])</f>
        <v>53.865336658698148</v>
      </c>
      <c r="AD100" s="41">
        <f>Tableau1[[#This Row],[Conso HP + HC / jour_x000D_
Instantané]]*365</f>
        <v>19660.847880424823</v>
      </c>
      <c r="AE100" s="38">
        <f>Tableau1[[#This Row],[Différence HP
Cumul]]+Tableau1[[#This Row],[Différence HC
Cumul]]</f>
        <v>4927</v>
      </c>
      <c r="AF100" s="40">
        <f>(Tableau1[[#This Row],[Conso HP + HC
Cumul]]-AE$6)/Tableau1[[#This Row],[Diff jour_x000D_
Cumul
depuis le 24/01]]</f>
        <v>60.7597113025355</v>
      </c>
      <c r="AG100" s="40">
        <f>(Tableau1[[#This Row],[Conso HP + HC
Cumul]]-AE$59)/Tableau1[[#This Row],[Diff jour_x000D_
Cumul
depuis
précédente facture
16/02/2021]]</f>
        <v>46.136101499427426</v>
      </c>
      <c r="AH100" s="41">
        <f>Tableau1[[#This Row],[Conso HP + HC
Cumul]]/(Tableau1[[#This Row],[Diff jour_x000D_
Cumul]]*24)</f>
        <v>2.6710156581765347</v>
      </c>
      <c r="AI100" s="41">
        <f>Tableau1[[#This Row],[Conso HP + HC
Cumul]]/Tableau1[[#This Row],[Diff jour_x000D_
Cumul]]</f>
        <v>64.104375796236837</v>
      </c>
      <c r="AJ100" s="41">
        <f>Tableau1[[#This Row],[Conso HP + HC / jour_x000D_
Cumul]]*365</f>
        <v>23398.097165626445</v>
      </c>
      <c r="AK100" s="44">
        <f>(Tableau1[[#This Row],[Différence HP
Cumul]]*0.1799)+(Tableau1[[#This Row],[Différence HC
Cumul]]*0.1346)</f>
        <v>816.37879999999996</v>
      </c>
      <c r="AL100" s="44">
        <f>Tableau1[[#This Row],[Montant
Tarif HP/HC]]/Tableau1[[#This Row],[Diff jour_x000D_
Cumul]]</f>
        <v>10.621768497519966</v>
      </c>
      <c r="AM100" s="44">
        <f>(Tableau1[[#This Row],[Montant
Tarif HP/HC]]-AK$6)/Tableau1[[#This Row],[Diff jour_x000D_
Cumul
depuis le 24/01]]</f>
        <v>10.108218708024173</v>
      </c>
      <c r="AN100" s="44">
        <f>(Tableau1[[#This Row],[Montant
Tarif HP/HC]]-AK$59)/Tableau1[[#This Row],[Diff jour_x000D_
Cumul
depuis
précédente facture
16/02/2021]]</f>
        <v>7.6533886966558162</v>
      </c>
      <c r="AO100" s="44">
        <f>Tableau1[[#This Row],[Conso HP + HC
Cumul]]*0.1599</f>
        <v>787.82729999999992</v>
      </c>
      <c r="AP100" s="44">
        <f>Tableau1[[#This Row],[Montant
Tarif normal]]/Tableau1[[#This Row],[Diff jour_x000D_
Cumul]]</f>
        <v>10.250289689818269</v>
      </c>
      <c r="AQ100" s="44">
        <f>(Tableau1[[#This Row],[Conso HP / an
Cumul]]*0.1799)+(Tableau1[[#This Row],[Conso HC / an_x000D_
Cumul]]*0.1346)</f>
        <v>3876.9455015947879</v>
      </c>
      <c r="AR100" s="44">
        <f>Tableau1[[#This Row],[Conso HP + HC / an_x000D_
Cumul]]*0.1599</f>
        <v>3741.3557367836684</v>
      </c>
      <c r="AS100" s="38">
        <f>MONTH(Tableau1[[#This Row],[Date]])</f>
        <v>3</v>
      </c>
      <c r="AT100" s="38">
        <f>YEAR(Tableau1[[#This Row],[Date]])</f>
        <v>2021</v>
      </c>
    </row>
    <row r="101" spans="1:46" x14ac:dyDescent="0.2">
      <c r="A101" s="19">
        <v>44259.955555555556</v>
      </c>
      <c r="B101" s="20">
        <v>6</v>
      </c>
      <c r="C101" s="39">
        <f>IF(ISERROR(Tableau1[[#This Row],[Date]]-A100),"",Tableau1[[#This Row],[Date]]-A100)</f>
        <v>0.38819444444379769</v>
      </c>
      <c r="D101" s="40">
        <f>IF(ISERROR(Tableau1[[#This Row],[Date]]-A100),"",Tableau1[[#This Row],[Date]]-A100)</f>
        <v>0.38819444444379769</v>
      </c>
      <c r="E101" s="39">
        <f>Tableau1[[#This Row],[Date]]-$A$5</f>
        <v>77.247222222220444</v>
      </c>
      <c r="F101" s="40">
        <f>Tableau1[[#This Row],[Date]]-$A$5</f>
        <v>77.247222222220444</v>
      </c>
      <c r="G101" s="40">
        <f>Tableau1[[#This Row],[Diff jour_x000D_
Cumul]]-F$6</f>
        <v>39.163888888891961</v>
      </c>
      <c r="H101" s="40">
        <f>Tableau1[[#This Row],[Diff jour_x000D_
Cumul]]-F$59</f>
        <v>16.644444444442343</v>
      </c>
      <c r="I101" s="21">
        <v>183154</v>
      </c>
      <c r="J101" s="38">
        <f>IF(ISERROR(Tableau1[[#This Row],[Index HP
kWh]]-I100),"",Tableau1[[#This Row],[Index HP
kWh]]-I100)</f>
        <v>13</v>
      </c>
      <c r="K101" s="40">
        <f>IF(ISERROR(Tableau1[[#This Row],[Différence HP
Instantané]]/(Tableau1[[#This Row],[Diff jour
Instantané]]*24)),"",Tableau1[[#This Row],[Différence HP
Instantané]]/(Tableau1[[#This Row],[Diff jour
Instantané]]*24))</f>
        <v>1.3953488372116269</v>
      </c>
      <c r="L101" s="40">
        <f>Tableau1[[#This Row],[Différence HP
Instantané]]/Tableau1[[#This Row],[Diff jour
Instantané]]</f>
        <v>33.48837209307905</v>
      </c>
      <c r="M101" s="40">
        <f>Tableau1[[#This Row],[Conso HP / jour
Instantané]]*365</f>
        <v>12223.255813973854</v>
      </c>
      <c r="N101" s="38">
        <f>Tableau1[[#This Row],[Index HP
kWh]]-$I$5</f>
        <v>3395</v>
      </c>
      <c r="O101" s="41">
        <f>Tableau1[[#This Row],[Différence HP
Cumul]]/(Tableau1[[#This Row],[Diff jour_x000D_
Cumul]]*24)</f>
        <v>1.8312416843468364</v>
      </c>
      <c r="P101" s="41">
        <f>Tableau1[[#This Row],[Différence HP
Cumul]]/Tableau1[[#This Row],[Diff jour_x000D_
Cumul]]</f>
        <v>43.949800424324074</v>
      </c>
      <c r="Q101" s="41">
        <f>Tableau1[[#This Row],[Conso HP / jour
Cumul]]*365</f>
        <v>16041.677154878287</v>
      </c>
      <c r="R101" s="21">
        <v>120978</v>
      </c>
      <c r="S101" s="38">
        <f>Tableau1[[#This Row],[Index HC_x000D_
kWh]]-R100</f>
        <v>1</v>
      </c>
      <c r="T101" s="42">
        <f>Tableau1[[#This Row],[Différence_x000D_ HC
Instantané]]/(Tableau1[[#This Row],[Diff jour
Instantané]]*24)</f>
        <v>0.10733452593935593</v>
      </c>
      <c r="U101" s="42">
        <f>Tableau1[[#This Row],[Différence_x000D_ HC
Instantané]]/Tableau1[[#This Row],[Diff jour
Instantané]]</f>
        <v>2.5760286225445421</v>
      </c>
      <c r="V101" s="42">
        <f>Tableau1[[#This Row],[Conso HC / jour_x000D_
Instantané]]*365</f>
        <v>940.25044722875782</v>
      </c>
      <c r="W101" s="38">
        <f>Tableau1[[#This Row],[Index HC_x000D_
kWh]]-$R$5</f>
        <v>1546</v>
      </c>
      <c r="X101" s="43">
        <f>Tableau1[[#This Row],[Différence HC
Cumul]]/(Tableau1[[#This Row],[Diff jour_x000D_
Cumul]]*24)</f>
        <v>0.83390269337266831</v>
      </c>
      <c r="Y101" s="43">
        <f>Tableau1[[#This Row],[Différence HC
Cumul]]/Tableau1[[#This Row],[Diff jour_x000D_
Cumul]]</f>
        <v>20.01366464094404</v>
      </c>
      <c r="Z101" s="43">
        <f>Tableau1[[#This Row],[Conso HC / jour_x000D_
Cumul]]*365</f>
        <v>7304.9875939445747</v>
      </c>
      <c r="AA101" s="38">
        <f>Tableau1[[#This Row],[Différence HP
Instantané]]+Tableau1[[#This Row],[Différence_x000D_ HC
Instantané]]</f>
        <v>14</v>
      </c>
      <c r="AB101" s="41">
        <f>Tableau1[[#This Row],[Conso HP + HC
Instantané]]/(Tableau1[[#This Row],[Diff jour
Instantané]]*24)</f>
        <v>1.5026833631509831</v>
      </c>
      <c r="AC101" s="34">
        <f>IF(ISERROR(Tableau1[[#This Row],[Date]]-A100),"",Tableau1[[#This Row],[Conso HP + HC
Instantané]]/Tableau1[[#This Row],[Diff jour
Instantané]])</f>
        <v>36.064400715623592</v>
      </c>
      <c r="AD101" s="41">
        <f>Tableau1[[#This Row],[Conso HP + HC / jour_x000D_
Instantané]]*365</f>
        <v>13163.50626120261</v>
      </c>
      <c r="AE101" s="38">
        <f>Tableau1[[#This Row],[Différence HP
Cumul]]+Tableau1[[#This Row],[Différence HC
Cumul]]</f>
        <v>4941</v>
      </c>
      <c r="AF101" s="40">
        <f>(Tableau1[[#This Row],[Conso HP + HC
Cumul]]-AE$6)/Tableau1[[#This Row],[Diff jour_x000D_
Cumul
depuis le 24/01]]</f>
        <v>60.514930136884395</v>
      </c>
      <c r="AG101" s="40">
        <f>(Tableau1[[#This Row],[Conso HP + HC
Cumul]]-AE$59)/Tableau1[[#This Row],[Diff jour_x000D_
Cumul
depuis
précédente facture
16/02/2021]]</f>
        <v>45.901201602141981</v>
      </c>
      <c r="AH101" s="41">
        <f>Tableau1[[#This Row],[Conso HP + HC
Cumul]]/(Tableau1[[#This Row],[Diff jour_x000D_
Cumul]]*24)</f>
        <v>2.6651443777195047</v>
      </c>
      <c r="AI101" s="41">
        <f>Tableau1[[#This Row],[Conso HP + HC
Cumul]]/Tableau1[[#This Row],[Diff jour_x000D_
Cumul]]</f>
        <v>63.96346506526811</v>
      </c>
      <c r="AJ101" s="41">
        <f>Tableau1[[#This Row],[Conso HP + HC / jour_x000D_
Cumul]]*365</f>
        <v>23346.664748822859</v>
      </c>
      <c r="AK101" s="44">
        <f>(Tableau1[[#This Row],[Différence HP
Cumul]]*0.1799)+(Tableau1[[#This Row],[Différence HC
Cumul]]*0.1346)</f>
        <v>818.85209999999995</v>
      </c>
      <c r="AL101" s="44">
        <f>Tableau1[[#This Row],[Montant
Tarif HP/HC]]/Tableau1[[#This Row],[Diff jour_x000D_
Cumul]]</f>
        <v>10.600408357006968</v>
      </c>
      <c r="AM101" s="44">
        <f>(Tableau1[[#This Row],[Montant
Tarif HP/HC]]-AK$6)/Tableau1[[#This Row],[Diff jour_x000D_
Cumul
depuis le 24/01]]</f>
        <v>10.071178097736636</v>
      </c>
      <c r="AN101" s="44">
        <f>(Tableau1[[#This Row],[Montant
Tarif HP/HC]]-AK$59)/Tableau1[[#This Row],[Diff jour_x000D_
Cumul
depuis
précédente facture
16/02/2021]]</f>
        <v>7.6234866488661144</v>
      </c>
      <c r="AO101" s="44">
        <f>Tableau1[[#This Row],[Conso HP + HC
Cumul]]*0.1599</f>
        <v>790.06589999999994</v>
      </c>
      <c r="AP101" s="44">
        <f>Tableau1[[#This Row],[Montant
Tarif normal]]/Tableau1[[#This Row],[Diff jour_x000D_
Cumul]]</f>
        <v>10.227758063936371</v>
      </c>
      <c r="AQ101" s="44">
        <f>(Tableau1[[#This Row],[Conso HP / an
Cumul]]*0.1799)+(Tableau1[[#This Row],[Conso HC / an_x000D_
Cumul]]*0.1346)</f>
        <v>3869.1490503075438</v>
      </c>
      <c r="AR101" s="44">
        <f>Tableau1[[#This Row],[Conso HP + HC / an_x000D_
Cumul]]*0.1599</f>
        <v>3733.1316933367748</v>
      </c>
      <c r="AS101" s="38">
        <f>MONTH(Tableau1[[#This Row],[Date]])</f>
        <v>3</v>
      </c>
      <c r="AT101" s="38">
        <f>YEAR(Tableau1[[#This Row],[Date]])</f>
        <v>2021</v>
      </c>
    </row>
    <row r="102" spans="1:46" x14ac:dyDescent="0.2">
      <c r="A102" s="19">
        <v>44260.296527777777</v>
      </c>
      <c r="B102" s="20">
        <v>5.2</v>
      </c>
      <c r="C102" s="39">
        <f>IF(ISERROR(Tableau1[[#This Row],[Date]]-A101),"",Tableau1[[#This Row],[Date]]-A101)</f>
        <v>0.34097222222044365</v>
      </c>
      <c r="D102" s="40">
        <f>IF(ISERROR(Tableau1[[#This Row],[Date]]-A101),"",Tableau1[[#This Row],[Date]]-A101)</f>
        <v>0.34097222222044365</v>
      </c>
      <c r="E102" s="39">
        <f>Tableau1[[#This Row],[Date]]-$A$5</f>
        <v>77.588194444440887</v>
      </c>
      <c r="F102" s="40">
        <f>Tableau1[[#This Row],[Date]]-$A$5</f>
        <v>77.588194444440887</v>
      </c>
      <c r="G102" s="40">
        <f>Tableau1[[#This Row],[Diff jour_x000D_
Cumul]]-F$6</f>
        <v>39.504861111112405</v>
      </c>
      <c r="H102" s="40">
        <f>Tableau1[[#This Row],[Diff jour_x000D_
Cumul]]-F$59</f>
        <v>16.985416666662786</v>
      </c>
      <c r="I102" s="21">
        <v>183155</v>
      </c>
      <c r="J102" s="38">
        <f>IF(ISERROR(Tableau1[[#This Row],[Index HP
kWh]]-I101),"",Tableau1[[#This Row],[Index HP
kWh]]-I101)</f>
        <v>1</v>
      </c>
      <c r="K102" s="40">
        <f>IF(ISERROR(Tableau1[[#This Row],[Différence HP
Instantané]]/(Tableau1[[#This Row],[Diff jour
Instantané]]*24)),"",Tableau1[[#This Row],[Différence HP
Instantané]]/(Tableau1[[#This Row],[Diff jour
Instantané]]*24))</f>
        <v>0.12219959266866186</v>
      </c>
      <c r="L102" s="40">
        <f>Tableau1[[#This Row],[Différence HP
Instantané]]/Tableau1[[#This Row],[Diff jour
Instantané]]</f>
        <v>2.9327902240478845</v>
      </c>
      <c r="M102" s="40">
        <f>Tableau1[[#This Row],[Conso HP / jour
Instantané]]*365</f>
        <v>1070.4684317774779</v>
      </c>
      <c r="N102" s="38">
        <f>Tableau1[[#This Row],[Index HP
kWh]]-$I$5</f>
        <v>3396</v>
      </c>
      <c r="O102" s="41">
        <f>Tableau1[[#This Row],[Différence HP
Cumul]]/(Tableau1[[#This Row],[Diff jour_x000D_
Cumul]]*24)</f>
        <v>1.8237310587414801</v>
      </c>
      <c r="P102" s="41">
        <f>Tableau1[[#This Row],[Différence HP
Cumul]]/Tableau1[[#This Row],[Diff jour_x000D_
Cumul]]</f>
        <v>43.769545409795519</v>
      </c>
      <c r="Q102" s="41">
        <f>Tableau1[[#This Row],[Conso HP / jour
Cumul]]*365</f>
        <v>15975.884074575364</v>
      </c>
      <c r="R102" s="21">
        <v>120994</v>
      </c>
      <c r="S102" s="38">
        <f>Tableau1[[#This Row],[Index HC_x000D_
kWh]]-R101</f>
        <v>16</v>
      </c>
      <c r="T102" s="42">
        <f>Tableau1[[#This Row],[Différence_x000D_ HC
Instantané]]/(Tableau1[[#This Row],[Diff jour
Instantané]]*24)</f>
        <v>1.9551934826985897</v>
      </c>
      <c r="U102" s="42">
        <f>Tableau1[[#This Row],[Différence_x000D_ HC
Instantané]]/Tableau1[[#This Row],[Diff jour
Instantané]]</f>
        <v>46.924643584766152</v>
      </c>
      <c r="V102" s="42">
        <f>Tableau1[[#This Row],[Conso HC / jour_x000D_
Instantané]]*365</f>
        <v>17127.494908439647</v>
      </c>
      <c r="W102" s="38">
        <f>Tableau1[[#This Row],[Index HC_x000D_
kWh]]-$R$5</f>
        <v>1562</v>
      </c>
      <c r="X102" s="43">
        <f>Tableau1[[#This Row],[Différence HC
Cumul]]/(Tableau1[[#This Row],[Diff jour_x000D_
Cumul]]*24)</f>
        <v>0.83883036329628735</v>
      </c>
      <c r="Y102" s="43">
        <f>Tableau1[[#This Row],[Différence HC
Cumul]]/Tableau1[[#This Row],[Diff jour_x000D_
Cumul]]</f>
        <v>20.131928719110896</v>
      </c>
      <c r="Z102" s="43">
        <f>Tableau1[[#This Row],[Conso HC / jour_x000D_
Cumul]]*365</f>
        <v>7348.1539824754773</v>
      </c>
      <c r="AA102" s="38">
        <f>Tableau1[[#This Row],[Différence HP
Instantané]]+Tableau1[[#This Row],[Différence_x000D_ HC
Instantané]]</f>
        <v>17</v>
      </c>
      <c r="AB102" s="41">
        <f>Tableau1[[#This Row],[Conso HP + HC
Instantané]]/(Tableau1[[#This Row],[Diff jour
Instantané]]*24)</f>
        <v>2.0773930753672514</v>
      </c>
      <c r="AC102" s="34">
        <f>IF(ISERROR(Tableau1[[#This Row],[Date]]-A101),"",Tableau1[[#This Row],[Conso HP + HC
Instantané]]/Tableau1[[#This Row],[Diff jour
Instantané]])</f>
        <v>49.857433808814037</v>
      </c>
      <c r="AD102" s="41">
        <f>Tableau1[[#This Row],[Conso HP + HC / jour_x000D_
Instantané]]*365</f>
        <v>18197.963340217124</v>
      </c>
      <c r="AE102" s="38">
        <f>Tableau1[[#This Row],[Différence HP
Cumul]]+Tableau1[[#This Row],[Différence HC
Cumul]]</f>
        <v>4958</v>
      </c>
      <c r="AF102" s="40">
        <f>(Tableau1[[#This Row],[Conso HP + HC
Cumul]]-AE$6)/Tableau1[[#This Row],[Diff jour_x000D_
Cumul
depuis le 24/01]]</f>
        <v>60.422943730551573</v>
      </c>
      <c r="AG102" s="40">
        <f>(Tableau1[[#This Row],[Conso HP + HC
Cumul]]-AE$59)/Tableau1[[#This Row],[Diff jour_x000D_
Cumul
depuis
précédente facture
16/02/2021]]</f>
        <v>45.980620630453288</v>
      </c>
      <c r="AH102" s="41">
        <f>Tableau1[[#This Row],[Conso HP + HC
Cumul]]/(Tableau1[[#This Row],[Diff jour_x000D_
Cumul]]*24)</f>
        <v>2.6625614220377676</v>
      </c>
      <c r="AI102" s="41">
        <f>Tableau1[[#This Row],[Conso HP + HC
Cumul]]/Tableau1[[#This Row],[Diff jour_x000D_
Cumul]]</f>
        <v>63.901474128906415</v>
      </c>
      <c r="AJ102" s="41">
        <f>Tableau1[[#This Row],[Conso HP + HC / jour_x000D_
Cumul]]*365</f>
        <v>23324.038057050842</v>
      </c>
      <c r="AK102" s="44">
        <f>(Tableau1[[#This Row],[Différence HP
Cumul]]*0.1799)+(Tableau1[[#This Row],[Différence HC
Cumul]]*0.1346)</f>
        <v>821.18560000000002</v>
      </c>
      <c r="AL102" s="44">
        <f>Tableau1[[#This Row],[Montant
Tarif HP/HC]]/Tableau1[[#This Row],[Diff jour_x000D_
Cumul]]</f>
        <v>10.583898824814542</v>
      </c>
      <c r="AM102" s="44">
        <f>(Tableau1[[#This Row],[Montant
Tarif HP/HC]]-AK$6)/Tableau1[[#This Row],[Diff jour_x000D_
Cumul
depuis le 24/01]]</f>
        <v>10.043320969641242</v>
      </c>
      <c r="AN102" s="44">
        <f>(Tableau1[[#This Row],[Montant
Tarif HP/HC]]-AK$59)/Tableau1[[#This Row],[Diff jour_x000D_
Cumul
depuis
précédente facture
16/02/2021]]</f>
        <v>7.6078322090045614</v>
      </c>
      <c r="AO102" s="44">
        <f>Tableau1[[#This Row],[Conso HP + HC
Cumul]]*0.1599</f>
        <v>792.78419999999994</v>
      </c>
      <c r="AP102" s="44">
        <f>Tableau1[[#This Row],[Montant
Tarif normal]]/Tableau1[[#This Row],[Diff jour_x000D_
Cumul]]</f>
        <v>10.217845713212135</v>
      </c>
      <c r="AQ102" s="44">
        <f>(Tableau1[[#This Row],[Conso HP / an
Cumul]]*0.1799)+(Tableau1[[#This Row],[Conso HC / an_x000D_
Cumul]]*0.1346)</f>
        <v>3863.1230710573072</v>
      </c>
      <c r="AR102" s="44">
        <f>Tableau1[[#This Row],[Conso HP + HC / an_x000D_
Cumul]]*0.1599</f>
        <v>3729.5136853224294</v>
      </c>
      <c r="AS102" s="38">
        <f>MONTH(Tableau1[[#This Row],[Date]])</f>
        <v>3</v>
      </c>
      <c r="AT102" s="38">
        <f>YEAR(Tableau1[[#This Row],[Date]])</f>
        <v>2021</v>
      </c>
    </row>
    <row r="103" spans="1:46" x14ac:dyDescent="0.2">
      <c r="A103" s="19">
        <v>44261.322916666664</v>
      </c>
      <c r="B103" s="20">
        <v>-2.2999999999999998</v>
      </c>
      <c r="C103" s="39">
        <f>IF(ISERROR(Tableau1[[#This Row],[Date]]-A102),"",Tableau1[[#This Row],[Date]]-A102)</f>
        <v>1.0263888888875954</v>
      </c>
      <c r="D103" s="40">
        <f>IF(ISERROR(Tableau1[[#This Row],[Date]]-A102),"",Tableau1[[#This Row],[Date]]-A102)</f>
        <v>1.0263888888875954</v>
      </c>
      <c r="E103" s="39">
        <f>Tableau1[[#This Row],[Date]]-$A$5</f>
        <v>78.614583333328483</v>
      </c>
      <c r="F103" s="40">
        <f>Tableau1[[#This Row],[Date]]-$A$5</f>
        <v>78.614583333328483</v>
      </c>
      <c r="G103" s="40">
        <f>Tableau1[[#This Row],[Diff jour_x000D_
Cumul]]-F$6</f>
        <v>40.53125</v>
      </c>
      <c r="H103" s="40">
        <f>Tableau1[[#This Row],[Diff jour_x000D_
Cumul]]-F$59</f>
        <v>18.011805555550382</v>
      </c>
      <c r="I103" s="21">
        <v>183198</v>
      </c>
      <c r="J103" s="38">
        <f>IF(ISERROR(Tableau1[[#This Row],[Index HP
kWh]]-I102),"",Tableau1[[#This Row],[Index HP
kWh]]-I102)</f>
        <v>43</v>
      </c>
      <c r="K103" s="40">
        <f>IF(ISERROR(Tableau1[[#This Row],[Différence HP
Instantané]]/(Tableau1[[#This Row],[Diff jour
Instantané]]*24)),"",Tableau1[[#This Row],[Différence HP
Instantané]]/(Tableau1[[#This Row],[Diff jour
Instantané]]*24))</f>
        <v>1.7456021650901565</v>
      </c>
      <c r="L103" s="40">
        <f>Tableau1[[#This Row],[Différence HP
Instantané]]/Tableau1[[#This Row],[Diff jour
Instantané]]</f>
        <v>41.894451962163757</v>
      </c>
      <c r="M103" s="40">
        <f>Tableau1[[#This Row],[Conso HP / jour
Instantané]]*365</f>
        <v>15291.474966189771</v>
      </c>
      <c r="N103" s="38">
        <f>Tableau1[[#This Row],[Index HP
kWh]]-$I$5</f>
        <v>3439</v>
      </c>
      <c r="O103" s="41">
        <f>Tableau1[[#This Row],[Différence HP
Cumul]]/(Tableau1[[#This Row],[Diff jour_x000D_
Cumul]]*24)</f>
        <v>1.8227110109978599</v>
      </c>
      <c r="P103" s="41">
        <f>Tableau1[[#This Row],[Différence HP
Cumul]]/Tableau1[[#This Row],[Diff jour_x000D_
Cumul]]</f>
        <v>43.745064263948635</v>
      </c>
      <c r="Q103" s="41">
        <f>Tableau1[[#This Row],[Conso HP / jour
Cumul]]*365</f>
        <v>15966.948456341252</v>
      </c>
      <c r="R103" s="21">
        <v>121017</v>
      </c>
      <c r="S103" s="38">
        <f>Tableau1[[#This Row],[Index HC_x000D_
kWh]]-R102</f>
        <v>23</v>
      </c>
      <c r="T103" s="42">
        <f>Tableau1[[#This Row],[Différence_x000D_ HC
Instantané]]/(Tableau1[[#This Row],[Diff jour
Instantané]]*24)</f>
        <v>0.93369418132729309</v>
      </c>
      <c r="U103" s="42">
        <f>Tableau1[[#This Row],[Différence_x000D_ HC
Instantané]]/Tableau1[[#This Row],[Diff jour
Instantané]]</f>
        <v>22.408660351855033</v>
      </c>
      <c r="V103" s="42">
        <f>Tableau1[[#This Row],[Conso HC / jour_x000D_
Instantané]]*365</f>
        <v>8179.1610284270873</v>
      </c>
      <c r="W103" s="38">
        <f>Tableau1[[#This Row],[Index HC_x000D_
kWh]]-$R$5</f>
        <v>1585</v>
      </c>
      <c r="X103" s="43">
        <f>Tableau1[[#This Row],[Différence HC
Cumul]]/(Tableau1[[#This Row],[Diff jour_x000D_
Cumul]]*24)</f>
        <v>0.84006890155033676</v>
      </c>
      <c r="Y103" s="43">
        <f>Tableau1[[#This Row],[Différence HC
Cumul]]/Tableau1[[#This Row],[Diff jour_x000D_
Cumul]]</f>
        <v>20.161653637208079</v>
      </c>
      <c r="Z103" s="43">
        <f>Tableau1[[#This Row],[Conso HC / jour_x000D_
Cumul]]*365</f>
        <v>7359.0035775809492</v>
      </c>
      <c r="AA103" s="38">
        <f>Tableau1[[#This Row],[Différence HP
Instantané]]+Tableau1[[#This Row],[Différence_x000D_ HC
Instantané]]</f>
        <v>66</v>
      </c>
      <c r="AB103" s="41">
        <f>Tableau1[[#This Row],[Conso HP + HC
Instantané]]/(Tableau1[[#This Row],[Diff jour
Instantané]]*24)</f>
        <v>2.6792963464174497</v>
      </c>
      <c r="AC103" s="34">
        <f>IF(ISERROR(Tableau1[[#This Row],[Date]]-A102),"",Tableau1[[#This Row],[Conso HP + HC
Instantané]]/Tableau1[[#This Row],[Diff jour
Instantané]])</f>
        <v>64.30311231401879</v>
      </c>
      <c r="AD103" s="41">
        <f>Tableau1[[#This Row],[Conso HP + HC / jour_x000D_
Instantané]]*365</f>
        <v>23470.63599461686</v>
      </c>
      <c r="AE103" s="38">
        <f>Tableau1[[#This Row],[Différence HP
Cumul]]+Tableau1[[#This Row],[Différence HC
Cumul]]</f>
        <v>5024</v>
      </c>
      <c r="AF103" s="40">
        <f>(Tableau1[[#This Row],[Conso HP + HC
Cumul]]-AE$6)/Tableau1[[#This Row],[Diff jour_x000D_
Cumul
depuis le 24/01]]</f>
        <v>60.521202775636084</v>
      </c>
      <c r="AG103" s="40">
        <f>(Tableau1[[#This Row],[Conso HP + HC
Cumul]]-AE$59)/Tableau1[[#This Row],[Diff jour_x000D_
Cumul
depuis
précédente facture
16/02/2021]]</f>
        <v>47.024713729434801</v>
      </c>
      <c r="AH103" s="41">
        <f>Tableau1[[#This Row],[Conso HP + HC
Cumul]]/(Tableau1[[#This Row],[Diff jour_x000D_
Cumul]]*24)</f>
        <v>2.6627799125481966</v>
      </c>
      <c r="AI103" s="41">
        <f>Tableau1[[#This Row],[Conso HP + HC
Cumul]]/Tableau1[[#This Row],[Diff jour_x000D_
Cumul]]</f>
        <v>63.906717901156718</v>
      </c>
      <c r="AJ103" s="41">
        <f>Tableau1[[#This Row],[Conso HP + HC / jour_x000D_
Cumul]]*365</f>
        <v>23325.952033922204</v>
      </c>
      <c r="AK103" s="44">
        <f>(Tableau1[[#This Row],[Différence HP
Cumul]]*0.1799)+(Tableau1[[#This Row],[Différence HC
Cumul]]*0.1346)</f>
        <v>832.01710000000003</v>
      </c>
      <c r="AL103" s="44">
        <f>Tableau1[[#This Row],[Montant
Tarif HP/HC]]/Tableau1[[#This Row],[Diff jour_x000D_
Cumul]]</f>
        <v>10.583495640652568</v>
      </c>
      <c r="AM103" s="44">
        <f>(Tableau1[[#This Row],[Montant
Tarif HP/HC]]-AK$6)/Tableau1[[#This Row],[Diff jour_x000D_
Cumul
depuis le 24/01]]</f>
        <v>10.056228218966847</v>
      </c>
      <c r="AN103" s="44">
        <f>(Tableau1[[#This Row],[Montant
Tarif HP/HC]]-AK$59)/Tableau1[[#This Row],[Diff jour_x000D_
Cumul
depuis
précédente facture
16/02/2021]]</f>
        <v>7.7756613332327564</v>
      </c>
      <c r="AO103" s="44">
        <f>Tableau1[[#This Row],[Conso HP + HC
Cumul]]*0.1599</f>
        <v>803.33759999999995</v>
      </c>
      <c r="AP103" s="44">
        <f>Tableau1[[#This Row],[Montant
Tarif normal]]/Tableau1[[#This Row],[Diff jour_x000D_
Cumul]]</f>
        <v>10.218684192394958</v>
      </c>
      <c r="AQ103" s="44">
        <f>(Tableau1[[#This Row],[Conso HP / an
Cumul]]*0.1799)+(Tableau1[[#This Row],[Conso HC / an_x000D_
Cumul]]*0.1346)</f>
        <v>3862.975908838187</v>
      </c>
      <c r="AR103" s="44">
        <f>Tableau1[[#This Row],[Conso HP + HC / an_x000D_
Cumul]]*0.1599</f>
        <v>3729.8197302241601</v>
      </c>
      <c r="AS103" s="38">
        <f>MONTH(Tableau1[[#This Row],[Date]])</f>
        <v>3</v>
      </c>
      <c r="AT103" s="38">
        <f>YEAR(Tableau1[[#This Row],[Date]])</f>
        <v>2021</v>
      </c>
    </row>
    <row r="104" spans="1:46" x14ac:dyDescent="0.2">
      <c r="A104" s="19">
        <v>44261.661805555559</v>
      </c>
      <c r="B104" s="20">
        <v>9.6999999999999993</v>
      </c>
      <c r="C104" s="39">
        <f>IF(ISERROR(Tableau1[[#This Row],[Date]]-A103),"",Tableau1[[#This Row],[Date]]-A103)</f>
        <v>0.33888888889487134</v>
      </c>
      <c r="D104" s="40">
        <f>IF(ISERROR(Tableau1[[#This Row],[Date]]-A103),"",Tableau1[[#This Row],[Date]]-A103)</f>
        <v>0.33888888889487134</v>
      </c>
      <c r="E104" s="39">
        <f>Tableau1[[#This Row],[Date]]-$A$5</f>
        <v>78.953472222223354</v>
      </c>
      <c r="F104" s="40">
        <f>Tableau1[[#This Row],[Date]]-$A$5</f>
        <v>78.953472222223354</v>
      </c>
      <c r="G104" s="40">
        <f>Tableau1[[#This Row],[Diff jour_x000D_
Cumul]]-F$6</f>
        <v>40.870138888894871</v>
      </c>
      <c r="H104" s="40">
        <f>Tableau1[[#This Row],[Diff jour_x000D_
Cumul]]-F$59</f>
        <v>18.350694444445253</v>
      </c>
      <c r="I104" s="21">
        <v>183221</v>
      </c>
      <c r="J104" s="38">
        <f>IF(ISERROR(Tableau1[[#This Row],[Index HP
kWh]]-I103),"",Tableau1[[#This Row],[Index HP
kWh]]-I103)</f>
        <v>23</v>
      </c>
      <c r="K104" s="40">
        <f>IF(ISERROR(Tableau1[[#This Row],[Différence HP
Instantané]]/(Tableau1[[#This Row],[Diff jour
Instantané]]*24)),"",Tableau1[[#This Row],[Différence HP
Instantané]]/(Tableau1[[#This Row],[Diff jour
Instantané]]*24))</f>
        <v>2.8278688524090958</v>
      </c>
      <c r="L104" s="40">
        <f>Tableau1[[#This Row],[Différence HP
Instantané]]/Tableau1[[#This Row],[Diff jour
Instantané]]</f>
        <v>67.868852457818292</v>
      </c>
      <c r="M104" s="40">
        <f>Tableau1[[#This Row],[Conso HP / jour
Instantané]]*365</f>
        <v>24772.131147103675</v>
      </c>
      <c r="N104" s="38">
        <f>Tableau1[[#This Row],[Index HP
kWh]]-$I$5</f>
        <v>3462</v>
      </c>
      <c r="O104" s="41">
        <f>Tableau1[[#This Row],[Différence HP
Cumul]]/(Tableau1[[#This Row],[Diff jour_x000D_
Cumul]]*24)</f>
        <v>1.8270254105353629</v>
      </c>
      <c r="P104" s="41">
        <f>Tableau1[[#This Row],[Différence HP
Cumul]]/Tableau1[[#This Row],[Diff jour_x000D_
Cumul]]</f>
        <v>43.84860985284871</v>
      </c>
      <c r="Q104" s="41">
        <f>Tableau1[[#This Row],[Conso HP / jour
Cumul]]*365</f>
        <v>16004.74259628978</v>
      </c>
      <c r="R104" s="21">
        <v>121017</v>
      </c>
      <c r="S104" s="38">
        <f>Tableau1[[#This Row],[Index HC_x000D_
kWh]]-R103</f>
        <v>0</v>
      </c>
      <c r="T104" s="42">
        <f>Tableau1[[#This Row],[Différence_x000D_ HC
Instantané]]/(Tableau1[[#This Row],[Diff jour
Instantané]]*24)</f>
        <v>0</v>
      </c>
      <c r="U104" s="42">
        <f>Tableau1[[#This Row],[Différence_x000D_ HC
Instantané]]/Tableau1[[#This Row],[Diff jour
Instantané]]</f>
        <v>0</v>
      </c>
      <c r="V104" s="42">
        <f>Tableau1[[#This Row],[Conso HC / jour_x000D_
Instantané]]*365</f>
        <v>0</v>
      </c>
      <c r="W104" s="38">
        <f>Tableau1[[#This Row],[Index HC_x000D_
kWh]]-$R$5</f>
        <v>1585</v>
      </c>
      <c r="X104" s="43">
        <f>Tableau1[[#This Row],[Différence HC
Cumul]]/(Tableau1[[#This Row],[Diff jour_x000D_
Cumul]]*24)</f>
        <v>0.83646310678756508</v>
      </c>
      <c r="Y104" s="43">
        <f>Tableau1[[#This Row],[Différence HC
Cumul]]/Tableau1[[#This Row],[Diff jour_x000D_
Cumul]]</f>
        <v>20.075114562901561</v>
      </c>
      <c r="Z104" s="43">
        <f>Tableau1[[#This Row],[Conso HC / jour_x000D_
Cumul]]*365</f>
        <v>7327.4168154590698</v>
      </c>
      <c r="AA104" s="38">
        <f>Tableau1[[#This Row],[Différence HP
Instantané]]+Tableau1[[#This Row],[Différence_x000D_ HC
Instantané]]</f>
        <v>23</v>
      </c>
      <c r="AB104" s="41">
        <f>Tableau1[[#This Row],[Conso HP + HC
Instantané]]/(Tableau1[[#This Row],[Diff jour
Instantané]]*24)</f>
        <v>2.8278688524090958</v>
      </c>
      <c r="AC104" s="34">
        <f>IF(ISERROR(Tableau1[[#This Row],[Date]]-A103),"",Tableau1[[#This Row],[Conso HP + HC
Instantané]]/Tableau1[[#This Row],[Diff jour
Instantané]])</f>
        <v>67.868852457818292</v>
      </c>
      <c r="AD104" s="41">
        <f>Tableau1[[#This Row],[Conso HP + HC / jour_x000D_
Instantané]]*365</f>
        <v>24772.131147103675</v>
      </c>
      <c r="AE104" s="38">
        <f>Tableau1[[#This Row],[Différence HP
Cumul]]+Tableau1[[#This Row],[Différence HC
Cumul]]</f>
        <v>5047</v>
      </c>
      <c r="AF104" s="40">
        <f>(Tableau1[[#This Row],[Conso HP + HC
Cumul]]-AE$6)/Tableau1[[#This Row],[Diff jour_x000D_
Cumul
depuis le 24/01]]</f>
        <v>60.582128353685931</v>
      </c>
      <c r="AG104" s="40">
        <f>(Tableau1[[#This Row],[Conso HP + HC
Cumul]]-AE$59)/Tableau1[[#This Row],[Diff jour_x000D_
Cumul
depuis
précédente facture
16/02/2021]]</f>
        <v>47.409649952694224</v>
      </c>
      <c r="AH104" s="41">
        <f>Tableau1[[#This Row],[Conso HP + HC
Cumul]]/(Tableau1[[#This Row],[Diff jour_x000D_
Cumul]]*24)</f>
        <v>2.6634885173229281</v>
      </c>
      <c r="AI104" s="41">
        <f>Tableau1[[#This Row],[Conso HP + HC
Cumul]]/Tableau1[[#This Row],[Diff jour_x000D_
Cumul]]</f>
        <v>63.923724415750272</v>
      </c>
      <c r="AJ104" s="41">
        <f>Tableau1[[#This Row],[Conso HP + HC / jour_x000D_
Cumul]]*365</f>
        <v>23332.159411748849</v>
      </c>
      <c r="AK104" s="44">
        <f>(Tableau1[[#This Row],[Différence HP
Cumul]]*0.1799)+(Tableau1[[#This Row],[Différence HC
Cumul]]*0.1346)</f>
        <v>836.15480000000002</v>
      </c>
      <c r="AL104" s="44">
        <f>Tableau1[[#This Row],[Montant
Tarif HP/HC]]/Tableau1[[#This Row],[Diff jour_x000D_
Cumul]]</f>
        <v>10.590475332694034</v>
      </c>
      <c r="AM104" s="44">
        <f>(Tableau1[[#This Row],[Montant
Tarif HP/HC]]-AK$6)/Tableau1[[#This Row],[Diff jour_x000D_
Cumul
depuis le 24/01]]</f>
        <v>10.074083700064792</v>
      </c>
      <c r="AN104" s="44">
        <f>(Tableau1[[#This Row],[Montant
Tarif HP/HC]]-AK$59)/Tableau1[[#This Row],[Diff jour_x000D_
Cumul
depuis
précédente facture
16/02/2021]]</f>
        <v>7.8575445979182943</v>
      </c>
      <c r="AO104" s="44">
        <f>Tableau1[[#This Row],[Conso HP + HC
Cumul]]*0.1599</f>
        <v>807.01529999999991</v>
      </c>
      <c r="AP104" s="44">
        <f>Tableau1[[#This Row],[Montant
Tarif normal]]/Tableau1[[#This Row],[Diff jour_x000D_
Cumul]]</f>
        <v>10.221403534078467</v>
      </c>
      <c r="AQ104" s="44">
        <f>(Tableau1[[#This Row],[Conso HP / an
Cumul]]*0.1799)+(Tableau1[[#This Row],[Conso HC / an_x000D_
Cumul]]*0.1346)</f>
        <v>3865.5234964333222</v>
      </c>
      <c r="AR104" s="44">
        <f>Tableau1[[#This Row],[Conso HP + HC / an_x000D_
Cumul]]*0.1599</f>
        <v>3730.8122899386408</v>
      </c>
      <c r="AS104" s="38">
        <f>MONTH(Tableau1[[#This Row],[Date]])</f>
        <v>3</v>
      </c>
      <c r="AT104" s="38">
        <f>YEAR(Tableau1[[#This Row],[Date]])</f>
        <v>2021</v>
      </c>
    </row>
    <row r="105" spans="1:46" x14ac:dyDescent="0.2">
      <c r="A105" s="19">
        <v>44262.313888888886</v>
      </c>
      <c r="B105" s="20">
        <v>1.9</v>
      </c>
      <c r="C105" s="39">
        <f>IF(ISERROR(Tableau1[[#This Row],[Date]]-A104),"",Tableau1[[#This Row],[Date]]-A104)</f>
        <v>0.6520833333270275</v>
      </c>
      <c r="D105" s="40">
        <f>IF(ISERROR(Tableau1[[#This Row],[Date]]-A104),"",Tableau1[[#This Row],[Date]]-A104)</f>
        <v>0.6520833333270275</v>
      </c>
      <c r="E105" s="39">
        <f>Tableau1[[#This Row],[Date]]-$A$5</f>
        <v>79.605555555550382</v>
      </c>
      <c r="F105" s="40">
        <f>Tableau1[[#This Row],[Date]]-$A$5</f>
        <v>79.605555555550382</v>
      </c>
      <c r="G105" s="40">
        <f>Tableau1[[#This Row],[Diff jour_x000D_
Cumul]]-F$6</f>
        <v>41.522222222221899</v>
      </c>
      <c r="H105" s="40">
        <f>Tableau1[[#This Row],[Diff jour_x000D_
Cumul]]-F$59</f>
        <v>19.00277777777228</v>
      </c>
      <c r="I105" s="21">
        <v>183243</v>
      </c>
      <c r="J105" s="38">
        <f>IF(ISERROR(Tableau1[[#This Row],[Index HP
kWh]]-I104),"",Tableau1[[#This Row],[Index HP
kWh]]-I104)</f>
        <v>22</v>
      </c>
      <c r="K105" s="40">
        <f>IF(ISERROR(Tableau1[[#This Row],[Différence HP
Instantané]]/(Tableau1[[#This Row],[Diff jour
Instantané]]*24)),"",Tableau1[[#This Row],[Différence HP
Instantané]]/(Tableau1[[#This Row],[Diff jour
Instantané]]*24))</f>
        <v>1.4057507987356388</v>
      </c>
      <c r="L105" s="40">
        <f>Tableau1[[#This Row],[Différence HP
Instantané]]/Tableau1[[#This Row],[Diff jour
Instantané]]</f>
        <v>33.738019169655331</v>
      </c>
      <c r="M105" s="40">
        <f>Tableau1[[#This Row],[Conso HP / jour
Instantané]]*365</f>
        <v>12314.376996924197</v>
      </c>
      <c r="N105" s="38">
        <f>Tableau1[[#This Row],[Index HP
kWh]]-$I$5</f>
        <v>3484</v>
      </c>
      <c r="O105" s="41">
        <f>Tableau1[[#This Row],[Différence HP
Cumul]]/(Tableau1[[#This Row],[Diff jour_x000D_
Cumul]]*24)</f>
        <v>1.8235745690558796</v>
      </c>
      <c r="P105" s="41">
        <f>Tableau1[[#This Row],[Différence HP
Cumul]]/Tableau1[[#This Row],[Diff jour_x000D_
Cumul]]</f>
        <v>43.765789657341109</v>
      </c>
      <c r="Q105" s="41">
        <f>Tableau1[[#This Row],[Conso HP / jour
Cumul]]*365</f>
        <v>15974.513224929506</v>
      </c>
      <c r="R105" s="21">
        <v>121041</v>
      </c>
      <c r="S105" s="38">
        <f>Tableau1[[#This Row],[Index HC_x000D_
kWh]]-R104</f>
        <v>24</v>
      </c>
      <c r="T105" s="42">
        <f>Tableau1[[#This Row],[Différence_x000D_ HC
Instantané]]/(Tableau1[[#This Row],[Diff jour
Instantané]]*24)</f>
        <v>1.5335463258934241</v>
      </c>
      <c r="U105" s="42">
        <f>Tableau1[[#This Row],[Différence_x000D_ HC
Instantané]]/Tableau1[[#This Row],[Diff jour
Instantané]]</f>
        <v>36.805111821442175</v>
      </c>
      <c r="V105" s="42">
        <f>Tableau1[[#This Row],[Conso HC / jour_x000D_
Instantané]]*365</f>
        <v>13433.865814826393</v>
      </c>
      <c r="W105" s="38">
        <f>Tableau1[[#This Row],[Index HC_x000D_
kWh]]-$R$5</f>
        <v>1609</v>
      </c>
      <c r="X105" s="43">
        <f>Tableau1[[#This Row],[Différence HC
Cumul]]/(Tableau1[[#This Row],[Diff jour_x000D_
Cumul]]*24)</f>
        <v>0.84217321515812582</v>
      </c>
      <c r="Y105" s="43">
        <f>Tableau1[[#This Row],[Différence HC
Cumul]]/Tableau1[[#This Row],[Diff jour_x000D_
Cumul]]</f>
        <v>20.21215716379502</v>
      </c>
      <c r="Z105" s="43">
        <f>Tableau1[[#This Row],[Conso HC / jour_x000D_
Cumul]]*365</f>
        <v>7377.4373647851826</v>
      </c>
      <c r="AA105" s="38">
        <f>Tableau1[[#This Row],[Différence HP
Instantané]]+Tableau1[[#This Row],[Différence_x000D_ HC
Instantané]]</f>
        <v>46</v>
      </c>
      <c r="AB105" s="41">
        <f>Tableau1[[#This Row],[Conso HP + HC
Instantané]]/(Tableau1[[#This Row],[Diff jour
Instantané]]*24)</f>
        <v>2.9392971246290629</v>
      </c>
      <c r="AC105" s="34">
        <f>IF(ISERROR(Tableau1[[#This Row],[Date]]-A104),"",Tableau1[[#This Row],[Conso HP + HC
Instantané]]/Tableau1[[#This Row],[Diff jour
Instantané]])</f>
        <v>70.543130991097513</v>
      </c>
      <c r="AD105" s="41">
        <f>Tableau1[[#This Row],[Conso HP + HC / jour_x000D_
Instantané]]*365</f>
        <v>25748.242811750591</v>
      </c>
      <c r="AE105" s="38">
        <f>Tableau1[[#This Row],[Différence HP
Cumul]]+Tableau1[[#This Row],[Différence HC
Cumul]]</f>
        <v>5093</v>
      </c>
      <c r="AF105" s="40">
        <f>(Tableau1[[#This Row],[Conso HP + HC
Cumul]]-AE$6)/Tableau1[[#This Row],[Diff jour_x000D_
Cumul
depuis le 24/01]]</f>
        <v>60.738560342521211</v>
      </c>
      <c r="AG105" s="40">
        <f>(Tableau1[[#This Row],[Conso HP + HC
Cumul]]-AE$59)/Tableau1[[#This Row],[Diff jour_x000D_
Cumul
depuis
précédente facture
16/02/2021]]</f>
        <v>48.203479023548518</v>
      </c>
      <c r="AH105" s="41">
        <f>Tableau1[[#This Row],[Conso HP + HC
Cumul]]/(Tableau1[[#This Row],[Diff jour_x000D_
Cumul]]*24)</f>
        <v>2.6657477842140054</v>
      </c>
      <c r="AI105" s="41">
        <f>Tableau1[[#This Row],[Conso HP + HC
Cumul]]/Tableau1[[#This Row],[Diff jour_x000D_
Cumul]]</f>
        <v>63.977946821136129</v>
      </c>
      <c r="AJ105" s="41">
        <f>Tableau1[[#This Row],[Conso HP + HC / jour_x000D_
Cumul]]*365</f>
        <v>23351.950589714688</v>
      </c>
      <c r="AK105" s="44">
        <f>(Tableau1[[#This Row],[Différence HP
Cumul]]*0.1799)+(Tableau1[[#This Row],[Différence HC
Cumul]]*0.1346)</f>
        <v>843.34300000000007</v>
      </c>
      <c r="AL105" s="44">
        <f>Tableau1[[#This Row],[Montant
Tarif HP/HC]]/Tableau1[[#This Row],[Diff jour_x000D_
Cumul]]</f>
        <v>10.594021913602477</v>
      </c>
      <c r="AM105" s="44">
        <f>(Tableau1[[#This Row],[Montant
Tarif HP/HC]]-AK$6)/Tableau1[[#This Row],[Diff jour_x000D_
Cumul
depuis le 24/01]]</f>
        <v>10.088992774953251</v>
      </c>
      <c r="AN105" s="44">
        <f>(Tableau1[[#This Row],[Montant
Tarif HP/HC]]-AK$59)/Tableau1[[#This Row],[Diff jour_x000D_
Cumul
depuis
précédente facture
16/02/2021]]</f>
        <v>7.9661827218266046</v>
      </c>
      <c r="AO105" s="44">
        <f>Tableau1[[#This Row],[Conso HP + HC
Cumul]]*0.1599</f>
        <v>814.37069999999994</v>
      </c>
      <c r="AP105" s="44">
        <f>Tableau1[[#This Row],[Montant
Tarif normal]]/Tableau1[[#This Row],[Diff jour_x000D_
Cumul]]</f>
        <v>10.230073696699666</v>
      </c>
      <c r="AQ105" s="44">
        <f>(Tableau1[[#This Row],[Conso HP / an
Cumul]]*0.1799)+(Tableau1[[#This Row],[Conso HC / an_x000D_
Cumul]]*0.1346)</f>
        <v>3866.8179984649041</v>
      </c>
      <c r="AR105" s="44">
        <f>Tableau1[[#This Row],[Conso HP + HC / an_x000D_
Cumul]]*0.1599</f>
        <v>3733.9768992953782</v>
      </c>
      <c r="AS105" s="38">
        <f>MONTH(Tableau1[[#This Row],[Date]])</f>
        <v>3</v>
      </c>
      <c r="AT105" s="38">
        <f>YEAR(Tableau1[[#This Row],[Date]])</f>
        <v>2021</v>
      </c>
    </row>
    <row r="106" spans="1:46" x14ac:dyDescent="0.2">
      <c r="A106" s="19">
        <v>44263.286805555559</v>
      </c>
      <c r="B106" s="20">
        <v>-0.7</v>
      </c>
      <c r="C106" s="39">
        <f>IF(ISERROR(Tableau1[[#This Row],[Date]]-A105),"",Tableau1[[#This Row],[Date]]-A105)</f>
        <v>0.9729166666729725</v>
      </c>
      <c r="D106" s="40">
        <f>IF(ISERROR(Tableau1[[#This Row],[Date]]-A105),"",Tableau1[[#This Row],[Date]]-A105)</f>
        <v>0.9729166666729725</v>
      </c>
      <c r="E106" s="39">
        <f>Tableau1[[#This Row],[Date]]-$A$5</f>
        <v>80.578472222223354</v>
      </c>
      <c r="F106" s="40">
        <f>Tableau1[[#This Row],[Date]]-$A$5</f>
        <v>80.578472222223354</v>
      </c>
      <c r="G106" s="40">
        <f>Tableau1[[#This Row],[Diff jour_x000D_
Cumul]]-F$6</f>
        <v>42.495138888894871</v>
      </c>
      <c r="H106" s="40">
        <f>Tableau1[[#This Row],[Diff jour_x000D_
Cumul]]-F$59</f>
        <v>19.975694444445253</v>
      </c>
      <c r="I106" s="21">
        <v>183283</v>
      </c>
      <c r="J106" s="38">
        <f>IF(ISERROR(Tableau1[[#This Row],[Index HP
kWh]]-I105),"",Tableau1[[#This Row],[Index HP
kWh]]-I105)</f>
        <v>40</v>
      </c>
      <c r="K106" s="40">
        <f>IF(ISERROR(Tableau1[[#This Row],[Différence HP
Instantané]]/(Tableau1[[#This Row],[Diff jour
Instantané]]*24)),"",Tableau1[[#This Row],[Différence HP
Instantané]]/(Tableau1[[#This Row],[Diff jour
Instantané]]*24))</f>
        <v>1.7130620984899676</v>
      </c>
      <c r="L106" s="40">
        <f>Tableau1[[#This Row],[Différence HP
Instantané]]/Tableau1[[#This Row],[Diff jour
Instantané]]</f>
        <v>41.113490363759226</v>
      </c>
      <c r="M106" s="40">
        <f>Tableau1[[#This Row],[Conso HP / jour
Instantané]]*365</f>
        <v>15006.423982772118</v>
      </c>
      <c r="N106" s="38">
        <f>Tableau1[[#This Row],[Index HP
kWh]]-$I$5</f>
        <v>3524</v>
      </c>
      <c r="O106" s="41">
        <f>Tableau1[[#This Row],[Différence HP
Cumul]]/(Tableau1[[#This Row],[Diff jour_x000D_
Cumul]]*24)</f>
        <v>1.8222402247636191</v>
      </c>
      <c r="P106" s="41">
        <f>Tableau1[[#This Row],[Différence HP
Cumul]]/Tableau1[[#This Row],[Diff jour_x000D_
Cumul]]</f>
        <v>43.733765394326859</v>
      </c>
      <c r="Q106" s="41">
        <f>Tableau1[[#This Row],[Conso HP / jour
Cumul]]*365</f>
        <v>15962.824368929303</v>
      </c>
      <c r="R106" s="21">
        <v>121061</v>
      </c>
      <c r="S106" s="38">
        <f>Tableau1[[#This Row],[Index HC_x000D_
kWh]]-R105</f>
        <v>20</v>
      </c>
      <c r="T106" s="42">
        <f>Tableau1[[#This Row],[Différence_x000D_ HC
Instantané]]/(Tableau1[[#This Row],[Diff jour
Instantané]]*24)</f>
        <v>0.8565310492449838</v>
      </c>
      <c r="U106" s="42">
        <f>Tableau1[[#This Row],[Différence_x000D_ HC
Instantané]]/Tableau1[[#This Row],[Diff jour
Instantané]]</f>
        <v>20.556745181879613</v>
      </c>
      <c r="V106" s="42">
        <f>Tableau1[[#This Row],[Conso HC / jour_x000D_
Instantané]]*365</f>
        <v>7503.2119913860588</v>
      </c>
      <c r="W106" s="38">
        <f>Tableau1[[#This Row],[Index HC_x000D_
kWh]]-$R$5</f>
        <v>1629</v>
      </c>
      <c r="X106" s="43">
        <f>Tableau1[[#This Row],[Différence HC
Cumul]]/(Tableau1[[#This Row],[Diff jour_x000D_
Cumul]]*24)</f>
        <v>0.84234657381950506</v>
      </c>
      <c r="Y106" s="43">
        <f>Tableau1[[#This Row],[Différence HC
Cumul]]/Tableau1[[#This Row],[Diff jour_x000D_
Cumul]]</f>
        <v>20.21631777166812</v>
      </c>
      <c r="Z106" s="43">
        <f>Tableau1[[#This Row],[Conso HC / jour_x000D_
Cumul]]*365</f>
        <v>7378.9559866588634</v>
      </c>
      <c r="AA106" s="38">
        <f>Tableau1[[#This Row],[Différence HP
Instantané]]+Tableau1[[#This Row],[Différence_x000D_ HC
Instantané]]</f>
        <v>60</v>
      </c>
      <c r="AB106" s="41">
        <f>Tableau1[[#This Row],[Conso HP + HC
Instantané]]/(Tableau1[[#This Row],[Diff jour
Instantané]]*24)</f>
        <v>2.5695931477349516</v>
      </c>
      <c r="AC106" s="34">
        <f>IF(ISERROR(Tableau1[[#This Row],[Date]]-A105),"",Tableau1[[#This Row],[Conso HP + HC
Instantané]]/Tableau1[[#This Row],[Diff jour
Instantané]])</f>
        <v>61.670235545638839</v>
      </c>
      <c r="AD106" s="41">
        <f>Tableau1[[#This Row],[Conso HP + HC / jour_x000D_
Instantané]]*365</f>
        <v>22509.635974158176</v>
      </c>
      <c r="AE106" s="38">
        <f>Tableau1[[#This Row],[Différence HP
Cumul]]+Tableau1[[#This Row],[Différence HC
Cumul]]</f>
        <v>5153</v>
      </c>
      <c r="AF106" s="40">
        <f>(Tableau1[[#This Row],[Conso HP + HC
Cumul]]-AE$6)/Tableau1[[#This Row],[Diff jour_x000D_
Cumul
depuis le 24/01]]</f>
        <v>60.759890837178709</v>
      </c>
      <c r="AG106" s="40">
        <f>(Tableau1[[#This Row],[Conso HP + HC
Cumul]]-AE$59)/Tableau1[[#This Row],[Diff jour_x000D_
Cumul
depuis
précédente facture
16/02/2021]]</f>
        <v>48.8593777159723</v>
      </c>
      <c r="AH106" s="41">
        <f>Tableau1[[#This Row],[Conso HP + HC
Cumul]]/(Tableau1[[#This Row],[Diff jour_x000D_
Cumul]]*24)</f>
        <v>2.6645867985831244</v>
      </c>
      <c r="AI106" s="41">
        <f>Tableau1[[#This Row],[Conso HP + HC
Cumul]]/Tableau1[[#This Row],[Diff jour_x000D_
Cumul]]</f>
        <v>63.950083165994982</v>
      </c>
      <c r="AJ106" s="41">
        <f>Tableau1[[#This Row],[Conso HP + HC / jour_x000D_
Cumul]]*365</f>
        <v>23341.780355588169</v>
      </c>
      <c r="AK106" s="44">
        <f>(Tableau1[[#This Row],[Différence HP
Cumul]]*0.1799)+(Tableau1[[#This Row],[Différence HC
Cumul]]*0.1346)</f>
        <v>853.23099999999999</v>
      </c>
      <c r="AL106" s="44">
        <f>Tableau1[[#This Row],[Montant
Tarif HP/HC]]/Tableau1[[#This Row],[Diff jour_x000D_
Cumul]]</f>
        <v>10.588820766505931</v>
      </c>
      <c r="AM106" s="44">
        <f>(Tableau1[[#This Row],[Montant
Tarif HP/HC]]-AK$6)/Tableau1[[#This Row],[Diff jour_x000D_
Cumul
depuis le 24/01]]</f>
        <v>10.090692987758617</v>
      </c>
      <c r="AN106" s="44">
        <f>(Tableau1[[#This Row],[Montant
Tarif HP/HC]]-AK$59)/Tableau1[[#This Row],[Diff jour_x000D_
Cumul
depuis
précédente facture
16/02/2021]]</f>
        <v>8.0731911698241134</v>
      </c>
      <c r="AO106" s="44">
        <f>Tableau1[[#This Row],[Conso HP + HC
Cumul]]*0.1599</f>
        <v>823.96469999999988</v>
      </c>
      <c r="AP106" s="44">
        <f>Tableau1[[#This Row],[Montant
Tarif normal]]/Tableau1[[#This Row],[Diff jour_x000D_
Cumul]]</f>
        <v>10.225618298242596</v>
      </c>
      <c r="AQ106" s="44">
        <f>(Tableau1[[#This Row],[Conso HP / an
Cumul]]*0.1799)+(Tableau1[[#This Row],[Conso HC / an_x000D_
Cumul]]*0.1346)</f>
        <v>3864.9195797746647</v>
      </c>
      <c r="AR106" s="44">
        <f>Tableau1[[#This Row],[Conso HP + HC / an_x000D_
Cumul]]*0.1599</f>
        <v>3732.3506788585478</v>
      </c>
      <c r="AS106" s="38">
        <f>MONTH(Tableau1[[#This Row],[Date]])</f>
        <v>3</v>
      </c>
      <c r="AT106" s="38">
        <f>YEAR(Tableau1[[#This Row],[Date]])</f>
        <v>2021</v>
      </c>
    </row>
    <row r="107" spans="1:46" x14ac:dyDescent="0.2">
      <c r="A107" s="19">
        <v>44263.581250000003</v>
      </c>
      <c r="B107" s="20">
        <v>8.4</v>
      </c>
      <c r="C107" s="39">
        <f>IF(ISERROR(Tableau1[[#This Row],[Date]]-A106),"",Tableau1[[#This Row],[Date]]-A106)</f>
        <v>0.29444444444379769</v>
      </c>
      <c r="D107" s="40">
        <f>IF(ISERROR(Tableau1[[#This Row],[Date]]-A106),"",Tableau1[[#This Row],[Date]]-A106)</f>
        <v>0.29444444444379769</v>
      </c>
      <c r="E107" s="39">
        <f>Tableau1[[#This Row],[Date]]-$A$5</f>
        <v>80.872916666667152</v>
      </c>
      <c r="F107" s="40">
        <f>Tableau1[[#This Row],[Date]]-$A$5</f>
        <v>80.872916666667152</v>
      </c>
      <c r="G107" s="40">
        <f>Tableau1[[#This Row],[Diff jour_x000D_
Cumul]]-F$6</f>
        <v>42.789583333338669</v>
      </c>
      <c r="H107" s="40">
        <f>Tableau1[[#This Row],[Diff jour_x000D_
Cumul]]-F$59</f>
        <v>20.270138888889051</v>
      </c>
      <c r="I107" s="21">
        <v>183303</v>
      </c>
      <c r="J107" s="38">
        <f>IF(ISERROR(Tableau1[[#This Row],[Index HP
kWh]]-I106),"",Tableau1[[#This Row],[Index HP
kWh]]-I106)</f>
        <v>20</v>
      </c>
      <c r="K107" s="40">
        <f>IF(ISERROR(Tableau1[[#This Row],[Différence HP
Instantané]]/(Tableau1[[#This Row],[Diff jour
Instantané]]*24)),"",Tableau1[[#This Row],[Différence HP
Instantané]]/(Tableau1[[#This Row],[Diff jour
Instantané]]*24))</f>
        <v>2.8301886792514996</v>
      </c>
      <c r="L107" s="40">
        <f>Tableau1[[#This Row],[Différence HP
Instantané]]/Tableau1[[#This Row],[Diff jour
Instantané]]</f>
        <v>67.924528302035995</v>
      </c>
      <c r="M107" s="40">
        <f>Tableau1[[#This Row],[Conso HP / jour
Instantané]]*365</f>
        <v>24792.452830243139</v>
      </c>
      <c r="N107" s="38">
        <f>Tableau1[[#This Row],[Index HP
kWh]]-$I$5</f>
        <v>3544</v>
      </c>
      <c r="O107" s="41">
        <f>Tableau1[[#This Row],[Différence HP
Cumul]]/(Tableau1[[#This Row],[Diff jour_x000D_
Cumul]]*24)</f>
        <v>1.8259099925294204</v>
      </c>
      <c r="P107" s="41">
        <f>Tableau1[[#This Row],[Différence HP
Cumul]]/Tableau1[[#This Row],[Diff jour_x000D_
Cumul]]</f>
        <v>43.821839820706096</v>
      </c>
      <c r="Q107" s="41">
        <f>Tableau1[[#This Row],[Conso HP / jour
Cumul]]*365</f>
        <v>15994.971534557724</v>
      </c>
      <c r="R107" s="21">
        <v>121061</v>
      </c>
      <c r="S107" s="38">
        <f>Tableau1[[#This Row],[Index HC_x000D_
kWh]]-R106</f>
        <v>0</v>
      </c>
      <c r="T107" s="42">
        <f>Tableau1[[#This Row],[Différence_x000D_ HC
Instantané]]/(Tableau1[[#This Row],[Diff jour
Instantané]]*24)</f>
        <v>0</v>
      </c>
      <c r="U107" s="42">
        <f>Tableau1[[#This Row],[Différence_x000D_ HC
Instantané]]/Tableau1[[#This Row],[Diff jour
Instantané]]</f>
        <v>0</v>
      </c>
      <c r="V107" s="42">
        <f>Tableau1[[#This Row],[Conso HC / jour_x000D_
Instantané]]*365</f>
        <v>0</v>
      </c>
      <c r="W107" s="38">
        <f>Tableau1[[#This Row],[Index HC_x000D_
kWh]]-$R$5</f>
        <v>1629</v>
      </c>
      <c r="X107" s="43">
        <f>Tableau1[[#This Row],[Différence HC
Cumul]]/(Tableau1[[#This Row],[Diff jour_x000D_
Cumul]]*24)</f>
        <v>0.83927973415079737</v>
      </c>
      <c r="Y107" s="43">
        <f>Tableau1[[#This Row],[Différence HC
Cumul]]/Tableau1[[#This Row],[Diff jour_x000D_
Cumul]]</f>
        <v>20.142713619619137</v>
      </c>
      <c r="Z107" s="43">
        <f>Tableau1[[#This Row],[Conso HC / jour_x000D_
Cumul]]*365</f>
        <v>7352.0904711609846</v>
      </c>
      <c r="AA107" s="38">
        <f>Tableau1[[#This Row],[Différence HP
Instantané]]+Tableau1[[#This Row],[Différence_x000D_ HC
Instantané]]</f>
        <v>20</v>
      </c>
      <c r="AB107" s="41">
        <f>Tableau1[[#This Row],[Conso HP + HC
Instantané]]/(Tableau1[[#This Row],[Diff jour
Instantané]]*24)</f>
        <v>2.8301886792514996</v>
      </c>
      <c r="AC107" s="34">
        <f>IF(ISERROR(Tableau1[[#This Row],[Date]]-A106),"",Tableau1[[#This Row],[Conso HP + HC
Instantané]]/Tableau1[[#This Row],[Diff jour
Instantané]])</f>
        <v>67.924528302035995</v>
      </c>
      <c r="AD107" s="41">
        <f>Tableau1[[#This Row],[Conso HP + HC / jour_x000D_
Instantané]]*365</f>
        <v>24792.452830243139</v>
      </c>
      <c r="AE107" s="38">
        <f>Tableau1[[#This Row],[Différence HP
Cumul]]+Tableau1[[#This Row],[Différence HC
Cumul]]</f>
        <v>5173</v>
      </c>
      <c r="AF107" s="40">
        <f>(Tableau1[[#This Row],[Conso HP + HC
Cumul]]-AE$6)/Tableau1[[#This Row],[Diff jour_x000D_
Cumul
depuis le 24/01]]</f>
        <v>60.809192268359915</v>
      </c>
      <c r="AG107" s="40">
        <f>(Tableau1[[#This Row],[Conso HP + HC
Cumul]]-AE$59)/Tableau1[[#This Row],[Diff jour_x000D_
Cumul
depuis
précédente facture
16/02/2021]]</f>
        <v>49.13631847613788</v>
      </c>
      <c r="AH107" s="41">
        <f>Tableau1[[#This Row],[Conso HP + HC
Cumul]]/(Tableau1[[#This Row],[Diff jour_x000D_
Cumul]]*24)</f>
        <v>2.665189726680218</v>
      </c>
      <c r="AI107" s="41">
        <f>Tableau1[[#This Row],[Conso HP + HC
Cumul]]/Tableau1[[#This Row],[Diff jour_x000D_
Cumul]]</f>
        <v>63.964553440325233</v>
      </c>
      <c r="AJ107" s="41">
        <f>Tableau1[[#This Row],[Conso HP + HC / jour_x000D_
Cumul]]*365</f>
        <v>23347.062005718712</v>
      </c>
      <c r="AK107" s="44">
        <f>(Tableau1[[#This Row],[Différence HP
Cumul]]*0.1799)+(Tableau1[[#This Row],[Différence HC
Cumul]]*0.1346)</f>
        <v>856.82899999999995</v>
      </c>
      <c r="AL107" s="44">
        <f>Tableau1[[#This Row],[Montant
Tarif HP/HC]]/Tableau1[[#This Row],[Diff jour_x000D_
Cumul]]</f>
        <v>10.594758236945761</v>
      </c>
      <c r="AM107" s="44">
        <f>(Tableau1[[#This Row],[Montant
Tarif HP/HC]]-AK$6)/Tableau1[[#This Row],[Diff jour_x000D_
Cumul
depuis le 24/01]]</f>
        <v>10.105342616484448</v>
      </c>
      <c r="AN107" s="44">
        <f>(Tableau1[[#This Row],[Montant
Tarif HP/HC]]-AK$59)/Tableau1[[#This Row],[Diff jour_x000D_
Cumul
depuis
précédente facture
16/02/2021]]</f>
        <v>8.13342231662606</v>
      </c>
      <c r="AO107" s="44">
        <f>Tableau1[[#This Row],[Conso HP + HC
Cumul]]*0.1599</f>
        <v>827.16269999999997</v>
      </c>
      <c r="AP107" s="44">
        <f>Tableau1[[#This Row],[Montant
Tarif normal]]/Tableau1[[#This Row],[Diff jour_x000D_
Cumul]]</f>
        <v>10.227932095108004</v>
      </c>
      <c r="AQ107" s="44">
        <f>(Tableau1[[#This Row],[Conso HP / an
Cumul]]*0.1799)+(Tableau1[[#This Row],[Conso HC / an_x000D_
Cumul]]*0.1346)</f>
        <v>3867.0867564852033</v>
      </c>
      <c r="AR107" s="44">
        <f>Tableau1[[#This Row],[Conso HP + HC / an_x000D_
Cumul]]*0.1599</f>
        <v>3733.1952147144216</v>
      </c>
      <c r="AS107" s="38">
        <f>MONTH(Tableau1[[#This Row],[Date]])</f>
        <v>3</v>
      </c>
      <c r="AT107" s="38">
        <f>YEAR(Tableau1[[#This Row],[Date]])</f>
        <v>2021</v>
      </c>
    </row>
    <row r="108" spans="1:46" x14ac:dyDescent="0.2">
      <c r="A108" s="19">
        <v>44264.307638888888</v>
      </c>
      <c r="B108" s="20">
        <v>-3.6</v>
      </c>
      <c r="C108" s="39">
        <f>IF(ISERROR(Tableau1[[#This Row],[Date]]-A107),"",Tableau1[[#This Row],[Date]]-A107)</f>
        <v>0.726388888884685</v>
      </c>
      <c r="D108" s="40">
        <f>IF(ISERROR(Tableau1[[#This Row],[Date]]-A107),"",Tableau1[[#This Row],[Date]]-A107)</f>
        <v>0.726388888884685</v>
      </c>
      <c r="E108" s="39">
        <f>Tableau1[[#This Row],[Date]]-$A$5</f>
        <v>81.599305555551837</v>
      </c>
      <c r="F108" s="40">
        <f>Tableau1[[#This Row],[Date]]-$A$5</f>
        <v>81.599305555551837</v>
      </c>
      <c r="G108" s="40">
        <f>Tableau1[[#This Row],[Diff jour_x000D_
Cumul]]-F$6</f>
        <v>43.515972222223354</v>
      </c>
      <c r="H108" s="40">
        <f>Tableau1[[#This Row],[Diff jour_x000D_
Cumul]]-F$59</f>
        <v>20.996527777773736</v>
      </c>
      <c r="I108" s="21">
        <v>183324</v>
      </c>
      <c r="J108" s="38">
        <f>IF(ISERROR(Tableau1[[#This Row],[Index HP
kWh]]-I107),"",Tableau1[[#This Row],[Index HP
kWh]]-I107)</f>
        <v>21</v>
      </c>
      <c r="K108" s="40">
        <f>IF(ISERROR(Tableau1[[#This Row],[Différence HP
Instantané]]/(Tableau1[[#This Row],[Diff jour
Instantané]]*24)),"",Tableau1[[#This Row],[Différence HP
Instantané]]/(Tableau1[[#This Row],[Diff jour
Instantané]]*24))</f>
        <v>1.2045889101408147</v>
      </c>
      <c r="L108" s="40">
        <f>Tableau1[[#This Row],[Différence HP
Instantané]]/Tableau1[[#This Row],[Diff jour
Instantané]]</f>
        <v>28.910133843379551</v>
      </c>
      <c r="M108" s="40">
        <f>Tableau1[[#This Row],[Conso HP / jour
Instantané]]*365</f>
        <v>10552.198852833537</v>
      </c>
      <c r="N108" s="38">
        <f>Tableau1[[#This Row],[Index HP
kWh]]-$I$5</f>
        <v>3565</v>
      </c>
      <c r="O108" s="41">
        <f>Tableau1[[#This Row],[Différence HP
Cumul]]/(Tableau1[[#This Row],[Diff jour_x000D_
Cumul]]*24)</f>
        <v>1.8203790541518918</v>
      </c>
      <c r="P108" s="41">
        <f>Tableau1[[#This Row],[Différence HP
Cumul]]/Tableau1[[#This Row],[Diff jour_x000D_
Cumul]]</f>
        <v>43.689097299645404</v>
      </c>
      <c r="Q108" s="41">
        <f>Tableau1[[#This Row],[Conso HP / jour
Cumul]]*365</f>
        <v>15946.520514370572</v>
      </c>
      <c r="R108" s="21">
        <v>121087</v>
      </c>
      <c r="S108" s="38">
        <f>Tableau1[[#This Row],[Index HC_x000D_
kWh]]-R107</f>
        <v>26</v>
      </c>
      <c r="T108" s="42">
        <f>Tableau1[[#This Row],[Différence_x000D_ HC
Instantané]]/(Tableau1[[#This Row],[Diff jour
Instantané]]*24)</f>
        <v>1.4913957935076751</v>
      </c>
      <c r="U108" s="42">
        <f>Tableau1[[#This Row],[Différence_x000D_ HC
Instantané]]/Tableau1[[#This Row],[Diff jour
Instantané]]</f>
        <v>35.793499044184209</v>
      </c>
      <c r="V108" s="42">
        <f>Tableau1[[#This Row],[Conso HC / jour_x000D_
Instantané]]*365</f>
        <v>13064.627151127237</v>
      </c>
      <c r="W108" s="38">
        <f>Tableau1[[#This Row],[Index HC_x000D_
kWh]]-$R$5</f>
        <v>1655</v>
      </c>
      <c r="X108" s="43">
        <f>Tableau1[[#This Row],[Différence HC
Cumul]]/(Tableau1[[#This Row],[Diff jour_x000D_
Cumul]]*24)</f>
        <v>0.84508480634540839</v>
      </c>
      <c r="Y108" s="43">
        <f>Tableau1[[#This Row],[Différence HC
Cumul]]/Tableau1[[#This Row],[Diff jour_x000D_
Cumul]]</f>
        <v>20.282035352289803</v>
      </c>
      <c r="Z108" s="43">
        <f>Tableau1[[#This Row],[Conso HC / jour_x000D_
Cumul]]*365</f>
        <v>7402.9429035857784</v>
      </c>
      <c r="AA108" s="38">
        <f>Tableau1[[#This Row],[Différence HP
Instantané]]+Tableau1[[#This Row],[Différence_x000D_ HC
Instantané]]</f>
        <v>47</v>
      </c>
      <c r="AB108" s="41">
        <f>Tableau1[[#This Row],[Conso HP + HC
Instantané]]/(Tableau1[[#This Row],[Diff jour
Instantané]]*24)</f>
        <v>2.6959847036484899</v>
      </c>
      <c r="AC108" s="34">
        <f>IF(ISERROR(Tableau1[[#This Row],[Date]]-A107),"",Tableau1[[#This Row],[Conso HP + HC
Instantané]]/Tableau1[[#This Row],[Diff jour
Instantané]])</f>
        <v>64.703632887563757</v>
      </c>
      <c r="AD108" s="41">
        <f>Tableau1[[#This Row],[Conso HP + HC / jour_x000D_
Instantané]]*365</f>
        <v>23616.82600396077</v>
      </c>
      <c r="AE108" s="38">
        <f>Tableau1[[#This Row],[Différence HP
Cumul]]+Tableau1[[#This Row],[Différence HC
Cumul]]</f>
        <v>5220</v>
      </c>
      <c r="AF108" s="40">
        <f>(Tableau1[[#This Row],[Conso HP + HC
Cumul]]-AE$6)/Tableau1[[#This Row],[Diff jour_x000D_
Cumul
depuis le 24/01]]</f>
        <v>60.874200086173673</v>
      </c>
      <c r="AG108" s="40">
        <f>(Tableau1[[#This Row],[Conso HP + HC
Cumul]]-AE$59)/Tableau1[[#This Row],[Diff jour_x000D_
Cumul
depuis
précédente facture
16/02/2021]]</f>
        <v>49.674880105847166</v>
      </c>
      <c r="AH108" s="41">
        <f>Tableau1[[#This Row],[Conso HP + HC
Cumul]]/(Tableau1[[#This Row],[Diff jour_x000D_
Cumul]]*24)</f>
        <v>2.6654638604973004</v>
      </c>
      <c r="AI108" s="41">
        <f>Tableau1[[#This Row],[Conso HP + HC
Cumul]]/Tableau1[[#This Row],[Diff jour_x000D_
Cumul]]</f>
        <v>63.971132651935207</v>
      </c>
      <c r="AJ108" s="41">
        <f>Tableau1[[#This Row],[Conso HP + HC / jour_x000D_
Cumul]]*365</f>
        <v>23349.463417956351</v>
      </c>
      <c r="AK108" s="44">
        <f>(Tableau1[[#This Row],[Différence HP
Cumul]]*0.1799)+(Tableau1[[#This Row],[Différence HC
Cumul]]*0.1346)</f>
        <v>864.1065000000001</v>
      </c>
      <c r="AL108" s="44">
        <f>Tableau1[[#This Row],[Montant
Tarif HP/HC]]/Tableau1[[#This Row],[Diff jour_x000D_
Cumul]]</f>
        <v>10.589630562624416</v>
      </c>
      <c r="AM108" s="44">
        <f>(Tableau1[[#This Row],[Montant
Tarif HP/HC]]-AK$6)/Tableau1[[#This Row],[Diff jour_x000D_
Cumul
depuis le 24/01]]</f>
        <v>10.103896972694949</v>
      </c>
      <c r="AN108" s="44">
        <f>(Tableau1[[#This Row],[Montant
Tarif HP/HC]]-AK$59)/Tableau1[[#This Row],[Diff jour_x000D_
Cumul
depuis
précédente facture
16/02/2021]]</f>
        <v>8.1986460724341956</v>
      </c>
      <c r="AO108" s="44">
        <f>Tableau1[[#This Row],[Conso HP + HC
Cumul]]*0.1599</f>
        <v>834.67799999999988</v>
      </c>
      <c r="AP108" s="44">
        <f>Tableau1[[#This Row],[Montant
Tarif normal]]/Tableau1[[#This Row],[Diff jour_x000D_
Cumul]]</f>
        <v>10.228984111044438</v>
      </c>
      <c r="AQ108" s="44">
        <f>(Tableau1[[#This Row],[Conso HP / an
Cumul]]*0.1799)+(Tableau1[[#This Row],[Conso HC / an_x000D_
Cumul]]*0.1346)</f>
        <v>3865.2151553579115</v>
      </c>
      <c r="AR108" s="44">
        <f>Tableau1[[#This Row],[Conso HP + HC / an_x000D_
Cumul]]*0.1599</f>
        <v>3733.5792005312201</v>
      </c>
      <c r="AS108" s="38">
        <f>MONTH(Tableau1[[#This Row],[Date]])</f>
        <v>3</v>
      </c>
      <c r="AT108" s="38">
        <f>YEAR(Tableau1[[#This Row],[Date]])</f>
        <v>2021</v>
      </c>
    </row>
    <row r="109" spans="1:46" x14ac:dyDescent="0.2">
      <c r="A109" s="19">
        <v>44264.573611111111</v>
      </c>
      <c r="B109" s="20">
        <v>9</v>
      </c>
      <c r="C109" s="39">
        <f>IF(ISERROR(Tableau1[[#This Row],[Date]]-A108),"",Tableau1[[#This Row],[Date]]-A108)</f>
        <v>0.26597222222335404</v>
      </c>
      <c r="D109" s="40">
        <f>IF(ISERROR(Tableau1[[#This Row],[Date]]-A108),"",Tableau1[[#This Row],[Date]]-A108)</f>
        <v>0.26597222222335404</v>
      </c>
      <c r="E109" s="39">
        <f>Tableau1[[#This Row],[Date]]-$A$5</f>
        <v>81.865277777775191</v>
      </c>
      <c r="F109" s="40">
        <f>Tableau1[[#This Row],[Date]]-$A$5</f>
        <v>81.865277777775191</v>
      </c>
      <c r="G109" s="40">
        <f>Tableau1[[#This Row],[Diff jour_x000D_
Cumul]]-F$6</f>
        <v>43.781944444446708</v>
      </c>
      <c r="H109" s="40">
        <f>Tableau1[[#This Row],[Diff jour_x000D_
Cumul]]-F$59</f>
        <v>21.26249999999709</v>
      </c>
      <c r="I109" s="21">
        <v>183343</v>
      </c>
      <c r="J109" s="38">
        <f>IF(ISERROR(Tableau1[[#This Row],[Index HP
kWh]]-I108),"",Tableau1[[#This Row],[Index HP
kWh]]-I108)</f>
        <v>19</v>
      </c>
      <c r="K109" s="40">
        <f>IF(ISERROR(Tableau1[[#This Row],[Différence HP
Instantané]]/(Tableau1[[#This Row],[Diff jour
Instantané]]*24)),"",Tableau1[[#This Row],[Différence HP
Instantané]]/(Tableau1[[#This Row],[Diff jour
Instantané]]*24))</f>
        <v>2.9765013054703626</v>
      </c>
      <c r="L109" s="40">
        <f>Tableau1[[#This Row],[Différence HP
Instantané]]/Tableau1[[#This Row],[Diff jour
Instantané]]</f>
        <v>71.436031331288703</v>
      </c>
      <c r="M109" s="40">
        <f>Tableau1[[#This Row],[Conso HP / jour
Instantané]]*365</f>
        <v>26074.151435920376</v>
      </c>
      <c r="N109" s="38">
        <f>Tableau1[[#This Row],[Index HP
kWh]]-$I$5</f>
        <v>3584</v>
      </c>
      <c r="O109" s="41">
        <f>Tableau1[[#This Row],[Différence HP
Cumul]]/(Tableau1[[#This Row],[Diff jour_x000D_
Cumul]]*24)</f>
        <v>1.8241351814465399</v>
      </c>
      <c r="P109" s="41">
        <f>Tableau1[[#This Row],[Différence HP
Cumul]]/Tableau1[[#This Row],[Diff jour_x000D_
Cumul]]</f>
        <v>43.779244354716958</v>
      </c>
      <c r="Q109" s="41">
        <f>Tableau1[[#This Row],[Conso HP / jour
Cumul]]*365</f>
        <v>15979.424189471691</v>
      </c>
      <c r="R109" s="21">
        <v>121087</v>
      </c>
      <c r="S109" s="38">
        <f>Tableau1[[#This Row],[Index HC_x000D_
kWh]]-R108</f>
        <v>0</v>
      </c>
      <c r="T109" s="42">
        <f>Tableau1[[#This Row],[Différence_x000D_ HC
Instantané]]/(Tableau1[[#This Row],[Diff jour
Instantané]]*24)</f>
        <v>0</v>
      </c>
      <c r="U109" s="42">
        <f>Tableau1[[#This Row],[Différence_x000D_ HC
Instantané]]/Tableau1[[#This Row],[Diff jour
Instantané]]</f>
        <v>0</v>
      </c>
      <c r="V109" s="42">
        <f>Tableau1[[#This Row],[Conso HC / jour_x000D_
Instantané]]*365</f>
        <v>0</v>
      </c>
      <c r="W109" s="38">
        <f>Tableau1[[#This Row],[Index HC_x000D_
kWh]]-$R$5</f>
        <v>1655</v>
      </c>
      <c r="X109" s="43">
        <f>Tableau1[[#This Row],[Différence HC
Cumul]]/(Tableau1[[#This Row],[Diff jour_x000D_
Cumul]]*24)</f>
        <v>0.8423392090664128</v>
      </c>
      <c r="Y109" s="43">
        <f>Tableau1[[#This Row],[Différence HC
Cumul]]/Tableau1[[#This Row],[Diff jour_x000D_
Cumul]]</f>
        <v>20.216141017593905</v>
      </c>
      <c r="Z109" s="43">
        <f>Tableau1[[#This Row],[Conso HC / jour_x000D_
Cumul]]*365</f>
        <v>7378.8914714217753</v>
      </c>
      <c r="AA109" s="38">
        <f>Tableau1[[#This Row],[Différence HP
Instantané]]+Tableau1[[#This Row],[Différence_x000D_ HC
Instantané]]</f>
        <v>19</v>
      </c>
      <c r="AB109" s="41">
        <f>Tableau1[[#This Row],[Conso HP + HC
Instantané]]/(Tableau1[[#This Row],[Diff jour
Instantané]]*24)</f>
        <v>2.9765013054703626</v>
      </c>
      <c r="AC109" s="34">
        <f>IF(ISERROR(Tableau1[[#This Row],[Date]]-A108),"",Tableau1[[#This Row],[Conso HP + HC
Instantané]]/Tableau1[[#This Row],[Diff jour
Instantané]])</f>
        <v>71.436031331288703</v>
      </c>
      <c r="AD109" s="41">
        <f>Tableau1[[#This Row],[Conso HP + HC / jour_x000D_
Instantané]]*365</f>
        <v>26074.151435920376</v>
      </c>
      <c r="AE109" s="38">
        <f>Tableau1[[#This Row],[Différence HP
Cumul]]+Tableau1[[#This Row],[Différence HC
Cumul]]</f>
        <v>5239</v>
      </c>
      <c r="AF109" s="40">
        <f>(Tableau1[[#This Row],[Conso HP + HC
Cumul]]-AE$6)/Tableau1[[#This Row],[Diff jour_x000D_
Cumul
depuis le 24/01]]</f>
        <v>60.93836246549823</v>
      </c>
      <c r="AG109" s="40">
        <f>(Tableau1[[#This Row],[Conso HP + HC
Cumul]]-AE$59)/Tableau1[[#This Row],[Diff jour_x000D_
Cumul
depuis
précédente facture
16/02/2021]]</f>
        <v>49.947089947096785</v>
      </c>
      <c r="AH109" s="41">
        <f>Tableau1[[#This Row],[Conso HP + HC
Cumul]]/(Tableau1[[#This Row],[Diff jour_x000D_
Cumul]]*24)</f>
        <v>2.6664743905129527</v>
      </c>
      <c r="AI109" s="41">
        <f>Tableau1[[#This Row],[Conso HP + HC
Cumul]]/Tableau1[[#This Row],[Diff jour_x000D_
Cumul]]</f>
        <v>63.995385372310864</v>
      </c>
      <c r="AJ109" s="41">
        <f>Tableau1[[#This Row],[Conso HP + HC / jour_x000D_
Cumul]]*365</f>
        <v>23358.315660893466</v>
      </c>
      <c r="AK109" s="44">
        <f>(Tableau1[[#This Row],[Différence HP
Cumul]]*0.1799)+(Tableau1[[#This Row],[Différence HC
Cumul]]*0.1346)</f>
        <v>867.52460000000008</v>
      </c>
      <c r="AL109" s="44">
        <f>Tableau1[[#This Row],[Montant
Tarif HP/HC]]/Tableau1[[#This Row],[Diff jour_x000D_
Cumul]]</f>
        <v>10.596978640381721</v>
      </c>
      <c r="AM109" s="44">
        <f>(Tableau1[[#This Row],[Montant
Tarif HP/HC]]-AK$6)/Tableau1[[#This Row],[Diff jour_x000D_
Cumul
depuis le 24/01]]</f>
        <v>10.12058750753366</v>
      </c>
      <c r="AN109" s="44">
        <f>(Tableau1[[#This Row],[Montant
Tarif HP/HC]]-AK$59)/Tableau1[[#This Row],[Diff jour_x000D_
Cumul
depuis
précédente facture
16/02/2021]]</f>
        <v>8.2568465608476949</v>
      </c>
      <c r="AO109" s="44">
        <f>Tableau1[[#This Row],[Conso HP + HC
Cumul]]*0.1599</f>
        <v>837.71609999999998</v>
      </c>
      <c r="AP109" s="44">
        <f>Tableau1[[#This Row],[Montant
Tarif normal]]/Tableau1[[#This Row],[Diff jour_x000D_
Cumul]]</f>
        <v>10.232862121032507</v>
      </c>
      <c r="AQ109" s="44">
        <f>(Tableau1[[#This Row],[Conso HP / an
Cumul]]*0.1799)+(Tableau1[[#This Row],[Conso HC / an_x000D_
Cumul]]*0.1346)</f>
        <v>3867.8972037393282</v>
      </c>
      <c r="AR109" s="44">
        <f>Tableau1[[#This Row],[Conso HP + HC / an_x000D_
Cumul]]*0.1599</f>
        <v>3734.9946741768649</v>
      </c>
      <c r="AS109" s="38">
        <f>MONTH(Tableau1[[#This Row],[Date]])</f>
        <v>3</v>
      </c>
      <c r="AT109" s="38">
        <f>YEAR(Tableau1[[#This Row],[Date]])</f>
        <v>2021</v>
      </c>
    </row>
    <row r="110" spans="1:46" x14ac:dyDescent="0.2">
      <c r="A110" s="19">
        <v>44265.317361111112</v>
      </c>
      <c r="B110" s="20">
        <v>-0.4</v>
      </c>
      <c r="C110" s="39">
        <f>IF(ISERROR(Tableau1[[#This Row],[Date]]-A109),"",Tableau1[[#This Row],[Date]]-A109)</f>
        <v>0.74375000000145519</v>
      </c>
      <c r="D110" s="40">
        <f>IF(ISERROR(Tableau1[[#This Row],[Date]]-A109),"",Tableau1[[#This Row],[Date]]-A109)</f>
        <v>0.74375000000145519</v>
      </c>
      <c r="E110" s="39">
        <f>Tableau1[[#This Row],[Date]]-$A$5</f>
        <v>82.609027777776646</v>
      </c>
      <c r="F110" s="40">
        <f>Tableau1[[#This Row],[Date]]-$A$5</f>
        <v>82.609027777776646</v>
      </c>
      <c r="G110" s="40">
        <f>Tableau1[[#This Row],[Diff jour_x000D_
Cumul]]-F$6</f>
        <v>44.525694444448163</v>
      </c>
      <c r="H110" s="40">
        <f>Tableau1[[#This Row],[Diff jour_x000D_
Cumul]]-F$59</f>
        <v>22.006249999998545</v>
      </c>
      <c r="I110" s="21">
        <v>183365</v>
      </c>
      <c r="J110" s="38">
        <f>IF(ISERROR(Tableau1[[#This Row],[Index HP
kWh]]-I109),"",Tableau1[[#This Row],[Index HP
kWh]]-I109)</f>
        <v>22</v>
      </c>
      <c r="K110" s="40">
        <f>IF(ISERROR(Tableau1[[#This Row],[Différence HP
Instantané]]/(Tableau1[[#This Row],[Diff jour
Instantané]]*24)),"",Tableau1[[#This Row],[Différence HP
Instantané]]/(Tableau1[[#This Row],[Diff jour
Instantané]]*24))</f>
        <v>1.2324929971964682</v>
      </c>
      <c r="L110" s="40">
        <f>Tableau1[[#This Row],[Différence HP
Instantané]]/Tableau1[[#This Row],[Diff jour
Instantané]]</f>
        <v>29.579831932715233</v>
      </c>
      <c r="M110" s="40">
        <f>Tableau1[[#This Row],[Conso HP / jour
Instantané]]*365</f>
        <v>10796.63865544106</v>
      </c>
      <c r="N110" s="38">
        <f>Tableau1[[#This Row],[Index HP
kWh]]-$I$5</f>
        <v>3606</v>
      </c>
      <c r="O110" s="41">
        <f>Tableau1[[#This Row],[Différence HP
Cumul]]/(Tableau1[[#This Row],[Diff jour_x000D_
Cumul]]*24)</f>
        <v>1.8188084770127271</v>
      </c>
      <c r="P110" s="41">
        <f>Tableau1[[#This Row],[Différence HP
Cumul]]/Tableau1[[#This Row],[Diff jour_x000D_
Cumul]]</f>
        <v>43.651403448305444</v>
      </c>
      <c r="Q110" s="41">
        <f>Tableau1[[#This Row],[Conso HP / jour
Cumul]]*365</f>
        <v>15932.762258631486</v>
      </c>
      <c r="R110" s="21">
        <v>121110</v>
      </c>
      <c r="S110" s="38">
        <f>Tableau1[[#This Row],[Index HC_x000D_
kWh]]-R109</f>
        <v>23</v>
      </c>
      <c r="T110" s="42">
        <f>Tableau1[[#This Row],[Différence_x000D_ HC
Instantané]]/(Tableau1[[#This Row],[Diff jour
Instantané]]*24)</f>
        <v>1.288515406159944</v>
      </c>
      <c r="U110" s="42">
        <f>Tableau1[[#This Row],[Différence_x000D_ HC
Instantané]]/Tableau1[[#This Row],[Diff jour
Instantané]]</f>
        <v>30.924369747838654</v>
      </c>
      <c r="V110" s="42">
        <f>Tableau1[[#This Row],[Conso HC / jour_x000D_
Instantané]]*365</f>
        <v>11287.394957961109</v>
      </c>
      <c r="W110" s="38">
        <f>Tableau1[[#This Row],[Index HC_x000D_
kWh]]-$R$5</f>
        <v>1678</v>
      </c>
      <c r="X110" s="43">
        <f>Tableau1[[#This Row],[Différence HC
Cumul]]/(Tableau1[[#This Row],[Diff jour_x000D_
Cumul]]*24)</f>
        <v>0.84635624637475204</v>
      </c>
      <c r="Y110" s="43">
        <f>Tableau1[[#This Row],[Différence HC
Cumul]]/Tableau1[[#This Row],[Diff jour_x000D_
Cumul]]</f>
        <v>20.312549912994051</v>
      </c>
      <c r="Z110" s="43">
        <f>Tableau1[[#This Row],[Conso HC / jour_x000D_
Cumul]]*365</f>
        <v>7414.0807182428289</v>
      </c>
      <c r="AA110" s="38">
        <f>Tableau1[[#This Row],[Différence HP
Instantané]]+Tableau1[[#This Row],[Différence_x000D_ HC
Instantané]]</f>
        <v>45</v>
      </c>
      <c r="AB110" s="41">
        <f>Tableau1[[#This Row],[Conso HP + HC
Instantané]]/(Tableau1[[#This Row],[Diff jour
Instantané]]*24)</f>
        <v>2.521008403356412</v>
      </c>
      <c r="AC110" s="34">
        <f>IF(ISERROR(Tableau1[[#This Row],[Date]]-A109),"",Tableau1[[#This Row],[Conso HP + HC
Instantané]]/Tableau1[[#This Row],[Diff jour
Instantané]])</f>
        <v>60.504201680553891</v>
      </c>
      <c r="AD110" s="41">
        <f>Tableau1[[#This Row],[Conso HP + HC / jour_x000D_
Instantané]]*365</f>
        <v>22084.033613402171</v>
      </c>
      <c r="AE110" s="38">
        <f>Tableau1[[#This Row],[Différence HP
Cumul]]+Tableau1[[#This Row],[Différence HC
Cumul]]</f>
        <v>5284</v>
      </c>
      <c r="AF110" s="40">
        <f>(Tableau1[[#This Row],[Conso HP + HC
Cumul]]-AE$6)/Tableau1[[#This Row],[Diff jour_x000D_
Cumul
depuis le 24/01]]</f>
        <v>60.93111031395221</v>
      </c>
      <c r="AG110" s="40">
        <f>(Tableau1[[#This Row],[Conso HP + HC
Cumul]]-AE$59)/Tableau1[[#This Row],[Diff jour_x000D_
Cumul
depuis
précédente facture
16/02/2021]]</f>
        <v>50.303890940077167</v>
      </c>
      <c r="AH110" s="41">
        <f>Tableau1[[#This Row],[Conso HP + HC
Cumul]]/(Tableau1[[#This Row],[Diff jour_x000D_
Cumul]]*24)</f>
        <v>2.6651647233874791</v>
      </c>
      <c r="AI110" s="41">
        <f>Tableau1[[#This Row],[Conso HP + HC
Cumul]]/Tableau1[[#This Row],[Diff jour_x000D_
Cumul]]</f>
        <v>63.963953361299495</v>
      </c>
      <c r="AJ110" s="41">
        <f>Tableau1[[#This Row],[Conso HP + HC / jour_x000D_
Cumul]]*365</f>
        <v>23346.842976874315</v>
      </c>
      <c r="AK110" s="44">
        <f>(Tableau1[[#This Row],[Différence HP
Cumul]]*0.1799)+(Tableau1[[#This Row],[Différence HC
Cumul]]*0.1346)</f>
        <v>874.57820000000004</v>
      </c>
      <c r="AL110" s="44">
        <f>Tableau1[[#This Row],[Montant
Tarif HP/HC]]/Tableau1[[#This Row],[Diff jour_x000D_
Cumul]]</f>
        <v>10.586956698639149</v>
      </c>
      <c r="AM110" s="44">
        <f>(Tableau1[[#This Row],[Montant
Tarif HP/HC]]-AK$6)/Tableau1[[#This Row],[Diff jour_x000D_
Cumul
depuis le 24/01]]</f>
        <v>10.109951245378696</v>
      </c>
      <c r="AN110" s="44">
        <f>(Tableau1[[#This Row],[Montant
Tarif HP/HC]]-AK$59)/Tableau1[[#This Row],[Diff jour_x000D_
Cumul
depuis
précédente facture
16/02/2021]]</f>
        <v>8.2983152513495995</v>
      </c>
      <c r="AO110" s="44">
        <f>Tableau1[[#This Row],[Conso HP + HC
Cumul]]*0.1599</f>
        <v>844.91159999999991</v>
      </c>
      <c r="AP110" s="44">
        <f>Tableau1[[#This Row],[Montant
Tarif normal]]/Tableau1[[#This Row],[Diff jour_x000D_
Cumul]]</f>
        <v>10.227836142471789</v>
      </c>
      <c r="AQ110" s="44">
        <f>(Tableau1[[#This Row],[Conso HP / an
Cumul]]*0.1799)+(Tableau1[[#This Row],[Conso HC / an_x000D_
Cumul]]*0.1346)</f>
        <v>3864.2391950032893</v>
      </c>
      <c r="AR110" s="44">
        <f>Tableau1[[#This Row],[Conso HP + HC / an_x000D_
Cumul]]*0.1599</f>
        <v>3733.1601920022026</v>
      </c>
      <c r="AS110" s="38">
        <f>MONTH(Tableau1[[#This Row],[Date]])</f>
        <v>3</v>
      </c>
      <c r="AT110" s="38">
        <f>YEAR(Tableau1[[#This Row],[Date]])</f>
        <v>2021</v>
      </c>
    </row>
    <row r="111" spans="1:46" x14ac:dyDescent="0.2">
      <c r="A111" s="19">
        <v>44265.580555555556</v>
      </c>
      <c r="B111" s="20">
        <v>7.9</v>
      </c>
      <c r="C111" s="39">
        <f>IF(ISERROR(Tableau1[[#This Row],[Date]]-A110),"",Tableau1[[#This Row],[Date]]-A110)</f>
        <v>0.26319444444379769</v>
      </c>
      <c r="D111" s="40">
        <f>IF(ISERROR(Tableau1[[#This Row],[Date]]-A110),"",Tableau1[[#This Row],[Date]]-A110)</f>
        <v>0.26319444444379769</v>
      </c>
      <c r="E111" s="39">
        <f>Tableau1[[#This Row],[Date]]-$A$5</f>
        <v>82.872222222220444</v>
      </c>
      <c r="F111" s="40">
        <f>Tableau1[[#This Row],[Date]]-$A$5</f>
        <v>82.872222222220444</v>
      </c>
      <c r="G111" s="40">
        <f>Tableau1[[#This Row],[Diff jour_x000D_
Cumul]]-F$6</f>
        <v>44.788888888891961</v>
      </c>
      <c r="H111" s="40">
        <f>Tableau1[[#This Row],[Diff jour_x000D_
Cumul]]-F$59</f>
        <v>22.269444444442343</v>
      </c>
      <c r="I111" s="21">
        <v>183379</v>
      </c>
      <c r="J111" s="38">
        <f>IF(ISERROR(Tableau1[[#This Row],[Index HP
kWh]]-I110),"",Tableau1[[#This Row],[Index HP
kWh]]-I110)</f>
        <v>14</v>
      </c>
      <c r="K111" s="40">
        <f>IF(ISERROR(Tableau1[[#This Row],[Différence HP
Instantané]]/(Tableau1[[#This Row],[Diff jour
Instantané]]*24)),"",Tableau1[[#This Row],[Différence HP
Instantané]]/(Tableau1[[#This Row],[Diff jour
Instantané]]*24))</f>
        <v>2.2163588390555784</v>
      </c>
      <c r="L111" s="40">
        <f>Tableau1[[#This Row],[Différence HP
Instantané]]/Tableau1[[#This Row],[Diff jour
Instantané]]</f>
        <v>53.192612137333875</v>
      </c>
      <c r="M111" s="40">
        <f>Tableau1[[#This Row],[Conso HP / jour
Instantané]]*365</f>
        <v>19415.303430126864</v>
      </c>
      <c r="N111" s="38">
        <f>Tableau1[[#This Row],[Index HP
kWh]]-$I$5</f>
        <v>3620</v>
      </c>
      <c r="O111" s="41">
        <f>Tableau1[[#This Row],[Différence HP
Cumul]]/(Tableau1[[#This Row],[Diff jour_x000D_
Cumul]]*24)</f>
        <v>1.820071059864623</v>
      </c>
      <c r="P111" s="41">
        <f>Tableau1[[#This Row],[Différence HP
Cumul]]/Tableau1[[#This Row],[Diff jour_x000D_
Cumul]]</f>
        <v>43.681705436750953</v>
      </c>
      <c r="Q111" s="41">
        <f>Tableau1[[#This Row],[Conso HP / jour
Cumul]]*365</f>
        <v>15943.822484414099</v>
      </c>
      <c r="R111" s="21">
        <v>121110</v>
      </c>
      <c r="S111" s="38">
        <f>Tableau1[[#This Row],[Index HC_x000D_
kWh]]-R110</f>
        <v>0</v>
      </c>
      <c r="T111" s="42">
        <f>Tableau1[[#This Row],[Différence_x000D_ HC
Instantané]]/(Tableau1[[#This Row],[Diff jour
Instantané]]*24)</f>
        <v>0</v>
      </c>
      <c r="U111" s="42">
        <f>Tableau1[[#This Row],[Différence_x000D_ HC
Instantané]]/Tableau1[[#This Row],[Diff jour
Instantané]]</f>
        <v>0</v>
      </c>
      <c r="V111" s="42">
        <f>Tableau1[[#This Row],[Conso HC / jour_x000D_
Instantané]]*365</f>
        <v>0</v>
      </c>
      <c r="W111" s="38">
        <f>Tableau1[[#This Row],[Index HC_x000D_
kWh]]-$R$5</f>
        <v>1678</v>
      </c>
      <c r="X111" s="43">
        <f>Tableau1[[#This Row],[Différence HC
Cumul]]/(Tableau1[[#This Row],[Diff jour_x000D_
Cumul]]*24)</f>
        <v>0.84366829791514852</v>
      </c>
      <c r="Y111" s="43">
        <f>Tableau1[[#This Row],[Différence HC
Cumul]]/Tableau1[[#This Row],[Diff jour_x000D_
Cumul]]</f>
        <v>20.248039149963564</v>
      </c>
      <c r="Z111" s="43">
        <f>Tableau1[[#This Row],[Conso HC / jour_x000D_
Cumul]]*365</f>
        <v>7390.5342897367009</v>
      </c>
      <c r="AA111" s="38">
        <f>Tableau1[[#This Row],[Différence HP
Instantané]]+Tableau1[[#This Row],[Différence_x000D_ HC
Instantané]]</f>
        <v>14</v>
      </c>
      <c r="AB111" s="41">
        <f>Tableau1[[#This Row],[Conso HP + HC
Instantané]]/(Tableau1[[#This Row],[Diff jour
Instantané]]*24)</f>
        <v>2.2163588390555784</v>
      </c>
      <c r="AC111" s="34">
        <f>IF(ISERROR(Tableau1[[#This Row],[Date]]-A110),"",Tableau1[[#This Row],[Conso HP + HC
Instantané]]/Tableau1[[#This Row],[Diff jour
Instantané]])</f>
        <v>53.192612137333875</v>
      </c>
      <c r="AD111" s="41">
        <f>Tableau1[[#This Row],[Conso HP + HC / jour_x000D_
Instantané]]*365</f>
        <v>19415.303430126864</v>
      </c>
      <c r="AE111" s="38">
        <f>Tableau1[[#This Row],[Différence HP
Cumul]]+Tableau1[[#This Row],[Différence HC
Cumul]]</f>
        <v>5298</v>
      </c>
      <c r="AF111" s="40">
        <f>(Tableau1[[#This Row],[Conso HP + HC
Cumul]]-AE$6)/Tableau1[[#This Row],[Diff jour_x000D_
Cumul
depuis le 24/01]]</f>
        <v>60.885636318527204</v>
      </c>
      <c r="AG111" s="40">
        <f>(Tableau1[[#This Row],[Conso HP + HC
Cumul]]-AE$59)/Tableau1[[#This Row],[Diff jour_x000D_
Cumul
depuis
précédente facture
16/02/2021]]</f>
        <v>50.338031682679066</v>
      </c>
      <c r="AH111" s="41">
        <f>Tableau1[[#This Row],[Conso HP + HC
Cumul]]/(Tableau1[[#This Row],[Diff jour_x000D_
Cumul]]*24)</f>
        <v>2.6637393577797717</v>
      </c>
      <c r="AI111" s="41">
        <f>Tableau1[[#This Row],[Conso HP + HC
Cumul]]/Tableau1[[#This Row],[Diff jour_x000D_
Cumul]]</f>
        <v>63.92974458671452</v>
      </c>
      <c r="AJ111" s="41">
        <f>Tableau1[[#This Row],[Conso HP + HC / jour_x000D_
Cumul]]*365</f>
        <v>23334.356774150801</v>
      </c>
      <c r="AK111" s="44">
        <f>(Tableau1[[#This Row],[Différence HP
Cumul]]*0.1799)+(Tableau1[[#This Row],[Différence HC
Cumul]]*0.1346)</f>
        <v>877.09680000000003</v>
      </c>
      <c r="AL111" s="44">
        <f>Tableau1[[#This Row],[Montant
Tarif HP/HC]]/Tableau1[[#This Row],[Diff jour_x000D_
Cumul]]</f>
        <v>10.583724877656593</v>
      </c>
      <c r="AM111" s="44">
        <f>(Tableau1[[#This Row],[Montant
Tarif HP/HC]]-AK$6)/Tableau1[[#This Row],[Diff jour_x000D_
Cumul
depuis le 24/01]]</f>
        <v>10.106774497642572</v>
      </c>
      <c r="AN111" s="44">
        <f>(Tableau1[[#This Row],[Montant
Tarif HP/HC]]-AK$59)/Tableau1[[#This Row],[Diff jour_x000D_
Cumul
depuis
précédente facture
16/02/2021]]</f>
        <v>8.3133371585388929</v>
      </c>
      <c r="AO111" s="44">
        <f>Tableau1[[#This Row],[Conso HP + HC
Cumul]]*0.1599</f>
        <v>847.15019999999993</v>
      </c>
      <c r="AP111" s="44">
        <f>Tableau1[[#This Row],[Montant
Tarif normal]]/Tableau1[[#This Row],[Diff jour_x000D_
Cumul]]</f>
        <v>10.222366159415651</v>
      </c>
      <c r="AQ111" s="44">
        <f>(Tableau1[[#This Row],[Conso HP / an
Cumul]]*0.1799)+(Tableau1[[#This Row],[Conso HC / an_x000D_
Cumul]]*0.1346)</f>
        <v>3863.0595803446563</v>
      </c>
      <c r="AR111" s="44">
        <f>Tableau1[[#This Row],[Conso HP + HC / an_x000D_
Cumul]]*0.1599</f>
        <v>3731.1636481867126</v>
      </c>
      <c r="AS111" s="38">
        <f>MONTH(Tableau1[[#This Row],[Date]])</f>
        <v>3</v>
      </c>
      <c r="AT111" s="38">
        <f>YEAR(Tableau1[[#This Row],[Date]])</f>
        <v>2021</v>
      </c>
    </row>
    <row r="112" spans="1:46" x14ac:dyDescent="0.2">
      <c r="A112" s="19">
        <v>44266.308333333334</v>
      </c>
      <c r="B112" s="20">
        <v>11.2</v>
      </c>
      <c r="C112" s="39">
        <f>IF(ISERROR(Tableau1[[#This Row],[Date]]-A111),"",Tableau1[[#This Row],[Date]]-A111)</f>
        <v>0.72777777777810115</v>
      </c>
      <c r="D112" s="40">
        <f>IF(ISERROR(Tableau1[[#This Row],[Date]]-A111),"",Tableau1[[#This Row],[Date]]-A111)</f>
        <v>0.72777777777810115</v>
      </c>
      <c r="E112" s="39">
        <f>Tableau1[[#This Row],[Date]]-$A$5</f>
        <v>83.599999999998545</v>
      </c>
      <c r="F112" s="40">
        <f>Tableau1[[#This Row],[Date]]-$A$5</f>
        <v>83.599999999998545</v>
      </c>
      <c r="G112" s="40">
        <f>Tableau1[[#This Row],[Diff jour_x000D_
Cumul]]-F$6</f>
        <v>45.516666666670062</v>
      </c>
      <c r="H112" s="40">
        <f>Tableau1[[#This Row],[Diff jour_x000D_
Cumul]]-F$59</f>
        <v>22.997222222220444</v>
      </c>
      <c r="I112" s="21">
        <v>183405</v>
      </c>
      <c r="J112" s="38">
        <f>IF(ISERROR(Tableau1[[#This Row],[Index HP
kWh]]-I111),"",Tableau1[[#This Row],[Index HP
kWh]]-I111)</f>
        <v>26</v>
      </c>
      <c r="K112" s="40">
        <f>IF(ISERROR(Tableau1[[#This Row],[Différence HP
Instantané]]/(Tableau1[[#This Row],[Diff jour
Instantané]]*24)),"",Tableau1[[#This Row],[Différence HP
Instantané]]/(Tableau1[[#This Row],[Diff jour
Instantané]]*24))</f>
        <v>1.4885496183199494</v>
      </c>
      <c r="L112" s="40">
        <f>Tableau1[[#This Row],[Différence HP
Instantané]]/Tableau1[[#This Row],[Diff jour
Instantané]]</f>
        <v>35.725190839678781</v>
      </c>
      <c r="M112" s="40">
        <f>Tableau1[[#This Row],[Conso HP / jour
Instantané]]*365</f>
        <v>13039.694656482756</v>
      </c>
      <c r="N112" s="38">
        <f>Tableau1[[#This Row],[Index HP
kWh]]-$I$5</f>
        <v>3646</v>
      </c>
      <c r="O112" s="41">
        <f>Tableau1[[#This Row],[Différence HP
Cumul]]/(Tableau1[[#This Row],[Diff jour_x000D_
Cumul]]*24)</f>
        <v>1.8171850079745133</v>
      </c>
      <c r="P112" s="41">
        <f>Tableau1[[#This Row],[Différence HP
Cumul]]/Tableau1[[#This Row],[Diff jour_x000D_
Cumul]]</f>
        <v>43.612440191388316</v>
      </c>
      <c r="Q112" s="41">
        <f>Tableau1[[#This Row],[Conso HP / jour
Cumul]]*365</f>
        <v>15918.540669856735</v>
      </c>
      <c r="R112" s="21">
        <v>121127</v>
      </c>
      <c r="S112" s="38">
        <f>Tableau1[[#This Row],[Index HC_x000D_
kWh]]-R111</f>
        <v>17</v>
      </c>
      <c r="T112" s="42">
        <f>Tableau1[[#This Row],[Différence_x000D_ HC
Instantané]]/(Tableau1[[#This Row],[Diff jour
Instantané]]*24)</f>
        <v>0.97328244274765918</v>
      </c>
      <c r="U112" s="42">
        <f>Tableau1[[#This Row],[Différence_x000D_ HC
Instantané]]/Tableau1[[#This Row],[Diff jour
Instantané]]</f>
        <v>23.35877862594382</v>
      </c>
      <c r="V112" s="42">
        <f>Tableau1[[#This Row],[Conso HC / jour_x000D_
Instantané]]*365</f>
        <v>8525.9541984694952</v>
      </c>
      <c r="W112" s="38">
        <f>Tableau1[[#This Row],[Index HC_x000D_
kWh]]-$R$5</f>
        <v>1695</v>
      </c>
      <c r="X112" s="43">
        <f>Tableau1[[#This Row],[Différence HC
Cumul]]/(Tableau1[[#This Row],[Diff jour_x000D_
Cumul]]*24)</f>
        <v>0.84479665071771803</v>
      </c>
      <c r="Y112" s="43">
        <f>Tableau1[[#This Row],[Différence HC
Cumul]]/Tableau1[[#This Row],[Diff jour_x000D_
Cumul]]</f>
        <v>20.275119617225233</v>
      </c>
      <c r="Z112" s="43">
        <f>Tableau1[[#This Row],[Conso HC / jour_x000D_
Cumul]]*365</f>
        <v>7400.4186602872096</v>
      </c>
      <c r="AA112" s="38">
        <f>Tableau1[[#This Row],[Différence HP
Instantané]]+Tableau1[[#This Row],[Différence_x000D_ HC
Instantané]]</f>
        <v>43</v>
      </c>
      <c r="AB112" s="41">
        <f>Tableau1[[#This Row],[Conso HP + HC
Instantané]]/(Tableau1[[#This Row],[Diff jour
Instantané]]*24)</f>
        <v>2.4618320610676085</v>
      </c>
      <c r="AC112" s="34">
        <f>IF(ISERROR(Tableau1[[#This Row],[Date]]-A111),"",Tableau1[[#This Row],[Conso HP + HC
Instantané]]/Tableau1[[#This Row],[Diff jour
Instantané]])</f>
        <v>59.083969465622602</v>
      </c>
      <c r="AD112" s="41">
        <f>Tableau1[[#This Row],[Conso HP + HC / jour_x000D_
Instantané]]*365</f>
        <v>21565.648854952251</v>
      </c>
      <c r="AE112" s="38">
        <f>Tableau1[[#This Row],[Différence HP
Cumul]]+Tableau1[[#This Row],[Différence HC
Cumul]]</f>
        <v>5341</v>
      </c>
      <c r="AF112" s="40">
        <f>(Tableau1[[#This Row],[Conso HP + HC
Cumul]]-AE$6)/Tableau1[[#This Row],[Diff jour_x000D_
Cumul
depuis le 24/01]]</f>
        <v>60.856829000361628</v>
      </c>
      <c r="AG112" s="40">
        <f>(Tableau1[[#This Row],[Conso HP + HC
Cumul]]-AE$59)/Tableau1[[#This Row],[Diff jour_x000D_
Cumul
depuis
précédente facture
16/02/2021]]</f>
        <v>50.614808551761371</v>
      </c>
      <c r="AH112" s="41">
        <f>Tableau1[[#This Row],[Conso HP + HC
Cumul]]/(Tableau1[[#This Row],[Diff jour_x000D_
Cumul]]*24)</f>
        <v>2.6619816586922314</v>
      </c>
      <c r="AI112" s="41">
        <f>Tableau1[[#This Row],[Conso HP + HC
Cumul]]/Tableau1[[#This Row],[Diff jour_x000D_
Cumul]]</f>
        <v>63.887559808613553</v>
      </c>
      <c r="AJ112" s="41">
        <f>Tableau1[[#This Row],[Conso HP + HC / jour_x000D_
Cumul]]*365</f>
        <v>23318.959330143945</v>
      </c>
      <c r="AK112" s="44">
        <f>(Tableau1[[#This Row],[Différence HP
Cumul]]*0.1799)+(Tableau1[[#This Row],[Différence HC
Cumul]]*0.1346)</f>
        <v>884.06240000000003</v>
      </c>
      <c r="AL112" s="44">
        <f>Tableau1[[#This Row],[Montant
Tarif HP/HC]]/Tableau1[[#This Row],[Diff jour_x000D_
Cumul]]</f>
        <v>10.574909090909275</v>
      </c>
      <c r="AM112" s="44">
        <f>(Tableau1[[#This Row],[Montant
Tarif HP/HC]]-AK$6)/Tableau1[[#This Row],[Diff jour_x000D_
Cumul
depuis le 24/01]]</f>
        <v>10.098208714755746</v>
      </c>
      <c r="AN112" s="44">
        <f>(Tableau1[[#This Row],[Montant
Tarif HP/HC]]-AK$59)/Tableau1[[#This Row],[Diff jour_x000D_
Cumul
depuis
précédente facture
16/02/2021]]</f>
        <v>8.3531392680281868</v>
      </c>
      <c r="AO112" s="44">
        <f>Tableau1[[#This Row],[Conso HP + HC
Cumul]]*0.1599</f>
        <v>854.02589999999998</v>
      </c>
      <c r="AP112" s="44">
        <f>Tableau1[[#This Row],[Montant
Tarif normal]]/Tableau1[[#This Row],[Diff jour_x000D_
Cumul]]</f>
        <v>10.215620813397306</v>
      </c>
      <c r="AQ112" s="44">
        <f>(Tableau1[[#This Row],[Conso HP / an
Cumul]]*0.1799)+(Tableau1[[#This Row],[Conso HC / an_x000D_
Cumul]]*0.1346)</f>
        <v>3859.8418181818852</v>
      </c>
      <c r="AR112" s="44">
        <f>Tableau1[[#This Row],[Conso HP + HC / an_x000D_
Cumul]]*0.1599</f>
        <v>3728.7015968900164</v>
      </c>
      <c r="AS112" s="38">
        <f>MONTH(Tableau1[[#This Row],[Date]])</f>
        <v>3</v>
      </c>
      <c r="AT112" s="38">
        <f>YEAR(Tableau1[[#This Row],[Date]])</f>
        <v>2021</v>
      </c>
    </row>
    <row r="113" spans="1:46" x14ac:dyDescent="0.2">
      <c r="A113" s="19">
        <v>44266.568055555559</v>
      </c>
      <c r="B113" s="20">
        <v>10.4</v>
      </c>
      <c r="C113" s="39">
        <f>IF(ISERROR(Tableau1[[#This Row],[Date]]-A112),"",Tableau1[[#This Row],[Date]]-A112)</f>
        <v>0.25972222222480923</v>
      </c>
      <c r="D113" s="40">
        <f>IF(ISERROR(Tableau1[[#This Row],[Date]]-A112),"",Tableau1[[#This Row],[Date]]-A112)</f>
        <v>0.25972222222480923</v>
      </c>
      <c r="E113" s="39">
        <f>Tableau1[[#This Row],[Date]]-$A$5</f>
        <v>83.859722222223354</v>
      </c>
      <c r="F113" s="40">
        <f>Tableau1[[#This Row],[Date]]-$A$5</f>
        <v>83.859722222223354</v>
      </c>
      <c r="G113" s="40">
        <f>Tableau1[[#This Row],[Diff jour_x000D_
Cumul]]-F$6</f>
        <v>45.776388888894871</v>
      </c>
      <c r="H113" s="40">
        <f>Tableau1[[#This Row],[Diff jour_x000D_
Cumul]]-F$59</f>
        <v>23.256944444445253</v>
      </c>
      <c r="I113" s="21">
        <v>183419</v>
      </c>
      <c r="J113" s="38">
        <f>IF(ISERROR(Tableau1[[#This Row],[Index HP
kWh]]-I112),"",Tableau1[[#This Row],[Index HP
kWh]]-I112)</f>
        <v>14</v>
      </c>
      <c r="K113" s="40">
        <f>IF(ISERROR(Tableau1[[#This Row],[Différence HP
Instantané]]/(Tableau1[[#This Row],[Diff jour
Instantané]]*24)),"",Tableau1[[#This Row],[Différence HP
Instantané]]/(Tableau1[[#This Row],[Diff jour
Instantané]]*24))</f>
        <v>2.2459893047904629</v>
      </c>
      <c r="L113" s="40">
        <f>Tableau1[[#This Row],[Différence HP
Instantané]]/Tableau1[[#This Row],[Diff jour
Instantané]]</f>
        <v>53.903743314971102</v>
      </c>
      <c r="M113" s="40">
        <f>Tableau1[[#This Row],[Conso HP / jour
Instantané]]*365</f>
        <v>19674.866309964451</v>
      </c>
      <c r="N113" s="38">
        <f>Tableau1[[#This Row],[Index HP
kWh]]-$I$5</f>
        <v>3660</v>
      </c>
      <c r="O113" s="41">
        <f>Tableau1[[#This Row],[Différence HP
Cumul]]/(Tableau1[[#This Row],[Diff jour_x000D_
Cumul]]*24)</f>
        <v>1.8185130591761791</v>
      </c>
      <c r="P113" s="41">
        <f>Tableau1[[#This Row],[Différence HP
Cumul]]/Tableau1[[#This Row],[Diff jour_x000D_
Cumul]]</f>
        <v>43.644313420228301</v>
      </c>
      <c r="Q113" s="41">
        <f>Tableau1[[#This Row],[Conso HP / jour
Cumul]]*365</f>
        <v>15930.174398383329</v>
      </c>
      <c r="R113" s="21">
        <v>121127</v>
      </c>
      <c r="S113" s="38">
        <f>Tableau1[[#This Row],[Index HC_x000D_
kWh]]-R112</f>
        <v>0</v>
      </c>
      <c r="T113" s="42">
        <f>Tableau1[[#This Row],[Différence_x000D_ HC
Instantané]]/(Tableau1[[#This Row],[Diff jour
Instantané]]*24)</f>
        <v>0</v>
      </c>
      <c r="U113" s="42">
        <f>Tableau1[[#This Row],[Différence_x000D_ HC
Instantané]]/Tableau1[[#This Row],[Diff jour
Instantané]]</f>
        <v>0</v>
      </c>
      <c r="V113" s="42">
        <f>Tableau1[[#This Row],[Conso HC / jour_x000D_
Instantané]]*365</f>
        <v>0</v>
      </c>
      <c r="W113" s="38">
        <f>Tableau1[[#This Row],[Index HC_x000D_
kWh]]-$R$5</f>
        <v>1695</v>
      </c>
      <c r="X113" s="43">
        <f>Tableau1[[#This Row],[Différence HC
Cumul]]/(Tableau1[[#This Row],[Diff jour_x000D_
Cumul]]*24)</f>
        <v>0.8421802282250338</v>
      </c>
      <c r="Y113" s="43">
        <f>Tableau1[[#This Row],[Différence HC
Cumul]]/Tableau1[[#This Row],[Diff jour_x000D_
Cumul]]</f>
        <v>20.21232547740081</v>
      </c>
      <c r="Z113" s="43">
        <f>Tableau1[[#This Row],[Conso HC / jour_x000D_
Cumul]]*365</f>
        <v>7377.4987992512961</v>
      </c>
      <c r="AA113" s="38">
        <f>Tableau1[[#This Row],[Différence HP
Instantané]]+Tableau1[[#This Row],[Différence_x000D_ HC
Instantané]]</f>
        <v>14</v>
      </c>
      <c r="AB113" s="41">
        <f>Tableau1[[#This Row],[Conso HP + HC
Instantané]]/(Tableau1[[#This Row],[Diff jour
Instantané]]*24)</f>
        <v>2.2459893047904629</v>
      </c>
      <c r="AC113" s="34">
        <f>IF(ISERROR(Tableau1[[#This Row],[Date]]-A112),"",Tableau1[[#This Row],[Conso HP + HC
Instantané]]/Tableau1[[#This Row],[Diff jour
Instantané]])</f>
        <v>53.903743314971102</v>
      </c>
      <c r="AD113" s="41">
        <f>Tableau1[[#This Row],[Conso HP + HC / jour_x000D_
Instantané]]*365</f>
        <v>19674.866309964451</v>
      </c>
      <c r="AE113" s="38">
        <f>Tableau1[[#This Row],[Différence HP
Cumul]]+Tableau1[[#This Row],[Différence HC
Cumul]]</f>
        <v>5355</v>
      </c>
      <c r="AF113" s="40">
        <f>(Tableau1[[#This Row],[Conso HP + HC
Cumul]]-AE$6)/Tableau1[[#This Row],[Diff jour_x000D_
Cumul
depuis le 24/01]]</f>
        <v>60.817379168049335</v>
      </c>
      <c r="AG113" s="40">
        <f>(Tableau1[[#This Row],[Conso HP + HC
Cumul]]-AE$59)/Tableau1[[#This Row],[Diff jour_x000D_
Cumul
depuis
précédente facture
16/02/2021]]</f>
        <v>50.651537772467634</v>
      </c>
      <c r="AH113" s="41">
        <f>Tableau1[[#This Row],[Conso HP + HC
Cumul]]/(Tableau1[[#This Row],[Diff jour_x000D_
Cumul]]*24)</f>
        <v>2.6606932874012128</v>
      </c>
      <c r="AI113" s="41">
        <f>Tableau1[[#This Row],[Conso HP + HC
Cumul]]/Tableau1[[#This Row],[Diff jour_x000D_
Cumul]]</f>
        <v>63.856638897629111</v>
      </c>
      <c r="AJ113" s="41">
        <f>Tableau1[[#This Row],[Conso HP + HC / jour_x000D_
Cumul]]*365</f>
        <v>23307.673197634624</v>
      </c>
      <c r="AK113" s="44">
        <f>(Tableau1[[#This Row],[Différence HP
Cumul]]*0.1799)+(Tableau1[[#This Row],[Différence HC
Cumul]]*0.1346)</f>
        <v>886.5809999999999</v>
      </c>
      <c r="AL113" s="44">
        <f>Tableau1[[#This Row],[Montant
Tarif HP/HC]]/Tableau1[[#This Row],[Diff jour_x000D_
Cumul]]</f>
        <v>10.57219099355722</v>
      </c>
      <c r="AM113" s="44">
        <f>(Tableau1[[#This Row],[Montant
Tarif HP/HC]]-AK$6)/Tableau1[[#This Row],[Diff jour_x000D_
Cumul
depuis le 24/01]]</f>
        <v>10.095933978578126</v>
      </c>
      <c r="AN113" s="44">
        <f>(Tableau1[[#This Row],[Montant
Tarif HP/HC]]-AK$59)/Tableau1[[#This Row],[Diff jour_x000D_
Cumul
depuis
précédente facture
16/02/2021]]</f>
        <v>8.3681500149295349</v>
      </c>
      <c r="AO113" s="44">
        <f>Tableau1[[#This Row],[Conso HP + HC
Cumul]]*0.1599</f>
        <v>856.26449999999988</v>
      </c>
      <c r="AP113" s="44">
        <f>Tableau1[[#This Row],[Montant
Tarif normal]]/Tableau1[[#This Row],[Diff jour_x000D_
Cumul]]</f>
        <v>10.210676559730894</v>
      </c>
      <c r="AQ113" s="44">
        <f>(Tableau1[[#This Row],[Conso HP / an
Cumul]]*0.1799)+(Tableau1[[#This Row],[Conso HC / an_x000D_
Cumul]]*0.1346)</f>
        <v>3858.8497126483858</v>
      </c>
      <c r="AR113" s="44">
        <f>Tableau1[[#This Row],[Conso HP + HC / an_x000D_
Cumul]]*0.1599</f>
        <v>3726.8969443017759</v>
      </c>
      <c r="AS113" s="38">
        <f>MONTH(Tableau1[[#This Row],[Date]])</f>
        <v>3</v>
      </c>
      <c r="AT113" s="38">
        <f>YEAR(Tableau1[[#This Row],[Date]])</f>
        <v>2021</v>
      </c>
    </row>
    <row r="114" spans="1:46" x14ac:dyDescent="0.2">
      <c r="A114" s="19">
        <v>44267.30972222222</v>
      </c>
      <c r="B114" s="20">
        <v>3.2</v>
      </c>
      <c r="C114" s="39">
        <f>IF(ISERROR(Tableau1[[#This Row],[Date]]-A113),"",Tableau1[[#This Row],[Date]]-A113)</f>
        <v>0.74166666666133096</v>
      </c>
      <c r="D114" s="40">
        <f>IF(ISERROR(Tableau1[[#This Row],[Date]]-A113),"",Tableau1[[#This Row],[Date]]-A113)</f>
        <v>0.74166666666133096</v>
      </c>
      <c r="E114" s="39">
        <f>Tableau1[[#This Row],[Date]]-$A$5</f>
        <v>84.601388888884685</v>
      </c>
      <c r="F114" s="40">
        <f>Tableau1[[#This Row],[Date]]-$A$5</f>
        <v>84.601388888884685</v>
      </c>
      <c r="G114" s="40">
        <f>Tableau1[[#This Row],[Diff jour_x000D_
Cumul]]-F$6</f>
        <v>46.518055555556202</v>
      </c>
      <c r="H114" s="40">
        <f>Tableau1[[#This Row],[Diff jour_x000D_
Cumul]]-F$59</f>
        <v>23.998611111106584</v>
      </c>
      <c r="I114" s="21">
        <v>183441</v>
      </c>
      <c r="J114" s="38">
        <f>IF(ISERROR(Tableau1[[#This Row],[Index HP
kWh]]-I113),"",Tableau1[[#This Row],[Index HP
kWh]]-I113)</f>
        <v>22</v>
      </c>
      <c r="K114" s="40">
        <f>IF(ISERROR(Tableau1[[#This Row],[Différence HP
Instantané]]/(Tableau1[[#This Row],[Diff jour
Instantané]]*24)),"",Tableau1[[#This Row],[Différence HP
Instantané]]/(Tableau1[[#This Row],[Diff jour
Instantané]]*24))</f>
        <v>1.235955056188667</v>
      </c>
      <c r="L114" s="40">
        <f>Tableau1[[#This Row],[Différence HP
Instantané]]/Tableau1[[#This Row],[Diff jour
Instantané]]</f>
        <v>29.662921348528009</v>
      </c>
      <c r="M114" s="40">
        <f>Tableau1[[#This Row],[Conso HP / jour
Instantané]]*365</f>
        <v>10826.966292212723</v>
      </c>
      <c r="N114" s="38">
        <f>Tableau1[[#This Row],[Index HP
kWh]]-$I$5</f>
        <v>3682</v>
      </c>
      <c r="O114" s="41">
        <f>Tableau1[[#This Row],[Différence HP
Cumul]]/(Tableau1[[#This Row],[Diff jour_x000D_
Cumul]]*24)</f>
        <v>1.8134060052863179</v>
      </c>
      <c r="P114" s="41">
        <f>Tableau1[[#This Row],[Différence HP
Cumul]]/Tableau1[[#This Row],[Diff jour_x000D_
Cumul]]</f>
        <v>43.521744126871631</v>
      </c>
      <c r="Q114" s="41">
        <f>Tableau1[[#This Row],[Conso HP / jour
Cumul]]*365</f>
        <v>15885.436606308145</v>
      </c>
      <c r="R114" s="21">
        <v>121145</v>
      </c>
      <c r="S114" s="38">
        <f>Tableau1[[#This Row],[Index HC_x000D_
kWh]]-R113</f>
        <v>18</v>
      </c>
      <c r="T114" s="42">
        <f>Tableau1[[#This Row],[Différence_x000D_ HC
Instantané]]/(Tableau1[[#This Row],[Diff jour
Instantané]]*24)</f>
        <v>1.0112359550634549</v>
      </c>
      <c r="U114" s="42">
        <f>Tableau1[[#This Row],[Différence_x000D_ HC
Instantané]]/Tableau1[[#This Row],[Diff jour
Instantané]]</f>
        <v>24.269662921522915</v>
      </c>
      <c r="V114" s="42">
        <f>Tableau1[[#This Row],[Conso HC / jour_x000D_
Instantané]]*365</f>
        <v>8858.4269663558644</v>
      </c>
      <c r="W114" s="38">
        <f>Tableau1[[#This Row],[Index HC_x000D_
kWh]]-$R$5</f>
        <v>1713</v>
      </c>
      <c r="X114" s="43">
        <f>Tableau1[[#This Row],[Différence HC
Cumul]]/(Tableau1[[#This Row],[Diff jour_x000D_
Cumul]]*24)</f>
        <v>0.84366227242136416</v>
      </c>
      <c r="Y114" s="43">
        <f>Tableau1[[#This Row],[Différence HC
Cumul]]/Tableau1[[#This Row],[Diff jour_x000D_
Cumul]]</f>
        <v>20.247894538112739</v>
      </c>
      <c r="Z114" s="43">
        <f>Tableau1[[#This Row],[Conso HC / jour_x000D_
Cumul]]*365</f>
        <v>7390.4815064111499</v>
      </c>
      <c r="AA114" s="38">
        <f>Tableau1[[#This Row],[Différence HP
Instantané]]+Tableau1[[#This Row],[Différence_x000D_ HC
Instantané]]</f>
        <v>40</v>
      </c>
      <c r="AB114" s="41">
        <f>Tableau1[[#This Row],[Conso HP + HC
Instantané]]/(Tableau1[[#This Row],[Diff jour
Instantané]]*24)</f>
        <v>2.2471910112521218</v>
      </c>
      <c r="AC114" s="34">
        <f>IF(ISERROR(Tableau1[[#This Row],[Date]]-A113),"",Tableau1[[#This Row],[Conso HP + HC
Instantané]]/Tableau1[[#This Row],[Diff jour
Instantané]])</f>
        <v>53.932584270050924</v>
      </c>
      <c r="AD114" s="41">
        <f>Tableau1[[#This Row],[Conso HP + HC / jour_x000D_
Instantané]]*365</f>
        <v>19685.393258568587</v>
      </c>
      <c r="AE114" s="38">
        <f>Tableau1[[#This Row],[Différence HP
Cumul]]+Tableau1[[#This Row],[Différence HC
Cumul]]</f>
        <v>5395</v>
      </c>
      <c r="AF114" s="40">
        <f>(Tableau1[[#This Row],[Conso HP + HC
Cumul]]-AE$6)/Tableau1[[#This Row],[Diff jour_x000D_
Cumul
depuis le 24/01]]</f>
        <v>60.707610545486276</v>
      </c>
      <c r="AG114" s="40">
        <f>(Tableau1[[#This Row],[Conso HP + HC
Cumul]]-AE$59)/Tableau1[[#This Row],[Diff jour_x000D_
Cumul
depuis
précédente facture
16/02/2021]]</f>
        <v>50.752937091276429</v>
      </c>
      <c r="AH114" s="41">
        <f>Tableau1[[#This Row],[Conso HP + HC
Cumul]]/(Tableau1[[#This Row],[Diff jour_x000D_
Cumul]]*24)</f>
        <v>2.6570682777076819</v>
      </c>
      <c r="AI114" s="41">
        <f>Tableau1[[#This Row],[Conso HP + HC
Cumul]]/Tableau1[[#This Row],[Diff jour_x000D_
Cumul]]</f>
        <v>63.76963866498437</v>
      </c>
      <c r="AJ114" s="41">
        <f>Tableau1[[#This Row],[Conso HP + HC / jour_x000D_
Cumul]]*365</f>
        <v>23275.918112719297</v>
      </c>
      <c r="AK114" s="44">
        <f>(Tableau1[[#This Row],[Différence HP
Cumul]]*0.1799)+(Tableau1[[#This Row],[Différence HC
Cumul]]*0.1346)</f>
        <v>892.96159999999998</v>
      </c>
      <c r="AL114" s="44">
        <f>Tableau1[[#This Row],[Montant
Tarif HP/HC]]/Tableau1[[#This Row],[Diff jour_x000D_
Cumul]]</f>
        <v>10.554928373254182</v>
      </c>
      <c r="AM114" s="44">
        <f>(Tableau1[[#This Row],[Montant
Tarif HP/HC]]-AK$6)/Tableau1[[#This Row],[Diff jour_x000D_
Cumul
depuis le 24/01]]</f>
        <v>10.072132087301682</v>
      </c>
      <c r="AN114" s="44">
        <f>(Tableau1[[#This Row],[Montant
Tarif HP/HC]]-AK$59)/Tableau1[[#This Row],[Diff jour_x000D_
Cumul
depuis
précédente facture
16/02/2021]]</f>
        <v>8.3754096880622324</v>
      </c>
      <c r="AO114" s="44">
        <f>Tableau1[[#This Row],[Conso HP + HC
Cumul]]*0.1599</f>
        <v>862.66049999999996</v>
      </c>
      <c r="AP114" s="44">
        <f>Tableau1[[#This Row],[Montant
Tarif normal]]/Tableau1[[#This Row],[Diff jour_x000D_
Cumul]]</f>
        <v>10.196765222531001</v>
      </c>
      <c r="AQ114" s="44">
        <f>(Tableau1[[#This Row],[Conso HP / an
Cumul]]*0.1799)+(Tableau1[[#This Row],[Conso HC / an_x000D_
Cumul]]*0.1346)</f>
        <v>3852.5488562377764</v>
      </c>
      <c r="AR114" s="44">
        <f>Tableau1[[#This Row],[Conso HP + HC / an_x000D_
Cumul]]*0.1599</f>
        <v>3721.8193062238151</v>
      </c>
      <c r="AS114" s="38">
        <f>MONTH(Tableau1[[#This Row],[Date]])</f>
        <v>3</v>
      </c>
      <c r="AT114" s="38">
        <f>YEAR(Tableau1[[#This Row],[Date]])</f>
        <v>2021</v>
      </c>
    </row>
    <row r="115" spans="1:46" x14ac:dyDescent="0.2">
      <c r="A115" s="19">
        <v>44267.563888888886</v>
      </c>
      <c r="B115" s="20">
        <v>10.199999999999999</v>
      </c>
      <c r="C115" s="39">
        <f>IF(ISERROR(Tableau1[[#This Row],[Date]]-A114),"",Tableau1[[#This Row],[Date]]-A114)</f>
        <v>0.25416666666569654</v>
      </c>
      <c r="D115" s="40">
        <f>IF(ISERROR(Tableau1[[#This Row],[Date]]-A114),"",Tableau1[[#This Row],[Date]]-A114)</f>
        <v>0.25416666666569654</v>
      </c>
      <c r="E115" s="39">
        <f>Tableau1[[#This Row],[Date]]-$A$5</f>
        <v>84.855555555550382</v>
      </c>
      <c r="F115" s="40">
        <f>Tableau1[[#This Row],[Date]]-$A$5</f>
        <v>84.855555555550382</v>
      </c>
      <c r="G115" s="40">
        <f>Tableau1[[#This Row],[Diff jour_x000D_
Cumul]]-F$6</f>
        <v>46.772222222221899</v>
      </c>
      <c r="H115" s="40">
        <f>Tableau1[[#This Row],[Diff jour_x000D_
Cumul]]-F$59</f>
        <v>24.25277777777228</v>
      </c>
      <c r="I115" s="21">
        <v>183455</v>
      </c>
      <c r="J115" s="38">
        <f>IF(ISERROR(Tableau1[[#This Row],[Index HP
kWh]]-I114),"",Tableau1[[#This Row],[Index HP
kWh]]-I114)</f>
        <v>14</v>
      </c>
      <c r="K115" s="40">
        <f>IF(ISERROR(Tableau1[[#This Row],[Différence HP
Instantané]]/(Tableau1[[#This Row],[Diff jour
Instantané]]*24)),"",Tableau1[[#This Row],[Différence HP
Instantané]]/(Tableau1[[#This Row],[Diff jour
Instantané]]*24))</f>
        <v>2.2950819672218747</v>
      </c>
      <c r="L115" s="40">
        <f>Tableau1[[#This Row],[Différence HP
Instantané]]/Tableau1[[#This Row],[Diff jour
Instantané]]</f>
        <v>55.081967213324994</v>
      </c>
      <c r="M115" s="40">
        <f>Tableau1[[#This Row],[Conso HP / jour
Instantané]]*365</f>
        <v>20104.918032863621</v>
      </c>
      <c r="N115" s="38">
        <f>Tableau1[[#This Row],[Index HP
kWh]]-$I$5</f>
        <v>3696</v>
      </c>
      <c r="O115" s="41">
        <f>Tableau1[[#This Row],[Différence HP
Cumul]]/(Tableau1[[#This Row],[Diff jour_x000D_
Cumul]]*24)</f>
        <v>1.814848762603227</v>
      </c>
      <c r="P115" s="41">
        <f>Tableau1[[#This Row],[Différence HP
Cumul]]/Tableau1[[#This Row],[Diff jour_x000D_
Cumul]]</f>
        <v>43.556370302477447</v>
      </c>
      <c r="Q115" s="41">
        <f>Tableau1[[#This Row],[Conso HP / jour
Cumul]]*365</f>
        <v>15898.075160404269</v>
      </c>
      <c r="R115" s="21">
        <v>121145</v>
      </c>
      <c r="S115" s="38">
        <f>Tableau1[[#This Row],[Index HC_x000D_
kWh]]-R114</f>
        <v>0</v>
      </c>
      <c r="T115" s="42">
        <f>Tableau1[[#This Row],[Différence_x000D_ HC
Instantané]]/(Tableau1[[#This Row],[Diff jour
Instantané]]*24)</f>
        <v>0</v>
      </c>
      <c r="U115" s="42">
        <f>Tableau1[[#This Row],[Différence_x000D_ HC
Instantané]]/Tableau1[[#This Row],[Diff jour
Instantané]]</f>
        <v>0</v>
      </c>
      <c r="V115" s="42">
        <f>Tableau1[[#This Row],[Conso HC / jour_x000D_
Instantané]]*365</f>
        <v>0</v>
      </c>
      <c r="W115" s="38">
        <f>Tableau1[[#This Row],[Index HC_x000D_
kWh]]-$R$5</f>
        <v>1713</v>
      </c>
      <c r="X115" s="43">
        <f>Tableau1[[#This Row],[Différence HC
Cumul]]/(Tableau1[[#This Row],[Diff jour_x000D_
Cumul]]*24)</f>
        <v>0.84113526253769699</v>
      </c>
      <c r="Y115" s="43">
        <f>Tableau1[[#This Row],[Différence HC
Cumul]]/Tableau1[[#This Row],[Diff jour_x000D_
Cumul]]</f>
        <v>20.187246300904729</v>
      </c>
      <c r="Z115" s="43">
        <f>Tableau1[[#This Row],[Conso HC / jour_x000D_
Cumul]]*365</f>
        <v>7368.3448998302256</v>
      </c>
      <c r="AA115" s="38">
        <f>Tableau1[[#This Row],[Différence HP
Instantané]]+Tableau1[[#This Row],[Différence_x000D_ HC
Instantané]]</f>
        <v>14</v>
      </c>
      <c r="AB115" s="41">
        <f>Tableau1[[#This Row],[Conso HP + HC
Instantané]]/(Tableau1[[#This Row],[Diff jour
Instantané]]*24)</f>
        <v>2.2950819672218747</v>
      </c>
      <c r="AC115" s="34">
        <f>IF(ISERROR(Tableau1[[#This Row],[Date]]-A114),"",Tableau1[[#This Row],[Conso HP + HC
Instantané]]/Tableau1[[#This Row],[Diff jour
Instantané]])</f>
        <v>55.081967213324994</v>
      </c>
      <c r="AD115" s="41">
        <f>Tableau1[[#This Row],[Conso HP + HC / jour_x000D_
Instantané]]*365</f>
        <v>20104.918032863621</v>
      </c>
      <c r="AE115" s="38">
        <f>Tableau1[[#This Row],[Différence HP
Cumul]]+Tableau1[[#This Row],[Différence HC
Cumul]]</f>
        <v>5409</v>
      </c>
      <c r="AF115" s="40">
        <f>(Tableau1[[#This Row],[Conso HP + HC
Cumul]]-AE$6)/Tableau1[[#This Row],[Diff jour_x000D_
Cumul
depuis le 24/01]]</f>
        <v>60.677040028507371</v>
      </c>
      <c r="AG115" s="40">
        <f>(Tableau1[[#This Row],[Conso HP + HC
Cumul]]-AE$59)/Tableau1[[#This Row],[Diff jour_x000D_
Cumul
depuis
précédente facture
16/02/2021]]</f>
        <v>50.798304890631144</v>
      </c>
      <c r="AH115" s="41">
        <f>Tableau1[[#This Row],[Conso HP + HC
Cumul]]/(Tableau1[[#This Row],[Diff jour_x000D_
Cumul]]*24)</f>
        <v>2.6559840251409241</v>
      </c>
      <c r="AI115" s="41">
        <f>Tableau1[[#This Row],[Conso HP + HC
Cumul]]/Tableau1[[#This Row],[Diff jour_x000D_
Cumul]]</f>
        <v>63.743616603382179</v>
      </c>
      <c r="AJ115" s="41">
        <f>Tableau1[[#This Row],[Conso HP + HC / jour_x000D_
Cumul]]*365</f>
        <v>23266.420060234494</v>
      </c>
      <c r="AK115" s="44">
        <f>(Tableau1[[#This Row],[Différence HP
Cumul]]*0.1799)+(Tableau1[[#This Row],[Différence HC
Cumul]]*0.1346)</f>
        <v>895.48019999999997</v>
      </c>
      <c r="AL115" s="44">
        <f>Tableau1[[#This Row],[Montant
Tarif HP/HC]]/Tableau1[[#This Row],[Diff jour_x000D_
Cumul]]</f>
        <v>10.552994369517469</v>
      </c>
      <c r="AM115" s="44">
        <f>(Tableau1[[#This Row],[Montant
Tarif HP/HC]]-AK$6)/Tableau1[[#This Row],[Diff jour_x000D_
Cumul
depuis le 24/01]]</f>
        <v>10.071246941442045</v>
      </c>
      <c r="AN115" s="44">
        <f>(Tableau1[[#This Row],[Montant
Tarif HP/HC]]-AK$59)/Tableau1[[#This Row],[Diff jour_x000D_
Cumul
depuis
précédente facture
16/02/2021]]</f>
        <v>8.3914841369850652</v>
      </c>
      <c r="AO115" s="44">
        <f>Tableau1[[#This Row],[Conso HP + HC
Cumul]]*0.1599</f>
        <v>864.89909999999998</v>
      </c>
      <c r="AP115" s="44">
        <f>Tableau1[[#This Row],[Montant
Tarif normal]]/Tableau1[[#This Row],[Diff jour_x000D_
Cumul]]</f>
        <v>10.192604294880809</v>
      </c>
      <c r="AQ115" s="44">
        <f>(Tableau1[[#This Row],[Conso HP / an
Cumul]]*0.1799)+(Tableau1[[#This Row],[Conso HC / an_x000D_
Cumul]]*0.1346)</f>
        <v>3851.8429448738761</v>
      </c>
      <c r="AR115" s="44">
        <f>Tableau1[[#This Row],[Conso HP + HC / an_x000D_
Cumul]]*0.1599</f>
        <v>3720.3005676314951</v>
      </c>
      <c r="AS115" s="38">
        <f>MONTH(Tableau1[[#This Row],[Date]])</f>
        <v>3</v>
      </c>
      <c r="AT115" s="38">
        <f>YEAR(Tableau1[[#This Row],[Date]])</f>
        <v>2021</v>
      </c>
    </row>
    <row r="116" spans="1:46" x14ac:dyDescent="0.2">
      <c r="A116" s="19">
        <v>44268.349305555559</v>
      </c>
      <c r="B116" s="20">
        <v>7.9</v>
      </c>
      <c r="C116" s="39">
        <f>IF(ISERROR(Tableau1[[#This Row],[Date]]-A115),"",Tableau1[[#This Row],[Date]]-A115)</f>
        <v>0.7854166666729725</v>
      </c>
      <c r="D116" s="40">
        <f>IF(ISERROR(Tableau1[[#This Row],[Date]]-A115),"",Tableau1[[#This Row],[Date]]-A115)</f>
        <v>0.7854166666729725</v>
      </c>
      <c r="E116" s="39">
        <f>Tableau1[[#This Row],[Date]]-$A$5</f>
        <v>85.640972222223354</v>
      </c>
      <c r="F116" s="40">
        <f>Tableau1[[#This Row],[Date]]-$A$5</f>
        <v>85.640972222223354</v>
      </c>
      <c r="G116" s="40">
        <f>Tableau1[[#This Row],[Diff jour_x000D_
Cumul]]-F$6</f>
        <v>47.557638888894871</v>
      </c>
      <c r="H116" s="40">
        <f>Tableau1[[#This Row],[Diff jour_x000D_
Cumul]]-F$59</f>
        <v>25.038194444445253</v>
      </c>
      <c r="I116" s="21">
        <v>183478</v>
      </c>
      <c r="J116" s="38">
        <f>IF(ISERROR(Tableau1[[#This Row],[Index HP
kWh]]-I115),"",Tableau1[[#This Row],[Index HP
kWh]]-I115)</f>
        <v>23</v>
      </c>
      <c r="K116" s="40">
        <f>IF(ISERROR(Tableau1[[#This Row],[Différence HP
Instantané]]/(Tableau1[[#This Row],[Diff jour
Instantané]]*24)),"",Tableau1[[#This Row],[Différence HP
Instantané]]/(Tableau1[[#This Row],[Diff jour
Instantané]]*24))</f>
        <v>1.2201591511838377</v>
      </c>
      <c r="L116" s="40">
        <f>Tableau1[[#This Row],[Différence HP
Instantané]]/Tableau1[[#This Row],[Diff jour
Instantané]]</f>
        <v>29.283819628412104</v>
      </c>
      <c r="M116" s="40">
        <f>Tableau1[[#This Row],[Conso HP / jour
Instantané]]*365</f>
        <v>10688.594164370417</v>
      </c>
      <c r="N116" s="38">
        <f>Tableau1[[#This Row],[Index HP
kWh]]-$I$5</f>
        <v>3719</v>
      </c>
      <c r="O116" s="41">
        <f>Tableau1[[#This Row],[Différence HP
Cumul]]/(Tableau1[[#This Row],[Diff jour_x000D_
Cumul]]*24)</f>
        <v>1.809394841189373</v>
      </c>
      <c r="P116" s="41">
        <f>Tableau1[[#This Row],[Différence HP
Cumul]]/Tableau1[[#This Row],[Diff jour_x000D_
Cumul]]</f>
        <v>43.425476188544955</v>
      </c>
      <c r="Q116" s="41">
        <f>Tableau1[[#This Row],[Conso HP / jour
Cumul]]*365</f>
        <v>15850.298808818909</v>
      </c>
      <c r="R116" s="21">
        <v>121160</v>
      </c>
      <c r="S116" s="38">
        <f>Tableau1[[#This Row],[Index HC_x000D_
kWh]]-R115</f>
        <v>15</v>
      </c>
      <c r="T116" s="42">
        <f>Tableau1[[#This Row],[Différence_x000D_ HC
Instantané]]/(Tableau1[[#This Row],[Diff jour
Instantané]]*24)</f>
        <v>0.79575596816337246</v>
      </c>
      <c r="U116" s="42">
        <f>Tableau1[[#This Row],[Différence_x000D_ HC
Instantané]]/Tableau1[[#This Row],[Diff jour
Instantané]]</f>
        <v>19.09814323592094</v>
      </c>
      <c r="V116" s="42">
        <f>Tableau1[[#This Row],[Conso HC / jour_x000D_
Instantané]]*365</f>
        <v>6970.8222811111427</v>
      </c>
      <c r="W116" s="38">
        <f>Tableau1[[#This Row],[Index HC_x000D_
kWh]]-$R$5</f>
        <v>1728</v>
      </c>
      <c r="X116" s="43">
        <f>Tableau1[[#This Row],[Différence HC
Cumul]]/(Tableau1[[#This Row],[Diff jour_x000D_
Cumul]]*24)</f>
        <v>0.84071908727486866</v>
      </c>
      <c r="Y116" s="43">
        <f>Tableau1[[#This Row],[Différence HC
Cumul]]/Tableau1[[#This Row],[Diff jour_x000D_
Cumul]]</f>
        <v>20.177258094596848</v>
      </c>
      <c r="Z116" s="43">
        <f>Tableau1[[#This Row],[Conso HC / jour_x000D_
Cumul]]*365</f>
        <v>7364.6992045278494</v>
      </c>
      <c r="AA116" s="38">
        <f>Tableau1[[#This Row],[Différence HP
Instantané]]+Tableau1[[#This Row],[Différence_x000D_ HC
Instantané]]</f>
        <v>38</v>
      </c>
      <c r="AB116" s="41">
        <f>Tableau1[[#This Row],[Conso HP + HC
Instantané]]/(Tableau1[[#This Row],[Diff jour
Instantané]]*24)</f>
        <v>2.01591511934721</v>
      </c>
      <c r="AC116" s="34">
        <f>IF(ISERROR(Tableau1[[#This Row],[Date]]-A115),"",Tableau1[[#This Row],[Conso HP + HC
Instantané]]/Tableau1[[#This Row],[Diff jour
Instantané]])</f>
        <v>48.38196286433304</v>
      </c>
      <c r="AD116" s="41">
        <f>Tableau1[[#This Row],[Conso HP + HC / jour_x000D_
Instantané]]*365</f>
        <v>17659.416445481558</v>
      </c>
      <c r="AE116" s="38">
        <f>Tableau1[[#This Row],[Différence HP
Cumul]]+Tableau1[[#This Row],[Différence HC
Cumul]]</f>
        <v>5447</v>
      </c>
      <c r="AF116" s="40">
        <f>(Tableau1[[#This Row],[Conso HP + HC
Cumul]]-AE$6)/Tableau1[[#This Row],[Diff jour_x000D_
Cumul
depuis le 24/01]]</f>
        <v>60.473986244753867</v>
      </c>
      <c r="AG116" s="40">
        <f>(Tableau1[[#This Row],[Conso HP + HC
Cumul]]-AE$59)/Tableau1[[#This Row],[Diff jour_x000D_
Cumul
depuis
précédente facture
16/02/2021]]</f>
        <v>50.722507280541976</v>
      </c>
      <c r="AH116" s="41">
        <f>Tableau1[[#This Row],[Conso HP + HC
Cumul]]/(Tableau1[[#This Row],[Diff jour_x000D_
Cumul]]*24)</f>
        <v>2.6501139284642417</v>
      </c>
      <c r="AI116" s="41">
        <f>Tableau1[[#This Row],[Conso HP + HC
Cumul]]/Tableau1[[#This Row],[Diff jour_x000D_
Cumul]]</f>
        <v>63.6027342831418</v>
      </c>
      <c r="AJ116" s="41">
        <f>Tableau1[[#This Row],[Conso HP + HC / jour_x000D_
Cumul]]*365</f>
        <v>23214.998013346758</v>
      </c>
      <c r="AK116" s="44">
        <f>(Tableau1[[#This Row],[Différence HP
Cumul]]*0.1799)+(Tableau1[[#This Row],[Différence HC
Cumul]]*0.1346)</f>
        <v>901.63689999999997</v>
      </c>
      <c r="AL116" s="44">
        <f>Tableau1[[#This Row],[Montant
Tarif HP/HC]]/Tableau1[[#This Row],[Diff jour_x000D_
Cumul]]</f>
        <v>10.528102105851973</v>
      </c>
      <c r="AM116" s="44">
        <f>(Tableau1[[#This Row],[Montant
Tarif HP/HC]]-AK$6)/Tableau1[[#This Row],[Diff jour_x000D_
Cumul
depuis le 24/01]]</f>
        <v>10.034377465939189</v>
      </c>
      <c r="AN116" s="44">
        <f>(Tableau1[[#This Row],[Montant
Tarif HP/HC]]-AK$59)/Tableau1[[#This Row],[Diff jour_x000D_
Cumul
depuis
précédente facture
16/02/2021]]</f>
        <v>8.3741461655800933</v>
      </c>
      <c r="AO116" s="44">
        <f>Tableau1[[#This Row],[Conso HP + HC
Cumul]]*0.1599</f>
        <v>870.97529999999995</v>
      </c>
      <c r="AP116" s="44">
        <f>Tableau1[[#This Row],[Montant
Tarif normal]]/Tableau1[[#This Row],[Diff jour_x000D_
Cumul]]</f>
        <v>10.170077211874373</v>
      </c>
      <c r="AQ116" s="44">
        <f>(Tableau1[[#This Row],[Conso HP / an
Cumul]]*0.1799)+(Tableau1[[#This Row],[Conso HC / an_x000D_
Cumul]]*0.1346)</f>
        <v>3842.7572686359704</v>
      </c>
      <c r="AR116" s="44">
        <f>Tableau1[[#This Row],[Conso HP + HC / an_x000D_
Cumul]]*0.1599</f>
        <v>3712.0781823341463</v>
      </c>
      <c r="AS116" s="38">
        <f>MONTH(Tableau1[[#This Row],[Date]])</f>
        <v>3</v>
      </c>
      <c r="AT116" s="38">
        <f>YEAR(Tableau1[[#This Row],[Date]])</f>
        <v>2021</v>
      </c>
    </row>
    <row r="117" spans="1:46" x14ac:dyDescent="0.2">
      <c r="A117" s="19">
        <v>44269.336805555555</v>
      </c>
      <c r="B117" s="20">
        <v>2.7</v>
      </c>
      <c r="C117" s="39">
        <f>IF(ISERROR(Tableau1[[#This Row],[Date]]-A116),"",Tableau1[[#This Row],[Date]]-A116)</f>
        <v>0.98749999999563443</v>
      </c>
      <c r="D117" s="40">
        <f>IF(ISERROR(Tableau1[[#This Row],[Date]]-A116),"",Tableau1[[#This Row],[Date]]-A116)</f>
        <v>0.98749999999563443</v>
      </c>
      <c r="E117" s="39">
        <f>Tableau1[[#This Row],[Date]]-$A$5</f>
        <v>86.628472222218988</v>
      </c>
      <c r="F117" s="40">
        <f>Tableau1[[#This Row],[Date]]-$A$5</f>
        <v>86.628472222218988</v>
      </c>
      <c r="G117" s="40">
        <f>Tableau1[[#This Row],[Diff jour_x000D_
Cumul]]-F$6</f>
        <v>48.545138888890506</v>
      </c>
      <c r="H117" s="40">
        <f>Tableau1[[#This Row],[Diff jour_x000D_
Cumul]]-F$59</f>
        <v>26.025694444440887</v>
      </c>
      <c r="I117" s="21">
        <v>183514</v>
      </c>
      <c r="J117" s="38">
        <f>IF(ISERROR(Tableau1[[#This Row],[Index HP
kWh]]-I116),"",Tableau1[[#This Row],[Index HP
kWh]]-I116)</f>
        <v>36</v>
      </c>
      <c r="K117" s="40">
        <f>IF(ISERROR(Tableau1[[#This Row],[Différence HP
Instantané]]/(Tableau1[[#This Row],[Diff jour
Instantané]]*24)),"",Tableau1[[#This Row],[Différence HP
Instantané]]/(Tableau1[[#This Row],[Diff jour
Instantané]]*24))</f>
        <v>1.5189873417788671</v>
      </c>
      <c r="L117" s="40">
        <f>Tableau1[[#This Row],[Différence HP
Instantané]]/Tableau1[[#This Row],[Diff jour
Instantané]]</f>
        <v>36.455696202692813</v>
      </c>
      <c r="M117" s="40">
        <f>Tableau1[[#This Row],[Conso HP / jour
Instantané]]*365</f>
        <v>13306.329113982876</v>
      </c>
      <c r="N117" s="38">
        <f>Tableau1[[#This Row],[Index HP
kWh]]-$I$5</f>
        <v>3755</v>
      </c>
      <c r="O117" s="41">
        <f>Tableau1[[#This Row],[Différence HP
Cumul]]/(Tableau1[[#This Row],[Diff jour_x000D_
Cumul]]*24)</f>
        <v>1.8060844122009572</v>
      </c>
      <c r="P117" s="41">
        <f>Tableau1[[#This Row],[Différence HP
Cumul]]/Tableau1[[#This Row],[Diff jour_x000D_
Cumul]]</f>
        <v>43.346025892822972</v>
      </c>
      <c r="Q117" s="41">
        <f>Tableau1[[#This Row],[Conso HP / jour
Cumul]]*365</f>
        <v>15821.299450880384</v>
      </c>
      <c r="R117" s="21">
        <v>121180</v>
      </c>
      <c r="S117" s="38">
        <f>Tableau1[[#This Row],[Index HC_x000D_
kWh]]-R116</f>
        <v>20</v>
      </c>
      <c r="T117" s="42">
        <f>Tableau1[[#This Row],[Différence_x000D_ HC
Instantané]]/(Tableau1[[#This Row],[Diff jour
Instantané]]*24)</f>
        <v>0.84388185654381509</v>
      </c>
      <c r="U117" s="42">
        <f>Tableau1[[#This Row],[Différence_x000D_ HC
Instantané]]/Tableau1[[#This Row],[Diff jour
Instantané]]</f>
        <v>20.253164557051562</v>
      </c>
      <c r="V117" s="42">
        <f>Tableau1[[#This Row],[Conso HC / jour_x000D_
Instantané]]*365</f>
        <v>7392.4050633238203</v>
      </c>
      <c r="W117" s="38">
        <f>Tableau1[[#This Row],[Index HC_x000D_
kWh]]-$R$5</f>
        <v>1748</v>
      </c>
      <c r="X117" s="43">
        <f>Tableau1[[#This Row],[Différence HC
Cumul]]/(Tableau1[[#This Row],[Diff jour_x000D_
Cumul]]*24)</f>
        <v>0.84075514048662403</v>
      </c>
      <c r="Y117" s="43">
        <f>Tableau1[[#This Row],[Différence HC
Cumul]]/Tableau1[[#This Row],[Diff jour_x000D_
Cumul]]</f>
        <v>20.178123371678979</v>
      </c>
      <c r="Z117" s="43">
        <f>Tableau1[[#This Row],[Conso HC / jour_x000D_
Cumul]]*365</f>
        <v>7365.0150306628275</v>
      </c>
      <c r="AA117" s="38">
        <f>Tableau1[[#This Row],[Différence HP
Instantané]]+Tableau1[[#This Row],[Différence_x000D_ HC
Instantané]]</f>
        <v>56</v>
      </c>
      <c r="AB117" s="41">
        <f>Tableau1[[#This Row],[Conso HP + HC
Instantané]]/(Tableau1[[#This Row],[Diff jour
Instantané]]*24)</f>
        <v>2.3628691983226822</v>
      </c>
      <c r="AC117" s="34">
        <f>IF(ISERROR(Tableau1[[#This Row],[Date]]-A116),"",Tableau1[[#This Row],[Conso HP + HC
Instantané]]/Tableau1[[#This Row],[Diff jour
Instantané]])</f>
        <v>56.708860759744368</v>
      </c>
      <c r="AD117" s="41">
        <f>Tableau1[[#This Row],[Conso HP + HC / jour_x000D_
Instantané]]*365</f>
        <v>20698.734177306695</v>
      </c>
      <c r="AE117" s="38">
        <f>Tableau1[[#This Row],[Différence HP
Cumul]]+Tableau1[[#This Row],[Différence HC
Cumul]]</f>
        <v>5503</v>
      </c>
      <c r="AF117" s="40">
        <f>(Tableau1[[#This Row],[Conso HP + HC
Cumul]]-AE$6)/Tableau1[[#This Row],[Diff jour_x000D_
Cumul
depuis le 24/01]]</f>
        <v>60.397396466631278</v>
      </c>
      <c r="AG117" s="40">
        <f>(Tableau1[[#This Row],[Conso HP + HC
Cumul]]-AE$59)/Tableau1[[#This Row],[Diff jour_x000D_
Cumul
depuis
précédente facture
16/02/2021]]</f>
        <v>50.949649118132747</v>
      </c>
      <c r="AH117" s="41">
        <f>Tableau1[[#This Row],[Conso HP + HC
Cumul]]/(Tableau1[[#This Row],[Diff jour_x000D_
Cumul]]*24)</f>
        <v>2.6468395526875814</v>
      </c>
      <c r="AI117" s="41">
        <f>Tableau1[[#This Row],[Conso HP + HC
Cumul]]/Tableau1[[#This Row],[Diff jour_x000D_
Cumul]]</f>
        <v>63.524149264501951</v>
      </c>
      <c r="AJ117" s="41">
        <f>Tableau1[[#This Row],[Conso HP + HC / jour_x000D_
Cumul]]*365</f>
        <v>23186.314481543213</v>
      </c>
      <c r="AK117" s="44">
        <f>(Tableau1[[#This Row],[Différence HP
Cumul]]*0.1799)+(Tableau1[[#This Row],[Différence HC
Cumul]]*0.1346)</f>
        <v>910.80529999999999</v>
      </c>
      <c r="AL117" s="44">
        <f>Tableau1[[#This Row],[Montant
Tarif HP/HC]]/Tableau1[[#This Row],[Diff jour_x000D_
Cumul]]</f>
        <v>10.513925463946842</v>
      </c>
      <c r="AM117" s="44">
        <f>(Tableau1[[#This Row],[Montant
Tarif HP/HC]]-AK$6)/Tableau1[[#This Row],[Diff jour_x000D_
Cumul
depuis le 24/01]]</f>
        <v>10.01912263786534</v>
      </c>
      <c r="AN117" s="44">
        <f>(Tableau1[[#This Row],[Montant
Tarif HP/HC]]-AK$59)/Tableau1[[#This Row],[Diff jour_x000D_
Cumul
depuis
précédente facture
16/02/2021]]</f>
        <v>8.4086862875908714</v>
      </c>
      <c r="AO117" s="44">
        <f>Tableau1[[#This Row],[Conso HP + HC
Cumul]]*0.1599</f>
        <v>879.92969999999991</v>
      </c>
      <c r="AP117" s="44">
        <f>Tableau1[[#This Row],[Montant
Tarif normal]]/Tableau1[[#This Row],[Diff jour_x000D_
Cumul]]</f>
        <v>10.15751146739386</v>
      </c>
      <c r="AQ117" s="44">
        <f>(Tableau1[[#This Row],[Conso HP / an
Cumul]]*0.1799)+(Tableau1[[#This Row],[Conso HC / an_x000D_
Cumul]]*0.1346)</f>
        <v>3837.582794340598</v>
      </c>
      <c r="AR117" s="44">
        <f>Tableau1[[#This Row],[Conso HP + HC / an_x000D_
Cumul]]*0.1599</f>
        <v>3707.4916855987594</v>
      </c>
      <c r="AS117" s="38">
        <f>MONTH(Tableau1[[#This Row],[Date]])</f>
        <v>3</v>
      </c>
      <c r="AT117" s="38">
        <f>YEAR(Tableau1[[#This Row],[Date]])</f>
        <v>2021</v>
      </c>
    </row>
    <row r="118" spans="1:46" x14ac:dyDescent="0.2">
      <c r="A118" s="19">
        <v>44269.593055555553</v>
      </c>
      <c r="B118" s="20">
        <v>11.8</v>
      </c>
      <c r="C118" s="39">
        <f>IF(ISERROR(Tableau1[[#This Row],[Date]]-A117),"",Tableau1[[#This Row],[Date]]-A117)</f>
        <v>0.25624999999854481</v>
      </c>
      <c r="D118" s="40">
        <f>IF(ISERROR(Tableau1[[#This Row],[Date]]-A117),"",Tableau1[[#This Row],[Date]]-A117)</f>
        <v>0.25624999999854481</v>
      </c>
      <c r="E118" s="39">
        <f>Tableau1[[#This Row],[Date]]-$A$5</f>
        <v>86.884722222217533</v>
      </c>
      <c r="F118" s="40">
        <f>Tableau1[[#This Row],[Date]]-$A$5</f>
        <v>86.884722222217533</v>
      </c>
      <c r="G118" s="40">
        <f>Tableau1[[#This Row],[Diff jour_x000D_
Cumul]]-F$6</f>
        <v>48.801388888889051</v>
      </c>
      <c r="H118" s="40">
        <f>Tableau1[[#This Row],[Diff jour_x000D_
Cumul]]-F$59</f>
        <v>26.281944444439432</v>
      </c>
      <c r="I118" s="21">
        <v>183531</v>
      </c>
      <c r="J118" s="38">
        <f>IF(ISERROR(Tableau1[[#This Row],[Index HP
kWh]]-I117),"",Tableau1[[#This Row],[Index HP
kWh]]-I117)</f>
        <v>17</v>
      </c>
      <c r="K118" s="40">
        <f>IF(ISERROR(Tableau1[[#This Row],[Différence HP
Instantané]]/(Tableau1[[#This Row],[Diff jour
Instantané]]*24)),"",Tableau1[[#This Row],[Différence HP
Instantané]]/(Tableau1[[#This Row],[Diff jour
Instantané]]*24))</f>
        <v>2.7642276422921204</v>
      </c>
      <c r="L118" s="40">
        <f>Tableau1[[#This Row],[Différence HP
Instantané]]/Tableau1[[#This Row],[Diff jour
Instantané]]</f>
        <v>66.341463415010892</v>
      </c>
      <c r="M118" s="40">
        <f>Tableau1[[#This Row],[Conso HP / jour
Instantané]]*365</f>
        <v>24214.634146478977</v>
      </c>
      <c r="N118" s="38">
        <f>Tableau1[[#This Row],[Index HP
kWh]]-$I$5</f>
        <v>3772</v>
      </c>
      <c r="O118" s="41">
        <f>Tableau1[[#This Row],[Différence HP
Cumul]]/(Tableau1[[#This Row],[Diff jour_x000D_
Cumul]]*24)</f>
        <v>1.8089102738303644</v>
      </c>
      <c r="P118" s="41">
        <f>Tableau1[[#This Row],[Différence HP
Cumul]]/Tableau1[[#This Row],[Diff jour_x000D_
Cumul]]</f>
        <v>43.413846571928744</v>
      </c>
      <c r="Q118" s="41">
        <f>Tableau1[[#This Row],[Conso HP / jour
Cumul]]*365</f>
        <v>15846.053998753992</v>
      </c>
      <c r="R118" s="21">
        <v>121180</v>
      </c>
      <c r="S118" s="38">
        <f>Tableau1[[#This Row],[Index HC_x000D_
kWh]]-R117</f>
        <v>0</v>
      </c>
      <c r="T118" s="42">
        <f>Tableau1[[#This Row],[Différence_x000D_ HC
Instantané]]/(Tableau1[[#This Row],[Diff jour
Instantané]]*24)</f>
        <v>0</v>
      </c>
      <c r="U118" s="42">
        <f>Tableau1[[#This Row],[Différence_x000D_ HC
Instantané]]/Tableau1[[#This Row],[Diff jour
Instantané]]</f>
        <v>0</v>
      </c>
      <c r="V118" s="42">
        <f>Tableau1[[#This Row],[Conso HC / jour_x000D_
Instantané]]*365</f>
        <v>0</v>
      </c>
      <c r="W118" s="38">
        <f>Tableau1[[#This Row],[Index HC_x000D_
kWh]]-$R$5</f>
        <v>1748</v>
      </c>
      <c r="X118" s="43">
        <f>Tableau1[[#This Row],[Différence HC
Cumul]]/(Tableau1[[#This Row],[Diff jour_x000D_
Cumul]]*24)</f>
        <v>0.83827549275065671</v>
      </c>
      <c r="Y118" s="43">
        <f>Tableau1[[#This Row],[Différence HC
Cumul]]/Tableau1[[#This Row],[Diff jour_x000D_
Cumul]]</f>
        <v>20.118611826015762</v>
      </c>
      <c r="Z118" s="43">
        <f>Tableau1[[#This Row],[Conso HC / jour_x000D_
Cumul]]*365</f>
        <v>7343.2933164957531</v>
      </c>
      <c r="AA118" s="38">
        <f>Tableau1[[#This Row],[Différence HP
Instantané]]+Tableau1[[#This Row],[Différence_x000D_ HC
Instantané]]</f>
        <v>17</v>
      </c>
      <c r="AB118" s="41">
        <f>Tableau1[[#This Row],[Conso HP + HC
Instantané]]/(Tableau1[[#This Row],[Diff jour
Instantané]]*24)</f>
        <v>2.7642276422921204</v>
      </c>
      <c r="AC118" s="34">
        <f>IF(ISERROR(Tableau1[[#This Row],[Date]]-A117),"",Tableau1[[#This Row],[Conso HP + HC
Instantané]]/Tableau1[[#This Row],[Diff jour
Instantané]])</f>
        <v>66.341463415010892</v>
      </c>
      <c r="AD118" s="41">
        <f>Tableau1[[#This Row],[Conso HP + HC / jour_x000D_
Instantané]]*365</f>
        <v>24214.634146478977</v>
      </c>
      <c r="AE118" s="38">
        <f>Tableau1[[#This Row],[Différence HP
Cumul]]+Tableau1[[#This Row],[Différence HC
Cumul]]</f>
        <v>5520</v>
      </c>
      <c r="AF118" s="40">
        <f>(Tableau1[[#This Row],[Conso HP + HC
Cumul]]-AE$6)/Tableau1[[#This Row],[Diff jour_x000D_
Cumul
depuis le 24/01]]</f>
        <v>60.428608020035661</v>
      </c>
      <c r="AG118" s="40">
        <f>(Tableau1[[#This Row],[Conso HP + HC
Cumul]]-AE$59)/Tableau1[[#This Row],[Diff jour_x000D_
Cumul
depuis
précédente facture
16/02/2021]]</f>
        <v>51.099719917570383</v>
      </c>
      <c r="AH118" s="41">
        <f>Tableau1[[#This Row],[Conso HP + HC
Cumul]]/(Tableau1[[#This Row],[Diff jour_x000D_
Cumul]]*24)</f>
        <v>2.6471857665810212</v>
      </c>
      <c r="AI118" s="41">
        <f>Tableau1[[#This Row],[Conso HP + HC
Cumul]]/Tableau1[[#This Row],[Diff jour_x000D_
Cumul]]</f>
        <v>63.532458397944509</v>
      </c>
      <c r="AJ118" s="41">
        <f>Tableau1[[#This Row],[Conso HP + HC / jour_x000D_
Cumul]]*365</f>
        <v>23189.347315249746</v>
      </c>
      <c r="AK118" s="44">
        <f>(Tableau1[[#This Row],[Différence HP
Cumul]]*0.1799)+(Tableau1[[#This Row],[Différence HC
Cumul]]*0.1346)</f>
        <v>913.86360000000002</v>
      </c>
      <c r="AL118" s="44">
        <f>Tableau1[[#This Row],[Montant
Tarif HP/HC]]/Tableau1[[#This Row],[Diff jour_x000D_
Cumul]]</f>
        <v>10.518116150071704</v>
      </c>
      <c r="AM118" s="44">
        <f>(Tableau1[[#This Row],[Montant
Tarif HP/HC]]-AK$6)/Tableau1[[#This Row],[Diff jour_x000D_
Cumul
depuis le 24/01]]</f>
        <v>10.029181774198106</v>
      </c>
      <c r="AN118" s="44">
        <f>(Tableau1[[#This Row],[Montant
Tarif HP/HC]]-AK$59)/Tableau1[[#This Row],[Diff jour_x000D_
Cumul
depuis
précédente facture
16/02/2021]]</f>
        <v>8.4430663214094217</v>
      </c>
      <c r="AO118" s="44">
        <f>Tableau1[[#This Row],[Conso HP + HC
Cumul]]*0.1599</f>
        <v>882.64799999999991</v>
      </c>
      <c r="AP118" s="44">
        <f>Tableau1[[#This Row],[Montant
Tarif normal]]/Tableau1[[#This Row],[Diff jour_x000D_
Cumul]]</f>
        <v>10.158840097831325</v>
      </c>
      <c r="AQ118" s="44">
        <f>(Tableau1[[#This Row],[Conso HP / an
Cumul]]*0.1799)+(Tableau1[[#This Row],[Conso HC / an_x000D_
Cumul]]*0.1346)</f>
        <v>3839.1123947761716</v>
      </c>
      <c r="AR118" s="44">
        <f>Tableau1[[#This Row],[Conso HP + HC / an_x000D_
Cumul]]*0.1599</f>
        <v>3707.9766357084341</v>
      </c>
      <c r="AS118" s="38">
        <f>MONTH(Tableau1[[#This Row],[Date]])</f>
        <v>3</v>
      </c>
      <c r="AT118" s="38">
        <f>YEAR(Tableau1[[#This Row],[Date]])</f>
        <v>2021</v>
      </c>
    </row>
    <row r="119" spans="1:46" x14ac:dyDescent="0.2">
      <c r="A119" s="19">
        <v>44270.331250000003</v>
      </c>
      <c r="B119" s="20">
        <v>8.8000000000000007</v>
      </c>
      <c r="C119" s="39">
        <f>IF(ISERROR(Tableau1[[#This Row],[Date]]-A118),"",Tableau1[[#This Row],[Date]]-A118)</f>
        <v>0.73819444444961846</v>
      </c>
      <c r="D119" s="40">
        <f>IF(ISERROR(Tableau1[[#This Row],[Date]]-A118),"",Tableau1[[#This Row],[Date]]-A118)</f>
        <v>0.73819444444961846</v>
      </c>
      <c r="E119" s="39">
        <f>Tableau1[[#This Row],[Date]]-$A$5</f>
        <v>87.622916666667152</v>
      </c>
      <c r="F119" s="40">
        <f>Tableau1[[#This Row],[Date]]-$A$5</f>
        <v>87.622916666667152</v>
      </c>
      <c r="G119" s="40">
        <f>Tableau1[[#This Row],[Diff jour_x000D_
Cumul]]-F$6</f>
        <v>49.539583333338669</v>
      </c>
      <c r="H119" s="40">
        <f>Tableau1[[#This Row],[Diff jour_x000D_
Cumul]]-F$59</f>
        <v>27.020138888889051</v>
      </c>
      <c r="I119" s="21">
        <v>183549</v>
      </c>
      <c r="J119" s="38">
        <f>IF(ISERROR(Tableau1[[#This Row],[Index HP
kWh]]-I118),"",Tableau1[[#This Row],[Index HP
kWh]]-I118)</f>
        <v>18</v>
      </c>
      <c r="K119" s="40">
        <f>IF(ISERROR(Tableau1[[#This Row],[Différence HP
Instantané]]/(Tableau1[[#This Row],[Diff jour
Instantané]]*24)),"",Tableau1[[#This Row],[Différence HP
Instantané]]/(Tableau1[[#This Row],[Diff jour
Instantané]]*24))</f>
        <v>1.0159924741227002</v>
      </c>
      <c r="L119" s="40">
        <f>Tableau1[[#This Row],[Différence HP
Instantané]]/Tableau1[[#This Row],[Diff jour
Instantané]]</f>
        <v>24.383819378944803</v>
      </c>
      <c r="M119" s="40">
        <f>Tableau1[[#This Row],[Conso HP / jour
Instantané]]*365</f>
        <v>8900.0940733148527</v>
      </c>
      <c r="N119" s="38">
        <f>Tableau1[[#This Row],[Index HP
kWh]]-$I$5</f>
        <v>3790</v>
      </c>
      <c r="O119" s="41">
        <f>Tableau1[[#This Row],[Différence HP
Cumul]]/(Tableau1[[#This Row],[Diff jour_x000D_
Cumul]]*24)</f>
        <v>1.8022302004327155</v>
      </c>
      <c r="P119" s="41">
        <f>Tableau1[[#This Row],[Différence HP
Cumul]]/Tableau1[[#This Row],[Diff jour_x000D_
Cumul]]</f>
        <v>43.253524810385173</v>
      </c>
      <c r="Q119" s="41">
        <f>Tableau1[[#This Row],[Conso HP / jour
Cumul]]*365</f>
        <v>15787.536555790588</v>
      </c>
      <c r="R119" s="21">
        <v>121197</v>
      </c>
      <c r="S119" s="38">
        <f>Tableau1[[#This Row],[Index HC_x000D_
kWh]]-R118</f>
        <v>17</v>
      </c>
      <c r="T119" s="42">
        <f>Tableau1[[#This Row],[Différence_x000D_ HC
Instantané]]/(Tableau1[[#This Row],[Diff jour
Instantané]]*24)</f>
        <v>0.95954844778255011</v>
      </c>
      <c r="U119" s="42">
        <f>Tableau1[[#This Row],[Différence_x000D_ HC
Instantané]]/Tableau1[[#This Row],[Diff jour
Instantané]]</f>
        <v>23.029162746781203</v>
      </c>
      <c r="V119" s="42">
        <f>Tableau1[[#This Row],[Conso HC / jour_x000D_
Instantané]]*365</f>
        <v>8405.6444025751389</v>
      </c>
      <c r="W119" s="38">
        <f>Tableau1[[#This Row],[Index HC_x000D_
kWh]]-$R$5</f>
        <v>1765</v>
      </c>
      <c r="X119" s="43">
        <f>Tableau1[[#This Row],[Différence HC
Cumul]]/(Tableau1[[#This Row],[Diff jour_x000D_
Cumul]]*24)</f>
        <v>0.83929717777407464</v>
      </c>
      <c r="Y119" s="43">
        <f>Tableau1[[#This Row],[Différence HC
Cumul]]/Tableau1[[#This Row],[Diff jour_x000D_
Cumul]]</f>
        <v>20.143132266577791</v>
      </c>
      <c r="Z119" s="43">
        <f>Tableau1[[#This Row],[Conso HC / jour_x000D_
Cumul]]*365</f>
        <v>7352.2432773008932</v>
      </c>
      <c r="AA119" s="38">
        <f>Tableau1[[#This Row],[Différence HP
Instantané]]+Tableau1[[#This Row],[Différence_x000D_ HC
Instantané]]</f>
        <v>35</v>
      </c>
      <c r="AB119" s="41">
        <f>Tableau1[[#This Row],[Conso HP + HC
Instantané]]/(Tableau1[[#This Row],[Diff jour
Instantané]]*24)</f>
        <v>1.9755409219052502</v>
      </c>
      <c r="AC119" s="34">
        <f>IF(ISERROR(Tableau1[[#This Row],[Date]]-A118),"",Tableau1[[#This Row],[Conso HP + HC
Instantané]]/Tableau1[[#This Row],[Diff jour
Instantané]])</f>
        <v>47.41298212572601</v>
      </c>
      <c r="AD119" s="41">
        <f>Tableau1[[#This Row],[Conso HP + HC / jour_x000D_
Instantané]]*365</f>
        <v>17305.738475889993</v>
      </c>
      <c r="AE119" s="38">
        <f>Tableau1[[#This Row],[Différence HP
Cumul]]+Tableau1[[#This Row],[Différence HC
Cumul]]</f>
        <v>5555</v>
      </c>
      <c r="AF119" s="40">
        <f>(Tableau1[[#This Row],[Conso HP + HC
Cumul]]-AE$6)/Tableau1[[#This Row],[Diff jour_x000D_
Cumul
depuis le 24/01]]</f>
        <v>60.234660835184229</v>
      </c>
      <c r="AG119" s="40">
        <f>(Tableau1[[#This Row],[Conso HP + HC
Cumul]]-AE$59)/Tableau1[[#This Row],[Diff jour_x000D_
Cumul
depuis
précédente facture
16/02/2021]]</f>
        <v>50.998997661209181</v>
      </c>
      <c r="AH119" s="41">
        <f>Tableau1[[#This Row],[Conso HP + HC
Cumul]]/(Tableau1[[#This Row],[Diff jour_x000D_
Cumul]]*24)</f>
        <v>2.6415273782067903</v>
      </c>
      <c r="AI119" s="41">
        <f>Tableau1[[#This Row],[Conso HP + HC
Cumul]]/Tableau1[[#This Row],[Diff jour_x000D_
Cumul]]</f>
        <v>63.39665707696296</v>
      </c>
      <c r="AJ119" s="41">
        <f>Tableau1[[#This Row],[Conso HP + HC / jour_x000D_
Cumul]]*365</f>
        <v>23139.779833091481</v>
      </c>
      <c r="AK119" s="44">
        <f>(Tableau1[[#This Row],[Différence HP
Cumul]]*0.1799)+(Tableau1[[#This Row],[Différence HC
Cumul]]*0.1346)</f>
        <v>919.39</v>
      </c>
      <c r="AL119" s="44">
        <f>Tableau1[[#This Row],[Montant
Tarif HP/HC]]/Tableau1[[#This Row],[Diff jour_x000D_
Cumul]]</f>
        <v>10.492574716469663</v>
      </c>
      <c r="AM119" s="44">
        <f>(Tableau1[[#This Row],[Montant
Tarif HP/HC]]-AK$6)/Tableau1[[#This Row],[Diff jour_x000D_
Cumul
depuis le 24/01]]</f>
        <v>9.9912911392394292</v>
      </c>
      <c r="AN119" s="44">
        <f>(Tableau1[[#This Row],[Montant
Tarif HP/HC]]-AK$59)/Tableau1[[#This Row],[Diff jour_x000D_
Cumul
depuis
précédente facture
16/02/2021]]</f>
        <v>8.4169293479657163</v>
      </c>
      <c r="AO119" s="44">
        <f>Tableau1[[#This Row],[Conso HP + HC
Cumul]]*0.1599</f>
        <v>888.2444999999999</v>
      </c>
      <c r="AP119" s="44">
        <f>Tableau1[[#This Row],[Montant
Tarif normal]]/Tableau1[[#This Row],[Diff jour_x000D_
Cumul]]</f>
        <v>10.137125466606376</v>
      </c>
      <c r="AQ119" s="44">
        <f>(Tableau1[[#This Row],[Conso HP / an
Cumul]]*0.1799)+(Tableau1[[#This Row],[Conso HC / an_x000D_
Cumul]]*0.1346)</f>
        <v>3829.7897715114268</v>
      </c>
      <c r="AR119" s="44">
        <f>Tableau1[[#This Row],[Conso HP + HC / an_x000D_
Cumul]]*0.1599</f>
        <v>3700.0507953113274</v>
      </c>
      <c r="AS119" s="38">
        <f>MONTH(Tableau1[[#This Row],[Date]])</f>
        <v>3</v>
      </c>
      <c r="AT119" s="38">
        <f>YEAR(Tableau1[[#This Row],[Date]])</f>
        <v>2021</v>
      </c>
    </row>
    <row r="120" spans="1:46" x14ac:dyDescent="0.2">
      <c r="A120" s="19">
        <v>44270.563194444447</v>
      </c>
      <c r="B120" s="20">
        <v>11.1</v>
      </c>
      <c r="C120" s="39">
        <f>IF(ISERROR(Tableau1[[#This Row],[Date]]-A119),"",Tableau1[[#This Row],[Date]]-A119)</f>
        <v>0.23194444444379769</v>
      </c>
      <c r="D120" s="40">
        <f>IF(ISERROR(Tableau1[[#This Row],[Date]]-A119),"",Tableau1[[#This Row],[Date]]-A119)</f>
        <v>0.23194444444379769</v>
      </c>
      <c r="E120" s="39">
        <f>Tableau1[[#This Row],[Date]]-$A$5</f>
        <v>87.854861111110949</v>
      </c>
      <c r="F120" s="40">
        <f>Tableau1[[#This Row],[Date]]-$A$5</f>
        <v>87.854861111110949</v>
      </c>
      <c r="G120" s="40">
        <f>Tableau1[[#This Row],[Diff jour_x000D_
Cumul]]-F$6</f>
        <v>49.771527777782467</v>
      </c>
      <c r="H120" s="40">
        <f>Tableau1[[#This Row],[Diff jour_x000D_
Cumul]]-F$59</f>
        <v>27.252083333332848</v>
      </c>
      <c r="I120" s="21">
        <v>183560</v>
      </c>
      <c r="J120" s="38">
        <f>IF(ISERROR(Tableau1[[#This Row],[Index HP
kWh]]-I119),"",Tableau1[[#This Row],[Index HP
kWh]]-I119)</f>
        <v>11</v>
      </c>
      <c r="K120" s="40">
        <f>IF(ISERROR(Tableau1[[#This Row],[Différence HP
Instantané]]/(Tableau1[[#This Row],[Diff jour
Instantané]]*24)),"",Tableau1[[#This Row],[Différence HP
Instantané]]/(Tableau1[[#This Row],[Diff jour
Instantané]]*24))</f>
        <v>1.9760479041971268</v>
      </c>
      <c r="L120" s="40">
        <f>Tableau1[[#This Row],[Différence HP
Instantané]]/Tableau1[[#This Row],[Diff jour
Instantané]]</f>
        <v>47.425149700731041</v>
      </c>
      <c r="M120" s="40">
        <f>Tableau1[[#This Row],[Conso HP / jour
Instantané]]*365</f>
        <v>17310.17964076683</v>
      </c>
      <c r="N120" s="38">
        <f>Tableau1[[#This Row],[Index HP
kWh]]-$I$5</f>
        <v>3801</v>
      </c>
      <c r="O120" s="41">
        <f>Tableau1[[#This Row],[Différence HP
Cumul]]/(Tableau1[[#This Row],[Diff jour_x000D_
Cumul]]*24)</f>
        <v>1.8026890942289637</v>
      </c>
      <c r="P120" s="41">
        <f>Tableau1[[#This Row],[Différence HP
Cumul]]/Tableau1[[#This Row],[Diff jour_x000D_
Cumul]]</f>
        <v>43.264538261495126</v>
      </c>
      <c r="Q120" s="41">
        <f>Tableau1[[#This Row],[Conso HP / jour
Cumul]]*365</f>
        <v>15791.556465445721</v>
      </c>
      <c r="R120" s="21">
        <v>121197</v>
      </c>
      <c r="S120" s="38">
        <f>Tableau1[[#This Row],[Index HC_x000D_
kWh]]-R119</f>
        <v>0</v>
      </c>
      <c r="T120" s="42">
        <f>Tableau1[[#This Row],[Différence_x000D_ HC
Instantané]]/(Tableau1[[#This Row],[Diff jour
Instantané]]*24)</f>
        <v>0</v>
      </c>
      <c r="U120" s="42">
        <f>Tableau1[[#This Row],[Différence_x000D_ HC
Instantané]]/Tableau1[[#This Row],[Diff jour
Instantané]]</f>
        <v>0</v>
      </c>
      <c r="V120" s="42">
        <f>Tableau1[[#This Row],[Conso HC / jour_x000D_
Instantané]]*365</f>
        <v>0</v>
      </c>
      <c r="W120" s="38">
        <f>Tableau1[[#This Row],[Index HC_x000D_
kWh]]-$R$5</f>
        <v>1765</v>
      </c>
      <c r="X120" s="43">
        <f>Tableau1[[#This Row],[Différence HC
Cumul]]/(Tableau1[[#This Row],[Diff jour_x000D_
Cumul]]*24)</f>
        <v>0.83708136051410709</v>
      </c>
      <c r="Y120" s="43">
        <f>Tableau1[[#This Row],[Différence HC
Cumul]]/Tableau1[[#This Row],[Diff jour_x000D_
Cumul]]</f>
        <v>20.089952652338567</v>
      </c>
      <c r="Z120" s="43">
        <f>Tableau1[[#This Row],[Conso HC / jour_x000D_
Cumul]]*365</f>
        <v>7332.8327181035775</v>
      </c>
      <c r="AA120" s="38">
        <f>Tableau1[[#This Row],[Différence HP
Instantané]]+Tableau1[[#This Row],[Différence_x000D_ HC
Instantané]]</f>
        <v>11</v>
      </c>
      <c r="AB120" s="41">
        <f>Tableau1[[#This Row],[Conso HP + HC
Instantané]]/(Tableau1[[#This Row],[Diff jour
Instantané]]*24)</f>
        <v>1.9760479041971268</v>
      </c>
      <c r="AC120" s="34">
        <f>IF(ISERROR(Tableau1[[#This Row],[Date]]-A119),"",Tableau1[[#This Row],[Conso HP + HC
Instantané]]/Tableau1[[#This Row],[Diff jour
Instantané]])</f>
        <v>47.425149700731041</v>
      </c>
      <c r="AD120" s="41">
        <f>Tableau1[[#This Row],[Conso HP + HC / jour_x000D_
Instantané]]*365</f>
        <v>17310.17964076683</v>
      </c>
      <c r="AE120" s="38">
        <f>Tableau1[[#This Row],[Différence HP
Cumul]]+Tableau1[[#This Row],[Différence HC
Cumul]]</f>
        <v>5566</v>
      </c>
      <c r="AF120" s="40">
        <f>(Tableau1[[#This Row],[Conso HP + HC
Cumul]]-AE$6)/Tableau1[[#This Row],[Diff jour_x000D_
Cumul
depuis le 24/01]]</f>
        <v>60.174966164830877</v>
      </c>
      <c r="AG120" s="40">
        <f>(Tableau1[[#This Row],[Conso HP + HC
Cumul]]-AE$59)/Tableau1[[#This Row],[Diff jour_x000D_
Cumul
depuis
précédente facture
16/02/2021]]</f>
        <v>50.968580383763616</v>
      </c>
      <c r="AH120" s="41">
        <f>Tableau1[[#This Row],[Conso HP + HC
Cumul]]/(Tableau1[[#This Row],[Diff jour_x000D_
Cumul]]*24)</f>
        <v>2.6397704547430707</v>
      </c>
      <c r="AI120" s="41">
        <f>Tableau1[[#This Row],[Conso HP + HC
Cumul]]/Tableau1[[#This Row],[Diff jour_x000D_
Cumul]]</f>
        <v>63.354490913833693</v>
      </c>
      <c r="AJ120" s="41">
        <f>Tableau1[[#This Row],[Conso HP + HC / jour_x000D_
Cumul]]*365</f>
        <v>23124.389183549298</v>
      </c>
      <c r="AK120" s="44">
        <f>(Tableau1[[#This Row],[Différence HP
Cumul]]*0.1799)+(Tableau1[[#This Row],[Différence HC
Cumul]]*0.1346)</f>
        <v>921.36889999999994</v>
      </c>
      <c r="AL120" s="44">
        <f>Tableau1[[#This Row],[Montant
Tarif HP/HC]]/Tableau1[[#This Row],[Diff jour_x000D_
Cumul]]</f>
        <v>10.487398060247743</v>
      </c>
      <c r="AM120" s="44">
        <f>(Tableau1[[#This Row],[Montant
Tarif HP/HC]]-AK$6)/Tableau1[[#This Row],[Diff jour_x000D_
Cumul
depuis le 24/01]]</f>
        <v>9.9844895703971268</v>
      </c>
      <c r="AN120" s="44">
        <f>(Tableau1[[#This Row],[Montant
Tarif HP/HC]]-AK$59)/Tableau1[[#This Row],[Diff jour_x000D_
Cumul
depuis
précédente facture
16/02/2021]]</f>
        <v>8.4179068878527588</v>
      </c>
      <c r="AO120" s="44">
        <f>Tableau1[[#This Row],[Conso HP + HC
Cumul]]*0.1599</f>
        <v>890.00339999999994</v>
      </c>
      <c r="AP120" s="44">
        <f>Tableau1[[#This Row],[Montant
Tarif normal]]/Tableau1[[#This Row],[Diff jour_x000D_
Cumul]]</f>
        <v>10.130383097122007</v>
      </c>
      <c r="AQ120" s="44">
        <f>(Tableau1[[#This Row],[Conso HP / an
Cumul]]*0.1799)+(Tableau1[[#This Row],[Conso HC / an_x000D_
Cumul]]*0.1346)</f>
        <v>3827.9002919904269</v>
      </c>
      <c r="AR120" s="44">
        <f>Tableau1[[#This Row],[Conso HP + HC / an_x000D_
Cumul]]*0.1599</f>
        <v>3697.5898304495322</v>
      </c>
      <c r="AS120" s="38">
        <f>MONTH(Tableau1[[#This Row],[Date]])</f>
        <v>3</v>
      </c>
      <c r="AT120" s="38">
        <f>YEAR(Tableau1[[#This Row],[Date]])</f>
        <v>2021</v>
      </c>
    </row>
    <row r="121" spans="1:46" x14ac:dyDescent="0.2">
      <c r="A121" s="19">
        <v>44271.366666666669</v>
      </c>
      <c r="B121" s="20">
        <v>8.1999999999999993</v>
      </c>
      <c r="C121" s="39">
        <f>IF(ISERROR(Tableau1[[#This Row],[Date]]-A120),"",Tableau1[[#This Row],[Date]]-A120)</f>
        <v>0.80347222222189885</v>
      </c>
      <c r="D121" s="40">
        <f>IF(ISERROR(Tableau1[[#This Row],[Date]]-A120),"",Tableau1[[#This Row],[Date]]-A120)</f>
        <v>0.80347222222189885</v>
      </c>
      <c r="E121" s="39">
        <f>Tableau1[[#This Row],[Date]]-$A$5</f>
        <v>88.658333333332848</v>
      </c>
      <c r="F121" s="40">
        <f>Tableau1[[#This Row],[Date]]-$A$5</f>
        <v>88.658333333332848</v>
      </c>
      <c r="G121" s="40">
        <f>Tableau1[[#This Row],[Diff jour_x000D_
Cumul]]-F$6</f>
        <v>50.575000000004366</v>
      </c>
      <c r="H121" s="40">
        <f>Tableau1[[#This Row],[Diff jour_x000D_
Cumul]]-F$59</f>
        <v>28.055555555554747</v>
      </c>
      <c r="I121" s="21">
        <v>183583</v>
      </c>
      <c r="J121" s="38">
        <f>IF(ISERROR(Tableau1[[#This Row],[Index HP
kWh]]-I120),"",Tableau1[[#This Row],[Index HP
kWh]]-I120)</f>
        <v>23</v>
      </c>
      <c r="K121" s="40">
        <f>IF(ISERROR(Tableau1[[#This Row],[Différence HP
Instantané]]/(Tableau1[[#This Row],[Diff jour
Instantané]]*24)),"",Tableau1[[#This Row],[Différence HP
Instantané]]/(Tableau1[[#This Row],[Diff jour
Instantané]]*24))</f>
        <v>1.1927398444257178</v>
      </c>
      <c r="L121" s="40">
        <f>Tableau1[[#This Row],[Différence HP
Instantané]]/Tableau1[[#This Row],[Diff jour
Instantané]]</f>
        <v>28.625756266217227</v>
      </c>
      <c r="M121" s="40">
        <f>Tableau1[[#This Row],[Conso HP / jour
Instantané]]*365</f>
        <v>10448.401037169288</v>
      </c>
      <c r="N121" s="38">
        <f>Tableau1[[#This Row],[Index HP
kWh]]-$I$5</f>
        <v>3824</v>
      </c>
      <c r="O121" s="41">
        <f>Tableau1[[#This Row],[Différence HP
Cumul]]/(Tableau1[[#This Row],[Diff jour_x000D_
Cumul]]*24)</f>
        <v>1.7971613873484449</v>
      </c>
      <c r="P121" s="41">
        <f>Tableau1[[#This Row],[Différence HP
Cumul]]/Tableau1[[#This Row],[Diff jour_x000D_
Cumul]]</f>
        <v>43.131873296362677</v>
      </c>
      <c r="Q121" s="41">
        <f>Tableau1[[#This Row],[Conso HP / jour
Cumul]]*365</f>
        <v>15743.133753172377</v>
      </c>
      <c r="R121" s="21">
        <v>121213</v>
      </c>
      <c r="S121" s="38">
        <f>Tableau1[[#This Row],[Index HC_x000D_
kWh]]-R120</f>
        <v>16</v>
      </c>
      <c r="T121" s="42">
        <f>Tableau1[[#This Row],[Différence_x000D_ HC
Instantané]]/(Tableau1[[#This Row],[Diff jour
Instantané]]*24)</f>
        <v>0.82973206568745583</v>
      </c>
      <c r="U121" s="42">
        <f>Tableau1[[#This Row],[Différence_x000D_ HC
Instantané]]/Tableau1[[#This Row],[Diff jour
Instantané]]</f>
        <v>19.91356957649894</v>
      </c>
      <c r="V121" s="42">
        <f>Tableau1[[#This Row],[Conso HC / jour_x000D_
Instantané]]*365</f>
        <v>7268.4528954221132</v>
      </c>
      <c r="W121" s="38">
        <f>Tableau1[[#This Row],[Index HC_x000D_
kWh]]-$R$5</f>
        <v>1781</v>
      </c>
      <c r="X121" s="43">
        <f>Tableau1[[#This Row],[Différence HC
Cumul]]/(Tableau1[[#This Row],[Diff jour_x000D_
Cumul]]*24)</f>
        <v>0.83701475702604089</v>
      </c>
      <c r="Y121" s="43">
        <f>Tableau1[[#This Row],[Différence HC
Cumul]]/Tableau1[[#This Row],[Diff jour_x000D_
Cumul]]</f>
        <v>20.088354168624981</v>
      </c>
      <c r="Z121" s="43">
        <f>Tableau1[[#This Row],[Conso HC / jour_x000D_
Cumul]]*365</f>
        <v>7332.2492715481185</v>
      </c>
      <c r="AA121" s="38">
        <f>Tableau1[[#This Row],[Différence HP
Instantané]]+Tableau1[[#This Row],[Différence_x000D_ HC
Instantané]]</f>
        <v>39</v>
      </c>
      <c r="AB121" s="41">
        <f>Tableau1[[#This Row],[Conso HP + HC
Instantané]]/(Tableau1[[#This Row],[Diff jour
Instantané]]*24)</f>
        <v>2.0224719101131736</v>
      </c>
      <c r="AC121" s="34">
        <f>IF(ISERROR(Tableau1[[#This Row],[Date]]-A120),"",Tableau1[[#This Row],[Conso HP + HC
Instantané]]/Tableau1[[#This Row],[Diff jour
Instantané]])</f>
        <v>48.539325842716167</v>
      </c>
      <c r="AD121" s="41">
        <f>Tableau1[[#This Row],[Conso HP + HC / jour_x000D_
Instantané]]*365</f>
        <v>17716.853932591403</v>
      </c>
      <c r="AE121" s="38">
        <f>Tableau1[[#This Row],[Différence HP
Cumul]]+Tableau1[[#This Row],[Différence HC
Cumul]]</f>
        <v>5605</v>
      </c>
      <c r="AF121" s="40">
        <f>(Tableau1[[#This Row],[Conso HP + HC
Cumul]]-AE$6)/Tableau1[[#This Row],[Diff jour_x000D_
Cumul
depuis le 24/01]]</f>
        <v>59.990113692530663</v>
      </c>
      <c r="AG121" s="40">
        <f>(Tableau1[[#This Row],[Conso HP + HC
Cumul]]-AE$59)/Tableau1[[#This Row],[Diff jour_x000D_
Cumul
depuis
précédente facture
16/02/2021]]</f>
        <v>50.899009900991565</v>
      </c>
      <c r="AH121" s="41">
        <f>Tableau1[[#This Row],[Conso HP + HC
Cumul]]/(Tableau1[[#This Row],[Diff jour_x000D_
Cumul]]*24)</f>
        <v>2.6341761443744858</v>
      </c>
      <c r="AI121" s="41">
        <f>Tableau1[[#This Row],[Conso HP + HC
Cumul]]/Tableau1[[#This Row],[Diff jour_x000D_
Cumul]]</f>
        <v>63.220227464987659</v>
      </c>
      <c r="AJ121" s="41">
        <f>Tableau1[[#This Row],[Conso HP + HC / jour_x000D_
Cumul]]*365</f>
        <v>23075.383024720497</v>
      </c>
      <c r="AK121" s="44">
        <f>(Tableau1[[#This Row],[Différence HP
Cumul]]*0.1799)+(Tableau1[[#This Row],[Différence HC
Cumul]]*0.1346)</f>
        <v>927.66020000000003</v>
      </c>
      <c r="AL121" s="44">
        <f>Tableau1[[#This Row],[Montant
Tarif HP/HC]]/Tableau1[[#This Row],[Diff jour_x000D_
Cumul]]</f>
        <v>10.463316477112569</v>
      </c>
      <c r="AM121" s="44">
        <f>(Tableau1[[#This Row],[Montant
Tarif HP/HC]]-AK$6)/Tableau1[[#This Row],[Diff jour_x000D_
Cumul
depuis le 24/01]]</f>
        <v>9.9502639644084336</v>
      </c>
      <c r="AN121" s="44">
        <f>(Tableau1[[#This Row],[Montant
Tarif HP/HC]]-AK$59)/Tableau1[[#This Row],[Diff jour_x000D_
Cumul
depuis
précédente facture
16/02/2021]]</f>
        <v>8.4010740594061843</v>
      </c>
      <c r="AO121" s="44">
        <f>Tableau1[[#This Row],[Conso HP + HC
Cumul]]*0.1599</f>
        <v>896.23949999999991</v>
      </c>
      <c r="AP121" s="44">
        <f>Tableau1[[#This Row],[Montant
Tarif normal]]/Tableau1[[#This Row],[Diff jour_x000D_
Cumul]]</f>
        <v>10.108914371651526</v>
      </c>
      <c r="AQ121" s="44">
        <f>(Tableau1[[#This Row],[Conso HP / an
Cumul]]*0.1799)+(Tableau1[[#This Row],[Conso HC / an_x000D_
Cumul]]*0.1346)</f>
        <v>3819.1105141460871</v>
      </c>
      <c r="AR121" s="44">
        <f>Tableau1[[#This Row],[Conso HP + HC / an_x000D_
Cumul]]*0.1599</f>
        <v>3689.7537456528071</v>
      </c>
      <c r="AS121" s="38">
        <f>MONTH(Tableau1[[#This Row],[Date]])</f>
        <v>3</v>
      </c>
      <c r="AT121" s="38">
        <f>YEAR(Tableau1[[#This Row],[Date]])</f>
        <v>2021</v>
      </c>
    </row>
    <row r="122" spans="1:46" x14ac:dyDescent="0.2">
      <c r="A122" s="19">
        <v>44271.591666666667</v>
      </c>
      <c r="B122" s="20">
        <v>14.2</v>
      </c>
      <c r="C122" s="39">
        <f>IF(ISERROR(Tableau1[[#This Row],[Date]]-A121),"",Tableau1[[#This Row],[Date]]-A121)</f>
        <v>0.22499999999854481</v>
      </c>
      <c r="D122" s="40">
        <f>IF(ISERROR(Tableau1[[#This Row],[Date]]-A121),"",Tableau1[[#This Row],[Date]]-A121)</f>
        <v>0.22499999999854481</v>
      </c>
      <c r="E122" s="39">
        <f>Tableau1[[#This Row],[Date]]-$A$5</f>
        <v>88.883333333331393</v>
      </c>
      <c r="F122" s="40">
        <f>Tableau1[[#This Row],[Date]]-$A$5</f>
        <v>88.883333333331393</v>
      </c>
      <c r="G122" s="40">
        <f>Tableau1[[#This Row],[Diff jour_x000D_
Cumul]]-F$6</f>
        <v>50.80000000000291</v>
      </c>
      <c r="H122" s="40">
        <f>Tableau1[[#This Row],[Diff jour_x000D_
Cumul]]-F$59</f>
        <v>28.280555555553292</v>
      </c>
      <c r="I122" s="21">
        <v>183592</v>
      </c>
      <c r="J122" s="38">
        <f>IF(ISERROR(Tableau1[[#This Row],[Index HP
kWh]]-I121),"",Tableau1[[#This Row],[Index HP
kWh]]-I121)</f>
        <v>9</v>
      </c>
      <c r="K122" s="40">
        <f>IF(ISERROR(Tableau1[[#This Row],[Différence HP
Instantané]]/(Tableau1[[#This Row],[Diff jour
Instantané]]*24)),"",Tableau1[[#This Row],[Différence HP
Instantané]]/(Tableau1[[#This Row],[Diff jour
Instantané]]*24))</f>
        <v>1.6666666666774459</v>
      </c>
      <c r="L122" s="40">
        <f>Tableau1[[#This Row],[Différence HP
Instantané]]/Tableau1[[#This Row],[Diff jour
Instantané]]</f>
        <v>40.000000000258702</v>
      </c>
      <c r="M122" s="40">
        <f>Tableau1[[#This Row],[Conso HP / jour
Instantané]]*365</f>
        <v>14600.000000094426</v>
      </c>
      <c r="N122" s="38">
        <f>Tableau1[[#This Row],[Index HP
kWh]]-$I$5</f>
        <v>3833</v>
      </c>
      <c r="O122" s="41">
        <f>Tableau1[[#This Row],[Différence HP
Cumul]]/(Tableau1[[#This Row],[Diff jour_x000D_
Cumul]]*24)</f>
        <v>1.7968310519407855</v>
      </c>
      <c r="P122" s="41">
        <f>Tableau1[[#This Row],[Différence HP
Cumul]]/Tableau1[[#This Row],[Diff jour_x000D_
Cumul]]</f>
        <v>43.123945246578856</v>
      </c>
      <c r="Q122" s="41">
        <f>Tableau1[[#This Row],[Conso HP / jour
Cumul]]*365</f>
        <v>15740.240015001282</v>
      </c>
      <c r="R122" s="21">
        <v>121213</v>
      </c>
      <c r="S122" s="38">
        <f>Tableau1[[#This Row],[Index HC_x000D_
kWh]]-R121</f>
        <v>0</v>
      </c>
      <c r="T122" s="42">
        <f>Tableau1[[#This Row],[Différence_x000D_ HC
Instantané]]/(Tableau1[[#This Row],[Diff jour
Instantané]]*24)</f>
        <v>0</v>
      </c>
      <c r="U122" s="42">
        <f>Tableau1[[#This Row],[Différence_x000D_ HC
Instantané]]/Tableau1[[#This Row],[Diff jour
Instantané]]</f>
        <v>0</v>
      </c>
      <c r="V122" s="42">
        <f>Tableau1[[#This Row],[Conso HC / jour_x000D_
Instantané]]*365</f>
        <v>0</v>
      </c>
      <c r="W122" s="38">
        <f>Tableau1[[#This Row],[Index HC_x000D_
kWh]]-$R$5</f>
        <v>1781</v>
      </c>
      <c r="X122" s="43">
        <f>Tableau1[[#This Row],[Différence HC
Cumul]]/(Tableau1[[#This Row],[Diff jour_x000D_
Cumul]]*24)</f>
        <v>0.83489593099570547</v>
      </c>
      <c r="Y122" s="43">
        <f>Tableau1[[#This Row],[Différence HC
Cumul]]/Tableau1[[#This Row],[Diff jour_x000D_
Cumul]]</f>
        <v>20.037502343896932</v>
      </c>
      <c r="Z122" s="43">
        <f>Tableau1[[#This Row],[Conso HC / jour_x000D_
Cumul]]*365</f>
        <v>7313.6883555223803</v>
      </c>
      <c r="AA122" s="38">
        <f>Tableau1[[#This Row],[Différence HP
Instantané]]+Tableau1[[#This Row],[Différence_x000D_ HC
Instantané]]</f>
        <v>9</v>
      </c>
      <c r="AB122" s="41">
        <f>Tableau1[[#This Row],[Conso HP + HC
Instantané]]/(Tableau1[[#This Row],[Diff jour
Instantané]]*24)</f>
        <v>1.6666666666774459</v>
      </c>
      <c r="AC122" s="34">
        <f>IF(ISERROR(Tableau1[[#This Row],[Date]]-A121),"",Tableau1[[#This Row],[Conso HP + HC
Instantané]]/Tableau1[[#This Row],[Diff jour
Instantané]])</f>
        <v>40.000000000258702</v>
      </c>
      <c r="AD122" s="41">
        <f>Tableau1[[#This Row],[Conso HP + HC / jour_x000D_
Instantané]]*365</f>
        <v>14600.000000094426</v>
      </c>
      <c r="AE122" s="38">
        <f>Tableau1[[#This Row],[Différence HP
Cumul]]+Tableau1[[#This Row],[Différence HC
Cumul]]</f>
        <v>5614</v>
      </c>
      <c r="AF122" s="40">
        <f>(Tableau1[[#This Row],[Conso HP + HC
Cumul]]-AE$6)/Tableau1[[#This Row],[Diff jour_x000D_
Cumul
depuis le 24/01]]</f>
        <v>59.901574803146175</v>
      </c>
      <c r="AG122" s="40">
        <f>(Tableau1[[#This Row],[Conso HP + HC
Cumul]]-AE$59)/Tableau1[[#This Row],[Diff jour_x000D_
Cumul
depuis
précédente facture
16/02/2021]]</f>
        <v>50.812297416760771</v>
      </c>
      <c r="AH122" s="41">
        <f>Tableau1[[#This Row],[Conso HP + HC
Cumul]]/(Tableau1[[#This Row],[Diff jour_x000D_
Cumul]]*24)</f>
        <v>2.6317269829364909</v>
      </c>
      <c r="AI122" s="41">
        <f>Tableau1[[#This Row],[Conso HP + HC
Cumul]]/Tableau1[[#This Row],[Diff jour_x000D_
Cumul]]</f>
        <v>63.161447590475781</v>
      </c>
      <c r="AJ122" s="41">
        <f>Tableau1[[#This Row],[Conso HP + HC / jour_x000D_
Cumul]]*365</f>
        <v>23053.928370523659</v>
      </c>
      <c r="AK122" s="44">
        <f>(Tableau1[[#This Row],[Différence HP
Cumul]]*0.1799)+(Tableau1[[#This Row],[Différence HC
Cumul]]*0.1346)</f>
        <v>929.27929999999992</v>
      </c>
      <c r="AL122" s="44">
        <f>Tableau1[[#This Row],[Montant
Tarif HP/HC]]/Tableau1[[#This Row],[Diff jour_x000D_
Cumul]]</f>
        <v>10.455045565348062</v>
      </c>
      <c r="AM122" s="44">
        <f>(Tableau1[[#This Row],[Montant
Tarif HP/HC]]-AK$6)/Tableau1[[#This Row],[Diff jour_x000D_
Cumul
depuis le 24/01]]</f>
        <v>9.9380649606293492</v>
      </c>
      <c r="AN122" s="44">
        <f>(Tableau1[[#This Row],[Montant
Tarif HP/HC]]-AK$59)/Tableau1[[#This Row],[Diff jour_x000D_
Cumul
depuis
précédente facture
16/02/2021]]</f>
        <v>8.3914864944511169</v>
      </c>
      <c r="AO122" s="44">
        <f>Tableau1[[#This Row],[Conso HP + HC
Cumul]]*0.1599</f>
        <v>897.67859999999996</v>
      </c>
      <c r="AP122" s="44">
        <f>Tableau1[[#This Row],[Montant
Tarif normal]]/Tableau1[[#This Row],[Diff jour_x000D_
Cumul]]</f>
        <v>10.099515469717078</v>
      </c>
      <c r="AQ122" s="44">
        <f>(Tableau1[[#This Row],[Conso HP / an
Cumul]]*0.1799)+(Tableau1[[#This Row],[Conso HC / an_x000D_
Cumul]]*0.1346)</f>
        <v>3816.0916313520429</v>
      </c>
      <c r="AR122" s="44">
        <f>Tableau1[[#This Row],[Conso HP + HC / an_x000D_
Cumul]]*0.1599</f>
        <v>3686.3231464467326</v>
      </c>
      <c r="AS122" s="38">
        <f>MONTH(Tableau1[[#This Row],[Date]])</f>
        <v>3</v>
      </c>
      <c r="AT122" s="38">
        <f>YEAR(Tableau1[[#This Row],[Date]])</f>
        <v>2021</v>
      </c>
    </row>
    <row r="123" spans="1:46" x14ac:dyDescent="0.2">
      <c r="A123" s="19">
        <v>44271.679861111108</v>
      </c>
      <c r="B123" s="20">
        <v>13</v>
      </c>
      <c r="C123" s="39">
        <f>IF(ISERROR(Tableau1[[#This Row],[Date]]-A122),"",Tableau1[[#This Row],[Date]]-A122)</f>
        <v>8.819444444088731E-2</v>
      </c>
      <c r="D123" s="40">
        <f>IF(ISERROR(Tableau1[[#This Row],[Date]]-A122),"",Tableau1[[#This Row],[Date]]-A122)</f>
        <v>8.819444444088731E-2</v>
      </c>
      <c r="E123" s="39">
        <f>Tableau1[[#This Row],[Date]]-$A$5</f>
        <v>88.97152777777228</v>
      </c>
      <c r="F123" s="40">
        <f>Tableau1[[#This Row],[Date]]-$A$5</f>
        <v>88.97152777777228</v>
      </c>
      <c r="G123" s="40">
        <f>Tableau1[[#This Row],[Diff jour_x000D_
Cumul]]-F$6</f>
        <v>50.888194444443798</v>
      </c>
      <c r="H123" s="40">
        <f>Tableau1[[#This Row],[Diff jour_x000D_
Cumul]]-F$59</f>
        <v>28.368749999994179</v>
      </c>
      <c r="I123" s="21">
        <v>183593</v>
      </c>
      <c r="J123" s="38">
        <f>IF(ISERROR(Tableau1[[#This Row],[Index HP
kWh]]-I122),"",Tableau1[[#This Row],[Index HP
kWh]]-I122)</f>
        <v>1</v>
      </c>
      <c r="K123" s="40">
        <f>IF(ISERROR(Tableau1[[#This Row],[Différence HP
Instantané]]/(Tableau1[[#This Row],[Diff jour
Instantané]]*24)),"",Tableau1[[#This Row],[Différence HP
Instantané]]/(Tableau1[[#This Row],[Diff jour
Instantané]]*24))</f>
        <v>0.47244094490094468</v>
      </c>
      <c r="L123" s="40">
        <f>Tableau1[[#This Row],[Différence HP
Instantané]]/Tableau1[[#This Row],[Diff jour
Instantané]]</f>
        <v>11.338582677622671</v>
      </c>
      <c r="M123" s="40">
        <f>Tableau1[[#This Row],[Conso HP / jour
Instantané]]*365</f>
        <v>4138.5826773322751</v>
      </c>
      <c r="N123" s="38">
        <f>Tableau1[[#This Row],[Index HP
kWh]]-$I$5</f>
        <v>3834</v>
      </c>
      <c r="O123" s="41">
        <f>Tableau1[[#This Row],[Différence HP
Cumul]]/(Tableau1[[#This Row],[Diff jour_x000D_
Cumul]]*24)</f>
        <v>1.7955182291464515</v>
      </c>
      <c r="P123" s="41">
        <f>Tableau1[[#This Row],[Différence HP
Cumul]]/Tableau1[[#This Row],[Diff jour_x000D_
Cumul]]</f>
        <v>43.092437499514837</v>
      </c>
      <c r="Q123" s="41">
        <f>Tableau1[[#This Row],[Conso HP / jour
Cumul]]*365</f>
        <v>15728.739687322915</v>
      </c>
      <c r="R123" s="21">
        <v>121213</v>
      </c>
      <c r="S123" s="38">
        <f>Tableau1[[#This Row],[Index HC_x000D_
kWh]]-R122</f>
        <v>0</v>
      </c>
      <c r="T123" s="42">
        <f>Tableau1[[#This Row],[Différence_x000D_ HC
Instantané]]/(Tableau1[[#This Row],[Diff jour
Instantané]]*24)</f>
        <v>0</v>
      </c>
      <c r="U123" s="42">
        <f>Tableau1[[#This Row],[Différence_x000D_ HC
Instantané]]/Tableau1[[#This Row],[Diff jour
Instantané]]</f>
        <v>0</v>
      </c>
      <c r="V123" s="42">
        <f>Tableau1[[#This Row],[Conso HC / jour_x000D_
Instantané]]*365</f>
        <v>0</v>
      </c>
      <c r="W123" s="38">
        <f>Tableau1[[#This Row],[Index HC_x000D_
kWh]]-$R$5</f>
        <v>1781</v>
      </c>
      <c r="X123" s="43">
        <f>Tableau1[[#This Row],[Différence HC
Cumul]]/(Tableau1[[#This Row],[Diff jour_x000D_
Cumul]]*24)</f>
        <v>0.8340683271021988</v>
      </c>
      <c r="Y123" s="43">
        <f>Tableau1[[#This Row],[Différence HC
Cumul]]/Tableau1[[#This Row],[Diff jour_x000D_
Cumul]]</f>
        <v>20.01763985045277</v>
      </c>
      <c r="Z123" s="43">
        <f>Tableau1[[#This Row],[Conso HC / jour_x000D_
Cumul]]*365</f>
        <v>7306.4385454152616</v>
      </c>
      <c r="AA123" s="38">
        <f>Tableau1[[#This Row],[Différence HP
Instantané]]+Tableau1[[#This Row],[Différence_x000D_ HC
Instantané]]</f>
        <v>1</v>
      </c>
      <c r="AB123" s="41">
        <f>Tableau1[[#This Row],[Conso HP + HC
Instantané]]/(Tableau1[[#This Row],[Diff jour
Instantané]]*24)</f>
        <v>0.47244094490094468</v>
      </c>
      <c r="AC123" s="34">
        <f>IF(ISERROR(Tableau1[[#This Row],[Date]]-A122),"",Tableau1[[#This Row],[Conso HP + HC
Instantané]]/Tableau1[[#This Row],[Diff jour
Instantané]])</f>
        <v>11.338582677622671</v>
      </c>
      <c r="AD123" s="41">
        <f>Tableau1[[#This Row],[Conso HP + HC / jour_x000D_
Instantané]]*365</f>
        <v>4138.5826773322751</v>
      </c>
      <c r="AE123" s="38">
        <f>Tableau1[[#This Row],[Différence HP
Cumul]]+Tableau1[[#This Row],[Différence HC
Cumul]]</f>
        <v>5615</v>
      </c>
      <c r="AF123" s="40">
        <f>(Tableau1[[#This Row],[Conso HP + HC
Cumul]]-AE$6)/Tableau1[[#This Row],[Diff jour_x000D_
Cumul
depuis le 24/01]]</f>
        <v>59.817410172082802</v>
      </c>
      <c r="AG123" s="40">
        <f>(Tableau1[[#This Row],[Conso HP + HC
Cumul]]-AE$59)/Tableau1[[#This Row],[Diff jour_x000D_
Cumul
depuis
précédente facture
16/02/2021]]</f>
        <v>50.689579202477901</v>
      </c>
      <c r="AH123" s="41">
        <f>Tableau1[[#This Row],[Conso HP + HC
Cumul]]/(Tableau1[[#This Row],[Diff jour_x000D_
Cumul]]*24)</f>
        <v>2.62958655624865</v>
      </c>
      <c r="AI123" s="41">
        <f>Tableau1[[#This Row],[Conso HP + HC
Cumul]]/Tableau1[[#This Row],[Diff jour_x000D_
Cumul]]</f>
        <v>63.110077349967604</v>
      </c>
      <c r="AJ123" s="41">
        <f>Tableau1[[#This Row],[Conso HP + HC / jour_x000D_
Cumul]]*365</f>
        <v>23035.178232738177</v>
      </c>
      <c r="AK123" s="44">
        <f>(Tableau1[[#This Row],[Différence HP
Cumul]]*0.1799)+(Tableau1[[#This Row],[Différence HC
Cumul]]*0.1346)</f>
        <v>929.45920000000001</v>
      </c>
      <c r="AL123" s="44">
        <f>Tableau1[[#This Row],[Montant
Tarif HP/HC]]/Tableau1[[#This Row],[Diff jour_x000D_
Cumul]]</f>
        <v>10.446703830033663</v>
      </c>
      <c r="AM123" s="44">
        <f>(Tableau1[[#This Row],[Montant
Tarif HP/HC]]-AK$6)/Tableau1[[#This Row],[Diff jour_x000D_
Cumul
depuis le 24/01]]</f>
        <v>9.924376478936793</v>
      </c>
      <c r="AN123" s="44">
        <f>(Tableau1[[#This Row],[Montant
Tarif HP/HC]]-AK$59)/Tableau1[[#This Row],[Diff jour_x000D_
Cumul
depuis
précédente facture
16/02/2021]]</f>
        <v>8.3717400308455172</v>
      </c>
      <c r="AO123" s="44">
        <f>Tableau1[[#This Row],[Conso HP + HC
Cumul]]*0.1599</f>
        <v>897.83849999999995</v>
      </c>
      <c r="AP123" s="44">
        <f>Tableau1[[#This Row],[Montant
Tarif normal]]/Tableau1[[#This Row],[Diff jour_x000D_
Cumul]]</f>
        <v>10.091301368259819</v>
      </c>
      <c r="AQ123" s="44">
        <f>(Tableau1[[#This Row],[Conso HP / an
Cumul]]*0.1799)+(Tableau1[[#This Row],[Conso HC / an_x000D_
Cumul]]*0.1346)</f>
        <v>3813.0468979622869</v>
      </c>
      <c r="AR123" s="44">
        <f>Tableau1[[#This Row],[Conso HP + HC / an_x000D_
Cumul]]*0.1599</f>
        <v>3683.3249994148341</v>
      </c>
      <c r="AS123" s="38">
        <f>MONTH(Tableau1[[#This Row],[Date]])</f>
        <v>3</v>
      </c>
      <c r="AT123" s="38">
        <f>YEAR(Tableau1[[#This Row],[Date]])</f>
        <v>2021</v>
      </c>
    </row>
    <row r="124" spans="1:46" x14ac:dyDescent="0.2">
      <c r="A124" s="19">
        <v>44272.289583333331</v>
      </c>
      <c r="B124" s="20">
        <v>8.9</v>
      </c>
      <c r="C124" s="39">
        <f>IF(ISERROR(Tableau1[[#This Row],[Date]]-A123),"",Tableau1[[#This Row],[Date]]-A123)</f>
        <v>0.60972222222335404</v>
      </c>
      <c r="D124" s="40">
        <f>IF(ISERROR(Tableau1[[#This Row],[Date]]-A123),"",Tableau1[[#This Row],[Date]]-A123)</f>
        <v>0.60972222222335404</v>
      </c>
      <c r="E124" s="39">
        <f>Tableau1[[#This Row],[Date]]-$A$5</f>
        <v>89.581249999995634</v>
      </c>
      <c r="F124" s="40">
        <f>Tableau1[[#This Row],[Date]]-$A$5</f>
        <v>89.581249999995634</v>
      </c>
      <c r="G124" s="40">
        <f>Tableau1[[#This Row],[Diff jour_x000D_
Cumul]]-F$6</f>
        <v>51.497916666667152</v>
      </c>
      <c r="H124" s="40">
        <f>Tableau1[[#This Row],[Diff jour_x000D_
Cumul]]-F$59</f>
        <v>28.978472222217533</v>
      </c>
      <c r="I124" s="21">
        <v>183604</v>
      </c>
      <c r="J124" s="38">
        <f>IF(ISERROR(Tableau1[[#This Row],[Index HP
kWh]]-I123),"",Tableau1[[#This Row],[Index HP
kWh]]-I123)</f>
        <v>11</v>
      </c>
      <c r="K124" s="40">
        <f>IF(ISERROR(Tableau1[[#This Row],[Différence HP
Instantané]]/(Tableau1[[#This Row],[Diff jour
Instantané]]*24)),"",Tableau1[[#This Row],[Différence HP
Instantané]]/(Tableau1[[#This Row],[Diff jour
Instantané]]*24))</f>
        <v>0.75170842824461825</v>
      </c>
      <c r="L124" s="40">
        <f>Tableau1[[#This Row],[Différence HP
Instantané]]/Tableau1[[#This Row],[Diff jour
Instantané]]</f>
        <v>18.041002277870838</v>
      </c>
      <c r="M124" s="40">
        <f>Tableau1[[#This Row],[Conso HP / jour
Instantané]]*365</f>
        <v>6584.9658314228564</v>
      </c>
      <c r="N124" s="38">
        <f>Tableau1[[#This Row],[Index HP
kWh]]-$I$5</f>
        <v>3845</v>
      </c>
      <c r="O124" s="41">
        <f>Tableau1[[#This Row],[Différence HP
Cumul]]/(Tableau1[[#This Row],[Diff jour_x000D_
Cumul]]*24)</f>
        <v>1.7884136840392508</v>
      </c>
      <c r="P124" s="41">
        <f>Tableau1[[#This Row],[Différence HP
Cumul]]/Tableau1[[#This Row],[Diff jour_x000D_
Cumul]]</f>
        <v>42.921928416942023</v>
      </c>
      <c r="Q124" s="41">
        <f>Tableau1[[#This Row],[Conso HP / jour
Cumul]]*365</f>
        <v>15666.503872183839</v>
      </c>
      <c r="R124" s="21">
        <v>121224</v>
      </c>
      <c r="S124" s="38">
        <f>Tableau1[[#This Row],[Index HC_x000D_
kWh]]-R123</f>
        <v>11</v>
      </c>
      <c r="T124" s="42">
        <f>Tableau1[[#This Row],[Différence_x000D_ HC
Instantané]]/(Tableau1[[#This Row],[Diff jour
Instantané]]*24)</f>
        <v>0.75170842824461825</v>
      </c>
      <c r="U124" s="42">
        <f>Tableau1[[#This Row],[Différence_x000D_ HC
Instantané]]/Tableau1[[#This Row],[Diff jour
Instantané]]</f>
        <v>18.041002277870838</v>
      </c>
      <c r="V124" s="42">
        <f>Tableau1[[#This Row],[Conso HC / jour_x000D_
Instantané]]*365</f>
        <v>6584.9658314228564</v>
      </c>
      <c r="W124" s="38">
        <f>Tableau1[[#This Row],[Index HC_x000D_
kWh]]-$R$5</f>
        <v>1792</v>
      </c>
      <c r="X124" s="43">
        <f>Tableau1[[#This Row],[Différence HC
Cumul]]/(Tableau1[[#This Row],[Diff jour_x000D_
Cumul]]*24)</f>
        <v>0.83350775599436611</v>
      </c>
      <c r="Y124" s="43">
        <f>Tableau1[[#This Row],[Différence HC
Cumul]]/Tableau1[[#This Row],[Diff jour_x000D_
Cumul]]</f>
        <v>20.004186143864786</v>
      </c>
      <c r="Z124" s="43">
        <f>Tableau1[[#This Row],[Conso HC / jour_x000D_
Cumul]]*365</f>
        <v>7301.5279425106464</v>
      </c>
      <c r="AA124" s="38">
        <f>Tableau1[[#This Row],[Différence HP
Instantané]]+Tableau1[[#This Row],[Différence_x000D_ HC
Instantané]]</f>
        <v>22</v>
      </c>
      <c r="AB124" s="41">
        <f>Tableau1[[#This Row],[Conso HP + HC
Instantané]]/(Tableau1[[#This Row],[Diff jour
Instantané]]*24)</f>
        <v>1.5034168564892365</v>
      </c>
      <c r="AC124" s="34">
        <f>IF(ISERROR(Tableau1[[#This Row],[Date]]-A123),"",Tableau1[[#This Row],[Conso HP + HC
Instantané]]/Tableau1[[#This Row],[Diff jour
Instantané]])</f>
        <v>36.082004555741676</v>
      </c>
      <c r="AD124" s="41">
        <f>Tableau1[[#This Row],[Conso HP + HC / jour_x000D_
Instantané]]*365</f>
        <v>13169.931662845713</v>
      </c>
      <c r="AE124" s="38">
        <f>Tableau1[[#This Row],[Différence HP
Cumul]]+Tableau1[[#This Row],[Différence HC
Cumul]]</f>
        <v>5637</v>
      </c>
      <c r="AF124" s="40">
        <f>(Tableau1[[#This Row],[Conso HP + HC
Cumul]]-AE$6)/Tableau1[[#This Row],[Diff jour_x000D_
Cumul
depuis le 24/01]]</f>
        <v>59.536389012499946</v>
      </c>
      <c r="AG124" s="40">
        <f>(Tableau1[[#This Row],[Conso HP + HC
Cumul]]-AE$59)/Tableau1[[#This Row],[Diff jour_x000D_
Cumul
depuis
précédente facture
16/02/2021]]</f>
        <v>50.382228186640951</v>
      </c>
      <c r="AH124" s="41">
        <f>Tableau1[[#This Row],[Conso HP + HC
Cumul]]/(Tableau1[[#This Row],[Diff jour_x000D_
Cumul]]*24)</f>
        <v>2.621921440033617</v>
      </c>
      <c r="AI124" s="41">
        <f>Tableau1[[#This Row],[Conso HP + HC
Cumul]]/Tableau1[[#This Row],[Diff jour_x000D_
Cumul]]</f>
        <v>62.926114560806809</v>
      </c>
      <c r="AJ124" s="41">
        <f>Tableau1[[#This Row],[Conso HP + HC / jour_x000D_
Cumul]]*365</f>
        <v>22968.031814694485</v>
      </c>
      <c r="AK124" s="44">
        <f>(Tableau1[[#This Row],[Différence HP
Cumul]]*0.1799)+(Tableau1[[#This Row],[Différence HC
Cumul]]*0.1346)</f>
        <v>932.91869999999994</v>
      </c>
      <c r="AL124" s="44">
        <f>Tableau1[[#This Row],[Montant
Tarif HP/HC]]/Tableau1[[#This Row],[Diff jour_x000D_
Cumul]]</f>
        <v>10.41421837717207</v>
      </c>
      <c r="AM124" s="44">
        <f>(Tableau1[[#This Row],[Montant
Tarif HP/HC]]-AK$6)/Tableau1[[#This Row],[Diff jour_x000D_
Cumul
depuis le 24/01]]</f>
        <v>9.8740518629393446</v>
      </c>
      <c r="AN124" s="44">
        <f>(Tableau1[[#This Row],[Montant
Tarif HP/HC]]-AK$59)/Tableau1[[#This Row],[Diff jour_x000D_
Cumul
depuis
précédente facture
16/02/2021]]</f>
        <v>8.3149759639592631</v>
      </c>
      <c r="AO124" s="44">
        <f>Tableau1[[#This Row],[Conso HP + HC
Cumul]]*0.1599</f>
        <v>901.35629999999992</v>
      </c>
      <c r="AP124" s="44">
        <f>Tableau1[[#This Row],[Montant
Tarif normal]]/Tableau1[[#This Row],[Diff jour_x000D_
Cumul]]</f>
        <v>10.061885718273007</v>
      </c>
      <c r="AQ124" s="44">
        <f>(Tableau1[[#This Row],[Conso HP / an
Cumul]]*0.1799)+(Tableau1[[#This Row],[Conso HC / an_x000D_
Cumul]]*0.1346)</f>
        <v>3801.1897076678056</v>
      </c>
      <c r="AR124" s="44">
        <f>Tableau1[[#This Row],[Conso HP + HC / an_x000D_
Cumul]]*0.1599</f>
        <v>3672.5882871696476</v>
      </c>
      <c r="AS124" s="38">
        <f>MONTH(Tableau1[[#This Row],[Date]])</f>
        <v>3</v>
      </c>
      <c r="AT124" s="38">
        <f>YEAR(Tableau1[[#This Row],[Date]])</f>
        <v>2021</v>
      </c>
    </row>
    <row r="125" spans="1:46" x14ac:dyDescent="0.2">
      <c r="A125" s="19">
        <v>44273.306250000001</v>
      </c>
      <c r="B125" s="20">
        <v>2.4</v>
      </c>
      <c r="C125" s="39">
        <f>IF(ISERROR(Tableau1[[#This Row],[Date]]-A124),"",Tableau1[[#This Row],[Date]]-A124)</f>
        <v>1.0166666666700621</v>
      </c>
      <c r="D125" s="40">
        <f>IF(ISERROR(Tableau1[[#This Row],[Date]]-A124),"",Tableau1[[#This Row],[Date]]-A124)</f>
        <v>1.0166666666700621</v>
      </c>
      <c r="E125" s="39">
        <f>Tableau1[[#This Row],[Date]]-$A$5</f>
        <v>90.597916666665697</v>
      </c>
      <c r="F125" s="40">
        <f>Tableau1[[#This Row],[Date]]-$A$5</f>
        <v>90.597916666665697</v>
      </c>
      <c r="G125" s="40">
        <f>Tableau1[[#This Row],[Diff jour_x000D_
Cumul]]-F$6</f>
        <v>52.514583333337214</v>
      </c>
      <c r="H125" s="40">
        <f>Tableau1[[#This Row],[Diff jour_x000D_
Cumul]]-F$59</f>
        <v>29.995138888887595</v>
      </c>
      <c r="I125" s="21">
        <v>183638</v>
      </c>
      <c r="J125" s="38">
        <f>IF(ISERROR(Tableau1[[#This Row],[Index HP
kWh]]-I124),"",Tableau1[[#This Row],[Index HP
kWh]]-I124)</f>
        <v>34</v>
      </c>
      <c r="K125" s="40">
        <f>IF(ISERROR(Tableau1[[#This Row],[Différence HP
Instantané]]/(Tableau1[[#This Row],[Diff jour
Instantané]]*24)),"",Tableau1[[#This Row],[Différence HP
Instantané]]/(Tableau1[[#This Row],[Diff jour
Instantané]]*24))</f>
        <v>1.3934426229461658</v>
      </c>
      <c r="L125" s="40">
        <f>Tableau1[[#This Row],[Différence HP
Instantané]]/Tableau1[[#This Row],[Diff jour
Instantané]]</f>
        <v>33.442622950707978</v>
      </c>
      <c r="M125" s="40">
        <f>Tableau1[[#This Row],[Conso HP / jour
Instantané]]*365</f>
        <v>12206.557377008412</v>
      </c>
      <c r="N125" s="38">
        <f>Tableau1[[#This Row],[Index HP
kWh]]-$I$5</f>
        <v>3879</v>
      </c>
      <c r="O125" s="41">
        <f>Tableau1[[#This Row],[Différence HP
Cumul]]/(Tableau1[[#This Row],[Diff jour_x000D_
Cumul]]*24)</f>
        <v>1.7839814197346524</v>
      </c>
      <c r="P125" s="41">
        <f>Tableau1[[#This Row],[Différence HP
Cumul]]/Tableau1[[#This Row],[Diff jour_x000D_
Cumul]]</f>
        <v>42.81555407363166</v>
      </c>
      <c r="Q125" s="41">
        <f>Tableau1[[#This Row],[Conso HP / jour
Cumul]]*365</f>
        <v>15627.677236875556</v>
      </c>
      <c r="R125" s="21">
        <v>121243</v>
      </c>
      <c r="S125" s="38">
        <f>Tableau1[[#This Row],[Index HC_x000D_
kWh]]-R124</f>
        <v>19</v>
      </c>
      <c r="T125" s="42">
        <f>Tableau1[[#This Row],[Différence_x000D_ HC
Instantané]]/(Tableau1[[#This Row],[Diff jour
Instantané]]*24)</f>
        <v>0.77868852458756332</v>
      </c>
      <c r="U125" s="42">
        <f>Tableau1[[#This Row],[Différence_x000D_ HC
Instantané]]/Tableau1[[#This Row],[Diff jour
Instantané]]</f>
        <v>18.688524590101519</v>
      </c>
      <c r="V125" s="42">
        <f>Tableau1[[#This Row],[Conso HC / jour_x000D_
Instantané]]*365</f>
        <v>6821.3114753870541</v>
      </c>
      <c r="W125" s="38">
        <f>Tableau1[[#This Row],[Index HC_x000D_
kWh]]-$R$5</f>
        <v>1811</v>
      </c>
      <c r="X125" s="43">
        <f>Tableau1[[#This Row],[Différence HC
Cumul]]/(Tableau1[[#This Row],[Diff jour_x000D_
Cumul]]*24)</f>
        <v>0.83289258858970239</v>
      </c>
      <c r="Y125" s="43">
        <f>Tableau1[[#This Row],[Différence HC
Cumul]]/Tableau1[[#This Row],[Diff jour_x000D_
Cumul]]</f>
        <v>19.989422126152856</v>
      </c>
      <c r="Z125" s="43">
        <f>Tableau1[[#This Row],[Conso HC / jour_x000D_
Cumul]]*365</f>
        <v>7296.1390760457925</v>
      </c>
      <c r="AA125" s="38">
        <f>Tableau1[[#This Row],[Différence HP
Instantané]]+Tableau1[[#This Row],[Différence_x000D_ HC
Instantané]]</f>
        <v>53</v>
      </c>
      <c r="AB125" s="41">
        <f>Tableau1[[#This Row],[Conso HP + HC
Instantané]]/(Tableau1[[#This Row],[Diff jour
Instantané]]*24)</f>
        <v>2.172131147533729</v>
      </c>
      <c r="AC125" s="34">
        <f>IF(ISERROR(Tableau1[[#This Row],[Date]]-A124),"",Tableau1[[#This Row],[Conso HP + HC
Instantané]]/Tableau1[[#This Row],[Diff jour
Instantané]])</f>
        <v>52.131147540809501</v>
      </c>
      <c r="AD125" s="41">
        <f>Tableau1[[#This Row],[Conso HP + HC / jour_x000D_
Instantané]]*365</f>
        <v>19027.868852395466</v>
      </c>
      <c r="AE125" s="38">
        <f>Tableau1[[#This Row],[Différence HP
Cumul]]+Tableau1[[#This Row],[Différence HC
Cumul]]</f>
        <v>5690</v>
      </c>
      <c r="AF125" s="40">
        <f>(Tableau1[[#This Row],[Conso HP + HC
Cumul]]-AE$6)/Tableau1[[#This Row],[Diff jour_x000D_
Cumul
depuis le 24/01]]</f>
        <v>59.393025746811972</v>
      </c>
      <c r="AG125" s="40">
        <f>(Tableau1[[#This Row],[Conso HP + HC
Cumul]]-AE$59)/Tableau1[[#This Row],[Diff jour_x000D_
Cumul
depuis
précédente facture
16/02/2021]]</f>
        <v>50.441506725629011</v>
      </c>
      <c r="AH125" s="41">
        <f>Tableau1[[#This Row],[Conso HP + HC
Cumul]]/(Tableau1[[#This Row],[Diff jour_x000D_
Cumul]]*24)</f>
        <v>2.6168740083243547</v>
      </c>
      <c r="AI125" s="41">
        <f>Tableau1[[#This Row],[Conso HP + HC
Cumul]]/Tableau1[[#This Row],[Diff jour_x000D_
Cumul]]</f>
        <v>62.80497619978452</v>
      </c>
      <c r="AJ125" s="41">
        <f>Tableau1[[#This Row],[Conso HP + HC / jour_x000D_
Cumul]]*365</f>
        <v>22923.81631292135</v>
      </c>
      <c r="AK125" s="44">
        <f>(Tableau1[[#This Row],[Différence HP
Cumul]]*0.1799)+(Tableau1[[#This Row],[Différence HC
Cumul]]*0.1346)</f>
        <v>941.59269999999992</v>
      </c>
      <c r="AL125" s="44">
        <f>Tableau1[[#This Row],[Montant
Tarif HP/HC]]/Tableau1[[#This Row],[Diff jour_x000D_
Cumul]]</f>
        <v>10.393094396026509</v>
      </c>
      <c r="AM125" s="44">
        <f>(Tableau1[[#This Row],[Montant
Tarif HP/HC]]-AK$6)/Tableau1[[#This Row],[Diff jour_x000D_
Cumul
depuis le 24/01]]</f>
        <v>9.8480663307804033</v>
      </c>
      <c r="AN125" s="44">
        <f>(Tableau1[[#This Row],[Montant
Tarif HP/HC]]-AK$59)/Tableau1[[#This Row],[Diff jour_x000D_
Cumul
depuis
précédente facture
16/02/2021]]</f>
        <v>8.3223251915823262</v>
      </c>
      <c r="AO125" s="44">
        <f>Tableau1[[#This Row],[Conso HP + HC
Cumul]]*0.1599</f>
        <v>909.8309999999999</v>
      </c>
      <c r="AP125" s="44">
        <f>Tableau1[[#This Row],[Montant
Tarif normal]]/Tableau1[[#This Row],[Diff jour_x000D_
Cumul]]</f>
        <v>10.042515694345543</v>
      </c>
      <c r="AQ125" s="44">
        <f>(Tableau1[[#This Row],[Conso HP / an
Cumul]]*0.1799)+(Tableau1[[#This Row],[Conso HC / an_x000D_
Cumul]]*0.1346)</f>
        <v>3793.4794545496761</v>
      </c>
      <c r="AR125" s="44">
        <f>Tableau1[[#This Row],[Conso HP + HC / an_x000D_
Cumul]]*0.1599</f>
        <v>3665.5182284361235</v>
      </c>
      <c r="AS125" s="38">
        <f>MONTH(Tableau1[[#This Row],[Date]])</f>
        <v>3</v>
      </c>
      <c r="AT125" s="38">
        <f>YEAR(Tableau1[[#This Row],[Date]])</f>
        <v>2021</v>
      </c>
    </row>
    <row r="126" spans="1:46" x14ac:dyDescent="0.2">
      <c r="A126" s="19">
        <v>44273.558333333334</v>
      </c>
      <c r="B126" s="20">
        <v>7.5</v>
      </c>
      <c r="C126" s="39">
        <f>IF(ISERROR(Tableau1[[#This Row],[Date]]-A125),"",Tableau1[[#This Row],[Date]]-A125)</f>
        <v>0.25208333333284827</v>
      </c>
      <c r="D126" s="40">
        <f>IF(ISERROR(Tableau1[[#This Row],[Date]]-A125),"",Tableau1[[#This Row],[Date]]-A125)</f>
        <v>0.25208333333284827</v>
      </c>
      <c r="E126" s="39">
        <f>Tableau1[[#This Row],[Date]]-$A$5</f>
        <v>90.849999999998545</v>
      </c>
      <c r="F126" s="40">
        <f>Tableau1[[#This Row],[Date]]-$A$5</f>
        <v>90.849999999998545</v>
      </c>
      <c r="G126" s="40">
        <f>Tableau1[[#This Row],[Diff jour_x000D_
Cumul]]-F$6</f>
        <v>52.766666666670062</v>
      </c>
      <c r="H126" s="40">
        <f>Tableau1[[#This Row],[Diff jour_x000D_
Cumul]]-F$59</f>
        <v>30.247222222220444</v>
      </c>
      <c r="I126" s="21">
        <v>183652</v>
      </c>
      <c r="J126" s="38">
        <f>IF(ISERROR(Tableau1[[#This Row],[Index HP
kWh]]-I125),"",Tableau1[[#This Row],[Index HP
kWh]]-I125)</f>
        <v>14</v>
      </c>
      <c r="K126" s="40">
        <f>IF(ISERROR(Tableau1[[#This Row],[Différence HP
Instantané]]/(Tableau1[[#This Row],[Diff jour
Instantané]]*24)),"",Tableau1[[#This Row],[Différence HP
Instantané]]/(Tableau1[[#This Row],[Diff jour
Instantané]]*24))</f>
        <v>2.3140495867813122</v>
      </c>
      <c r="L126" s="40">
        <f>Tableau1[[#This Row],[Différence HP
Instantané]]/Tableau1[[#This Row],[Diff jour
Instantané]]</f>
        <v>55.537190082751493</v>
      </c>
      <c r="M126" s="40">
        <f>Tableau1[[#This Row],[Conso HP / jour
Instantané]]*365</f>
        <v>20271.074380204296</v>
      </c>
      <c r="N126" s="38">
        <f>Tableau1[[#This Row],[Index HP
kWh]]-$I$5</f>
        <v>3893</v>
      </c>
      <c r="O126" s="41">
        <f>Tableau1[[#This Row],[Différence HP
Cumul]]/(Tableau1[[#This Row],[Diff jour_x000D_
Cumul]]*24)</f>
        <v>1.7854522106035875</v>
      </c>
      <c r="P126" s="41">
        <f>Tableau1[[#This Row],[Différence HP
Cumul]]/Tableau1[[#This Row],[Diff jour_x000D_
Cumul]]</f>
        <v>42.850853054486102</v>
      </c>
      <c r="Q126" s="41">
        <f>Tableau1[[#This Row],[Conso HP / jour
Cumul]]*365</f>
        <v>15640.561364887428</v>
      </c>
      <c r="R126" s="21">
        <v>121243</v>
      </c>
      <c r="S126" s="38">
        <f>Tableau1[[#This Row],[Index HC_x000D_
kWh]]-R125</f>
        <v>0</v>
      </c>
      <c r="T126" s="42">
        <f>Tableau1[[#This Row],[Différence_x000D_ HC
Instantané]]/(Tableau1[[#This Row],[Diff jour
Instantané]]*24)</f>
        <v>0</v>
      </c>
      <c r="U126" s="42">
        <f>Tableau1[[#This Row],[Différence_x000D_ HC
Instantané]]/Tableau1[[#This Row],[Diff jour
Instantané]]</f>
        <v>0</v>
      </c>
      <c r="V126" s="42">
        <f>Tableau1[[#This Row],[Conso HC / jour_x000D_
Instantané]]*365</f>
        <v>0</v>
      </c>
      <c r="W126" s="38">
        <f>Tableau1[[#This Row],[Index HC_x000D_
kWh]]-$R$5</f>
        <v>1811</v>
      </c>
      <c r="X126" s="43">
        <f>Tableau1[[#This Row],[Différence HC
Cumul]]/(Tableau1[[#This Row],[Diff jour_x000D_
Cumul]]*24)</f>
        <v>0.83058154467071588</v>
      </c>
      <c r="Y126" s="43">
        <f>Tableau1[[#This Row],[Différence HC
Cumul]]/Tableau1[[#This Row],[Diff jour_x000D_
Cumul]]</f>
        <v>19.933957072097183</v>
      </c>
      <c r="Z126" s="43">
        <f>Tableau1[[#This Row],[Conso HC / jour_x000D_
Cumul]]*365</f>
        <v>7275.8943313154714</v>
      </c>
      <c r="AA126" s="38">
        <f>Tableau1[[#This Row],[Différence HP
Instantané]]+Tableau1[[#This Row],[Différence_x000D_ HC
Instantané]]</f>
        <v>14</v>
      </c>
      <c r="AB126" s="41">
        <f>Tableau1[[#This Row],[Conso HP + HC
Instantané]]/(Tableau1[[#This Row],[Diff jour
Instantané]]*24)</f>
        <v>2.3140495867813122</v>
      </c>
      <c r="AC126" s="34">
        <f>IF(ISERROR(Tableau1[[#This Row],[Date]]-A125),"",Tableau1[[#This Row],[Conso HP + HC
Instantané]]/Tableau1[[#This Row],[Diff jour
Instantané]])</f>
        <v>55.537190082751493</v>
      </c>
      <c r="AD126" s="41">
        <f>Tableau1[[#This Row],[Conso HP + HC / jour_x000D_
Instantané]]*365</f>
        <v>20271.074380204296</v>
      </c>
      <c r="AE126" s="38">
        <f>Tableau1[[#This Row],[Différence HP
Cumul]]+Tableau1[[#This Row],[Différence HC
Cumul]]</f>
        <v>5704</v>
      </c>
      <c r="AF126" s="40">
        <f>(Tableau1[[#This Row],[Conso HP + HC
Cumul]]-AE$6)/Tableau1[[#This Row],[Diff jour_x000D_
Cumul
depuis le 24/01]]</f>
        <v>59.374605180034081</v>
      </c>
      <c r="AG126" s="40">
        <f>(Tableau1[[#This Row],[Conso HP + HC
Cumul]]-AE$59)/Tableau1[[#This Row],[Diff jour_x000D_
Cumul
depuis
précédente facture
16/02/2021]]</f>
        <v>50.483974653322832</v>
      </c>
      <c r="AH126" s="41">
        <f>Tableau1[[#This Row],[Conso HP + HC
Cumul]]/(Tableau1[[#This Row],[Diff jour_x000D_
Cumul]]*24)</f>
        <v>2.6160337552743034</v>
      </c>
      <c r="AI126" s="41">
        <f>Tableau1[[#This Row],[Conso HP + HC
Cumul]]/Tableau1[[#This Row],[Diff jour_x000D_
Cumul]]</f>
        <v>62.784810126583281</v>
      </c>
      <c r="AJ126" s="41">
        <f>Tableau1[[#This Row],[Conso HP + HC / jour_x000D_
Cumul]]*365</f>
        <v>22916.455696202898</v>
      </c>
      <c r="AK126" s="44">
        <f>(Tableau1[[#This Row],[Différence HP
Cumul]]*0.1799)+(Tableau1[[#This Row],[Différence HC
Cumul]]*0.1346)</f>
        <v>944.11129999999991</v>
      </c>
      <c r="AL126" s="44">
        <f>Tableau1[[#This Row],[Montant
Tarif HP/HC]]/Tableau1[[#This Row],[Diff jour_x000D_
Cumul]]</f>
        <v>10.39197908640633</v>
      </c>
      <c r="AM126" s="44">
        <f>(Tableau1[[#This Row],[Montant
Tarif HP/HC]]-AK$6)/Tableau1[[#This Row],[Diff jour_x000D_
Cumul
depuis le 24/01]]</f>
        <v>9.8487498420713795</v>
      </c>
      <c r="AN126" s="44">
        <f>(Tableau1[[#This Row],[Montant
Tarif HP/HC]]-AK$59)/Tableau1[[#This Row],[Diff jour_x000D_
Cumul
depuis
précédente facture
16/02/2021]]</f>
        <v>8.3362332629263758</v>
      </c>
      <c r="AO126" s="44">
        <f>Tableau1[[#This Row],[Conso HP + HC
Cumul]]*0.1599</f>
        <v>912.06959999999992</v>
      </c>
      <c r="AP126" s="44">
        <f>Tableau1[[#This Row],[Montant
Tarif normal]]/Tableau1[[#This Row],[Diff jour_x000D_
Cumul]]</f>
        <v>10.039291139240666</v>
      </c>
      <c r="AQ126" s="44">
        <f>(Tableau1[[#This Row],[Conso HP / an
Cumul]]*0.1799)+(Tableau1[[#This Row],[Conso HC / an_x000D_
Cumul]]*0.1346)</f>
        <v>3793.0723665383111</v>
      </c>
      <c r="AR126" s="44">
        <f>Tableau1[[#This Row],[Conso HP + HC / an_x000D_
Cumul]]*0.1599</f>
        <v>3664.3412658228431</v>
      </c>
      <c r="AS126" s="38">
        <f>MONTH(Tableau1[[#This Row],[Date]])</f>
        <v>3</v>
      </c>
      <c r="AT126" s="38">
        <f>YEAR(Tableau1[[#This Row],[Date]])</f>
        <v>2021</v>
      </c>
    </row>
    <row r="127" spans="1:46" x14ac:dyDescent="0.2">
      <c r="A127" s="19">
        <v>44274.296527777777</v>
      </c>
      <c r="B127" s="20">
        <v>5.5</v>
      </c>
      <c r="C127" s="39">
        <f>IF(ISERROR(Tableau1[[#This Row],[Date]]-A126),"",Tableau1[[#This Row],[Date]]-A126)</f>
        <v>0.7381944444423425</v>
      </c>
      <c r="D127" s="40">
        <f>IF(ISERROR(Tableau1[[#This Row],[Date]]-A126),"",Tableau1[[#This Row],[Date]]-A126)</f>
        <v>0.7381944444423425</v>
      </c>
      <c r="E127" s="39">
        <f>Tableau1[[#This Row],[Date]]-$A$5</f>
        <v>91.588194444440887</v>
      </c>
      <c r="F127" s="40">
        <f>Tableau1[[#This Row],[Date]]-$A$5</f>
        <v>91.588194444440887</v>
      </c>
      <c r="G127" s="40">
        <f>Tableau1[[#This Row],[Diff jour_x000D_
Cumul]]-F$6</f>
        <v>53.504861111112405</v>
      </c>
      <c r="H127" s="40">
        <f>Tableau1[[#This Row],[Diff jour_x000D_
Cumul]]-F$59</f>
        <v>30.985416666662786</v>
      </c>
      <c r="I127" s="21">
        <v>183674</v>
      </c>
      <c r="J127" s="38">
        <f>IF(ISERROR(Tableau1[[#This Row],[Index HP
kWh]]-I126),"",Tableau1[[#This Row],[Index HP
kWh]]-I126)</f>
        <v>22</v>
      </c>
      <c r="K127" s="40">
        <f>IF(ISERROR(Tableau1[[#This Row],[Différence HP
Instantané]]/(Tableau1[[#This Row],[Diff jour
Instantané]]*24)),"",Tableau1[[#This Row],[Différence HP
Instantané]]/(Tableau1[[#This Row],[Diff jour
Instantané]]*24))</f>
        <v>1.2417685794955395</v>
      </c>
      <c r="L127" s="40">
        <f>Tableau1[[#This Row],[Différence HP
Instantané]]/Tableau1[[#This Row],[Diff jour
Instantané]]</f>
        <v>29.802445907892949</v>
      </c>
      <c r="M127" s="40">
        <f>Tableau1[[#This Row],[Conso HP / jour
Instantané]]*365</f>
        <v>10877.892756380927</v>
      </c>
      <c r="N127" s="38">
        <f>Tableau1[[#This Row],[Index HP
kWh]]-$I$5</f>
        <v>3915</v>
      </c>
      <c r="O127" s="41">
        <f>Tableau1[[#This Row],[Différence HP
Cumul]]/(Tableau1[[#This Row],[Diff jour_x000D_
Cumul]]*24)</f>
        <v>1.781070158544884</v>
      </c>
      <c r="P127" s="41">
        <f>Tableau1[[#This Row],[Différence HP
Cumul]]/Tableau1[[#This Row],[Diff jour_x000D_
Cumul]]</f>
        <v>42.745683805077221</v>
      </c>
      <c r="Q127" s="41">
        <f>Tableau1[[#This Row],[Conso HP / jour
Cumul]]*365</f>
        <v>15602.174588853186</v>
      </c>
      <c r="R127" s="21">
        <v>121261</v>
      </c>
      <c r="S127" s="38">
        <f>Tableau1[[#This Row],[Index HC_x000D_
kWh]]-R126</f>
        <v>18</v>
      </c>
      <c r="T127" s="42">
        <f>Tableau1[[#This Row],[Différence_x000D_ HC
Instantané]]/(Tableau1[[#This Row],[Diff jour
Instantané]]*24)</f>
        <v>1.0159924741327142</v>
      </c>
      <c r="U127" s="42">
        <f>Tableau1[[#This Row],[Différence_x000D_ HC
Instantané]]/Tableau1[[#This Row],[Diff jour
Instantané]]</f>
        <v>24.383819379185141</v>
      </c>
      <c r="V127" s="42">
        <f>Tableau1[[#This Row],[Conso HC / jour_x000D_
Instantané]]*365</f>
        <v>8900.0940734025771</v>
      </c>
      <c r="W127" s="38">
        <f>Tableau1[[#This Row],[Index HC_x000D_
kWh]]-$R$5</f>
        <v>1829</v>
      </c>
      <c r="X127" s="43">
        <f>Tableau1[[#This Row],[Différence HC
Cumul]]/(Tableau1[[#This Row],[Diff jour_x000D_
Cumul]]*24)</f>
        <v>0.83207594380040684</v>
      </c>
      <c r="Y127" s="43">
        <f>Tableau1[[#This Row],[Différence HC
Cumul]]/Tableau1[[#This Row],[Diff jour_x000D_
Cumul]]</f>
        <v>19.969822651209764</v>
      </c>
      <c r="Z127" s="43">
        <f>Tableau1[[#This Row],[Conso HC / jour_x000D_
Cumul]]*365</f>
        <v>7288.9852676915643</v>
      </c>
      <c r="AA127" s="38">
        <f>Tableau1[[#This Row],[Différence HP
Instantané]]+Tableau1[[#This Row],[Différence_x000D_ HC
Instantané]]</f>
        <v>40</v>
      </c>
      <c r="AB127" s="41">
        <f>Tableau1[[#This Row],[Conso HP + HC
Instantané]]/(Tableau1[[#This Row],[Diff jour
Instantané]]*24)</f>
        <v>2.2577610536282537</v>
      </c>
      <c r="AC127" s="34">
        <f>IF(ISERROR(Tableau1[[#This Row],[Date]]-A126),"",Tableau1[[#This Row],[Conso HP + HC
Instantané]]/Tableau1[[#This Row],[Diff jour
Instantané]])</f>
        <v>54.186265287078093</v>
      </c>
      <c r="AD127" s="41">
        <f>Tableau1[[#This Row],[Conso HP + HC / jour_x000D_
Instantané]]*365</f>
        <v>19777.986829783506</v>
      </c>
      <c r="AE127" s="38">
        <f>Tableau1[[#This Row],[Différence HP
Cumul]]+Tableau1[[#This Row],[Différence HC
Cumul]]</f>
        <v>5744</v>
      </c>
      <c r="AF127" s="40">
        <f>(Tableau1[[#This Row],[Conso HP + HC
Cumul]]-AE$6)/Tableau1[[#This Row],[Diff jour_x000D_
Cumul
depuis le 24/01]]</f>
        <v>59.303022830219078</v>
      </c>
      <c r="AG127" s="40">
        <f>(Tableau1[[#This Row],[Conso HP + HC
Cumul]]-AE$59)/Tableau1[[#This Row],[Diff jour_x000D_
Cumul
depuis
précédente facture
16/02/2021]]</f>
        <v>50.572177771807581</v>
      </c>
      <c r="AH127" s="41">
        <f>Tableau1[[#This Row],[Conso HP + HC
Cumul]]/(Tableau1[[#This Row],[Diff jour_x000D_
Cumul]]*24)</f>
        <v>2.6131461023452909</v>
      </c>
      <c r="AI127" s="41">
        <f>Tableau1[[#This Row],[Conso HP + HC
Cumul]]/Tableau1[[#This Row],[Diff jour_x000D_
Cumul]]</f>
        <v>62.715506456286981</v>
      </c>
      <c r="AJ127" s="41">
        <f>Tableau1[[#This Row],[Conso HP + HC / jour_x000D_
Cumul]]*365</f>
        <v>22891.159856544749</v>
      </c>
      <c r="AK127" s="44">
        <f>(Tableau1[[#This Row],[Différence HP
Cumul]]*0.1799)+(Tableau1[[#This Row],[Différence HC
Cumul]]*0.1346)</f>
        <v>950.49189999999999</v>
      </c>
      <c r="AL127" s="44">
        <f>Tableau1[[#This Row],[Montant
Tarif HP/HC]]/Tableau1[[#This Row],[Diff jour_x000D_
Cumul]]</f>
        <v>10.377886645386226</v>
      </c>
      <c r="AM127" s="44">
        <f>(Tableau1[[#This Row],[Montant
Tarif HP/HC]]-AK$6)/Tableau1[[#This Row],[Diff jour_x000D_
Cumul
depuis le 24/01]]</f>
        <v>9.8321215881212982</v>
      </c>
      <c r="AN127" s="44">
        <f>(Tableau1[[#This Row],[Montant
Tarif HP/HC]]-AK$59)/Tableau1[[#This Row],[Diff jour_x000D_
Cumul
depuis
précédente facture
16/02/2021]]</f>
        <v>8.3435540913074391</v>
      </c>
      <c r="AO127" s="44">
        <f>Tableau1[[#This Row],[Conso HP + HC
Cumul]]*0.1599</f>
        <v>918.46559999999988</v>
      </c>
      <c r="AP127" s="44">
        <f>Tableau1[[#This Row],[Montant
Tarif normal]]/Tableau1[[#This Row],[Diff jour_x000D_
Cumul]]</f>
        <v>10.028209482360287</v>
      </c>
      <c r="AQ127" s="44">
        <f>(Tableau1[[#This Row],[Conso HP / an
Cumul]]*0.1799)+(Tableau1[[#This Row],[Conso HC / an_x000D_
Cumul]]*0.1346)</f>
        <v>3787.9286255659727</v>
      </c>
      <c r="AR127" s="44">
        <f>Tableau1[[#This Row],[Conso HP + HC / an_x000D_
Cumul]]*0.1599</f>
        <v>3660.2964610615049</v>
      </c>
      <c r="AS127" s="38">
        <f>MONTH(Tableau1[[#This Row],[Date]])</f>
        <v>3</v>
      </c>
      <c r="AT127" s="38">
        <f>YEAR(Tableau1[[#This Row],[Date]])</f>
        <v>2021</v>
      </c>
    </row>
    <row r="128" spans="1:46" x14ac:dyDescent="0.2">
      <c r="A128" s="19">
        <v>44275.374305555553</v>
      </c>
      <c r="B128" s="20">
        <v>3</v>
      </c>
      <c r="C128" s="39">
        <f>IF(ISERROR(Tableau1[[#This Row],[Date]]-A127),"",Tableau1[[#This Row],[Date]]-A127)</f>
        <v>1.077777777776646</v>
      </c>
      <c r="D128" s="40">
        <f>IF(ISERROR(Tableau1[[#This Row],[Date]]-A127),"",Tableau1[[#This Row],[Date]]-A127)</f>
        <v>1.077777777776646</v>
      </c>
      <c r="E128" s="39">
        <f>Tableau1[[#This Row],[Date]]-$A$5</f>
        <v>92.665972222217533</v>
      </c>
      <c r="F128" s="40">
        <f>Tableau1[[#This Row],[Date]]-$A$5</f>
        <v>92.665972222217533</v>
      </c>
      <c r="G128" s="40">
        <f>Tableau1[[#This Row],[Diff jour_x000D_
Cumul]]-F$6</f>
        <v>54.582638888889051</v>
      </c>
      <c r="H128" s="40">
        <f>Tableau1[[#This Row],[Diff jour_x000D_
Cumul]]-F$59</f>
        <v>32.063194444439432</v>
      </c>
      <c r="I128" s="21">
        <v>183717</v>
      </c>
      <c r="J128" s="38">
        <f>IF(ISERROR(Tableau1[[#This Row],[Index HP
kWh]]-I127),"",Tableau1[[#This Row],[Index HP
kWh]]-I127)</f>
        <v>43</v>
      </c>
      <c r="K128" s="40">
        <f>IF(ISERROR(Tableau1[[#This Row],[Différence HP
Instantané]]/(Tableau1[[#This Row],[Diff jour
Instantané]]*24)),"",Tableau1[[#This Row],[Différence HP
Instantané]]/(Tableau1[[#This Row],[Diff jour
Instantané]]*24))</f>
        <v>1.6623711340223644</v>
      </c>
      <c r="L128" s="40">
        <f>Tableau1[[#This Row],[Différence HP
Instantané]]/Tableau1[[#This Row],[Diff jour
Instantané]]</f>
        <v>39.896907216536739</v>
      </c>
      <c r="M128" s="40">
        <f>Tableau1[[#This Row],[Conso HP / jour
Instantané]]*365</f>
        <v>14562.37113403591</v>
      </c>
      <c r="N128" s="38">
        <f>Tableau1[[#This Row],[Index HP
kWh]]-$I$5</f>
        <v>3958</v>
      </c>
      <c r="O128" s="41">
        <f>Tableau1[[#This Row],[Différence HP
Cumul]]/(Tableau1[[#This Row],[Diff jour_x000D_
Cumul]]*24)</f>
        <v>1.7796895959952639</v>
      </c>
      <c r="P128" s="41">
        <f>Tableau1[[#This Row],[Différence HP
Cumul]]/Tableau1[[#This Row],[Diff jour_x000D_
Cumul]]</f>
        <v>42.712550303886331</v>
      </c>
      <c r="Q128" s="41">
        <f>Tableau1[[#This Row],[Conso HP / jour
Cumul]]*365</f>
        <v>15590.080860918511</v>
      </c>
      <c r="R128" s="21">
        <v>121282</v>
      </c>
      <c r="S128" s="38">
        <f>Tableau1[[#This Row],[Index HC_x000D_
kWh]]-R127</f>
        <v>21</v>
      </c>
      <c r="T128" s="42">
        <f>Tableau1[[#This Row],[Différence_x000D_ HC
Instantané]]/(Tableau1[[#This Row],[Diff jour
Instantané]]*24)</f>
        <v>0.81185567010394533</v>
      </c>
      <c r="U128" s="42">
        <f>Tableau1[[#This Row],[Différence_x000D_ HC
Instantané]]/Tableau1[[#This Row],[Diff jour
Instantané]]</f>
        <v>19.484536082494689</v>
      </c>
      <c r="V128" s="42">
        <f>Tableau1[[#This Row],[Conso HC / jour_x000D_
Instantané]]*365</f>
        <v>7111.8556701105617</v>
      </c>
      <c r="W128" s="38">
        <f>Tableau1[[#This Row],[Index HC_x000D_
kWh]]-$R$5</f>
        <v>1850</v>
      </c>
      <c r="X128" s="43">
        <f>Tableau1[[#This Row],[Différence HC
Cumul]]/(Tableau1[[#This Row],[Diff jour_x000D_
Cumul]]*24)</f>
        <v>0.83184076619283431</v>
      </c>
      <c r="Y128" s="43">
        <f>Tableau1[[#This Row],[Différence HC
Cumul]]/Tableau1[[#This Row],[Diff jour_x000D_
Cumul]]</f>
        <v>19.964178388628024</v>
      </c>
      <c r="Z128" s="43">
        <f>Tableau1[[#This Row],[Conso HC / jour_x000D_
Cumul]]*365</f>
        <v>7286.9251118492293</v>
      </c>
      <c r="AA128" s="38">
        <f>Tableau1[[#This Row],[Différence HP
Instantané]]+Tableau1[[#This Row],[Différence_x000D_ HC
Instantané]]</f>
        <v>64</v>
      </c>
      <c r="AB128" s="41">
        <f>Tableau1[[#This Row],[Conso HP + HC
Instantané]]/(Tableau1[[#This Row],[Diff jour
Instantané]]*24)</f>
        <v>2.4742268041263098</v>
      </c>
      <c r="AC128" s="34">
        <f>IF(ISERROR(Tableau1[[#This Row],[Date]]-A127),"",Tableau1[[#This Row],[Conso HP + HC
Instantané]]/Tableau1[[#This Row],[Diff jour
Instantané]])</f>
        <v>59.381443299031432</v>
      </c>
      <c r="AD128" s="41">
        <f>Tableau1[[#This Row],[Conso HP + HC / jour_x000D_
Instantané]]*365</f>
        <v>21674.226804146474</v>
      </c>
      <c r="AE128" s="38">
        <f>Tableau1[[#This Row],[Différence HP
Cumul]]+Tableau1[[#This Row],[Différence HC
Cumul]]</f>
        <v>5808</v>
      </c>
      <c r="AF128" s="40">
        <f>(Tableau1[[#This Row],[Conso HP + HC
Cumul]]-AE$6)/Tableau1[[#This Row],[Diff jour_x000D_
Cumul
depuis le 24/01]]</f>
        <v>59.304571304978261</v>
      </c>
      <c r="AG128" s="40">
        <f>(Tableau1[[#This Row],[Conso HP + HC
Cumul]]-AE$59)/Tableau1[[#This Row],[Diff jour_x000D_
Cumul
depuis
précédente facture
16/02/2021]]</f>
        <v>50.868293950756261</v>
      </c>
      <c r="AH128" s="41">
        <f>Tableau1[[#This Row],[Conso HP + HC
Cumul]]/(Tableau1[[#This Row],[Diff jour_x000D_
Cumul]]*24)</f>
        <v>2.6115303621880983</v>
      </c>
      <c r="AI128" s="41">
        <f>Tableau1[[#This Row],[Conso HP + HC
Cumul]]/Tableau1[[#This Row],[Diff jour_x000D_
Cumul]]</f>
        <v>62.676728692514359</v>
      </c>
      <c r="AJ128" s="41">
        <f>Tableau1[[#This Row],[Conso HP + HC / jour_x000D_
Cumul]]*365</f>
        <v>22877.00597276774</v>
      </c>
      <c r="AK128" s="44">
        <f>(Tableau1[[#This Row],[Différence HP
Cumul]]*0.1799)+(Tableau1[[#This Row],[Différence HC
Cumul]]*0.1346)</f>
        <v>961.05420000000004</v>
      </c>
      <c r="AL128" s="44">
        <f>Tableau1[[#This Row],[Montant
Tarif HP/HC]]/Tableau1[[#This Row],[Diff jour_x000D_
Cumul]]</f>
        <v>10.371166210778483</v>
      </c>
      <c r="AM128" s="44">
        <f>(Tableau1[[#This Row],[Montant
Tarif HP/HC]]-AK$6)/Tableau1[[#This Row],[Diff jour_x000D_
Cumul
depuis le 24/01]]</f>
        <v>9.831488746676138</v>
      </c>
      <c r="AN128" s="44">
        <f>(Tableau1[[#This Row],[Montant
Tarif HP/HC]]-AK$59)/Tableau1[[#This Row],[Diff jour_x000D_
Cumul
depuis
précédente facture
16/02/2021]]</f>
        <v>8.3925137423937244</v>
      </c>
      <c r="AO128" s="44">
        <f>Tableau1[[#This Row],[Conso HP + HC
Cumul]]*0.1599</f>
        <v>928.69919999999991</v>
      </c>
      <c r="AP128" s="44">
        <f>Tableau1[[#This Row],[Montant
Tarif normal]]/Tableau1[[#This Row],[Diff jour_x000D_
Cumul]]</f>
        <v>10.022008917933045</v>
      </c>
      <c r="AQ128" s="44">
        <f>(Tableau1[[#This Row],[Conso HP / an
Cumul]]*0.1799)+(Tableau1[[#This Row],[Conso HC / an_x000D_
Cumul]]*0.1346)</f>
        <v>3785.4756669341468</v>
      </c>
      <c r="AR128" s="44">
        <f>Tableau1[[#This Row],[Conso HP + HC / an_x000D_
Cumul]]*0.1599</f>
        <v>3658.0332550455614</v>
      </c>
      <c r="AS128" s="38">
        <f>MONTH(Tableau1[[#This Row],[Date]])</f>
        <v>3</v>
      </c>
      <c r="AT128" s="38">
        <f>YEAR(Tableau1[[#This Row],[Date]])</f>
        <v>2021</v>
      </c>
    </row>
    <row r="129" spans="1:46" x14ac:dyDescent="0.2">
      <c r="A129" s="19">
        <v>44276.363888888889</v>
      </c>
      <c r="B129" s="20">
        <v>2.1</v>
      </c>
      <c r="C129" s="39">
        <f>IF(ISERROR(Tableau1[[#This Row],[Date]]-A128),"",Tableau1[[#This Row],[Date]]-A128)</f>
        <v>0.98958333333575865</v>
      </c>
      <c r="D129" s="40">
        <f>IF(ISERROR(Tableau1[[#This Row],[Date]]-A128),"",Tableau1[[#This Row],[Date]]-A128)</f>
        <v>0.98958333333575865</v>
      </c>
      <c r="E129" s="39">
        <f>Tableau1[[#This Row],[Date]]-$A$5</f>
        <v>93.655555555553292</v>
      </c>
      <c r="F129" s="40">
        <f>Tableau1[[#This Row],[Date]]-$A$5</f>
        <v>93.655555555553292</v>
      </c>
      <c r="G129" s="40">
        <f>Tableau1[[#This Row],[Diff jour_x000D_
Cumul]]-F$6</f>
        <v>55.572222222224809</v>
      </c>
      <c r="H129" s="40">
        <f>Tableau1[[#This Row],[Diff jour_x000D_
Cumul]]-F$59</f>
        <v>33.052777777775191</v>
      </c>
      <c r="I129" s="21">
        <v>183750</v>
      </c>
      <c r="J129" s="38">
        <f>IF(ISERROR(Tableau1[[#This Row],[Index HP
kWh]]-I128),"",Tableau1[[#This Row],[Index HP
kWh]]-I128)</f>
        <v>33</v>
      </c>
      <c r="K129" s="40">
        <f>IF(ISERROR(Tableau1[[#This Row],[Différence HP
Instantané]]/(Tableau1[[#This Row],[Diff jour
Instantané]]*24)),"",Tableau1[[#This Row],[Différence HP
Instantané]]/(Tableau1[[#This Row],[Diff jour
Instantané]]*24))</f>
        <v>1.3894736842071209</v>
      </c>
      <c r="L129" s="40">
        <f>Tableau1[[#This Row],[Différence HP
Instantané]]/Tableau1[[#This Row],[Diff jour
Instantané]]</f>
        <v>33.347368420970902</v>
      </c>
      <c r="M129" s="40">
        <f>Tableau1[[#This Row],[Conso HP / jour
Instantané]]*365</f>
        <v>12171.789473654379</v>
      </c>
      <c r="N129" s="38">
        <f>Tableau1[[#This Row],[Index HP
kWh]]-$I$5</f>
        <v>3991</v>
      </c>
      <c r="O129" s="41">
        <f>Tableau1[[#This Row],[Différence HP
Cumul]]/(Tableau1[[#This Row],[Diff jour_x000D_
Cumul]]*24)</f>
        <v>1.7755664966188589</v>
      </c>
      <c r="P129" s="41">
        <f>Tableau1[[#This Row],[Différence HP
Cumul]]/Tableau1[[#This Row],[Diff jour_x000D_
Cumul]]</f>
        <v>42.613595918852617</v>
      </c>
      <c r="Q129" s="41">
        <f>Tableau1[[#This Row],[Conso HP / jour
Cumul]]*365</f>
        <v>15553.962510381205</v>
      </c>
      <c r="R129" s="21">
        <v>121302</v>
      </c>
      <c r="S129" s="38">
        <f>Tableau1[[#This Row],[Index HC_x000D_
kWh]]-R128</f>
        <v>20</v>
      </c>
      <c r="T129" s="42">
        <f>Tableau1[[#This Row],[Différence_x000D_ HC
Instantané]]/(Tableau1[[#This Row],[Diff jour
Instantané]]*24)</f>
        <v>0.8421052631558309</v>
      </c>
      <c r="U129" s="42">
        <f>Tableau1[[#This Row],[Différence_x000D_ HC
Instantané]]/Tableau1[[#This Row],[Diff jour
Instantané]]</f>
        <v>20.210526315739941</v>
      </c>
      <c r="V129" s="42">
        <f>Tableau1[[#This Row],[Conso HC / jour_x000D_
Instantané]]*365</f>
        <v>7376.8421052450785</v>
      </c>
      <c r="W129" s="38">
        <f>Tableau1[[#This Row],[Index HC_x000D_
kWh]]-$R$5</f>
        <v>1870</v>
      </c>
      <c r="X129" s="43">
        <f>Tableau1[[#This Row],[Différence HC
Cumul]]/(Tableau1[[#This Row],[Diff jour_x000D_
Cumul]]*24)</f>
        <v>0.83194922292088858</v>
      </c>
      <c r="Y129" s="43">
        <f>Tableau1[[#This Row],[Différence HC
Cumul]]/Tableau1[[#This Row],[Diff jour_x000D_
Cumul]]</f>
        <v>19.966781350101325</v>
      </c>
      <c r="Z129" s="43">
        <f>Tableau1[[#This Row],[Conso HC / jour_x000D_
Cumul]]*365</f>
        <v>7287.8751927869835</v>
      </c>
      <c r="AA129" s="38">
        <f>Tableau1[[#This Row],[Différence HP
Instantané]]+Tableau1[[#This Row],[Différence_x000D_ HC
Instantané]]</f>
        <v>53</v>
      </c>
      <c r="AB129" s="41">
        <f>Tableau1[[#This Row],[Conso HP + HC
Instantané]]/(Tableau1[[#This Row],[Diff jour
Instantané]]*24)</f>
        <v>2.2315789473629519</v>
      </c>
      <c r="AC129" s="34">
        <f>IF(ISERROR(Tableau1[[#This Row],[Date]]-A128),"",Tableau1[[#This Row],[Conso HP + HC
Instantané]]/Tableau1[[#This Row],[Diff jour
Instantané]])</f>
        <v>53.557894736710843</v>
      </c>
      <c r="AD129" s="41">
        <f>Tableau1[[#This Row],[Conso HP + HC / jour_x000D_
Instantané]]*365</f>
        <v>19548.631578899458</v>
      </c>
      <c r="AE129" s="38">
        <f>Tableau1[[#This Row],[Différence HP
Cumul]]+Tableau1[[#This Row],[Différence HC
Cumul]]</f>
        <v>5861</v>
      </c>
      <c r="AF129" s="40">
        <f>(Tableau1[[#This Row],[Conso HP + HC
Cumul]]-AE$6)/Tableau1[[#This Row],[Diff jour_x000D_
Cumul
depuis le 24/01]]</f>
        <v>59.202239328198786</v>
      </c>
      <c r="AG129" s="40">
        <f>(Tableau1[[#This Row],[Conso HP + HC
Cumul]]-AE$59)/Tableau1[[#This Row],[Diff jour_x000D_
Cumul
depuis
précédente facture
16/02/2021]]</f>
        <v>50.948819228510587</v>
      </c>
      <c r="AH129" s="41">
        <f>Tableau1[[#This Row],[Conso HP + HC
Cumul]]/(Tableau1[[#This Row],[Diff jour_x000D_
Cumul]]*24)</f>
        <v>2.6075157195397476</v>
      </c>
      <c r="AI129" s="41">
        <f>Tableau1[[#This Row],[Conso HP + HC
Cumul]]/Tableau1[[#This Row],[Diff jour_x000D_
Cumul]]</f>
        <v>62.580377268953939</v>
      </c>
      <c r="AJ129" s="41">
        <f>Tableau1[[#This Row],[Conso HP + HC / jour_x000D_
Cumul]]*365</f>
        <v>22841.837703168188</v>
      </c>
      <c r="AK129" s="44">
        <f>(Tableau1[[#This Row],[Différence HP
Cumul]]*0.1799)+(Tableau1[[#This Row],[Différence HC
Cumul]]*0.1346)</f>
        <v>969.68290000000002</v>
      </c>
      <c r="AL129" s="44">
        <f>Tableau1[[#This Row],[Montant
Tarif HP/HC]]/Tableau1[[#This Row],[Diff jour_x000D_
Cumul]]</f>
        <v>10.353714675525223</v>
      </c>
      <c r="AM129" s="44">
        <f>(Tableau1[[#This Row],[Montant
Tarif HP/HC]]-AK$6)/Tableau1[[#This Row],[Diff jour_x000D_
Cumul
depuis le 24/01]]</f>
        <v>9.8116878936314542</v>
      </c>
      <c r="AN129" s="44">
        <f>(Tableau1[[#This Row],[Montant
Tarif HP/HC]]-AK$59)/Tableau1[[#This Row],[Diff jour_x000D_
Cumul
depuis
précédente facture
16/02/2021]]</f>
        <v>8.402304395327997</v>
      </c>
      <c r="AO129" s="44">
        <f>Tableau1[[#This Row],[Conso HP + HC
Cumul]]*0.1599</f>
        <v>937.17389999999989</v>
      </c>
      <c r="AP129" s="44">
        <f>Tableau1[[#This Row],[Montant
Tarif normal]]/Tableau1[[#This Row],[Diff jour_x000D_
Cumul]]</f>
        <v>10.006602325305733</v>
      </c>
      <c r="AQ129" s="44">
        <f>(Tableau1[[#This Row],[Conso HP / an
Cumul]]*0.1799)+(Tableau1[[#This Row],[Conso HC / an_x000D_
Cumul]]*0.1346)</f>
        <v>3779.1058565667067</v>
      </c>
      <c r="AR129" s="44">
        <f>Tableau1[[#This Row],[Conso HP + HC / an_x000D_
Cumul]]*0.1599</f>
        <v>3652.4098487365932</v>
      </c>
      <c r="AS129" s="38">
        <f>MONTH(Tableau1[[#This Row],[Date]])</f>
        <v>3</v>
      </c>
      <c r="AT129" s="38">
        <f>YEAR(Tableau1[[#This Row],[Date]])</f>
        <v>2021</v>
      </c>
    </row>
    <row r="130" spans="1:46" x14ac:dyDescent="0.2">
      <c r="A130" s="19">
        <v>44277.306944444441</v>
      </c>
      <c r="B130" s="20">
        <v>-0.3</v>
      </c>
      <c r="C130" s="39">
        <f>IF(ISERROR(Tableau1[[#This Row],[Date]]-A129),"",Tableau1[[#This Row],[Date]]-A129)</f>
        <v>0.94305555555183673</v>
      </c>
      <c r="D130" s="40">
        <f>IF(ISERROR(Tableau1[[#This Row],[Date]]-A129),"",Tableau1[[#This Row],[Date]]-A129)</f>
        <v>0.94305555555183673</v>
      </c>
      <c r="E130" s="39">
        <f>Tableau1[[#This Row],[Date]]-$A$5</f>
        <v>94.598611111105129</v>
      </c>
      <c r="F130" s="40">
        <f>Tableau1[[#This Row],[Date]]-$A$5</f>
        <v>94.598611111105129</v>
      </c>
      <c r="G130" s="40">
        <f>Tableau1[[#This Row],[Diff jour_x000D_
Cumul]]-F$6</f>
        <v>56.515277777776646</v>
      </c>
      <c r="H130" s="40">
        <f>Tableau1[[#This Row],[Diff jour_x000D_
Cumul]]-F$59</f>
        <v>33.995833333327028</v>
      </c>
      <c r="I130" s="21">
        <v>183787</v>
      </c>
      <c r="J130" s="38">
        <f>IF(ISERROR(Tableau1[[#This Row],[Index HP
kWh]]-I129),"",Tableau1[[#This Row],[Index HP
kWh]]-I129)</f>
        <v>37</v>
      </c>
      <c r="K130" s="40">
        <f>IF(ISERROR(Tableau1[[#This Row],[Différence HP
Instantané]]/(Tableau1[[#This Row],[Diff jour
Instantané]]*24)),"",Tableau1[[#This Row],[Différence HP
Instantané]]/(Tableau1[[#This Row],[Diff jour
Instantané]]*24))</f>
        <v>1.6347569955881842</v>
      </c>
      <c r="L130" s="40">
        <f>Tableau1[[#This Row],[Différence HP
Instantané]]/Tableau1[[#This Row],[Diff jour
Instantané]]</f>
        <v>39.234167894116425</v>
      </c>
      <c r="M130" s="40">
        <f>Tableau1[[#This Row],[Conso HP / jour
Instantané]]*365</f>
        <v>14320.471281352495</v>
      </c>
      <c r="N130" s="38">
        <f>Tableau1[[#This Row],[Index HP
kWh]]-$I$5</f>
        <v>4028</v>
      </c>
      <c r="O130" s="41">
        <f>Tableau1[[#This Row],[Différence HP
Cumul]]/(Tableau1[[#This Row],[Diff jour_x000D_
Cumul]]*24)</f>
        <v>1.7741627637240334</v>
      </c>
      <c r="P130" s="41">
        <f>Tableau1[[#This Row],[Différence HP
Cumul]]/Tableau1[[#This Row],[Diff jour_x000D_
Cumul]]</f>
        <v>42.579906329376804</v>
      </c>
      <c r="Q130" s="41">
        <f>Tableau1[[#This Row],[Conso HP / jour
Cumul]]*365</f>
        <v>15541.665810222534</v>
      </c>
      <c r="R130" s="21">
        <v>121322</v>
      </c>
      <c r="S130" s="38">
        <f>Tableau1[[#This Row],[Index HC_x000D_
kWh]]-R129</f>
        <v>20</v>
      </c>
      <c r="T130" s="42">
        <f>Tableau1[[#This Row],[Différence_x000D_ HC
Instantané]]/(Tableau1[[#This Row],[Diff jour
Instantané]]*24)</f>
        <v>0.88365243004766725</v>
      </c>
      <c r="U130" s="42">
        <f>Tableau1[[#This Row],[Différence_x000D_ HC
Instantané]]/Tableau1[[#This Row],[Diff jour
Instantané]]</f>
        <v>21.207658321144013</v>
      </c>
      <c r="V130" s="42">
        <f>Tableau1[[#This Row],[Conso HC / jour_x000D_
Instantané]]*365</f>
        <v>7740.7952872175647</v>
      </c>
      <c r="W130" s="38">
        <f>Tableau1[[#This Row],[Index HC_x000D_
kWh]]-$R$5</f>
        <v>1890</v>
      </c>
      <c r="X130" s="43">
        <f>Tableau1[[#This Row],[Différence HC
Cumul]]/(Tableau1[[#This Row],[Diff jour_x000D_
Cumul]]*24)</f>
        <v>0.83246465328659958</v>
      </c>
      <c r="Y130" s="43">
        <f>Tableau1[[#This Row],[Différence HC
Cumul]]/Tableau1[[#This Row],[Diff jour_x000D_
Cumul]]</f>
        <v>19.979151678878392</v>
      </c>
      <c r="Z130" s="43">
        <f>Tableau1[[#This Row],[Conso HC / jour_x000D_
Cumul]]*365</f>
        <v>7292.3903627906129</v>
      </c>
      <c r="AA130" s="38">
        <f>Tableau1[[#This Row],[Différence HP
Instantané]]+Tableau1[[#This Row],[Différence_x000D_ HC
Instantané]]</f>
        <v>57</v>
      </c>
      <c r="AB130" s="41">
        <f>Tableau1[[#This Row],[Conso HP + HC
Instantané]]/(Tableau1[[#This Row],[Diff jour
Instantané]]*24)</f>
        <v>2.5184094256358516</v>
      </c>
      <c r="AC130" s="34">
        <f>IF(ISERROR(Tableau1[[#This Row],[Date]]-A129),"",Tableau1[[#This Row],[Conso HP + HC
Instantané]]/Tableau1[[#This Row],[Diff jour
Instantané]])</f>
        <v>60.441826215260434</v>
      </c>
      <c r="AD130" s="41">
        <f>Tableau1[[#This Row],[Conso HP + HC / jour_x000D_
Instantané]]*365</f>
        <v>22061.266568570059</v>
      </c>
      <c r="AE130" s="38">
        <f>Tableau1[[#This Row],[Différence HP
Cumul]]+Tableau1[[#This Row],[Différence HC
Cumul]]</f>
        <v>5918</v>
      </c>
      <c r="AF130" s="40">
        <f>(Tableau1[[#This Row],[Conso HP + HC
Cumul]]-AE$6)/Tableau1[[#This Row],[Diff jour_x000D_
Cumul
depuis le 24/01]]</f>
        <v>59.222923988106665</v>
      </c>
      <c r="AG130" s="40">
        <f>(Tableau1[[#This Row],[Conso HP + HC
Cumul]]-AE$59)/Tableau1[[#This Row],[Diff jour_x000D_
Cumul
depuis
précédente facture
16/02/2021]]</f>
        <v>51.212158352748808</v>
      </c>
      <c r="AH130" s="41">
        <f>Tableau1[[#This Row],[Conso HP + HC
Cumul]]/(Tableau1[[#This Row],[Diff jour_x000D_
Cumul]]*24)</f>
        <v>2.6066274170106332</v>
      </c>
      <c r="AI130" s="41">
        <f>Tableau1[[#This Row],[Conso HP + HC
Cumul]]/Tableau1[[#This Row],[Diff jour_x000D_
Cumul]]</f>
        <v>62.559058008255192</v>
      </c>
      <c r="AJ130" s="41">
        <f>Tableau1[[#This Row],[Conso HP + HC / jour_x000D_
Cumul]]*365</f>
        <v>22834.056173013145</v>
      </c>
      <c r="AK130" s="44">
        <f>(Tableau1[[#This Row],[Différence HP
Cumul]]*0.1799)+(Tableau1[[#This Row],[Différence HC
Cumul]]*0.1346)</f>
        <v>979.03120000000001</v>
      </c>
      <c r="AL130" s="44">
        <f>Tableau1[[#This Row],[Montant
Tarif HP/HC]]/Tableau1[[#This Row],[Diff jour_x000D_
Cumul]]</f>
        <v>10.349318964631918</v>
      </c>
      <c r="AM130" s="44">
        <f>(Tableau1[[#This Row],[Montant
Tarif HP/HC]]-AK$6)/Tableau1[[#This Row],[Diff jour_x000D_
Cumul
depuis le 24/01]]</f>
        <v>9.813374751173674</v>
      </c>
      <c r="AN130" s="44">
        <f>(Tableau1[[#This Row],[Montant
Tarif HP/HC]]-AK$59)/Tableau1[[#This Row],[Diff jour_x000D_
Cumul
depuis
précédente facture
16/02/2021]]</f>
        <v>8.4442054173321228</v>
      </c>
      <c r="AO130" s="44">
        <f>Tableau1[[#This Row],[Conso HP + HC
Cumul]]*0.1599</f>
        <v>946.28819999999996</v>
      </c>
      <c r="AP130" s="44">
        <f>Tableau1[[#This Row],[Montant
Tarif normal]]/Tableau1[[#This Row],[Diff jour_x000D_
Cumul]]</f>
        <v>10.003193375520006</v>
      </c>
      <c r="AQ130" s="44">
        <f>(Tableau1[[#This Row],[Conso HP / an
Cumul]]*0.1799)+(Tableau1[[#This Row],[Conso HC / an_x000D_
Cumul]]*0.1346)</f>
        <v>3777.5014220906505</v>
      </c>
      <c r="AR130" s="44">
        <f>Tableau1[[#This Row],[Conso HP + HC / an_x000D_
Cumul]]*0.1599</f>
        <v>3651.1655820648016</v>
      </c>
      <c r="AS130" s="38">
        <f>MONTH(Tableau1[[#This Row],[Date]])</f>
        <v>3</v>
      </c>
      <c r="AT130" s="38">
        <f>YEAR(Tableau1[[#This Row],[Date]])</f>
        <v>2021</v>
      </c>
    </row>
    <row r="131" spans="1:46" x14ac:dyDescent="0.2">
      <c r="A131" s="19">
        <v>44277.571527777778</v>
      </c>
      <c r="B131" s="20">
        <v>10.199999999999999</v>
      </c>
      <c r="C131" s="39">
        <f>IF(ISERROR(Tableau1[[#This Row],[Date]]-A130),"",Tableau1[[#This Row],[Date]]-A130)</f>
        <v>0.26458333333721384</v>
      </c>
      <c r="D131" s="40">
        <f>IF(ISERROR(Tableau1[[#This Row],[Date]]-A130),"",Tableau1[[#This Row],[Date]]-A130)</f>
        <v>0.26458333333721384</v>
      </c>
      <c r="E131" s="39">
        <f>Tableau1[[#This Row],[Date]]-$A$5</f>
        <v>94.863194444442343</v>
      </c>
      <c r="F131" s="40">
        <f>Tableau1[[#This Row],[Date]]-$A$5</f>
        <v>94.863194444442343</v>
      </c>
      <c r="G131" s="40">
        <f>Tableau1[[#This Row],[Diff jour_x000D_
Cumul]]-F$6</f>
        <v>56.77986111111386</v>
      </c>
      <c r="H131" s="40">
        <f>Tableau1[[#This Row],[Diff jour_x000D_
Cumul]]-F$59</f>
        <v>34.260416666664241</v>
      </c>
      <c r="I131" s="21">
        <v>183802</v>
      </c>
      <c r="J131" s="38">
        <f>IF(ISERROR(Tableau1[[#This Row],[Index HP
kWh]]-I130),"",Tableau1[[#This Row],[Index HP
kWh]]-I130)</f>
        <v>15</v>
      </c>
      <c r="K131" s="40">
        <f>IF(ISERROR(Tableau1[[#This Row],[Différence HP
Instantané]]/(Tableau1[[#This Row],[Diff jour
Instantané]]*24)),"",Tableau1[[#This Row],[Différence HP
Instantané]]/(Tableau1[[#This Row],[Diff jour
Instantané]]*24))</f>
        <v>2.3622047243748034</v>
      </c>
      <c r="L131" s="40">
        <f>Tableau1[[#This Row],[Différence HP
Instantané]]/Tableau1[[#This Row],[Diff jour
Instantané]]</f>
        <v>56.692913384995286</v>
      </c>
      <c r="M131" s="40">
        <f>Tableau1[[#This Row],[Conso HP / jour
Instantané]]*365</f>
        <v>20692.913385523279</v>
      </c>
      <c r="N131" s="38">
        <f>Tableau1[[#This Row],[Index HP
kWh]]-$I$5</f>
        <v>4043</v>
      </c>
      <c r="O131" s="41">
        <f>Tableau1[[#This Row],[Différence HP
Cumul]]/(Tableau1[[#This Row],[Diff jour_x000D_
Cumul]]*24)</f>
        <v>1.7758028740218397</v>
      </c>
      <c r="P131" s="41">
        <f>Tableau1[[#This Row],[Différence HP
Cumul]]/Tableau1[[#This Row],[Diff jour_x000D_
Cumul]]</f>
        <v>42.619268976524154</v>
      </c>
      <c r="Q131" s="41">
        <f>Tableau1[[#This Row],[Conso HP / jour
Cumul]]*365</f>
        <v>15556.033176431316</v>
      </c>
      <c r="R131" s="21">
        <v>121322</v>
      </c>
      <c r="S131" s="38">
        <f>Tableau1[[#This Row],[Index HC_x000D_
kWh]]-R130</f>
        <v>0</v>
      </c>
      <c r="T131" s="42">
        <f>Tableau1[[#This Row],[Différence_x000D_ HC
Instantané]]/(Tableau1[[#This Row],[Diff jour
Instantané]]*24)</f>
        <v>0</v>
      </c>
      <c r="U131" s="42">
        <f>Tableau1[[#This Row],[Différence_x000D_ HC
Instantané]]/Tableau1[[#This Row],[Diff jour
Instantané]]</f>
        <v>0</v>
      </c>
      <c r="V131" s="42">
        <f>Tableau1[[#This Row],[Conso HC / jour_x000D_
Instantané]]*365</f>
        <v>0</v>
      </c>
      <c r="W131" s="38">
        <f>Tableau1[[#This Row],[Index HC_x000D_
kWh]]-$R$5</f>
        <v>1890</v>
      </c>
      <c r="X131" s="43">
        <f>Tableau1[[#This Row],[Différence HC
Cumul]]/(Tableau1[[#This Row],[Diff jour_x000D_
Cumul]]*24)</f>
        <v>0.83014282263202499</v>
      </c>
      <c r="Y131" s="43">
        <f>Tableau1[[#This Row],[Différence HC
Cumul]]/Tableau1[[#This Row],[Diff jour_x000D_
Cumul]]</f>
        <v>19.923427743168599</v>
      </c>
      <c r="Z131" s="43">
        <f>Tableau1[[#This Row],[Conso HC / jour_x000D_
Cumul]]*365</f>
        <v>7272.0511262565387</v>
      </c>
      <c r="AA131" s="38">
        <f>Tableau1[[#This Row],[Différence HP
Instantané]]+Tableau1[[#This Row],[Différence_x000D_ HC
Instantané]]</f>
        <v>15</v>
      </c>
      <c r="AB131" s="41">
        <f>Tableau1[[#This Row],[Conso HP + HC
Instantané]]/(Tableau1[[#This Row],[Diff jour
Instantané]]*24)</f>
        <v>2.3622047243748034</v>
      </c>
      <c r="AC131" s="34">
        <f>IF(ISERROR(Tableau1[[#This Row],[Date]]-A130),"",Tableau1[[#This Row],[Conso HP + HC
Instantané]]/Tableau1[[#This Row],[Diff jour
Instantané]])</f>
        <v>56.692913384995286</v>
      </c>
      <c r="AD131" s="41">
        <f>Tableau1[[#This Row],[Conso HP + HC / jour_x000D_
Instantané]]*365</f>
        <v>20692.913385523279</v>
      </c>
      <c r="AE131" s="38">
        <f>Tableau1[[#This Row],[Différence HP
Cumul]]+Tableau1[[#This Row],[Différence HC
Cumul]]</f>
        <v>5933</v>
      </c>
      <c r="AF131" s="40">
        <f>(Tableau1[[#This Row],[Conso HP + HC
Cumul]]-AE$6)/Tableau1[[#This Row],[Diff jour_x000D_
Cumul
depuis le 24/01]]</f>
        <v>59.211134620791377</v>
      </c>
      <c r="AG131" s="40">
        <f>(Tableau1[[#This Row],[Conso HP + HC
Cumul]]-AE$59)/Tableau1[[#This Row],[Diff jour_x000D_
Cumul
depuis
précédente facture
16/02/2021]]</f>
        <v>51.254484645792623</v>
      </c>
      <c r="AH131" s="41">
        <f>Tableau1[[#This Row],[Conso HP + HC
Cumul]]/(Tableau1[[#This Row],[Diff jour_x000D_
Cumul]]*24)</f>
        <v>2.6059456966538646</v>
      </c>
      <c r="AI131" s="41">
        <f>Tableau1[[#This Row],[Conso HP + HC
Cumul]]/Tableau1[[#This Row],[Diff jour_x000D_
Cumul]]</f>
        <v>62.542696719692756</v>
      </c>
      <c r="AJ131" s="41">
        <f>Tableau1[[#This Row],[Conso HP + HC / jour_x000D_
Cumul]]*365</f>
        <v>22828.084302687857</v>
      </c>
      <c r="AK131" s="44">
        <f>(Tableau1[[#This Row],[Différence HP
Cumul]]*0.1799)+(Tableau1[[#This Row],[Différence HC
Cumul]]*0.1346)</f>
        <v>981.72969999999998</v>
      </c>
      <c r="AL131" s="44">
        <f>Tableau1[[#This Row],[Montant
Tarif HP/HC]]/Tableau1[[#This Row],[Diff jour_x000D_
Cumul]]</f>
        <v>10.348899863107189</v>
      </c>
      <c r="AM131" s="44">
        <f>(Tableau1[[#This Row],[Montant
Tarif HP/HC]]-AK$6)/Tableau1[[#This Row],[Diff jour_x000D_
Cumul
depuis le 24/01]]</f>
        <v>9.8151719481912494</v>
      </c>
      <c r="AN131" s="44">
        <f>(Tableau1[[#This Row],[Montant
Tarif HP/HC]]-AK$59)/Tableau1[[#This Row],[Diff jour_x000D_
Cumul
depuis
précédente facture
16/02/2021]]</f>
        <v>8.4577576162973447</v>
      </c>
      <c r="AO131" s="44">
        <f>Tableau1[[#This Row],[Conso HP + HC
Cumul]]*0.1599</f>
        <v>948.68669999999997</v>
      </c>
      <c r="AP131" s="44">
        <f>Tableau1[[#This Row],[Montant
Tarif normal]]/Tableau1[[#This Row],[Diff jour_x000D_
Cumul]]</f>
        <v>10.000577205478871</v>
      </c>
      <c r="AQ131" s="44">
        <f>(Tableau1[[#This Row],[Conso HP / an
Cumul]]*0.1799)+(Tableau1[[#This Row],[Conso HC / an_x000D_
Cumul]]*0.1346)</f>
        <v>3777.3484500341237</v>
      </c>
      <c r="AR131" s="44">
        <f>Tableau1[[#This Row],[Conso HP + HC / an_x000D_
Cumul]]*0.1599</f>
        <v>3650.2106799997882</v>
      </c>
      <c r="AS131" s="38">
        <f>MONTH(Tableau1[[#This Row],[Date]])</f>
        <v>3</v>
      </c>
      <c r="AT131" s="38">
        <f>YEAR(Tableau1[[#This Row],[Date]])</f>
        <v>2021</v>
      </c>
    </row>
    <row r="132" spans="1:46" x14ac:dyDescent="0.2">
      <c r="A132" s="19">
        <v>44278.37222222222</v>
      </c>
      <c r="B132" s="20">
        <v>4.5999999999999996</v>
      </c>
      <c r="C132" s="39">
        <f>IF(ISERROR(Tableau1[[#This Row],[Date]]-A131),"",Tableau1[[#This Row],[Date]]-A131)</f>
        <v>0.8006944444423425</v>
      </c>
      <c r="D132" s="40">
        <f>IF(ISERROR(Tableau1[[#This Row],[Date]]-A131),"",Tableau1[[#This Row],[Date]]-A131)</f>
        <v>0.8006944444423425</v>
      </c>
      <c r="E132" s="39">
        <f>Tableau1[[#This Row],[Date]]-$A$5</f>
        <v>95.663888888884685</v>
      </c>
      <c r="F132" s="40">
        <f>Tableau1[[#This Row],[Date]]-$A$5</f>
        <v>95.663888888884685</v>
      </c>
      <c r="G132" s="40">
        <f>Tableau1[[#This Row],[Diff jour_x000D_
Cumul]]-F$6</f>
        <v>57.580555555556202</v>
      </c>
      <c r="H132" s="40">
        <f>Tableau1[[#This Row],[Diff jour_x000D_
Cumul]]-F$59</f>
        <v>35.061111111106584</v>
      </c>
      <c r="I132" s="21">
        <v>183823</v>
      </c>
      <c r="J132" s="38">
        <f>IF(ISERROR(Tableau1[[#This Row],[Index HP
kWh]]-I131),"",Tableau1[[#This Row],[Index HP
kWh]]-I131)</f>
        <v>21</v>
      </c>
      <c r="K132" s="40">
        <f>IF(ISERROR(Tableau1[[#This Row],[Différence HP
Instantané]]/(Tableau1[[#This Row],[Diff jour
Instantané]]*24)),"",Tableau1[[#This Row],[Différence HP
Instantané]]/(Tableau1[[#This Row],[Diff jour
Instantané]]*24))</f>
        <v>1.0928013876871705</v>
      </c>
      <c r="L132" s="40">
        <f>Tableau1[[#This Row],[Différence HP
Instantané]]/Tableau1[[#This Row],[Diff jour
Instantané]]</f>
        <v>26.227233304492096</v>
      </c>
      <c r="M132" s="40">
        <f>Tableau1[[#This Row],[Conso HP / jour
Instantané]]*365</f>
        <v>9572.9401561396153</v>
      </c>
      <c r="N132" s="38">
        <f>Tableau1[[#This Row],[Index HP
kWh]]-$I$5</f>
        <v>4064</v>
      </c>
      <c r="O132" s="41">
        <f>Tableau1[[#This Row],[Différence HP
Cumul]]/(Tableau1[[#This Row],[Diff jour_x000D_
Cumul]]*24)</f>
        <v>1.7700862394379244</v>
      </c>
      <c r="P132" s="41">
        <f>Tableau1[[#This Row],[Différence HP
Cumul]]/Tableau1[[#This Row],[Diff jour_x000D_
Cumul]]</f>
        <v>42.482069746510184</v>
      </c>
      <c r="Q132" s="41">
        <f>Tableau1[[#This Row],[Conso HP / jour
Cumul]]*365</f>
        <v>15505.955457476217</v>
      </c>
      <c r="R132" s="21">
        <v>121343</v>
      </c>
      <c r="S132" s="38">
        <f>Tableau1[[#This Row],[Index HC_x000D_
kWh]]-R131</f>
        <v>21</v>
      </c>
      <c r="T132" s="42">
        <f>Tableau1[[#This Row],[Différence_x000D_ HC
Instantané]]/(Tableau1[[#This Row],[Diff jour
Instantané]]*24)</f>
        <v>1.0928013876871705</v>
      </c>
      <c r="U132" s="42">
        <f>Tableau1[[#This Row],[Différence_x000D_ HC
Instantané]]/Tableau1[[#This Row],[Diff jour
Instantané]]</f>
        <v>26.227233304492096</v>
      </c>
      <c r="V132" s="42">
        <f>Tableau1[[#This Row],[Conso HC / jour_x000D_
Instantané]]*365</f>
        <v>9572.9401561396153</v>
      </c>
      <c r="W132" s="38">
        <f>Tableau1[[#This Row],[Index HC_x000D_
kWh]]-$R$5</f>
        <v>1911</v>
      </c>
      <c r="X132" s="43">
        <f>Tableau1[[#This Row],[Différence HC
Cumul]]/(Tableau1[[#This Row],[Diff jour_x000D_
Cumul]]*24)</f>
        <v>0.83234124103490981</v>
      </c>
      <c r="Y132" s="43">
        <f>Tableau1[[#This Row],[Différence HC
Cumul]]/Tableau1[[#This Row],[Diff jour_x000D_
Cumul]]</f>
        <v>19.976189784837835</v>
      </c>
      <c r="Z132" s="43">
        <f>Tableau1[[#This Row],[Conso HC / jour_x000D_
Cumul]]*365</f>
        <v>7291.3092714658096</v>
      </c>
      <c r="AA132" s="38">
        <f>Tableau1[[#This Row],[Différence HP
Instantané]]+Tableau1[[#This Row],[Différence_x000D_ HC
Instantané]]</f>
        <v>42</v>
      </c>
      <c r="AB132" s="41">
        <f>Tableau1[[#This Row],[Conso HP + HC
Instantané]]/(Tableau1[[#This Row],[Diff jour
Instantané]]*24)</f>
        <v>2.185602775374341</v>
      </c>
      <c r="AC132" s="34">
        <f>IF(ISERROR(Tableau1[[#This Row],[Date]]-A131),"",Tableau1[[#This Row],[Conso HP + HC
Instantané]]/Tableau1[[#This Row],[Diff jour
Instantané]])</f>
        <v>52.454466608984191</v>
      </c>
      <c r="AD132" s="41">
        <f>Tableau1[[#This Row],[Conso HP + HC / jour_x000D_
Instantané]]*365</f>
        <v>19145.880312279231</v>
      </c>
      <c r="AE132" s="38">
        <f>Tableau1[[#This Row],[Différence HP
Cumul]]+Tableau1[[#This Row],[Différence HC
Cumul]]</f>
        <v>5975</v>
      </c>
      <c r="AF132" s="40">
        <f>(Tableau1[[#This Row],[Conso HP + HC
Cumul]]-AE$6)/Tableau1[[#This Row],[Diff jour_x000D_
Cumul
depuis le 24/01]]</f>
        <v>59.117178831587928</v>
      </c>
      <c r="AG132" s="40">
        <f>(Tableau1[[#This Row],[Conso HP + HC
Cumul]]-AE$59)/Tableau1[[#This Row],[Diff jour_x000D_
Cumul
depuis
précédente facture
16/02/2021]]</f>
        <v>51.281888765653903</v>
      </c>
      <c r="AH132" s="41">
        <f>Tableau1[[#This Row],[Conso HP + HC
Cumul]]/(Tableau1[[#This Row],[Diff jour_x000D_
Cumul]]*24)</f>
        <v>2.6024274804728345</v>
      </c>
      <c r="AI132" s="41">
        <f>Tableau1[[#This Row],[Conso HP + HC
Cumul]]/Tableau1[[#This Row],[Diff jour_x000D_
Cumul]]</f>
        <v>62.45825953134802</v>
      </c>
      <c r="AJ132" s="41">
        <f>Tableau1[[#This Row],[Conso HP + HC / jour_x000D_
Cumul]]*365</f>
        <v>22797.264728942027</v>
      </c>
      <c r="AK132" s="44">
        <f>(Tableau1[[#This Row],[Différence HP
Cumul]]*0.1799)+(Tableau1[[#This Row],[Différence HC
Cumul]]*0.1346)</f>
        <v>988.33420000000001</v>
      </c>
      <c r="AL132" s="44">
        <f>Tableau1[[#This Row],[Montant
Tarif HP/HC]]/Tableau1[[#This Row],[Diff jour_x000D_
Cumul]]</f>
        <v>10.331319492436355</v>
      </c>
      <c r="AM132" s="44">
        <f>(Tableau1[[#This Row],[Montant
Tarif HP/HC]]-AK$6)/Tableau1[[#This Row],[Diff jour_x000D_
Cumul
depuis le 24/01]]</f>
        <v>9.7933858845095134</v>
      </c>
      <c r="AN132" s="44">
        <f>(Tableau1[[#This Row],[Montant
Tarif HP/HC]]-AK$59)/Tableau1[[#This Row],[Diff jour_x000D_
Cumul
depuis
précédente facture
16/02/2021]]</f>
        <v>8.4529779749654406</v>
      </c>
      <c r="AO132" s="44">
        <f>Tableau1[[#This Row],[Conso HP + HC
Cumul]]*0.1599</f>
        <v>955.40249999999992</v>
      </c>
      <c r="AP132" s="44">
        <f>Tableau1[[#This Row],[Montant
Tarif normal]]/Tableau1[[#This Row],[Diff jour_x000D_
Cumul]]</f>
        <v>9.9870756990625473</v>
      </c>
      <c r="AQ132" s="44">
        <f>(Tableau1[[#This Row],[Conso HP / an
Cumul]]*0.1799)+(Tableau1[[#This Row],[Conso HC / an_x000D_
Cumul]]*0.1346)</f>
        <v>3770.9316147392692</v>
      </c>
      <c r="AR132" s="44">
        <f>Tableau1[[#This Row],[Conso HP + HC / an_x000D_
Cumul]]*0.1599</f>
        <v>3645.2826301578298</v>
      </c>
      <c r="AS132" s="38">
        <f>MONTH(Tableau1[[#This Row],[Date]])</f>
        <v>3</v>
      </c>
      <c r="AT132" s="38">
        <f>YEAR(Tableau1[[#This Row],[Date]])</f>
        <v>2021</v>
      </c>
    </row>
    <row r="133" spans="1:46" x14ac:dyDescent="0.2">
      <c r="A133" s="19">
        <v>44279.582638888889</v>
      </c>
      <c r="B133" s="20">
        <v>15.9</v>
      </c>
      <c r="C133" s="39">
        <f>IF(ISERROR(Tableau1[[#This Row],[Date]]-A132),"",Tableau1[[#This Row],[Date]]-A132)</f>
        <v>1.2104166666686069</v>
      </c>
      <c r="D133" s="40">
        <f>IF(ISERROR(Tableau1[[#This Row],[Date]]-A132),"",Tableau1[[#This Row],[Date]]-A132)</f>
        <v>1.2104166666686069</v>
      </c>
      <c r="E133" s="39">
        <f>Tableau1[[#This Row],[Date]]-$A$5</f>
        <v>96.874305555553292</v>
      </c>
      <c r="F133" s="40">
        <f>Tableau1[[#This Row],[Date]]-$A$5</f>
        <v>96.874305555553292</v>
      </c>
      <c r="G133" s="40">
        <f>Tableau1[[#This Row],[Diff jour_x000D_
Cumul]]-F$6</f>
        <v>58.790972222224809</v>
      </c>
      <c r="H133" s="40">
        <f>Tableau1[[#This Row],[Diff jour_x000D_
Cumul]]-F$59</f>
        <v>36.271527777775191</v>
      </c>
      <c r="I133" s="21">
        <v>183854</v>
      </c>
      <c r="J133" s="38">
        <f>IF(ISERROR(Tableau1[[#This Row],[Index HP
kWh]]-I132),"",Tableau1[[#This Row],[Index HP
kWh]]-I132)</f>
        <v>31</v>
      </c>
      <c r="K133" s="40">
        <f>IF(ISERROR(Tableau1[[#This Row],[Différence HP
Instantané]]/(Tableau1[[#This Row],[Diff jour
Instantané]]*24)),"",Tableau1[[#This Row],[Différence HP
Instantané]]/(Tableau1[[#This Row],[Diff jour
Instantané]]*24))</f>
        <v>1.0671256454371878</v>
      </c>
      <c r="L133" s="40">
        <f>Tableau1[[#This Row],[Différence HP
Instantané]]/Tableau1[[#This Row],[Diff jour
Instantané]]</f>
        <v>25.611015490492509</v>
      </c>
      <c r="M133" s="40">
        <f>Tableau1[[#This Row],[Conso HP / jour
Instantané]]*365</f>
        <v>9348.0206540297659</v>
      </c>
      <c r="N133" s="38">
        <f>Tableau1[[#This Row],[Index HP
kWh]]-$I$5</f>
        <v>4095</v>
      </c>
      <c r="O133" s="41">
        <f>Tableau1[[#This Row],[Différence HP
Cumul]]/(Tableau1[[#This Row],[Diff jour_x000D_
Cumul]]*24)</f>
        <v>1.7613029484082734</v>
      </c>
      <c r="P133" s="41">
        <f>Tableau1[[#This Row],[Différence HP
Cumul]]/Tableau1[[#This Row],[Diff jour_x000D_
Cumul]]</f>
        <v>42.271270761798561</v>
      </c>
      <c r="Q133" s="41">
        <f>Tableau1[[#This Row],[Conso HP / jour
Cumul]]*365</f>
        <v>15429.013828056475</v>
      </c>
      <c r="R133" s="21">
        <v>121360</v>
      </c>
      <c r="S133" s="38">
        <f>Tableau1[[#This Row],[Index HC_x000D_
kWh]]-R132</f>
        <v>17</v>
      </c>
      <c r="T133" s="42">
        <f>Tableau1[[#This Row],[Différence_x000D_ HC
Instantané]]/(Tableau1[[#This Row],[Diff jour
Instantané]]*24)</f>
        <v>0.58519793459458691</v>
      </c>
      <c r="U133" s="42">
        <f>Tableau1[[#This Row],[Différence_x000D_ HC
Instantané]]/Tableau1[[#This Row],[Diff jour
Instantané]]</f>
        <v>14.044750430270085</v>
      </c>
      <c r="V133" s="42">
        <f>Tableau1[[#This Row],[Conso HC / jour_x000D_
Instantané]]*365</f>
        <v>5126.3339070485808</v>
      </c>
      <c r="W133" s="38">
        <f>Tableau1[[#This Row],[Index HC_x000D_
kWh]]-$R$5</f>
        <v>1928</v>
      </c>
      <c r="X133" s="43">
        <f>Tableau1[[#This Row],[Différence HC
Cumul]]/(Tableau1[[#This Row],[Diff jour_x000D_
Cumul]]*24)</f>
        <v>0.82925325629576341</v>
      </c>
      <c r="Y133" s="43">
        <f>Tableau1[[#This Row],[Différence HC
Cumul]]/Tableau1[[#This Row],[Diff jour_x000D_
Cumul]]</f>
        <v>19.902078151098323</v>
      </c>
      <c r="Z133" s="43">
        <f>Tableau1[[#This Row],[Conso HC / jour_x000D_
Cumul]]*365</f>
        <v>7264.2585251508881</v>
      </c>
      <c r="AA133" s="38">
        <f>Tableau1[[#This Row],[Différence HP
Instantané]]+Tableau1[[#This Row],[Différence_x000D_ HC
Instantané]]</f>
        <v>48</v>
      </c>
      <c r="AB133" s="41">
        <f>Tableau1[[#This Row],[Conso HP + HC
Instantané]]/(Tableau1[[#This Row],[Diff jour
Instantané]]*24)</f>
        <v>1.6523235800317748</v>
      </c>
      <c r="AC133" s="34">
        <f>IF(ISERROR(Tableau1[[#This Row],[Date]]-A132),"",Tableau1[[#This Row],[Conso HP + HC
Instantané]]/Tableau1[[#This Row],[Diff jour
Instantané]])</f>
        <v>39.655765920762597</v>
      </c>
      <c r="AD133" s="41">
        <f>Tableau1[[#This Row],[Conso HP + HC / jour_x000D_
Instantané]]*365</f>
        <v>14474.354561078348</v>
      </c>
      <c r="AE133" s="38">
        <f>Tableau1[[#This Row],[Différence HP
Cumul]]+Tableau1[[#This Row],[Différence HC
Cumul]]</f>
        <v>6023</v>
      </c>
      <c r="AF133" s="40">
        <f>(Tableau1[[#This Row],[Conso HP + HC
Cumul]]-AE$6)/Tableau1[[#This Row],[Diff jour_x000D_
Cumul
depuis le 24/01]]</f>
        <v>58.716497950599241</v>
      </c>
      <c r="AG133" s="40">
        <f>(Tableau1[[#This Row],[Conso HP + HC
Cumul]]-AE$59)/Tableau1[[#This Row],[Diff jour_x000D_
Cumul
depuis
précédente facture
16/02/2021]]</f>
        <v>50.893913576232308</v>
      </c>
      <c r="AH133" s="41">
        <f>Tableau1[[#This Row],[Conso HP + HC
Cumul]]/(Tableau1[[#This Row],[Diff jour_x000D_
Cumul]]*24)</f>
        <v>2.5905562047040367</v>
      </c>
      <c r="AI133" s="41">
        <f>Tableau1[[#This Row],[Conso HP + HC
Cumul]]/Tableau1[[#This Row],[Diff jour_x000D_
Cumul]]</f>
        <v>62.173348912896884</v>
      </c>
      <c r="AJ133" s="41">
        <f>Tableau1[[#This Row],[Conso HP + HC / jour_x000D_
Cumul]]*365</f>
        <v>22693.272353207361</v>
      </c>
      <c r="AK133" s="44">
        <f>(Tableau1[[#This Row],[Différence HP
Cumul]]*0.1799)+(Tableau1[[#This Row],[Différence HC
Cumul]]*0.1346)</f>
        <v>996.19929999999999</v>
      </c>
      <c r="AL133" s="44">
        <f>Tableau1[[#This Row],[Montant
Tarif HP/HC]]/Tableau1[[#This Row],[Diff jour_x000D_
Cumul]]</f>
        <v>10.283421329185396</v>
      </c>
      <c r="AM133" s="44">
        <f>(Tableau1[[#This Row],[Montant
Tarif HP/HC]]-AK$6)/Tableau1[[#This Row],[Diff jour_x000D_
Cumul
depuis le 24/01]]</f>
        <v>9.725535713863426</v>
      </c>
      <c r="AN133" s="44">
        <f>(Tableau1[[#This Row],[Montant
Tarif HP/HC]]-AK$59)/Tableau1[[#This Row],[Diff jour_x000D_
Cumul
depuis
précédente facture
16/02/2021]]</f>
        <v>8.3877332618565852</v>
      </c>
      <c r="AO133" s="44">
        <f>Tableau1[[#This Row],[Conso HP + HC
Cumul]]*0.1599</f>
        <v>963.07769999999994</v>
      </c>
      <c r="AP133" s="44">
        <f>Tableau1[[#This Row],[Montant
Tarif normal]]/Tableau1[[#This Row],[Diff jour_x000D_
Cumul]]</f>
        <v>9.9415184911722108</v>
      </c>
      <c r="AQ133" s="44">
        <f>(Tableau1[[#This Row],[Conso HP / an
Cumul]]*0.1799)+(Tableau1[[#This Row],[Conso HC / an_x000D_
Cumul]]*0.1346)</f>
        <v>3753.4487851526696</v>
      </c>
      <c r="AR133" s="44">
        <f>Tableau1[[#This Row],[Conso HP + HC / an_x000D_
Cumul]]*0.1599</f>
        <v>3628.6542492778567</v>
      </c>
      <c r="AS133" s="38">
        <f>MONTH(Tableau1[[#This Row],[Date]])</f>
        <v>3</v>
      </c>
      <c r="AT133" s="38">
        <f>YEAR(Tableau1[[#This Row],[Date]])</f>
        <v>2021</v>
      </c>
    </row>
    <row r="134" spans="1:46" x14ac:dyDescent="0.2">
      <c r="A134" s="19">
        <v>44280.365972222222</v>
      </c>
      <c r="B134" s="20">
        <v>9.1</v>
      </c>
      <c r="C134" s="39">
        <f>IF(ISERROR(Tableau1[[#This Row],[Date]]-A133),"",Tableau1[[#This Row],[Date]]-A133)</f>
        <v>0.78333333333284827</v>
      </c>
      <c r="D134" s="40">
        <f>IF(ISERROR(Tableau1[[#This Row],[Date]]-A133),"",Tableau1[[#This Row],[Date]]-A133)</f>
        <v>0.78333333333284827</v>
      </c>
      <c r="E134" s="39">
        <f>Tableau1[[#This Row],[Date]]-$A$5</f>
        <v>97.65763888888614</v>
      </c>
      <c r="F134" s="40">
        <f>Tableau1[[#This Row],[Date]]-$A$5</f>
        <v>97.65763888888614</v>
      </c>
      <c r="G134" s="40">
        <f>Tableau1[[#This Row],[Diff jour_x000D_
Cumul]]-F$6</f>
        <v>59.574305555557657</v>
      </c>
      <c r="H134" s="40">
        <f>Tableau1[[#This Row],[Diff jour_x000D_
Cumul]]-F$59</f>
        <v>37.054861111108039</v>
      </c>
      <c r="I134" s="21">
        <v>183868</v>
      </c>
      <c r="J134" s="38">
        <f>IF(ISERROR(Tableau1[[#This Row],[Index HP
kWh]]-I133),"",Tableau1[[#This Row],[Index HP
kWh]]-I133)</f>
        <v>14</v>
      </c>
      <c r="K134" s="40">
        <f>IF(ISERROR(Tableau1[[#This Row],[Différence HP
Instantané]]/(Tableau1[[#This Row],[Diff jour
Instantané]]*24)),"",Tableau1[[#This Row],[Différence HP
Instantané]]/(Tableau1[[#This Row],[Diff jour
Instantané]]*24))</f>
        <v>0.74468085106429094</v>
      </c>
      <c r="L134" s="40">
        <f>Tableau1[[#This Row],[Différence HP
Instantané]]/Tableau1[[#This Row],[Diff jour
Instantané]]</f>
        <v>17.872340425542983</v>
      </c>
      <c r="M134" s="40">
        <f>Tableau1[[#This Row],[Conso HP / jour
Instantané]]*365</f>
        <v>6523.4042553231893</v>
      </c>
      <c r="N134" s="38">
        <f>Tableau1[[#This Row],[Index HP
kWh]]-$I$5</f>
        <v>4109</v>
      </c>
      <c r="O134" s="41">
        <f>Tableau1[[#This Row],[Différence HP
Cumul]]/(Tableau1[[#This Row],[Diff jour_x000D_
Cumul]]*24)</f>
        <v>1.7531483996672541</v>
      </c>
      <c r="P134" s="41">
        <f>Tableau1[[#This Row],[Différence HP
Cumul]]/Tableau1[[#This Row],[Diff jour_x000D_
Cumul]]</f>
        <v>42.075561592014097</v>
      </c>
      <c r="Q134" s="41">
        <f>Tableau1[[#This Row],[Conso HP / jour
Cumul]]*365</f>
        <v>15357.579981085146</v>
      </c>
      <c r="R134" s="21">
        <v>121373</v>
      </c>
      <c r="S134" s="38">
        <f>Tableau1[[#This Row],[Index HC_x000D_
kWh]]-R133</f>
        <v>13</v>
      </c>
      <c r="T134" s="42">
        <f>Tableau1[[#This Row],[Différence_x000D_ HC
Instantané]]/(Tableau1[[#This Row],[Diff jour
Instantané]]*24)</f>
        <v>0.69148936170255582</v>
      </c>
      <c r="U134" s="42">
        <f>Tableau1[[#This Row],[Différence_x000D_ HC
Instantané]]/Tableau1[[#This Row],[Diff jour
Instantané]]</f>
        <v>16.59574468086134</v>
      </c>
      <c r="V134" s="42">
        <f>Tableau1[[#This Row],[Conso HC / jour_x000D_
Instantané]]*365</f>
        <v>6057.446808514389</v>
      </c>
      <c r="W134" s="38">
        <f>Tableau1[[#This Row],[Index HC_x000D_
kWh]]-$R$5</f>
        <v>1941</v>
      </c>
      <c r="X134" s="43">
        <f>Tableau1[[#This Row],[Différence HC
Cumul]]/(Tableau1[[#This Row],[Diff jour_x000D_
Cumul]]*24)</f>
        <v>0.82814822189197868</v>
      </c>
      <c r="Y134" s="43">
        <f>Tableau1[[#This Row],[Différence HC
Cumul]]/Tableau1[[#This Row],[Diff jour_x000D_
Cumul]]</f>
        <v>19.875557325407488</v>
      </c>
      <c r="Z134" s="43">
        <f>Tableau1[[#This Row],[Conso HC / jour_x000D_
Cumul]]*365</f>
        <v>7254.5784237737334</v>
      </c>
      <c r="AA134" s="38">
        <f>Tableau1[[#This Row],[Différence HP
Instantané]]+Tableau1[[#This Row],[Différence_x000D_ HC
Instantané]]</f>
        <v>27</v>
      </c>
      <c r="AB134" s="41">
        <f>Tableau1[[#This Row],[Conso HP + HC
Instantané]]/(Tableau1[[#This Row],[Diff jour
Instantané]]*24)</f>
        <v>1.4361702127668468</v>
      </c>
      <c r="AC134" s="34">
        <f>IF(ISERROR(Tableau1[[#This Row],[Date]]-A133),"",Tableau1[[#This Row],[Conso HP + HC
Instantané]]/Tableau1[[#This Row],[Diff jour
Instantané]])</f>
        <v>34.468085106404324</v>
      </c>
      <c r="AD134" s="41">
        <f>Tableau1[[#This Row],[Conso HP + HC / jour_x000D_
Instantané]]*365</f>
        <v>12580.851063837577</v>
      </c>
      <c r="AE134" s="38">
        <f>Tableau1[[#This Row],[Différence HP
Cumul]]+Tableau1[[#This Row],[Différence HC
Cumul]]</f>
        <v>6050</v>
      </c>
      <c r="AF134" s="40">
        <f>(Tableau1[[#This Row],[Conso HP + HC
Cumul]]-AE$6)/Tableau1[[#This Row],[Diff jour_x000D_
Cumul
depuis le 24/01]]</f>
        <v>58.39765931900898</v>
      </c>
      <c r="AG134" s="40">
        <f>(Tableau1[[#This Row],[Conso HP + HC
Cumul]]-AE$59)/Tableau1[[#This Row],[Diff jour_x000D_
Cumul
depuis
précédente facture
16/02/2021]]</f>
        <v>50.546674412942963</v>
      </c>
      <c r="AH134" s="41">
        <f>Tableau1[[#This Row],[Conso HP + HC
Cumul]]/(Tableau1[[#This Row],[Diff jour_x000D_
Cumul]]*24)</f>
        <v>2.5812966215592326</v>
      </c>
      <c r="AI134" s="41">
        <f>Tableau1[[#This Row],[Conso HP + HC
Cumul]]/Tableau1[[#This Row],[Diff jour_x000D_
Cumul]]</f>
        <v>61.951118917421582</v>
      </c>
      <c r="AJ134" s="41">
        <f>Tableau1[[#This Row],[Conso HP + HC / jour_x000D_
Cumul]]*365</f>
        <v>22612.158404858877</v>
      </c>
      <c r="AK134" s="44">
        <f>(Tableau1[[#This Row],[Différence HP
Cumul]]*0.1799)+(Tableau1[[#This Row],[Différence HC
Cumul]]*0.1346)</f>
        <v>1000.4677</v>
      </c>
      <c r="AL134" s="44">
        <f>Tableau1[[#This Row],[Montant
Tarif HP/HC]]/Tableau1[[#This Row],[Diff jour_x000D_
Cumul]]</f>
        <v>10.244643546403184</v>
      </c>
      <c r="AM134" s="44">
        <f>(Tableau1[[#This Row],[Montant
Tarif HP/HC]]-AK$6)/Tableau1[[#This Row],[Diff jour_x000D_
Cumul
depuis le 24/01]]</f>
        <v>9.6693044866934468</v>
      </c>
      <c r="AN134" s="44">
        <f>(Tableau1[[#This Row],[Montant
Tarif HP/HC]]-AK$59)/Tableau1[[#This Row],[Diff jour_x000D_
Cumul
depuis
précédente facture
16/02/2021]]</f>
        <v>8.3256094004767132</v>
      </c>
      <c r="AO134" s="44">
        <f>Tableau1[[#This Row],[Conso HP + HC
Cumul]]*0.1599</f>
        <v>967.39499999999987</v>
      </c>
      <c r="AP134" s="44">
        <f>Tableau1[[#This Row],[Montant
Tarif normal]]/Tableau1[[#This Row],[Diff jour_x000D_
Cumul]]</f>
        <v>9.9059839148957103</v>
      </c>
      <c r="AQ134" s="44">
        <f>(Tableau1[[#This Row],[Conso HP / an
Cumul]]*0.1799)+(Tableau1[[#This Row],[Conso HC / an_x000D_
Cumul]]*0.1346)</f>
        <v>3739.2948944371624</v>
      </c>
      <c r="AR134" s="44">
        <f>Tableau1[[#This Row],[Conso HP + HC / an_x000D_
Cumul]]*0.1599</f>
        <v>3615.684128936934</v>
      </c>
      <c r="AS134" s="38">
        <f>MONTH(Tableau1[[#This Row],[Date]])</f>
        <v>3</v>
      </c>
      <c r="AT134" s="38">
        <f>YEAR(Tableau1[[#This Row],[Date]])</f>
        <v>2021</v>
      </c>
    </row>
    <row r="135" spans="1:46" x14ac:dyDescent="0.2">
      <c r="A135" s="19">
        <v>44281.377083333333</v>
      </c>
      <c r="B135" s="20">
        <v>9.1</v>
      </c>
      <c r="C135" s="39">
        <f>IF(ISERROR(Tableau1[[#This Row],[Date]]-A134),"",Tableau1[[#This Row],[Date]]-A134)</f>
        <v>1.0111111111109494</v>
      </c>
      <c r="D135" s="40">
        <f>IF(ISERROR(Tableau1[[#This Row],[Date]]-A134),"",Tableau1[[#This Row],[Date]]-A134)</f>
        <v>1.0111111111109494</v>
      </c>
      <c r="E135" s="39">
        <f>Tableau1[[#This Row],[Date]]-$A$5</f>
        <v>98.66874999999709</v>
      </c>
      <c r="F135" s="40">
        <f>Tableau1[[#This Row],[Date]]-$A$5</f>
        <v>98.66874999999709</v>
      </c>
      <c r="G135" s="40">
        <f>Tableau1[[#This Row],[Diff jour_x000D_
Cumul]]-F$6</f>
        <v>60.585416666668607</v>
      </c>
      <c r="H135" s="40">
        <f>Tableau1[[#This Row],[Diff jour_x000D_
Cumul]]-F$59</f>
        <v>38.065972222218988</v>
      </c>
      <c r="I135" s="21">
        <v>183888</v>
      </c>
      <c r="J135" s="38">
        <f>IF(ISERROR(Tableau1[[#This Row],[Index HP
kWh]]-I134),"",Tableau1[[#This Row],[Index HP
kWh]]-I134)</f>
        <v>20</v>
      </c>
      <c r="K135" s="40">
        <f>IF(ISERROR(Tableau1[[#This Row],[Différence HP
Instantané]]/(Tableau1[[#This Row],[Diff jour
Instantané]]*24)),"",Tableau1[[#This Row],[Différence HP
Instantané]]/(Tableau1[[#This Row],[Diff jour
Instantané]]*24))</f>
        <v>0.82417582417595592</v>
      </c>
      <c r="L135" s="40">
        <f>Tableau1[[#This Row],[Différence HP
Instantané]]/Tableau1[[#This Row],[Diff jour
Instantané]]</f>
        <v>19.780219780222943</v>
      </c>
      <c r="M135" s="40">
        <f>Tableau1[[#This Row],[Conso HP / jour
Instantané]]*365</f>
        <v>7219.7802197813744</v>
      </c>
      <c r="N135" s="38">
        <f>Tableau1[[#This Row],[Index HP
kWh]]-$I$5</f>
        <v>4129</v>
      </c>
      <c r="O135" s="41">
        <f>Tableau1[[#This Row],[Différence HP
Cumul]]/(Tableau1[[#This Row],[Diff jour_x000D_
Cumul]]*24)</f>
        <v>1.7436287240557091</v>
      </c>
      <c r="P135" s="41">
        <f>Tableau1[[#This Row],[Différence HP
Cumul]]/Tableau1[[#This Row],[Diff jour_x000D_
Cumul]]</f>
        <v>41.847089377337014</v>
      </c>
      <c r="Q135" s="41">
        <f>Tableau1[[#This Row],[Conso HP / jour
Cumul]]*365</f>
        <v>15274.18762272801</v>
      </c>
      <c r="R135" s="21">
        <v>121387</v>
      </c>
      <c r="S135" s="38">
        <f>Tableau1[[#This Row],[Index HC_x000D_
kWh]]-R134</f>
        <v>14</v>
      </c>
      <c r="T135" s="42">
        <f>Tableau1[[#This Row],[Différence_x000D_ HC
Instantané]]/(Tableau1[[#This Row],[Diff jour
Instantané]]*24)</f>
        <v>0.57692307692316913</v>
      </c>
      <c r="U135" s="42">
        <f>Tableau1[[#This Row],[Différence_x000D_ HC
Instantané]]/Tableau1[[#This Row],[Diff jour
Instantané]]</f>
        <v>13.84615384615606</v>
      </c>
      <c r="V135" s="42">
        <f>Tableau1[[#This Row],[Conso HC / jour_x000D_
Instantané]]*365</f>
        <v>5053.8461538469619</v>
      </c>
      <c r="W135" s="38">
        <f>Tableau1[[#This Row],[Index HC_x000D_
kWh]]-$R$5</f>
        <v>1955</v>
      </c>
      <c r="X135" s="43">
        <f>Tableau1[[#This Row],[Différence HC
Cumul]]/(Tableau1[[#This Row],[Diff jour_x000D_
Cumul]]*24)</f>
        <v>0.82557378433734829</v>
      </c>
      <c r="Y135" s="43">
        <f>Tableau1[[#This Row],[Différence HC
Cumul]]/Tableau1[[#This Row],[Diff jour_x000D_
Cumul]]</f>
        <v>19.813770824096359</v>
      </c>
      <c r="Z135" s="43">
        <f>Tableau1[[#This Row],[Conso HC / jour_x000D_
Cumul]]*365</f>
        <v>7232.0263507951713</v>
      </c>
      <c r="AA135" s="38">
        <f>Tableau1[[#This Row],[Différence HP
Instantané]]+Tableau1[[#This Row],[Différence_x000D_ HC
Instantané]]</f>
        <v>34</v>
      </c>
      <c r="AB135" s="41">
        <f>Tableau1[[#This Row],[Conso HP + HC
Instantané]]/(Tableau1[[#This Row],[Diff jour
Instantané]]*24)</f>
        <v>1.401098901099125</v>
      </c>
      <c r="AC135" s="34">
        <f>IF(ISERROR(Tableau1[[#This Row],[Date]]-A134),"",Tableau1[[#This Row],[Conso HP + HC
Instantané]]/Tableau1[[#This Row],[Diff jour
Instantané]])</f>
        <v>33.626373626379007</v>
      </c>
      <c r="AD135" s="41">
        <f>Tableau1[[#This Row],[Conso HP + HC / jour_x000D_
Instantané]]*365</f>
        <v>12273.626373628338</v>
      </c>
      <c r="AE135" s="38">
        <f>Tableau1[[#This Row],[Différence HP
Cumul]]+Tableau1[[#This Row],[Différence HC
Cumul]]</f>
        <v>6084</v>
      </c>
      <c r="AF135" s="40">
        <f>(Tableau1[[#This Row],[Conso HP + HC
Cumul]]-AE$6)/Tableau1[[#This Row],[Diff jour_x000D_
Cumul
depuis le 24/01]]</f>
        <v>57.984250885455999</v>
      </c>
      <c r="AG135" s="40">
        <f>(Tableau1[[#This Row],[Conso HP + HC
Cumul]]-AE$59)/Tableau1[[#This Row],[Diff jour_x000D_
Cumul
depuis
précédente facture
16/02/2021]]</f>
        <v>50.09723615799021</v>
      </c>
      <c r="AH135" s="41">
        <f>Tableau1[[#This Row],[Conso HP + HC
Cumul]]/(Tableau1[[#This Row],[Diff jour_x000D_
Cumul]]*24)</f>
        <v>2.5692025083930572</v>
      </c>
      <c r="AI135" s="41">
        <f>Tableau1[[#This Row],[Conso HP + HC
Cumul]]/Tableau1[[#This Row],[Diff jour_x000D_
Cumul]]</f>
        <v>61.66086020143338</v>
      </c>
      <c r="AJ135" s="41">
        <f>Tableau1[[#This Row],[Conso HP + HC / jour_x000D_
Cumul]]*365</f>
        <v>22506.213973523183</v>
      </c>
      <c r="AK135" s="44">
        <f>(Tableau1[[#This Row],[Différence HP
Cumul]]*0.1799)+(Tableau1[[#This Row],[Différence HC
Cumul]]*0.1346)</f>
        <v>1005.9501</v>
      </c>
      <c r="AL135" s="44">
        <f>Tableau1[[#This Row],[Montant
Tarif HP/HC]]/Tableau1[[#This Row],[Diff jour_x000D_
Cumul]]</f>
        <v>10.195224931906299</v>
      </c>
      <c r="AM135" s="44">
        <f>(Tableau1[[#This Row],[Montant
Tarif HP/HC]]-AK$6)/Tableau1[[#This Row],[Diff jour_x000D_
Cumul
depuis le 24/01]]</f>
        <v>9.5984237130769596</v>
      </c>
      <c r="AN135" s="44">
        <f>(Tableau1[[#This Row],[Montant
Tarif HP/HC]]-AK$59)/Tableau1[[#This Row],[Diff jour_x000D_
Cumul
depuis
précédente facture
16/02/2021]]</f>
        <v>8.2484876037587966</v>
      </c>
      <c r="AO135" s="44">
        <f>Tableau1[[#This Row],[Conso HP + HC
Cumul]]*0.1599</f>
        <v>972.83159999999987</v>
      </c>
      <c r="AP135" s="44">
        <f>Tableau1[[#This Row],[Montant
Tarif normal]]/Tableau1[[#This Row],[Diff jour_x000D_
Cumul]]</f>
        <v>9.859571546209196</v>
      </c>
      <c r="AQ135" s="44">
        <f>(Tableau1[[#This Row],[Conso HP / an
Cumul]]*0.1799)+(Tableau1[[#This Row],[Conso HC / an_x000D_
Cumul]]*0.1346)</f>
        <v>3721.2571001457991</v>
      </c>
      <c r="AR135" s="44">
        <f>Tableau1[[#This Row],[Conso HP + HC / an_x000D_
Cumul]]*0.1599</f>
        <v>3598.7436143663567</v>
      </c>
      <c r="AS135" s="38">
        <f>MONTH(Tableau1[[#This Row],[Date]])</f>
        <v>3</v>
      </c>
      <c r="AT135" s="38">
        <f>YEAR(Tableau1[[#This Row],[Date]])</f>
        <v>2021</v>
      </c>
    </row>
    <row r="136" spans="1:46" x14ac:dyDescent="0.2">
      <c r="A136" s="19">
        <v>44281.582638888889</v>
      </c>
      <c r="B136" s="20">
        <v>13.9</v>
      </c>
      <c r="C136" s="39">
        <f>IF(ISERROR(Tableau1[[#This Row],[Date]]-A135),"",Tableau1[[#This Row],[Date]]-A135)</f>
        <v>0.20555555555620231</v>
      </c>
      <c r="D136" s="40">
        <f>IF(ISERROR(Tableau1[[#This Row],[Date]]-A135),"",Tableau1[[#This Row],[Date]]-A135)</f>
        <v>0.20555555555620231</v>
      </c>
      <c r="E136" s="39">
        <f>Tableau1[[#This Row],[Date]]-$A$5</f>
        <v>98.874305555553292</v>
      </c>
      <c r="F136" s="40">
        <f>Tableau1[[#This Row],[Date]]-$A$5</f>
        <v>98.874305555553292</v>
      </c>
      <c r="G136" s="40">
        <f>Tableau1[[#This Row],[Diff jour_x000D_
Cumul]]-F$6</f>
        <v>60.790972222224809</v>
      </c>
      <c r="H136" s="40">
        <f>Tableau1[[#This Row],[Diff jour_x000D_
Cumul]]-F$59</f>
        <v>38.271527777775191</v>
      </c>
      <c r="I136" s="21">
        <v>183897</v>
      </c>
      <c r="J136" s="38">
        <f>IF(ISERROR(Tableau1[[#This Row],[Index HP
kWh]]-I135),"",Tableau1[[#This Row],[Index HP
kWh]]-I135)</f>
        <v>9</v>
      </c>
      <c r="K136" s="40">
        <f>IF(ISERROR(Tableau1[[#This Row],[Différence HP
Instantané]]/(Tableau1[[#This Row],[Diff jour
Instantané]]*24)),"",Tableau1[[#This Row],[Différence HP
Instantané]]/(Tableau1[[#This Row],[Diff jour
Instantané]]*24))</f>
        <v>1.8243243243185843</v>
      </c>
      <c r="L136" s="40">
        <f>Tableau1[[#This Row],[Différence HP
Instantané]]/Tableau1[[#This Row],[Diff jour
Instantané]]</f>
        <v>43.783783783646022</v>
      </c>
      <c r="M136" s="40">
        <f>Tableau1[[#This Row],[Conso HP / jour
Instantané]]*365</f>
        <v>15981.081081030798</v>
      </c>
      <c r="N136" s="38">
        <f>Tableau1[[#This Row],[Index HP
kWh]]-$I$5</f>
        <v>4138</v>
      </c>
      <c r="O136" s="41">
        <f>Tableau1[[#This Row],[Différence HP
Cumul]]/(Tableau1[[#This Row],[Diff jour_x000D_
Cumul]]*24)</f>
        <v>1.7437964868414983</v>
      </c>
      <c r="P136" s="41">
        <f>Tableau1[[#This Row],[Différence HP
Cumul]]/Tableau1[[#This Row],[Diff jour_x000D_
Cumul]]</f>
        <v>41.85111568419596</v>
      </c>
      <c r="Q136" s="41">
        <f>Tableau1[[#This Row],[Conso HP / jour
Cumul]]*365</f>
        <v>15275.657224731525</v>
      </c>
      <c r="R136" s="21">
        <v>121387</v>
      </c>
      <c r="S136" s="38">
        <f>Tableau1[[#This Row],[Index HC_x000D_
kWh]]-R135</f>
        <v>0</v>
      </c>
      <c r="T136" s="42">
        <f>Tableau1[[#This Row],[Différence_x000D_ HC
Instantané]]/(Tableau1[[#This Row],[Diff jour
Instantané]]*24)</f>
        <v>0</v>
      </c>
      <c r="U136" s="42">
        <f>Tableau1[[#This Row],[Différence_x000D_ HC
Instantané]]/Tableau1[[#This Row],[Diff jour
Instantané]]</f>
        <v>0</v>
      </c>
      <c r="V136" s="42">
        <f>Tableau1[[#This Row],[Conso HC / jour_x000D_
Instantané]]*365</f>
        <v>0</v>
      </c>
      <c r="W136" s="38">
        <f>Tableau1[[#This Row],[Index HC_x000D_
kWh]]-$R$5</f>
        <v>1955</v>
      </c>
      <c r="X136" s="43">
        <f>Tableau1[[#This Row],[Différence HC
Cumul]]/(Tableau1[[#This Row],[Diff jour_x000D_
Cumul]]*24)</f>
        <v>0.82385745088814144</v>
      </c>
      <c r="Y136" s="43">
        <f>Tableau1[[#This Row],[Différence HC
Cumul]]/Tableau1[[#This Row],[Diff jour_x000D_
Cumul]]</f>
        <v>19.772578821315395</v>
      </c>
      <c r="Z136" s="43">
        <f>Tableau1[[#This Row],[Conso HC / jour_x000D_
Cumul]]*365</f>
        <v>7216.9912697801192</v>
      </c>
      <c r="AA136" s="38">
        <f>Tableau1[[#This Row],[Différence HP
Instantané]]+Tableau1[[#This Row],[Différence_x000D_ HC
Instantané]]</f>
        <v>9</v>
      </c>
      <c r="AB136" s="41">
        <f>Tableau1[[#This Row],[Conso HP + HC
Instantané]]/(Tableau1[[#This Row],[Diff jour
Instantané]]*24)</f>
        <v>1.8243243243185843</v>
      </c>
      <c r="AC136" s="34">
        <f>IF(ISERROR(Tableau1[[#This Row],[Date]]-A135),"",Tableau1[[#This Row],[Conso HP + HC
Instantané]]/Tableau1[[#This Row],[Diff jour
Instantané]])</f>
        <v>43.783783783646022</v>
      </c>
      <c r="AD136" s="41">
        <f>Tableau1[[#This Row],[Conso HP + HC / jour_x000D_
Instantané]]*365</f>
        <v>15981.081081030798</v>
      </c>
      <c r="AE136" s="38">
        <f>Tableau1[[#This Row],[Différence HP
Cumul]]+Tableau1[[#This Row],[Différence HC
Cumul]]</f>
        <v>6093</v>
      </c>
      <c r="AF136" s="40">
        <f>(Tableau1[[#This Row],[Conso HP + HC
Cumul]]-AE$6)/Tableau1[[#This Row],[Diff jour_x000D_
Cumul
depuis le 24/01]]</f>
        <v>57.936234135639936</v>
      </c>
      <c r="AG136" s="40">
        <f>(Tableau1[[#This Row],[Conso HP + HC
Cumul]]-AE$59)/Tableau1[[#This Row],[Diff jour_x000D_
Cumul
depuis
précédente facture
16/02/2021]]</f>
        <v>50.063326740581488</v>
      </c>
      <c r="AH136" s="41">
        <f>Tableau1[[#This Row],[Conso HP + HC
Cumul]]/(Tableau1[[#This Row],[Diff jour_x000D_
Cumul]]*24)</f>
        <v>2.5676539377296397</v>
      </c>
      <c r="AI136" s="41">
        <f>Tableau1[[#This Row],[Conso HP + HC
Cumul]]/Tableau1[[#This Row],[Diff jour_x000D_
Cumul]]</f>
        <v>61.623694505511352</v>
      </c>
      <c r="AJ136" s="41">
        <f>Tableau1[[#This Row],[Conso HP + HC / jour_x000D_
Cumul]]*365</f>
        <v>22492.648494511643</v>
      </c>
      <c r="AK136" s="44">
        <f>(Tableau1[[#This Row],[Différence HP
Cumul]]*0.1799)+(Tableau1[[#This Row],[Différence HC
Cumul]]*0.1346)</f>
        <v>1007.5691999999999</v>
      </c>
      <c r="AL136" s="44">
        <f>Tableau1[[#This Row],[Montant
Tarif HP/HC]]/Tableau1[[#This Row],[Diff jour_x000D_
Cumul]]</f>
        <v>10.190404820935903</v>
      </c>
      <c r="AM136" s="44">
        <f>(Tableau1[[#This Row],[Montant
Tarif HP/HC]]-AK$6)/Tableau1[[#This Row],[Diff jour_x000D_
Cumul
depuis le 24/01]]</f>
        <v>9.592601971692206</v>
      </c>
      <c r="AN136" s="44">
        <f>(Tableau1[[#This Row],[Montant
Tarif HP/HC]]-AK$59)/Tableau1[[#This Row],[Diff jour_x000D_
Cumul
depuis
précédente facture
16/02/2021]]</f>
        <v>8.2464907550222399</v>
      </c>
      <c r="AO136" s="44">
        <f>Tableau1[[#This Row],[Conso HP + HC
Cumul]]*0.1599</f>
        <v>974.27069999999992</v>
      </c>
      <c r="AP136" s="44">
        <f>Tableau1[[#This Row],[Montant
Tarif normal]]/Tableau1[[#This Row],[Diff jour_x000D_
Cumul]]</f>
        <v>9.8536287514312644</v>
      </c>
      <c r="AQ136" s="44">
        <f>(Tableau1[[#This Row],[Conso HP / an
Cumul]]*0.1799)+(Tableau1[[#This Row],[Conso HC / an_x000D_
Cumul]]*0.1346)</f>
        <v>3719.4977596416056</v>
      </c>
      <c r="AR136" s="44">
        <f>Tableau1[[#This Row],[Conso HP + HC / an_x000D_
Cumul]]*0.1599</f>
        <v>3596.5744942724114</v>
      </c>
      <c r="AS136" s="38">
        <f>MONTH(Tableau1[[#This Row],[Date]])</f>
        <v>3</v>
      </c>
      <c r="AT136" s="38">
        <f>YEAR(Tableau1[[#This Row],[Date]])</f>
        <v>2021</v>
      </c>
    </row>
    <row r="137" spans="1:46" x14ac:dyDescent="0.2">
      <c r="A137" s="19">
        <v>44282.456944444442</v>
      </c>
      <c r="B137" s="20">
        <v>9.9</v>
      </c>
      <c r="C137" s="39">
        <f>IF(ISERROR(Tableau1[[#This Row],[Date]]-A136),"",Tableau1[[#This Row],[Date]]-A136)</f>
        <v>0.87430555555329192</v>
      </c>
      <c r="D137" s="40">
        <f>IF(ISERROR(Tableau1[[#This Row],[Date]]-A136),"",Tableau1[[#This Row],[Date]]-A136)</f>
        <v>0.87430555555329192</v>
      </c>
      <c r="E137" s="39">
        <f>Tableau1[[#This Row],[Date]]-$A$5</f>
        <v>99.748611111106584</v>
      </c>
      <c r="F137" s="40">
        <f>Tableau1[[#This Row],[Date]]-$A$5</f>
        <v>99.748611111106584</v>
      </c>
      <c r="G137" s="40">
        <f>Tableau1[[#This Row],[Diff jour_x000D_
Cumul]]-F$6</f>
        <v>61.665277777778101</v>
      </c>
      <c r="H137" s="40">
        <f>Tableau1[[#This Row],[Diff jour_x000D_
Cumul]]-F$59</f>
        <v>39.145833333328483</v>
      </c>
      <c r="I137" s="21">
        <v>183920</v>
      </c>
      <c r="J137" s="38">
        <f>IF(ISERROR(Tableau1[[#This Row],[Index HP
kWh]]-I136),"",Tableau1[[#This Row],[Index HP
kWh]]-I136)</f>
        <v>23</v>
      </c>
      <c r="K137" s="40">
        <f>IF(ISERROR(Tableau1[[#This Row],[Différence HP
Instantané]]/(Tableau1[[#This Row],[Diff jour
Instantané]]*24)),"",Tableau1[[#This Row],[Différence HP
Instantané]]/(Tableau1[[#This Row],[Diff jour
Instantané]]*24))</f>
        <v>1.0961080222427109</v>
      </c>
      <c r="L137" s="40">
        <f>Tableau1[[#This Row],[Différence HP
Instantané]]/Tableau1[[#This Row],[Diff jour
Instantané]]</f>
        <v>26.306592533825061</v>
      </c>
      <c r="M137" s="40">
        <f>Tableau1[[#This Row],[Conso HP / jour
Instantané]]*365</f>
        <v>9601.9062748461474</v>
      </c>
      <c r="N137" s="38">
        <f>Tableau1[[#This Row],[Index HP
kWh]]-$I$5</f>
        <v>4161</v>
      </c>
      <c r="O137" s="41">
        <f>Tableau1[[#This Row],[Différence HP
Cumul]]/(Tableau1[[#This Row],[Diff jour_x000D_
Cumul]]*24)</f>
        <v>1.7381194391457089</v>
      </c>
      <c r="P137" s="41">
        <f>Tableau1[[#This Row],[Différence HP
Cumul]]/Tableau1[[#This Row],[Diff jour_x000D_
Cumul]]</f>
        <v>41.71486653949701</v>
      </c>
      <c r="Q137" s="41">
        <f>Tableau1[[#This Row],[Conso HP / jour
Cumul]]*365</f>
        <v>15225.926286916409</v>
      </c>
      <c r="R137" s="21">
        <v>121405</v>
      </c>
      <c r="S137" s="38">
        <f>Tableau1[[#This Row],[Index HC_x000D_
kWh]]-R136</f>
        <v>18</v>
      </c>
      <c r="T137" s="42">
        <f>Tableau1[[#This Row],[Différence_x000D_ HC
Instantané]]/(Tableau1[[#This Row],[Diff jour
Instantané]]*24)</f>
        <v>0.85782366958125189</v>
      </c>
      <c r="U137" s="42">
        <f>Tableau1[[#This Row],[Différence_x000D_ HC
Instantané]]/Tableau1[[#This Row],[Diff jour
Instantané]]</f>
        <v>20.587768069950048</v>
      </c>
      <c r="V137" s="42">
        <f>Tableau1[[#This Row],[Conso HC / jour_x000D_
Instantané]]*365</f>
        <v>7514.5353455317672</v>
      </c>
      <c r="W137" s="38">
        <f>Tableau1[[#This Row],[Index HC_x000D_
kWh]]-$R$5</f>
        <v>1973</v>
      </c>
      <c r="X137" s="43">
        <f>Tableau1[[#This Row],[Différence HC
Cumul]]/(Tableau1[[#This Row],[Diff jour_x000D_
Cumul]]*24)</f>
        <v>0.82415516785255549</v>
      </c>
      <c r="Y137" s="43">
        <f>Tableau1[[#This Row],[Différence HC
Cumul]]/Tableau1[[#This Row],[Diff jour_x000D_
Cumul]]</f>
        <v>19.779724028461334</v>
      </c>
      <c r="Z137" s="43">
        <f>Tableau1[[#This Row],[Conso HC / jour_x000D_
Cumul]]*365</f>
        <v>7219.5992703883867</v>
      </c>
      <c r="AA137" s="38">
        <f>Tableau1[[#This Row],[Différence HP
Instantané]]+Tableau1[[#This Row],[Différence_x000D_ HC
Instantané]]</f>
        <v>41</v>
      </c>
      <c r="AB137" s="41">
        <f>Tableau1[[#This Row],[Conso HP + HC
Instantané]]/(Tableau1[[#This Row],[Diff jour
Instantané]]*24)</f>
        <v>1.9539316918239626</v>
      </c>
      <c r="AC137" s="34">
        <f>IF(ISERROR(Tableau1[[#This Row],[Date]]-A136),"",Tableau1[[#This Row],[Conso HP + HC
Instantané]]/Tableau1[[#This Row],[Diff jour
Instantané]])</f>
        <v>46.894360603775105</v>
      </c>
      <c r="AD137" s="41">
        <f>Tableau1[[#This Row],[Conso HP + HC / jour_x000D_
Instantané]]*365</f>
        <v>17116.441620377915</v>
      </c>
      <c r="AE137" s="38">
        <f>Tableau1[[#This Row],[Différence HP
Cumul]]+Tableau1[[#This Row],[Différence HC
Cumul]]</f>
        <v>6134</v>
      </c>
      <c r="AF137" s="40">
        <f>(Tableau1[[#This Row],[Conso HP + HC
Cumul]]-AE$6)/Tableau1[[#This Row],[Diff jour_x000D_
Cumul
depuis le 24/01]]</f>
        <v>57.779679722515972</v>
      </c>
      <c r="AG137" s="40">
        <f>(Tableau1[[#This Row],[Conso HP + HC
Cumul]]-AE$59)/Tableau1[[#This Row],[Diff jour_x000D_
Cumul
depuis
précédente facture
16/02/2021]]</f>
        <v>49.992549228319128</v>
      </c>
      <c r="AH137" s="41">
        <f>Tableau1[[#This Row],[Conso HP + HC
Cumul]]/(Tableau1[[#This Row],[Diff jour_x000D_
Cumul]]*24)</f>
        <v>2.5622746069982645</v>
      </c>
      <c r="AI137" s="41">
        <f>Tableau1[[#This Row],[Conso HP + HC
Cumul]]/Tableau1[[#This Row],[Diff jour_x000D_
Cumul]]</f>
        <v>61.494590567958348</v>
      </c>
      <c r="AJ137" s="41">
        <f>Tableau1[[#This Row],[Conso HP + HC / jour_x000D_
Cumul]]*365</f>
        <v>22445.525557304798</v>
      </c>
      <c r="AK137" s="44">
        <f>(Tableau1[[#This Row],[Différence HP
Cumul]]*0.1799)+(Tableau1[[#This Row],[Différence HC
Cumul]]*0.1346)</f>
        <v>1014.1297</v>
      </c>
      <c r="AL137" s="44">
        <f>Tableau1[[#This Row],[Montant
Tarif HP/HC]]/Tableau1[[#This Row],[Diff jour_x000D_
Cumul]]</f>
        <v>10.166855344686407</v>
      </c>
      <c r="AM137" s="44">
        <f>(Tableau1[[#This Row],[Montant
Tarif HP/HC]]-AK$6)/Tableau1[[#This Row],[Diff jour_x000D_
Cumul
depuis le 24/01]]</f>
        <v>9.5629845717245363</v>
      </c>
      <c r="AN137" s="44">
        <f>(Tableau1[[#This Row],[Montant
Tarif HP/HC]]-AK$59)/Tableau1[[#This Row],[Diff jour_x000D_
Cumul
depuis
précédente facture
16/02/2021]]</f>
        <v>8.2299001596604118</v>
      </c>
      <c r="AO137" s="44">
        <f>Tableau1[[#This Row],[Conso HP + HC
Cumul]]*0.1599</f>
        <v>980.82659999999987</v>
      </c>
      <c r="AP137" s="44">
        <f>Tableau1[[#This Row],[Montant
Tarif normal]]/Tableau1[[#This Row],[Diff jour_x000D_
Cumul]]</f>
        <v>9.8329850318165377</v>
      </c>
      <c r="AQ137" s="44">
        <f>(Tableau1[[#This Row],[Conso HP / an
Cumul]]*0.1799)+(Tableau1[[#This Row],[Conso HC / an_x000D_
Cumul]]*0.1346)</f>
        <v>3710.9022008105385</v>
      </c>
      <c r="AR137" s="44">
        <f>Tableau1[[#This Row],[Conso HP + HC / an_x000D_
Cumul]]*0.1599</f>
        <v>3589.0395366130369</v>
      </c>
      <c r="AS137" s="38">
        <f>MONTH(Tableau1[[#This Row],[Date]])</f>
        <v>3</v>
      </c>
      <c r="AT137" s="38">
        <f>YEAR(Tableau1[[#This Row],[Date]])</f>
        <v>2021</v>
      </c>
    </row>
    <row r="138" spans="1:46" x14ac:dyDescent="0.2">
      <c r="A138" s="19">
        <v>44283.438194444447</v>
      </c>
      <c r="B138" s="20">
        <v>11</v>
      </c>
      <c r="C138" s="39">
        <f>IF(ISERROR(Tableau1[[#This Row],[Date]]-A137),"",Tableau1[[#This Row],[Date]]-A137)</f>
        <v>0.98125000000436557</v>
      </c>
      <c r="D138" s="40">
        <f>IF(ISERROR(Tableau1[[#This Row],[Date]]-A137),"",Tableau1[[#This Row],[Date]]-A137)</f>
        <v>0.98125000000436557</v>
      </c>
      <c r="E138" s="39">
        <f>Tableau1[[#This Row],[Date]]-$A$5</f>
        <v>100.72986111111095</v>
      </c>
      <c r="F138" s="40">
        <f>Tableau1[[#This Row],[Date]]-$A$5</f>
        <v>100.72986111111095</v>
      </c>
      <c r="G138" s="40">
        <f>Tableau1[[#This Row],[Diff jour_x000D_
Cumul]]-F$6</f>
        <v>62.646527777782467</v>
      </c>
      <c r="H138" s="40">
        <f>Tableau1[[#This Row],[Diff jour_x000D_
Cumul]]-F$59</f>
        <v>40.127083333332848</v>
      </c>
      <c r="I138" s="21">
        <v>183952</v>
      </c>
      <c r="J138" s="38">
        <f>IF(ISERROR(Tableau1[[#This Row],[Index HP
kWh]]-I137),"",Tableau1[[#This Row],[Index HP
kWh]]-I137)</f>
        <v>32</v>
      </c>
      <c r="K138" s="40">
        <f>IF(ISERROR(Tableau1[[#This Row],[Différence HP
Instantané]]/(Tableau1[[#This Row],[Diff jour
Instantané]]*24)),"",Tableau1[[#This Row],[Différence HP
Instantané]]/(Tableau1[[#This Row],[Diff jour
Instantané]]*24))</f>
        <v>1.3588110403336575</v>
      </c>
      <c r="L138" s="40">
        <f>Tableau1[[#This Row],[Différence HP
Instantané]]/Tableau1[[#This Row],[Diff jour
Instantané]]</f>
        <v>32.61146496800778</v>
      </c>
      <c r="M138" s="40">
        <f>Tableau1[[#This Row],[Conso HP / jour
Instantané]]*365</f>
        <v>11903.18471332284</v>
      </c>
      <c r="N138" s="38">
        <f>Tableau1[[#This Row],[Index HP
kWh]]-$I$5</f>
        <v>4193</v>
      </c>
      <c r="O138" s="41">
        <f>Tableau1[[#This Row],[Différence HP
Cumul]]/(Tableau1[[#This Row],[Diff jour_x000D_
Cumul]]*24)</f>
        <v>1.7344244438163157</v>
      </c>
      <c r="P138" s="41">
        <f>Tableau1[[#This Row],[Différence HP
Cumul]]/Tableau1[[#This Row],[Diff jour_x000D_
Cumul]]</f>
        <v>41.626186651591574</v>
      </c>
      <c r="Q138" s="41">
        <f>Tableau1[[#This Row],[Conso HP / jour
Cumul]]*365</f>
        <v>15193.558127830924</v>
      </c>
      <c r="R138" s="21">
        <v>121423</v>
      </c>
      <c r="S138" s="38">
        <f>Tableau1[[#This Row],[Index HC_x000D_
kWh]]-R137</f>
        <v>18</v>
      </c>
      <c r="T138" s="42">
        <f>Tableau1[[#This Row],[Différence_x000D_ HC
Instantané]]/(Tableau1[[#This Row],[Diff jour
Instantané]]*24)</f>
        <v>0.76433121018768235</v>
      </c>
      <c r="U138" s="42">
        <f>Tableau1[[#This Row],[Différence_x000D_ HC
Instantané]]/Tableau1[[#This Row],[Diff jour
Instantané]]</f>
        <v>18.343949044504374</v>
      </c>
      <c r="V138" s="42">
        <f>Tableau1[[#This Row],[Conso HC / jour_x000D_
Instantané]]*365</f>
        <v>6695.5414012440961</v>
      </c>
      <c r="W138" s="38">
        <f>Tableau1[[#This Row],[Index HC_x000D_
kWh]]-$R$5</f>
        <v>1991</v>
      </c>
      <c r="X138" s="43">
        <f>Tableau1[[#This Row],[Différence HC
Cumul]]/(Tableau1[[#This Row],[Diff jour_x000D_
Cumul]]*24)</f>
        <v>0.82357239867357135</v>
      </c>
      <c r="Y138" s="43">
        <f>Tableau1[[#This Row],[Différence HC
Cumul]]/Tableau1[[#This Row],[Diff jour_x000D_
Cumul]]</f>
        <v>19.765737568165711</v>
      </c>
      <c r="Z138" s="43">
        <f>Tableau1[[#This Row],[Conso HC / jour_x000D_
Cumul]]*365</f>
        <v>7214.4942123804849</v>
      </c>
      <c r="AA138" s="38">
        <f>Tableau1[[#This Row],[Différence HP
Instantané]]+Tableau1[[#This Row],[Différence_x000D_ HC
Instantané]]</f>
        <v>50</v>
      </c>
      <c r="AB138" s="41">
        <f>Tableau1[[#This Row],[Conso HP + HC
Instantané]]/(Tableau1[[#This Row],[Diff jour
Instantané]]*24)</f>
        <v>2.1231422505213398</v>
      </c>
      <c r="AC138" s="34">
        <f>IF(ISERROR(Tableau1[[#This Row],[Date]]-A137),"",Tableau1[[#This Row],[Conso HP + HC
Instantané]]/Tableau1[[#This Row],[Diff jour
Instantané]])</f>
        <v>50.955414012512151</v>
      </c>
      <c r="AD138" s="41">
        <f>Tableau1[[#This Row],[Conso HP + HC / jour_x000D_
Instantané]]*365</f>
        <v>18598.726114566936</v>
      </c>
      <c r="AE138" s="38">
        <f>Tableau1[[#This Row],[Différence HP
Cumul]]+Tableau1[[#This Row],[Différence HC
Cumul]]</f>
        <v>6184</v>
      </c>
      <c r="AF138" s="40">
        <f>(Tableau1[[#This Row],[Conso HP + HC
Cumul]]-AE$6)/Tableau1[[#This Row],[Diff jour_x000D_
Cumul
depuis le 24/01]]</f>
        <v>57.672789349409832</v>
      </c>
      <c r="AG138" s="40">
        <f>(Tableau1[[#This Row],[Conso HP + HC
Cumul]]-AE$59)/Tableau1[[#This Row],[Diff jour_x000D_
Cumul
depuis
précédente facture
16/02/2021]]</f>
        <v>50.016094699133568</v>
      </c>
      <c r="AH138" s="41">
        <f>Tableau1[[#This Row],[Conso HP + HC
Cumul]]/(Tableau1[[#This Row],[Diff jour_x000D_
Cumul]]*24)</f>
        <v>2.5579968424898869</v>
      </c>
      <c r="AI138" s="41">
        <f>Tableau1[[#This Row],[Conso HP + HC
Cumul]]/Tableau1[[#This Row],[Diff jour_x000D_
Cumul]]</f>
        <v>61.391924219757286</v>
      </c>
      <c r="AJ138" s="41">
        <f>Tableau1[[#This Row],[Conso HP + HC / jour_x000D_
Cumul]]*365</f>
        <v>22408.052340211409</v>
      </c>
      <c r="AK138" s="44">
        <f>(Tableau1[[#This Row],[Différence HP
Cumul]]*0.1799)+(Tableau1[[#This Row],[Différence HC
Cumul]]*0.1346)</f>
        <v>1022.3093</v>
      </c>
      <c r="AL138" s="44">
        <f>Tableau1[[#This Row],[Montant
Tarif HP/HC]]/Tableau1[[#This Row],[Diff jour_x000D_
Cumul]]</f>
        <v>10.14901925529643</v>
      </c>
      <c r="AM138" s="44">
        <f>(Tableau1[[#This Row],[Montant
Tarif HP/HC]]-AK$6)/Tableau1[[#This Row],[Diff jour_x000D_
Cumul
depuis le 24/01]]</f>
        <v>9.5437643746320902</v>
      </c>
      <c r="AN138" s="44">
        <f>(Tableau1[[#This Row],[Montant
Tarif HP/HC]]-AK$59)/Tableau1[[#This Row],[Diff jour_x000D_
Cumul
depuis
précédente facture
16/02/2021]]</f>
        <v>8.2324921862832632</v>
      </c>
      <c r="AO138" s="44">
        <f>Tableau1[[#This Row],[Conso HP + HC
Cumul]]*0.1599</f>
        <v>988.82159999999988</v>
      </c>
      <c r="AP138" s="44">
        <f>Tableau1[[#This Row],[Montant
Tarif normal]]/Tableau1[[#This Row],[Diff jour_x000D_
Cumul]]</f>
        <v>9.8165686827391898</v>
      </c>
      <c r="AQ138" s="44">
        <f>(Tableau1[[#This Row],[Conso HP / an
Cumul]]*0.1799)+(Tableau1[[#This Row],[Conso HC / an_x000D_
Cumul]]*0.1346)</f>
        <v>3704.3920281831961</v>
      </c>
      <c r="AR138" s="44">
        <f>Tableau1[[#This Row],[Conso HP + HC / an_x000D_
Cumul]]*0.1599</f>
        <v>3583.047569199804</v>
      </c>
      <c r="AS138" s="38">
        <f>MONTH(Tableau1[[#This Row],[Date]])</f>
        <v>3</v>
      </c>
      <c r="AT138" s="38">
        <f>YEAR(Tableau1[[#This Row],[Date]])</f>
        <v>2021</v>
      </c>
    </row>
    <row r="139" spans="1:46" x14ac:dyDescent="0.2">
      <c r="A139" s="19">
        <v>44284.395833333336</v>
      </c>
      <c r="B139" s="20">
        <v>11.2</v>
      </c>
      <c r="C139" s="39">
        <f>IF(ISERROR(Tableau1[[#This Row],[Date]]-A138),"",Tableau1[[#This Row],[Date]]-A138)</f>
        <v>0.95763888888905058</v>
      </c>
      <c r="D139" s="40">
        <f>IF(ISERROR(Tableau1[[#This Row],[Date]]-A138),"",Tableau1[[#This Row],[Date]]-A138)</f>
        <v>0.95763888888905058</v>
      </c>
      <c r="E139" s="39">
        <f>Tableau1[[#This Row],[Date]]-$A$5</f>
        <v>101.6875</v>
      </c>
      <c r="F139" s="40">
        <f>Tableau1[[#This Row],[Date]]-$A$5</f>
        <v>101.6875</v>
      </c>
      <c r="G139" s="40">
        <f>Tableau1[[#This Row],[Diff jour_x000D_
Cumul]]-F$6</f>
        <v>63.604166666671517</v>
      </c>
      <c r="H139" s="40">
        <f>Tableau1[[#This Row],[Diff jour_x000D_
Cumul]]-F$59</f>
        <v>41.084722222221899</v>
      </c>
      <c r="I139" s="21">
        <v>183970</v>
      </c>
      <c r="J139" s="38">
        <f>IF(ISERROR(Tableau1[[#This Row],[Index HP
kWh]]-I138),"",Tableau1[[#This Row],[Index HP
kWh]]-I138)</f>
        <v>18</v>
      </c>
      <c r="K139" s="40">
        <f>IF(ISERROR(Tableau1[[#This Row],[Différence HP
Instantané]]/(Tableau1[[#This Row],[Diff jour
Instantané]]*24)),"",Tableau1[[#This Row],[Différence HP
Instantané]]/(Tableau1[[#This Row],[Diff jour
Instantané]]*24))</f>
        <v>0.78317621464816367</v>
      </c>
      <c r="L139" s="40">
        <f>Tableau1[[#This Row],[Différence HP
Instantané]]/Tableau1[[#This Row],[Diff jour
Instantané]]</f>
        <v>18.796229151555927</v>
      </c>
      <c r="M139" s="40">
        <f>Tableau1[[#This Row],[Conso HP / jour
Instantané]]*365</f>
        <v>6860.6236403179137</v>
      </c>
      <c r="N139" s="38">
        <f>Tableau1[[#This Row],[Index HP
kWh]]-$I$5</f>
        <v>4211</v>
      </c>
      <c r="O139" s="41">
        <f>Tableau1[[#This Row],[Différence HP
Cumul]]/(Tableau1[[#This Row],[Diff jour_x000D_
Cumul]]*24)</f>
        <v>1.7254660930137267</v>
      </c>
      <c r="P139" s="41">
        <f>Tableau1[[#This Row],[Différence HP
Cumul]]/Tableau1[[#This Row],[Diff jour_x000D_
Cumul]]</f>
        <v>41.411186232329442</v>
      </c>
      <c r="Q139" s="41">
        <f>Tableau1[[#This Row],[Conso HP / jour
Cumul]]*365</f>
        <v>15115.082974800247</v>
      </c>
      <c r="R139" s="21">
        <v>121427</v>
      </c>
      <c r="S139" s="38">
        <f>Tableau1[[#This Row],[Index HC_x000D_
kWh]]-R138</f>
        <v>4</v>
      </c>
      <c r="T139" s="42">
        <f>Tableau1[[#This Row],[Différence_x000D_ HC
Instantané]]/(Tableau1[[#This Row],[Diff jour
Instantané]]*24)</f>
        <v>0.17403915881070303</v>
      </c>
      <c r="U139" s="42">
        <f>Tableau1[[#This Row],[Différence_x000D_ HC
Instantané]]/Tableau1[[#This Row],[Diff jour
Instantané]]</f>
        <v>4.1769398114568723</v>
      </c>
      <c r="V139" s="42">
        <f>Tableau1[[#This Row],[Conso HC / jour_x000D_
Instantané]]*365</f>
        <v>1524.5830311817583</v>
      </c>
      <c r="W139" s="38">
        <f>Tableau1[[#This Row],[Index HC_x000D_
kWh]]-$R$5</f>
        <v>1995</v>
      </c>
      <c r="X139" s="43">
        <f>Tableau1[[#This Row],[Différence HC
Cumul]]/(Tableau1[[#This Row],[Diff jour_x000D_
Cumul]]*24)</f>
        <v>0.81745543945912724</v>
      </c>
      <c r="Y139" s="43">
        <f>Tableau1[[#This Row],[Différence HC
Cumul]]/Tableau1[[#This Row],[Diff jour_x000D_
Cumul]]</f>
        <v>19.618930547019055</v>
      </c>
      <c r="Z139" s="43">
        <f>Tableau1[[#This Row],[Conso HC / jour_x000D_
Cumul]]*365</f>
        <v>7160.909649661955</v>
      </c>
      <c r="AA139" s="38">
        <f>Tableau1[[#This Row],[Différence HP
Instantané]]+Tableau1[[#This Row],[Différence_x000D_ HC
Instantané]]</f>
        <v>22</v>
      </c>
      <c r="AB139" s="41">
        <f>Tableau1[[#This Row],[Conso HP + HC
Instantané]]/(Tableau1[[#This Row],[Diff jour
Instantané]]*24)</f>
        <v>0.95721537345886665</v>
      </c>
      <c r="AC139" s="34">
        <f>IF(ISERROR(Tableau1[[#This Row],[Date]]-A138),"",Tableau1[[#This Row],[Conso HP + HC
Instantané]]/Tableau1[[#This Row],[Diff jour
Instantané]])</f>
        <v>22.9731689630128</v>
      </c>
      <c r="AD139" s="41">
        <f>Tableau1[[#This Row],[Conso HP + HC / jour_x000D_
Instantané]]*365</f>
        <v>8385.2066714996727</v>
      </c>
      <c r="AE139" s="38">
        <f>Tableau1[[#This Row],[Différence HP
Cumul]]+Tableau1[[#This Row],[Différence HC
Cumul]]</f>
        <v>6206</v>
      </c>
      <c r="AF139" s="40">
        <f>(Tableau1[[#This Row],[Conso HP + HC
Cumul]]-AE$6)/Tableau1[[#This Row],[Diff jour_x000D_
Cumul
depuis le 24/01]]</f>
        <v>57.150343924004815</v>
      </c>
      <c r="AG139" s="40">
        <f>(Tableau1[[#This Row],[Conso HP + HC
Cumul]]-AE$59)/Tableau1[[#This Row],[Diff jour_x000D_
Cumul
depuis
précédente facture
16/02/2021]]</f>
        <v>49.385754369359098</v>
      </c>
      <c r="AH139" s="41">
        <f>Tableau1[[#This Row],[Conso HP + HC
Cumul]]/(Tableau1[[#This Row],[Diff jour_x000D_
Cumul]]*24)</f>
        <v>2.542921532472854</v>
      </c>
      <c r="AI139" s="41">
        <f>Tableau1[[#This Row],[Conso HP + HC
Cumul]]/Tableau1[[#This Row],[Diff jour_x000D_
Cumul]]</f>
        <v>61.030116779348496</v>
      </c>
      <c r="AJ139" s="41">
        <f>Tableau1[[#This Row],[Conso HP + HC / jour_x000D_
Cumul]]*365</f>
        <v>22275.9926244622</v>
      </c>
      <c r="AK139" s="44">
        <f>(Tableau1[[#This Row],[Différence HP
Cumul]]*0.1799)+(Tableau1[[#This Row],[Différence HC
Cumul]]*0.1346)</f>
        <v>1026.0859</v>
      </c>
      <c r="AL139" s="44">
        <f>Tableau1[[#This Row],[Montant
Tarif HP/HC]]/Tableau1[[#This Row],[Diff jour_x000D_
Cumul]]</f>
        <v>10.090580454824831</v>
      </c>
      <c r="AM139" s="44">
        <f>(Tableau1[[#This Row],[Montant
Tarif HP/HC]]-AK$6)/Tableau1[[#This Row],[Diff jour_x000D_
Cumul
depuis le 24/01]]</f>
        <v>9.4594478873232219</v>
      </c>
      <c r="AN139" s="44">
        <f>(Tableau1[[#This Row],[Montant
Tarif HP/HC]]-AK$59)/Tableau1[[#This Row],[Diff jour_x000D_
Cumul
depuis
précédente facture
16/02/2021]]</f>
        <v>8.132524255434296</v>
      </c>
      <c r="AO139" s="44">
        <f>Tableau1[[#This Row],[Conso HP + HC
Cumul]]*0.1599</f>
        <v>992.33939999999996</v>
      </c>
      <c r="AP139" s="44">
        <f>Tableau1[[#This Row],[Montant
Tarif normal]]/Tableau1[[#This Row],[Diff jour_x000D_
Cumul]]</f>
        <v>9.7587156730178233</v>
      </c>
      <c r="AQ139" s="44">
        <f>(Tableau1[[#This Row],[Conso HP / an
Cumul]]*0.1799)+(Tableau1[[#This Row],[Conso HC / an_x000D_
Cumul]]*0.1346)</f>
        <v>3683.0618660110636</v>
      </c>
      <c r="AR139" s="44">
        <f>Tableau1[[#This Row],[Conso HP + HC / an_x000D_
Cumul]]*0.1599</f>
        <v>3561.9312206515056</v>
      </c>
      <c r="AS139" s="38">
        <f>MONTH(Tableau1[[#This Row],[Date]])</f>
        <v>3</v>
      </c>
      <c r="AT139" s="38">
        <f>YEAR(Tableau1[[#This Row],[Date]])</f>
        <v>2021</v>
      </c>
    </row>
    <row r="140" spans="1:46" x14ac:dyDescent="0.2">
      <c r="A140" s="19">
        <v>44285.361805555556</v>
      </c>
      <c r="B140" s="20">
        <v>10.6</v>
      </c>
      <c r="C140" s="39">
        <f>IF(ISERROR(Tableau1[[#This Row],[Date]]-A139),"",Tableau1[[#This Row],[Date]]-A139)</f>
        <v>0.96597222222044365</v>
      </c>
      <c r="D140" s="40">
        <f>IF(ISERROR(Tableau1[[#This Row],[Date]]-A139),"",Tableau1[[#This Row],[Date]]-A139)</f>
        <v>0.96597222222044365</v>
      </c>
      <c r="E140" s="39">
        <f>Tableau1[[#This Row],[Date]]-$A$5</f>
        <v>102.65347222222044</v>
      </c>
      <c r="F140" s="40">
        <f>Tableau1[[#This Row],[Date]]-$A$5</f>
        <v>102.65347222222044</v>
      </c>
      <c r="G140" s="40">
        <f>Tableau1[[#This Row],[Diff jour_x000D_
Cumul]]-F$6</f>
        <v>64.570138888891961</v>
      </c>
      <c r="H140" s="40">
        <f>Tableau1[[#This Row],[Diff jour_x000D_
Cumul]]-F$59</f>
        <v>42.050694444442343</v>
      </c>
      <c r="I140" s="21">
        <v>183982</v>
      </c>
      <c r="J140" s="38">
        <f>IF(ISERROR(Tableau1[[#This Row],[Index HP
kWh]]-I139),"",Tableau1[[#This Row],[Index HP
kWh]]-I139)</f>
        <v>12</v>
      </c>
      <c r="K140" s="40">
        <f>IF(ISERROR(Tableau1[[#This Row],[Différence HP
Instantané]]/(Tableau1[[#This Row],[Diff jour
Instantané]]*24)),"",Tableau1[[#This Row],[Différence HP
Instantané]]/(Tableau1[[#This Row],[Diff jour
Instantané]]*24))</f>
        <v>0.51761322789455477</v>
      </c>
      <c r="L140" s="40">
        <f>Tableau1[[#This Row],[Différence HP
Instantané]]/Tableau1[[#This Row],[Diff jour
Instantané]]</f>
        <v>12.422717469469314</v>
      </c>
      <c r="M140" s="40">
        <f>Tableau1[[#This Row],[Conso HP / jour
Instantané]]*365</f>
        <v>4534.2918763562993</v>
      </c>
      <c r="N140" s="38">
        <f>Tableau1[[#This Row],[Index HP
kWh]]-$I$5</f>
        <v>4223</v>
      </c>
      <c r="O140" s="41">
        <f>Tableau1[[#This Row],[Différence HP
Cumul]]/(Tableau1[[#This Row],[Diff jour_x000D_
Cumul]]*24)</f>
        <v>1.7141001616820641</v>
      </c>
      <c r="P140" s="41">
        <f>Tableau1[[#This Row],[Différence HP
Cumul]]/Tableau1[[#This Row],[Diff jour_x000D_
Cumul]]</f>
        <v>41.138403880369538</v>
      </c>
      <c r="Q140" s="41">
        <f>Tableau1[[#This Row],[Conso HP / jour
Cumul]]*365</f>
        <v>15015.517416334882</v>
      </c>
      <c r="R140" s="21">
        <v>121431</v>
      </c>
      <c r="S140" s="38">
        <f>Tableau1[[#This Row],[Index HC_x000D_
kWh]]-R139</f>
        <v>4</v>
      </c>
      <c r="T140" s="42">
        <f>Tableau1[[#This Row],[Différence_x000D_ HC
Instantané]]/(Tableau1[[#This Row],[Diff jour
Instantané]]*24)</f>
        <v>0.17253774263151825</v>
      </c>
      <c r="U140" s="42">
        <f>Tableau1[[#This Row],[Différence_x000D_ HC
Instantané]]/Tableau1[[#This Row],[Diff jour
Instantané]]</f>
        <v>4.1409058231564382</v>
      </c>
      <c r="V140" s="42">
        <f>Tableau1[[#This Row],[Conso HC / jour_x000D_
Instantané]]*365</f>
        <v>1511.4306254521</v>
      </c>
      <c r="W140" s="38">
        <f>Tableau1[[#This Row],[Index HC_x000D_
kWh]]-$R$5</f>
        <v>1999</v>
      </c>
      <c r="X140" s="43">
        <f>Tableau1[[#This Row],[Différence HC
Cumul]]/(Tableau1[[#This Row],[Diff jour_x000D_
Cumul]]*24)</f>
        <v>0.81138674477917261</v>
      </c>
      <c r="Y140" s="43">
        <f>Tableau1[[#This Row],[Différence HC
Cumul]]/Tableau1[[#This Row],[Diff jour_x000D_
Cumul]]</f>
        <v>19.473281874700142</v>
      </c>
      <c r="Z140" s="43">
        <f>Tableau1[[#This Row],[Conso HC / jour_x000D_
Cumul]]*365</f>
        <v>7107.7478842655519</v>
      </c>
      <c r="AA140" s="38">
        <f>Tableau1[[#This Row],[Différence HP
Instantané]]+Tableau1[[#This Row],[Différence_x000D_ HC
Instantané]]</f>
        <v>16</v>
      </c>
      <c r="AB140" s="41">
        <f>Tableau1[[#This Row],[Conso HP + HC
Instantané]]/(Tableau1[[#This Row],[Diff jour
Instantané]]*24)</f>
        <v>0.69015097052607299</v>
      </c>
      <c r="AC140" s="34">
        <f>IF(ISERROR(Tableau1[[#This Row],[Date]]-A139),"",Tableau1[[#This Row],[Conso HP + HC
Instantané]]/Tableau1[[#This Row],[Diff jour
Instantané]])</f>
        <v>16.563623292625753</v>
      </c>
      <c r="AD140" s="41">
        <f>Tableau1[[#This Row],[Conso HP + HC / jour_x000D_
Instantané]]*365</f>
        <v>6045.7225018084</v>
      </c>
      <c r="AE140" s="38">
        <f>Tableau1[[#This Row],[Différence HP
Cumul]]+Tableau1[[#This Row],[Différence HC
Cumul]]</f>
        <v>6222</v>
      </c>
      <c r="AF140" s="40">
        <f>(Tableau1[[#This Row],[Conso HP + HC
Cumul]]-AE$6)/Tableau1[[#This Row],[Diff jour_x000D_
Cumul
depuis le 24/01]]</f>
        <v>56.543164732577083</v>
      </c>
      <c r="AG140" s="40">
        <f>(Tableau1[[#This Row],[Conso HP + HC
Cumul]]-AE$59)/Tableau1[[#This Row],[Diff jour_x000D_
Cumul
depuis
précédente facture
16/02/2021]]</f>
        <v>48.631777120871753</v>
      </c>
      <c r="AH140" s="41">
        <f>Tableau1[[#This Row],[Conso HP + HC
Cumul]]/(Tableau1[[#This Row],[Diff jour_x000D_
Cumul]]*24)</f>
        <v>2.5254869064612366</v>
      </c>
      <c r="AI140" s="41">
        <f>Tableau1[[#This Row],[Conso HP + HC
Cumul]]/Tableau1[[#This Row],[Diff jour_x000D_
Cumul]]</f>
        <v>60.611685755069679</v>
      </c>
      <c r="AJ140" s="41">
        <f>Tableau1[[#This Row],[Conso HP + HC / jour_x000D_
Cumul]]*365</f>
        <v>22123.265300600433</v>
      </c>
      <c r="AK140" s="44">
        <f>(Tableau1[[#This Row],[Différence HP
Cumul]]*0.1799)+(Tableau1[[#This Row],[Différence HC
Cumul]]*0.1346)</f>
        <v>1028.7831000000001</v>
      </c>
      <c r="AL140" s="44">
        <f>Tableau1[[#This Row],[Montant
Tarif HP/HC]]/Tableau1[[#This Row],[Diff jour_x000D_
Cumul]]</f>
        <v>10.021902598413121</v>
      </c>
      <c r="AM140" s="44">
        <f>(Tableau1[[#This Row],[Montant
Tarif HP/HC]]-AK$6)/Tableau1[[#This Row],[Diff jour_x000D_
Cumul
depuis le 24/01]]</f>
        <v>9.3597057463348285</v>
      </c>
      <c r="AN140" s="44">
        <f>(Tableau1[[#This Row],[Montant
Tarif HP/HC]]-AK$59)/Tableau1[[#This Row],[Diff jour_x000D_
Cumul
depuis
précédente facture
16/02/2021]]</f>
        <v>8.009848694532467</v>
      </c>
      <c r="AO140" s="44">
        <f>Tableau1[[#This Row],[Conso HP + HC
Cumul]]*0.1599</f>
        <v>994.89779999999996</v>
      </c>
      <c r="AP140" s="44">
        <f>Tableau1[[#This Row],[Montant
Tarif normal]]/Tableau1[[#This Row],[Diff jour_x000D_
Cumul]]</f>
        <v>9.6918085522356421</v>
      </c>
      <c r="AQ140" s="44">
        <f>(Tableau1[[#This Row],[Conso HP / an
Cumul]]*0.1799)+(Tableau1[[#This Row],[Conso HC / an_x000D_
Cumul]]*0.1346)</f>
        <v>3657.9944484207886</v>
      </c>
      <c r="AR140" s="44">
        <f>Tableau1[[#This Row],[Conso HP + HC / an_x000D_
Cumul]]*0.1599</f>
        <v>3537.5101215660088</v>
      </c>
      <c r="AS140" s="38">
        <f>MONTH(Tableau1[[#This Row],[Date]])</f>
        <v>3</v>
      </c>
      <c r="AT140" s="38">
        <f>YEAR(Tableau1[[#This Row],[Date]])</f>
        <v>2021</v>
      </c>
    </row>
    <row r="141" spans="1:46" x14ac:dyDescent="0.2">
      <c r="A141" s="19">
        <v>44286.352083333331</v>
      </c>
      <c r="B141" s="20">
        <v>12.4</v>
      </c>
      <c r="C141" s="39">
        <f>IF(ISERROR(Tableau1[[#This Row],[Date]]-A140),"",Tableau1[[#This Row],[Date]]-A140)</f>
        <v>0.99027777777519077</v>
      </c>
      <c r="D141" s="40">
        <f>IF(ISERROR(Tableau1[[#This Row],[Date]]-A140),"",Tableau1[[#This Row],[Date]]-A140)</f>
        <v>0.99027777777519077</v>
      </c>
      <c r="E141" s="39">
        <f>Tableau1[[#This Row],[Date]]-$A$5</f>
        <v>103.64374999999563</v>
      </c>
      <c r="F141" s="40">
        <f>Tableau1[[#This Row],[Date]]-$A$5</f>
        <v>103.64374999999563</v>
      </c>
      <c r="G141" s="40">
        <f>Tableau1[[#This Row],[Diff jour_x000D_
Cumul]]-F$6</f>
        <v>65.560416666667152</v>
      </c>
      <c r="H141" s="40">
        <f>Tableau1[[#This Row],[Diff jour_x000D_
Cumul]]-F$59</f>
        <v>43.040972222217533</v>
      </c>
      <c r="I141" s="21">
        <v>183991</v>
      </c>
      <c r="J141" s="38">
        <f>IF(ISERROR(Tableau1[[#This Row],[Index HP
kWh]]-I140),"",Tableau1[[#This Row],[Index HP
kWh]]-I140)</f>
        <v>9</v>
      </c>
      <c r="K141" s="40">
        <f>IF(ISERROR(Tableau1[[#This Row],[Différence HP
Instantané]]/(Tableau1[[#This Row],[Diff jour
Instantané]]*24)),"",Tableau1[[#This Row],[Différence HP
Instantané]]/(Tableau1[[#This Row],[Diff jour
Instantané]]*24))</f>
        <v>0.3786816269294605</v>
      </c>
      <c r="L141" s="40">
        <f>Tableau1[[#This Row],[Différence HP
Instantané]]/Tableau1[[#This Row],[Diff jour
Instantané]]</f>
        <v>9.0883590463070529</v>
      </c>
      <c r="M141" s="40">
        <f>Tableau1[[#This Row],[Conso HP / jour
Instantané]]*365</f>
        <v>3317.2510519020743</v>
      </c>
      <c r="N141" s="38">
        <f>Tableau1[[#This Row],[Index HP
kWh]]-$I$5</f>
        <v>4232</v>
      </c>
      <c r="O141" s="41">
        <f>Tableau1[[#This Row],[Différence HP
Cumul]]/(Tableau1[[#This Row],[Diff jour_x000D_
Cumul]]*24)</f>
        <v>1.7013407304670156</v>
      </c>
      <c r="P141" s="41">
        <f>Tableau1[[#This Row],[Différence HP
Cumul]]/Tableau1[[#This Row],[Diff jour_x000D_
Cumul]]</f>
        <v>40.83217753120838</v>
      </c>
      <c r="Q141" s="41">
        <f>Tableau1[[#This Row],[Conso HP / jour
Cumul]]*365</f>
        <v>14903.744798891059</v>
      </c>
      <c r="R141" s="21">
        <v>121433</v>
      </c>
      <c r="S141" s="38">
        <f>Tableau1[[#This Row],[Index HC_x000D_
kWh]]-R140</f>
        <v>2</v>
      </c>
      <c r="T141" s="42">
        <f>Tableau1[[#This Row],[Différence_x000D_ HC
Instantané]]/(Tableau1[[#This Row],[Diff jour
Instantané]]*24)</f>
        <v>8.4151472650991224E-2</v>
      </c>
      <c r="U141" s="42">
        <f>Tableau1[[#This Row],[Différence_x000D_ HC
Instantané]]/Tableau1[[#This Row],[Diff jour
Instantané]]</f>
        <v>2.0196353436237895</v>
      </c>
      <c r="V141" s="42">
        <f>Tableau1[[#This Row],[Conso HC / jour_x000D_
Instantané]]*365</f>
        <v>737.16690042268317</v>
      </c>
      <c r="W141" s="38">
        <f>Tableau1[[#This Row],[Index HC_x000D_
kWh]]-$R$5</f>
        <v>2001</v>
      </c>
      <c r="X141" s="43">
        <f>Tableau1[[#This Row],[Différence HC
Cumul]]/(Tableau1[[#This Row],[Diff jour_x000D_
Cumul]]*24)</f>
        <v>0.80443828016646934</v>
      </c>
      <c r="Y141" s="43">
        <f>Tableau1[[#This Row],[Différence HC
Cumul]]/Tableau1[[#This Row],[Diff jour_x000D_
Cumul]]</f>
        <v>19.306518723995264</v>
      </c>
      <c r="Z141" s="43">
        <f>Tableau1[[#This Row],[Conso HC / jour_x000D_
Cumul]]*365</f>
        <v>7046.8793342582712</v>
      </c>
      <c r="AA141" s="38">
        <f>Tableau1[[#This Row],[Différence HP
Instantané]]+Tableau1[[#This Row],[Différence_x000D_ HC
Instantané]]</f>
        <v>11</v>
      </c>
      <c r="AB141" s="41">
        <f>Tableau1[[#This Row],[Conso HP + HC
Instantané]]/(Tableau1[[#This Row],[Diff jour
Instantané]]*24)</f>
        <v>0.46283309958045177</v>
      </c>
      <c r="AC141" s="34">
        <f>IF(ISERROR(Tableau1[[#This Row],[Date]]-A140),"",Tableau1[[#This Row],[Conso HP + HC
Instantané]]/Tableau1[[#This Row],[Diff jour
Instantané]])</f>
        <v>11.107994389930841</v>
      </c>
      <c r="AD141" s="41">
        <f>Tableau1[[#This Row],[Conso HP + HC / jour_x000D_
Instantané]]*365</f>
        <v>4054.4179523247572</v>
      </c>
      <c r="AE141" s="38">
        <f>Tableau1[[#This Row],[Différence HP
Cumul]]+Tableau1[[#This Row],[Différence HC
Cumul]]</f>
        <v>6233</v>
      </c>
      <c r="AF141" s="40">
        <f>(Tableau1[[#This Row],[Conso HP + HC
Cumul]]-AE$6)/Tableau1[[#This Row],[Diff jour_x000D_
Cumul
depuis le 24/01]]</f>
        <v>55.856875019860404</v>
      </c>
      <c r="AG141" s="40">
        <f>(Tableau1[[#This Row],[Conso HP + HC
Cumul]]-AE$59)/Tableau1[[#This Row],[Diff jour_x000D_
Cumul
depuis
précédente facture
16/02/2021]]</f>
        <v>47.768437696644391</v>
      </c>
      <c r="AH141" s="41">
        <f>Tableau1[[#This Row],[Conso HP + HC
Cumul]]/(Tableau1[[#This Row],[Diff jour_x000D_
Cumul]]*24)</f>
        <v>2.5057790106334852</v>
      </c>
      <c r="AI141" s="41">
        <f>Tableau1[[#This Row],[Conso HP + HC
Cumul]]/Tableau1[[#This Row],[Diff jour_x000D_
Cumul]]</f>
        <v>60.138696255203641</v>
      </c>
      <c r="AJ141" s="41">
        <f>Tableau1[[#This Row],[Conso HP + HC / jour_x000D_
Cumul]]*365</f>
        <v>21950.624133149329</v>
      </c>
      <c r="AK141" s="44">
        <f>(Tableau1[[#This Row],[Différence HP
Cumul]]*0.1799)+(Tableau1[[#This Row],[Différence HC
Cumul]]*0.1346)</f>
        <v>1030.6714000000002</v>
      </c>
      <c r="AL141" s="44">
        <f>Tableau1[[#This Row],[Montant
Tarif HP/HC]]/Tableau1[[#This Row],[Diff jour_x000D_
Cumul]]</f>
        <v>9.9443661581141516</v>
      </c>
      <c r="AM141" s="44">
        <f>(Tableau1[[#This Row],[Montant
Tarif HP/HC]]-AK$6)/Tableau1[[#This Row],[Diff jour_x000D_
Cumul
depuis le 24/01]]</f>
        <v>9.2471315898184852</v>
      </c>
      <c r="AN141" s="44">
        <f>(Tableau1[[#This Row],[Montant
Tarif HP/HC]]-AK$59)/Tableau1[[#This Row],[Diff jour_x000D_
Cumul
depuis
précédente facture
16/02/2021]]</f>
        <v>7.8694319043555625</v>
      </c>
      <c r="AO141" s="44">
        <f>Tableau1[[#This Row],[Conso HP + HC
Cumul]]*0.1599</f>
        <v>996.65669999999989</v>
      </c>
      <c r="AP141" s="44">
        <f>Tableau1[[#This Row],[Montant
Tarif normal]]/Tableau1[[#This Row],[Diff jour_x000D_
Cumul]]</f>
        <v>9.616177531207061</v>
      </c>
      <c r="AQ141" s="44">
        <f>(Tableau1[[#This Row],[Conso HP / an
Cumul]]*0.1799)+(Tableau1[[#This Row],[Conso HC / an_x000D_
Cumul]]*0.1346)</f>
        <v>3629.6936477116651</v>
      </c>
      <c r="AR141" s="44">
        <f>Tableau1[[#This Row],[Conso HP + HC / an_x000D_
Cumul]]*0.1599</f>
        <v>3509.9047988905772</v>
      </c>
      <c r="AS141" s="38">
        <f>MONTH(Tableau1[[#This Row],[Date]])</f>
        <v>3</v>
      </c>
      <c r="AT141" s="38">
        <f>YEAR(Tableau1[[#This Row],[Date]])</f>
        <v>2021</v>
      </c>
    </row>
    <row r="142" spans="1:46" x14ac:dyDescent="0.2">
      <c r="A142" s="19">
        <v>44287.375</v>
      </c>
      <c r="B142" s="20">
        <v>12.4</v>
      </c>
      <c r="C142" s="39">
        <f>IF(ISERROR(Tableau1[[#This Row],[Date]]-A141),"",Tableau1[[#This Row],[Date]]-A141)</f>
        <v>1.0229166666686069</v>
      </c>
      <c r="D142" s="40">
        <f>IF(ISERROR(Tableau1[[#This Row],[Date]]-A141),"",Tableau1[[#This Row],[Date]]-A141)</f>
        <v>1.0229166666686069</v>
      </c>
      <c r="E142" s="39">
        <f>Tableau1[[#This Row],[Date]]-$A$5</f>
        <v>104.66666666666424</v>
      </c>
      <c r="F142" s="40">
        <f>Tableau1[[#This Row],[Date]]-$A$5</f>
        <v>104.66666666666424</v>
      </c>
      <c r="G142" s="40">
        <f>Tableau1[[#This Row],[Diff jour_x000D_
Cumul]]-F$6</f>
        <v>66.583333333335759</v>
      </c>
      <c r="H142" s="40">
        <f>Tableau1[[#This Row],[Diff jour_x000D_
Cumul]]-F$59</f>
        <v>44.06388888888614</v>
      </c>
      <c r="I142" s="21">
        <v>183998</v>
      </c>
      <c r="J142" s="38">
        <f>IF(ISERROR(Tableau1[[#This Row],[Index HP
kWh]]-I141),"",Tableau1[[#This Row],[Index HP
kWh]]-I141)</f>
        <v>7</v>
      </c>
      <c r="K142" s="40">
        <f>IF(ISERROR(Tableau1[[#This Row],[Différence HP
Instantané]]/(Tableau1[[#This Row],[Diff jour
Instantané]]*24)),"",Tableau1[[#This Row],[Différence HP
Instantané]]/(Tableau1[[#This Row],[Diff jour
Instantané]]*24))</f>
        <v>0.28513238289151621</v>
      </c>
      <c r="L142" s="40">
        <f>Tableau1[[#This Row],[Différence HP
Instantané]]/Tableau1[[#This Row],[Diff jour
Instantané]]</f>
        <v>6.8431771893963882</v>
      </c>
      <c r="M142" s="40">
        <f>Tableau1[[#This Row],[Conso HP / jour
Instantané]]*365</f>
        <v>2497.7596741296816</v>
      </c>
      <c r="N142" s="38">
        <f>Tableau1[[#This Row],[Index HP
kWh]]-$I$5</f>
        <v>4239</v>
      </c>
      <c r="O142" s="41">
        <f>Tableau1[[#This Row],[Différence HP
Cumul]]/(Tableau1[[#This Row],[Diff jour_x000D_
Cumul]]*24)</f>
        <v>1.6875000000000391</v>
      </c>
      <c r="P142" s="41">
        <f>Tableau1[[#This Row],[Différence HP
Cumul]]/Tableau1[[#This Row],[Diff jour_x000D_
Cumul]]</f>
        <v>40.500000000000938</v>
      </c>
      <c r="Q142" s="41">
        <f>Tableau1[[#This Row],[Conso HP / jour
Cumul]]*365</f>
        <v>14782.500000000342</v>
      </c>
      <c r="R142" s="21">
        <v>121436</v>
      </c>
      <c r="S142" s="38">
        <f>Tableau1[[#This Row],[Index HC_x000D_
kWh]]-R141</f>
        <v>3</v>
      </c>
      <c r="T142" s="42">
        <f>Tableau1[[#This Row],[Différence_x000D_ HC
Instantané]]/(Tableau1[[#This Row],[Diff jour
Instantané]]*24)</f>
        <v>0.12219959266779265</v>
      </c>
      <c r="U142" s="42">
        <f>Tableau1[[#This Row],[Différence_x000D_ HC
Instantané]]/Tableau1[[#This Row],[Diff jour
Instantané]]</f>
        <v>2.9327902240270238</v>
      </c>
      <c r="V142" s="42">
        <f>Tableau1[[#This Row],[Conso HC / jour_x000D_
Instantané]]*365</f>
        <v>1070.4684317698636</v>
      </c>
      <c r="W142" s="38">
        <f>Tableau1[[#This Row],[Index HC_x000D_
kWh]]-$R$5</f>
        <v>2004</v>
      </c>
      <c r="X142" s="43">
        <f>Tableau1[[#This Row],[Différence HC
Cumul]]/(Tableau1[[#This Row],[Diff jour_x000D_
Cumul]]*24)</f>
        <v>0.79777070063696121</v>
      </c>
      <c r="Y142" s="43">
        <f>Tableau1[[#This Row],[Différence HC
Cumul]]/Tableau1[[#This Row],[Diff jour_x000D_
Cumul]]</f>
        <v>19.146496815287069</v>
      </c>
      <c r="Z142" s="43">
        <f>Tableau1[[#This Row],[Conso HC / jour_x000D_
Cumul]]*365</f>
        <v>6988.4713375797801</v>
      </c>
      <c r="AA142" s="38">
        <f>Tableau1[[#This Row],[Différence HP
Instantané]]+Tableau1[[#This Row],[Différence_x000D_ HC
Instantané]]</f>
        <v>10</v>
      </c>
      <c r="AB142" s="41">
        <f>Tableau1[[#This Row],[Conso HP + HC
Instantané]]/(Tableau1[[#This Row],[Diff jour
Instantané]]*24)</f>
        <v>0.40733197555930883</v>
      </c>
      <c r="AC142" s="34">
        <f>IF(ISERROR(Tableau1[[#This Row],[Date]]-A141),"",Tableau1[[#This Row],[Conso HP + HC
Instantané]]/Tableau1[[#This Row],[Diff jour
Instantané]])</f>
        <v>9.7759674134234125</v>
      </c>
      <c r="AD142" s="41">
        <f>Tableau1[[#This Row],[Conso HP + HC / jour_x000D_
Instantané]]*365</f>
        <v>3568.2281058995454</v>
      </c>
      <c r="AE142" s="38">
        <f>Tableau1[[#This Row],[Différence HP
Cumul]]+Tableau1[[#This Row],[Différence HC
Cumul]]</f>
        <v>6243</v>
      </c>
      <c r="AF142" s="40">
        <f>(Tableau1[[#This Row],[Conso HP + HC
Cumul]]-AE$6)/Tableau1[[#This Row],[Diff jour_x000D_
Cumul
depuis le 24/01]]</f>
        <v>55.14893617021076</v>
      </c>
      <c r="AG142" s="40">
        <f>(Tableau1[[#This Row],[Conso HP + HC
Cumul]]-AE$59)/Tableau1[[#This Row],[Diff jour_x000D_
Cumul
depuis
précédente facture
16/02/2021]]</f>
        <v>46.886465359644859</v>
      </c>
      <c r="AH142" s="41">
        <f>Tableau1[[#This Row],[Conso HP + HC
Cumul]]/(Tableau1[[#This Row],[Diff jour_x000D_
Cumul]]*24)</f>
        <v>2.4852707006370003</v>
      </c>
      <c r="AI142" s="41">
        <f>Tableau1[[#This Row],[Conso HP + HC
Cumul]]/Tableau1[[#This Row],[Diff jour_x000D_
Cumul]]</f>
        <v>59.646496815288003</v>
      </c>
      <c r="AJ142" s="41">
        <f>Tableau1[[#This Row],[Conso HP + HC / jour_x000D_
Cumul]]*365</f>
        <v>21770.971337580122</v>
      </c>
      <c r="AK142" s="44">
        <f>(Tableau1[[#This Row],[Différence HP
Cumul]]*0.1799)+(Tableau1[[#This Row],[Différence HC
Cumul]]*0.1346)</f>
        <v>1032.3344999999999</v>
      </c>
      <c r="AL142" s="44">
        <f>Tableau1[[#This Row],[Montant
Tarif HP/HC]]/Tableau1[[#This Row],[Diff jour_x000D_
Cumul]]</f>
        <v>9.8630684713378081</v>
      </c>
      <c r="AM142" s="44">
        <f>(Tableau1[[#This Row],[Montant
Tarif HP/HC]]-AK$6)/Tableau1[[#This Row],[Diff jour_x000D_
Cumul
depuis le 24/01]]</f>
        <v>9.1300460575716311</v>
      </c>
      <c r="AN142" s="44">
        <f>(Tableau1[[#This Row],[Montant
Tarif HP/HC]]-AK$59)/Tableau1[[#This Row],[Diff jour_x000D_
Cumul
depuis
précédente facture
16/02/2021]]</f>
        <v>7.7244907016332114</v>
      </c>
      <c r="AO142" s="44">
        <f>Tableau1[[#This Row],[Conso HP + HC
Cumul]]*0.1599</f>
        <v>998.25569999999993</v>
      </c>
      <c r="AP142" s="44">
        <f>Tableau1[[#This Row],[Montant
Tarif normal]]/Tableau1[[#This Row],[Diff jour_x000D_
Cumul]]</f>
        <v>9.5374748407645509</v>
      </c>
      <c r="AQ142" s="44">
        <f>(Tableau1[[#This Row],[Conso HP / an
Cumul]]*0.1799)+(Tableau1[[#This Row],[Conso HC / an_x000D_
Cumul]]*0.1346)</f>
        <v>3600.0199920383002</v>
      </c>
      <c r="AR142" s="44">
        <f>Tableau1[[#This Row],[Conso HP + HC / an_x000D_
Cumul]]*0.1599</f>
        <v>3481.1783168790612</v>
      </c>
      <c r="AS142" s="38">
        <f>MONTH(Tableau1[[#This Row],[Date]])</f>
        <v>4</v>
      </c>
      <c r="AT142" s="38">
        <f>YEAR(Tableau1[[#This Row],[Date]])</f>
        <v>2021</v>
      </c>
    </row>
    <row r="143" spans="1:46" x14ac:dyDescent="0.2">
      <c r="A143" s="19">
        <v>44288.572222222225</v>
      </c>
      <c r="B143" s="20">
        <v>17.2</v>
      </c>
      <c r="C143" s="39">
        <f>IF(ISERROR(Tableau1[[#This Row],[Date]]-A142),"",Tableau1[[#This Row],[Date]]-A142)</f>
        <v>1.1972222222248092</v>
      </c>
      <c r="D143" s="40">
        <f>IF(ISERROR(Tableau1[[#This Row],[Date]]-A142),"",Tableau1[[#This Row],[Date]]-A142)</f>
        <v>1.1972222222248092</v>
      </c>
      <c r="E143" s="39">
        <f>Tableau1[[#This Row],[Date]]-$A$5</f>
        <v>105.86388888888905</v>
      </c>
      <c r="F143" s="40">
        <f>Tableau1[[#This Row],[Date]]-$A$5</f>
        <v>105.86388888888905</v>
      </c>
      <c r="G143" s="40">
        <f>Tableau1[[#This Row],[Diff jour_x000D_
Cumul]]-F$6</f>
        <v>67.780555555560568</v>
      </c>
      <c r="H143" s="40">
        <f>Tableau1[[#This Row],[Diff jour_x000D_
Cumul]]-F$59</f>
        <v>45.261111111110949</v>
      </c>
      <c r="I143" s="21">
        <v>184008</v>
      </c>
      <c r="J143" s="38">
        <f>IF(ISERROR(Tableau1[[#This Row],[Index HP
kWh]]-I142),"",Tableau1[[#This Row],[Index HP
kWh]]-I142)</f>
        <v>10</v>
      </c>
      <c r="K143" s="40">
        <f>IF(ISERROR(Tableau1[[#This Row],[Différence HP
Instantané]]/(Tableau1[[#This Row],[Diff jour
Instantané]]*24)),"",Tableau1[[#This Row],[Différence HP
Instantané]]/(Tableau1[[#This Row],[Diff jour
Instantané]]*24))</f>
        <v>0.34802784222662614</v>
      </c>
      <c r="L143" s="40">
        <f>Tableau1[[#This Row],[Différence HP
Instantané]]/Tableau1[[#This Row],[Diff jour
Instantané]]</f>
        <v>8.3526682134390278</v>
      </c>
      <c r="M143" s="40">
        <f>Tableau1[[#This Row],[Conso HP / jour
Instantané]]*365</f>
        <v>3048.7238979052449</v>
      </c>
      <c r="N143" s="38">
        <f>Tableau1[[#This Row],[Index HP
kWh]]-$I$5</f>
        <v>4249</v>
      </c>
      <c r="O143" s="41">
        <f>Tableau1[[#This Row],[Différence HP
Cumul]]/(Tableau1[[#This Row],[Diff jour_x000D_
Cumul]]*24)</f>
        <v>1.6723518144367742</v>
      </c>
      <c r="P143" s="41">
        <f>Tableau1[[#This Row],[Différence HP
Cumul]]/Tableau1[[#This Row],[Diff jour_x000D_
Cumul]]</f>
        <v>40.136443546482582</v>
      </c>
      <c r="Q143" s="41">
        <f>Tableau1[[#This Row],[Conso HP / jour
Cumul]]*365</f>
        <v>14649.801894466142</v>
      </c>
      <c r="R143" s="21">
        <v>121438</v>
      </c>
      <c r="S143" s="38">
        <f>Tableau1[[#This Row],[Index HC_x000D_
kWh]]-R142</f>
        <v>2</v>
      </c>
      <c r="T143" s="42">
        <f>Tableau1[[#This Row],[Différence_x000D_ HC
Instantané]]/(Tableau1[[#This Row],[Diff jour
Instantané]]*24)</f>
        <v>6.9605568445325228E-2</v>
      </c>
      <c r="U143" s="42">
        <f>Tableau1[[#This Row],[Différence_x000D_ HC
Instantané]]/Tableau1[[#This Row],[Diff jour
Instantané]]</f>
        <v>1.6705336426878055</v>
      </c>
      <c r="V143" s="42">
        <f>Tableau1[[#This Row],[Conso HC / jour_x000D_
Instantané]]*365</f>
        <v>609.74477958104899</v>
      </c>
      <c r="W143" s="38">
        <f>Tableau1[[#This Row],[Index HC_x000D_
kWh]]-$R$5</f>
        <v>2006</v>
      </c>
      <c r="X143" s="43">
        <f>Tableau1[[#This Row],[Différence HC
Cumul]]/(Tableau1[[#This Row],[Diff jour_x000D_
Cumul]]*24)</f>
        <v>0.78953582955052226</v>
      </c>
      <c r="Y143" s="43">
        <f>Tableau1[[#This Row],[Différence HC
Cumul]]/Tableau1[[#This Row],[Diff jour_x000D_
Cumul]]</f>
        <v>18.948859909212533</v>
      </c>
      <c r="Z143" s="43">
        <f>Tableau1[[#This Row],[Conso HC / jour_x000D_
Cumul]]*365</f>
        <v>6916.3338668625747</v>
      </c>
      <c r="AA143" s="38">
        <f>Tableau1[[#This Row],[Différence HP
Instantané]]+Tableau1[[#This Row],[Différence_x000D_ HC
Instantané]]</f>
        <v>12</v>
      </c>
      <c r="AB143" s="41">
        <f>Tableau1[[#This Row],[Conso HP + HC
Instantané]]/(Tableau1[[#This Row],[Diff jour
Instantané]]*24)</f>
        <v>0.41763341067195137</v>
      </c>
      <c r="AC143" s="34">
        <f>IF(ISERROR(Tableau1[[#This Row],[Date]]-A142),"",Tableau1[[#This Row],[Conso HP + HC
Instantané]]/Tableau1[[#This Row],[Diff jour
Instantané]])</f>
        <v>10.023201856126834</v>
      </c>
      <c r="AD143" s="41">
        <f>Tableau1[[#This Row],[Conso HP + HC / jour_x000D_
Instantané]]*365</f>
        <v>3658.4686774862944</v>
      </c>
      <c r="AE143" s="38">
        <f>Tableau1[[#This Row],[Différence HP
Cumul]]+Tableau1[[#This Row],[Différence HC
Cumul]]</f>
        <v>6255</v>
      </c>
      <c r="AF143" s="40">
        <f>(Tableau1[[#This Row],[Conso HP + HC
Cumul]]-AE$6)/Tableau1[[#This Row],[Diff jour_x000D_
Cumul
depuis le 24/01]]</f>
        <v>54.35187082496217</v>
      </c>
      <c r="AG143" s="40">
        <f>(Tableau1[[#This Row],[Conso HP + HC
Cumul]]-AE$59)/Tableau1[[#This Row],[Diff jour_x000D_
Cumul
depuis
précédente facture
16/02/2021]]</f>
        <v>45.911378421505013</v>
      </c>
      <c r="AH143" s="41">
        <f>Tableau1[[#This Row],[Conso HP + HC
Cumul]]/(Tableau1[[#This Row],[Diff jour_x000D_
Cumul]]*24)</f>
        <v>2.4618876439872963</v>
      </c>
      <c r="AI143" s="41">
        <f>Tableau1[[#This Row],[Conso HP + HC
Cumul]]/Tableau1[[#This Row],[Diff jour_x000D_
Cumul]]</f>
        <v>59.085303455695119</v>
      </c>
      <c r="AJ143" s="41">
        <f>Tableau1[[#This Row],[Conso HP + HC / jour_x000D_
Cumul]]*365</f>
        <v>21566.135761328718</v>
      </c>
      <c r="AK143" s="44">
        <f>(Tableau1[[#This Row],[Différence HP
Cumul]]*0.1799)+(Tableau1[[#This Row],[Différence HC
Cumul]]*0.1346)</f>
        <v>1034.4027000000001</v>
      </c>
      <c r="AL143" s="44">
        <f>Tableau1[[#This Row],[Montant
Tarif HP/HC]]/Tableau1[[#This Row],[Diff jour_x000D_
Cumul]]</f>
        <v>9.7710627377922243</v>
      </c>
      <c r="AM143" s="44">
        <f>(Tableau1[[#This Row],[Montant
Tarif HP/HC]]-AK$6)/Tableau1[[#This Row],[Diff jour_x000D_
Cumul
depuis le 24/01]]</f>
        <v>8.999293307650662</v>
      </c>
      <c r="AN143" s="44">
        <f>(Tableau1[[#This Row],[Montant
Tarif HP/HC]]-AK$59)/Tableau1[[#This Row],[Diff jour_x000D_
Cumul
depuis
précédente facture
16/02/2021]]</f>
        <v>7.5658615441267019</v>
      </c>
      <c r="AO143" s="44">
        <f>Tableau1[[#This Row],[Conso HP + HC
Cumul]]*0.1599</f>
        <v>1000.1745</v>
      </c>
      <c r="AP143" s="44">
        <f>Tableau1[[#This Row],[Montant
Tarif normal]]/Tableau1[[#This Row],[Diff jour_x000D_
Cumul]]</f>
        <v>9.4477400225656485</v>
      </c>
      <c r="AQ143" s="44">
        <f>(Tableau1[[#This Row],[Conso HP / an
Cumul]]*0.1799)+(Tableau1[[#This Row],[Conso HC / an_x000D_
Cumul]]*0.1346)</f>
        <v>3566.4378992941615</v>
      </c>
      <c r="AR143" s="44">
        <f>Tableau1[[#This Row],[Conso HP + HC / an_x000D_
Cumul]]*0.1599</f>
        <v>3448.4251082364617</v>
      </c>
      <c r="AS143" s="38">
        <f>MONTH(Tableau1[[#This Row],[Date]])</f>
        <v>4</v>
      </c>
      <c r="AT143" s="38">
        <f>YEAR(Tableau1[[#This Row],[Date]])</f>
        <v>2021</v>
      </c>
    </row>
    <row r="144" spans="1:46" x14ac:dyDescent="0.2">
      <c r="A144" s="19">
        <v>44289.354861111111</v>
      </c>
      <c r="B144" s="20">
        <v>2.7</v>
      </c>
      <c r="C144" s="39">
        <f>IF(ISERROR(Tableau1[[#This Row],[Date]]-A143),"",Tableau1[[#This Row],[Date]]-A143)</f>
        <v>0.78263888888614019</v>
      </c>
      <c r="D144" s="40">
        <f>IF(ISERROR(Tableau1[[#This Row],[Date]]-A143),"",Tableau1[[#This Row],[Date]]-A143)</f>
        <v>0.78263888888614019</v>
      </c>
      <c r="E144" s="39">
        <f>Tableau1[[#This Row],[Date]]-$A$5</f>
        <v>106.64652777777519</v>
      </c>
      <c r="F144" s="40">
        <f>Tableau1[[#This Row],[Date]]-$A$5</f>
        <v>106.64652777777519</v>
      </c>
      <c r="G144" s="40">
        <f>Tableau1[[#This Row],[Diff jour_x000D_
Cumul]]-F$6</f>
        <v>68.563194444446708</v>
      </c>
      <c r="H144" s="40">
        <f>Tableau1[[#This Row],[Diff jour_x000D_
Cumul]]-F$59</f>
        <v>46.04374999999709</v>
      </c>
      <c r="I144" s="21">
        <v>184017</v>
      </c>
      <c r="J144" s="38">
        <f>IF(ISERROR(Tableau1[[#This Row],[Index HP
kWh]]-I143),"",Tableau1[[#This Row],[Index HP
kWh]]-I143)</f>
        <v>9</v>
      </c>
      <c r="K144" s="40">
        <f>IF(ISERROR(Tableau1[[#This Row],[Différence HP
Instantané]]/(Tableau1[[#This Row],[Diff jour
Instantané]]*24)),"",Tableau1[[#This Row],[Différence HP
Instantané]]/(Tableau1[[#This Row],[Diff jour
Instantané]]*24))</f>
        <v>0.47914818101321788</v>
      </c>
      <c r="L144" s="40">
        <f>Tableau1[[#This Row],[Différence HP
Instantané]]/Tableau1[[#This Row],[Diff jour
Instantané]]</f>
        <v>11.499556344317229</v>
      </c>
      <c r="M144" s="40">
        <f>Tableau1[[#This Row],[Conso HP / jour
Instantané]]*365</f>
        <v>4197.338065675789</v>
      </c>
      <c r="N144" s="38">
        <f>Tableau1[[#This Row],[Index HP
kWh]]-$I$5</f>
        <v>4258</v>
      </c>
      <c r="O144" s="41">
        <f>Tableau1[[#This Row],[Différence HP
Cumul]]/(Tableau1[[#This Row],[Diff jour_x000D_
Cumul]]*24)</f>
        <v>1.6635953402661061</v>
      </c>
      <c r="P144" s="41">
        <f>Tableau1[[#This Row],[Différence HP
Cumul]]/Tableau1[[#This Row],[Diff jour_x000D_
Cumul]]</f>
        <v>39.926288166386549</v>
      </c>
      <c r="Q144" s="41">
        <f>Tableau1[[#This Row],[Conso HP / jour
Cumul]]*365</f>
        <v>14573.09518073109</v>
      </c>
      <c r="R144" s="21">
        <v>121451</v>
      </c>
      <c r="S144" s="38">
        <f>Tableau1[[#This Row],[Index HC_x000D_
kWh]]-R143</f>
        <v>13</v>
      </c>
      <c r="T144" s="42">
        <f>Tableau1[[#This Row],[Différence_x000D_ HC
Instantané]]/(Tableau1[[#This Row],[Diff jour
Instantané]]*24)</f>
        <v>0.69210292813020358</v>
      </c>
      <c r="U144" s="42">
        <f>Tableau1[[#This Row],[Différence_x000D_ HC
Instantané]]/Tableau1[[#This Row],[Diff jour
Instantané]]</f>
        <v>16.610470275124886</v>
      </c>
      <c r="V144" s="42">
        <f>Tableau1[[#This Row],[Conso HC / jour_x000D_
Instantané]]*365</f>
        <v>6062.821650420583</v>
      </c>
      <c r="W144" s="38">
        <f>Tableau1[[#This Row],[Index HC_x000D_
kWh]]-$R$5</f>
        <v>2019</v>
      </c>
      <c r="X144" s="43">
        <f>Tableau1[[#This Row],[Différence HC
Cumul]]/(Tableau1[[#This Row],[Diff jour_x000D_
Cumul]]*24)</f>
        <v>0.78882080601157079</v>
      </c>
      <c r="Y144" s="43">
        <f>Tableau1[[#This Row],[Différence HC
Cumul]]/Tableau1[[#This Row],[Diff jour_x000D_
Cumul]]</f>
        <v>18.9316993442777</v>
      </c>
      <c r="Z144" s="43">
        <f>Tableau1[[#This Row],[Conso HC / jour_x000D_
Cumul]]*365</f>
        <v>6910.0702606613604</v>
      </c>
      <c r="AA144" s="38">
        <f>Tableau1[[#This Row],[Différence HP
Instantané]]+Tableau1[[#This Row],[Différence_x000D_ HC
Instantané]]</f>
        <v>22</v>
      </c>
      <c r="AB144" s="41">
        <f>Tableau1[[#This Row],[Conso HP + HC
Instantané]]/(Tableau1[[#This Row],[Diff jour
Instantané]]*24)</f>
        <v>1.1712511091434215</v>
      </c>
      <c r="AC144" s="34">
        <f>IF(ISERROR(Tableau1[[#This Row],[Date]]-A143),"",Tableau1[[#This Row],[Conso HP + HC
Instantané]]/Tableau1[[#This Row],[Diff jour
Instantané]])</f>
        <v>28.110026619442113</v>
      </c>
      <c r="AD144" s="41">
        <f>Tableau1[[#This Row],[Conso HP + HC / jour_x000D_
Instantané]]*365</f>
        <v>10260.159716096372</v>
      </c>
      <c r="AE144" s="38">
        <f>Tableau1[[#This Row],[Différence HP
Cumul]]+Tableau1[[#This Row],[Différence HC
Cumul]]</f>
        <v>6277</v>
      </c>
      <c r="AF144" s="40">
        <f>(Tableau1[[#This Row],[Conso HP + HC
Cumul]]-AE$6)/Tableau1[[#This Row],[Diff jour_x000D_
Cumul
depuis le 24/01]]</f>
        <v>54.052323991449732</v>
      </c>
      <c r="AG144" s="40">
        <f>(Tableau1[[#This Row],[Conso HP + HC
Cumul]]-AE$59)/Tableau1[[#This Row],[Diff jour_x000D_
Cumul
depuis
précédente facture
16/02/2021]]</f>
        <v>45.608795982085141</v>
      </c>
      <c r="AH144" s="41">
        <f>Tableau1[[#This Row],[Conso HP + HC
Cumul]]/(Tableau1[[#This Row],[Diff jour_x000D_
Cumul]]*24)</f>
        <v>2.452416146277677</v>
      </c>
      <c r="AI144" s="41">
        <f>Tableau1[[#This Row],[Conso HP + HC
Cumul]]/Tableau1[[#This Row],[Diff jour_x000D_
Cumul]]</f>
        <v>58.857987510664245</v>
      </c>
      <c r="AJ144" s="41">
        <f>Tableau1[[#This Row],[Conso HP + HC / jour_x000D_
Cumul]]*365</f>
        <v>21483.165441392448</v>
      </c>
      <c r="AK144" s="44">
        <f>(Tableau1[[#This Row],[Différence HP
Cumul]]*0.1799)+(Tableau1[[#This Row],[Différence HC
Cumul]]*0.1346)</f>
        <v>1037.7716</v>
      </c>
      <c r="AL144" s="44">
        <f>Tableau1[[#This Row],[Montant
Tarif HP/HC]]/Tableau1[[#This Row],[Diff jour_x000D_
Cumul]]</f>
        <v>9.7309459728727195</v>
      </c>
      <c r="AM144" s="44">
        <f>(Tableau1[[#This Row],[Montant
Tarif HP/HC]]-AK$6)/Tableau1[[#This Row],[Diff jour_x000D_
Cumul
depuis le 24/01]]</f>
        <v>8.9457033758391074</v>
      </c>
      <c r="AN144" s="44">
        <f>(Tableau1[[#This Row],[Montant
Tarif HP/HC]]-AK$59)/Tableau1[[#This Row],[Diff jour_x000D_
Cumul
depuis
précédente facture
16/02/2021]]</f>
        <v>7.5104264965390941</v>
      </c>
      <c r="AO144" s="44">
        <f>Tableau1[[#This Row],[Conso HP + HC
Cumul]]*0.1599</f>
        <v>1003.6922999999999</v>
      </c>
      <c r="AP144" s="44">
        <f>Tableau1[[#This Row],[Montant
Tarif normal]]/Tableau1[[#This Row],[Diff jour_x000D_
Cumul]]</f>
        <v>9.4113922029552128</v>
      </c>
      <c r="AQ144" s="44">
        <f>(Tableau1[[#This Row],[Conso HP / an
Cumul]]*0.1799)+(Tableau1[[#This Row],[Conso HC / an_x000D_
Cumul]]*0.1346)</f>
        <v>3551.7952800985422</v>
      </c>
      <c r="AR144" s="44">
        <f>Tableau1[[#This Row],[Conso HP + HC / an_x000D_
Cumul]]*0.1599</f>
        <v>3435.1581540786519</v>
      </c>
      <c r="AS144" s="38">
        <f>MONTH(Tableau1[[#This Row],[Date]])</f>
        <v>4</v>
      </c>
      <c r="AT144" s="38">
        <f>YEAR(Tableau1[[#This Row],[Date]])</f>
        <v>2021</v>
      </c>
    </row>
    <row r="145" spans="1:46" x14ac:dyDescent="0.2">
      <c r="A145" s="19">
        <v>44290.429166666669</v>
      </c>
      <c r="B145" s="20">
        <v>6.4</v>
      </c>
      <c r="C145" s="39">
        <f>IF(ISERROR(Tableau1[[#This Row],[Date]]-A144),"",Tableau1[[#This Row],[Date]]-A144)</f>
        <v>1.0743055555576575</v>
      </c>
      <c r="D145" s="40">
        <f>IF(ISERROR(Tableau1[[#This Row],[Date]]-A144),"",Tableau1[[#This Row],[Date]]-A144)</f>
        <v>1.0743055555576575</v>
      </c>
      <c r="E145" s="39">
        <f>Tableau1[[#This Row],[Date]]-$A$5</f>
        <v>107.72083333333285</v>
      </c>
      <c r="F145" s="40">
        <f>Tableau1[[#This Row],[Date]]-$A$5</f>
        <v>107.72083333333285</v>
      </c>
      <c r="G145" s="40">
        <f>Tableau1[[#This Row],[Diff jour_x000D_
Cumul]]-F$6</f>
        <v>69.637500000004366</v>
      </c>
      <c r="H145" s="40">
        <f>Tableau1[[#This Row],[Diff jour_x000D_
Cumul]]-F$59</f>
        <v>47.118055555554747</v>
      </c>
      <c r="I145" s="21">
        <v>184051</v>
      </c>
      <c r="J145" s="38">
        <f>IF(ISERROR(Tableau1[[#This Row],[Index HP
kWh]]-I144),"",Tableau1[[#This Row],[Index HP
kWh]]-I144)</f>
        <v>34</v>
      </c>
      <c r="K145" s="40">
        <f>IF(ISERROR(Tableau1[[#This Row],[Différence HP
Instantané]]/(Tableau1[[#This Row],[Diff jour
Instantané]]*24)),"",Tableau1[[#This Row],[Différence HP
Instantané]]/(Tableau1[[#This Row],[Diff jour
Instantané]]*24))</f>
        <v>1.3186813186787385</v>
      </c>
      <c r="L145" s="40">
        <f>Tableau1[[#This Row],[Différence HP
Instantané]]/Tableau1[[#This Row],[Diff jour
Instantané]]</f>
        <v>31.648351648289726</v>
      </c>
      <c r="M145" s="40">
        <f>Tableau1[[#This Row],[Conso HP / jour
Instantané]]*365</f>
        <v>11551.64835162575</v>
      </c>
      <c r="N145" s="38">
        <f>Tableau1[[#This Row],[Index HP
kWh]]-$I$5</f>
        <v>4292</v>
      </c>
      <c r="O145" s="41">
        <f>Tableau1[[#This Row],[Différence HP
Cumul]]/(Tableau1[[#This Row],[Diff jour_x000D_
Cumul]]*24)</f>
        <v>1.6601554945267549</v>
      </c>
      <c r="P145" s="41">
        <f>Tableau1[[#This Row],[Différence HP
Cumul]]/Tableau1[[#This Row],[Diff jour_x000D_
Cumul]]</f>
        <v>39.843731868642116</v>
      </c>
      <c r="Q145" s="41">
        <f>Tableau1[[#This Row],[Conso HP / jour
Cumul]]*365</f>
        <v>14542.962132054372</v>
      </c>
      <c r="R145" s="21">
        <v>121467</v>
      </c>
      <c r="S145" s="38">
        <f>Tableau1[[#This Row],[Index HC_x000D_
kWh]]-R144</f>
        <v>16</v>
      </c>
      <c r="T145" s="42">
        <f>Tableau1[[#This Row],[Différence_x000D_ HC
Instantané]]/(Tableau1[[#This Row],[Diff jour
Instantané]]*24)</f>
        <v>0.62055591467234761</v>
      </c>
      <c r="U145" s="42">
        <f>Tableau1[[#This Row],[Différence_x000D_ HC
Instantané]]/Tableau1[[#This Row],[Diff jour
Instantané]]</f>
        <v>14.893341952136343</v>
      </c>
      <c r="V145" s="42">
        <f>Tableau1[[#This Row],[Conso HC / jour_x000D_
Instantané]]*365</f>
        <v>5436.0698125297649</v>
      </c>
      <c r="W145" s="38">
        <f>Tableau1[[#This Row],[Index HC_x000D_
kWh]]-$R$5</f>
        <v>2035</v>
      </c>
      <c r="X145" s="43">
        <f>Tableau1[[#This Row],[Différence HC
Cumul]]/(Tableau1[[#This Row],[Diff jour_x000D_
Cumul]]*24)</f>
        <v>0.78714269137044413</v>
      </c>
      <c r="Y145" s="43">
        <f>Tableau1[[#This Row],[Différence HC
Cumul]]/Tableau1[[#This Row],[Diff jour_x000D_
Cumul]]</f>
        <v>18.891424592890658</v>
      </c>
      <c r="Z145" s="43">
        <f>Tableau1[[#This Row],[Conso HC / jour_x000D_
Cumul]]*365</f>
        <v>6895.3699764050898</v>
      </c>
      <c r="AA145" s="38">
        <f>Tableau1[[#This Row],[Différence HP
Instantané]]+Tableau1[[#This Row],[Différence_x000D_ HC
Instantané]]</f>
        <v>50</v>
      </c>
      <c r="AB145" s="41">
        <f>Tableau1[[#This Row],[Conso HP + HC
Instantané]]/(Tableau1[[#This Row],[Diff jour
Instantané]]*24)</f>
        <v>1.9392372333510861</v>
      </c>
      <c r="AC145" s="34">
        <f>IF(ISERROR(Tableau1[[#This Row],[Date]]-A144),"",Tableau1[[#This Row],[Conso HP + HC
Instantané]]/Tableau1[[#This Row],[Diff jour
Instantané]])</f>
        <v>46.541693600426065</v>
      </c>
      <c r="AD145" s="41">
        <f>Tableau1[[#This Row],[Conso HP + HC / jour_x000D_
Instantané]]*365</f>
        <v>16987.718164155514</v>
      </c>
      <c r="AE145" s="38">
        <f>Tableau1[[#This Row],[Différence HP
Cumul]]+Tableau1[[#This Row],[Différence HC
Cumul]]</f>
        <v>6327</v>
      </c>
      <c r="AF145" s="40">
        <f>(Tableau1[[#This Row],[Conso HP + HC
Cumul]]-AE$6)/Tableau1[[#This Row],[Diff jour_x000D_
Cumul
depuis le 24/01]]</f>
        <v>53.936456650508198</v>
      </c>
      <c r="AG145" s="40">
        <f>(Tableau1[[#This Row],[Conso HP + HC
Cumul]]-AE$59)/Tableau1[[#This Row],[Diff jour_x000D_
Cumul
depuis
précédente facture
16/02/2021]]</f>
        <v>45.630066322771604</v>
      </c>
      <c r="AH145" s="41">
        <f>Tableau1[[#This Row],[Conso HP + HC
Cumul]]/(Tableau1[[#This Row],[Diff jour_x000D_
Cumul]]*24)</f>
        <v>2.4472981858971989</v>
      </c>
      <c r="AI145" s="41">
        <f>Tableau1[[#This Row],[Conso HP + HC
Cumul]]/Tableau1[[#This Row],[Diff jour_x000D_
Cumul]]</f>
        <v>58.735156461532775</v>
      </c>
      <c r="AJ145" s="41">
        <f>Tableau1[[#This Row],[Conso HP + HC / jour_x000D_
Cumul]]*365</f>
        <v>21438.332108459465</v>
      </c>
      <c r="AK145" s="44">
        <f>(Tableau1[[#This Row],[Différence HP
Cumul]]*0.1799)+(Tableau1[[#This Row],[Différence HC
Cumul]]*0.1346)</f>
        <v>1046.0418</v>
      </c>
      <c r="AL145" s="44">
        <f>Tableau1[[#This Row],[Montant
Tarif HP/HC]]/Tableau1[[#This Row],[Diff jour_x000D_
Cumul]]</f>
        <v>9.7106731133717989</v>
      </c>
      <c r="AM145" s="44">
        <f>(Tableau1[[#This Row],[Montant
Tarif HP/HC]]-AK$6)/Tableau1[[#This Row],[Diff jour_x000D_
Cumul
depuis le 24/01]]</f>
        <v>8.9264577275169401</v>
      </c>
      <c r="AN145" s="44">
        <f>(Tableau1[[#This Row],[Montant
Tarif HP/HC]]-AK$59)/Tableau1[[#This Row],[Diff jour_x000D_
Cumul
depuis
précédente facture
16/02/2021]]</f>
        <v>7.5147073839352796</v>
      </c>
      <c r="AO145" s="44">
        <f>Tableau1[[#This Row],[Conso HP + HC
Cumul]]*0.1599</f>
        <v>1011.6872999999999</v>
      </c>
      <c r="AP145" s="44">
        <f>Tableau1[[#This Row],[Montant
Tarif normal]]/Tableau1[[#This Row],[Diff jour_x000D_
Cumul]]</f>
        <v>9.39175151819909</v>
      </c>
      <c r="AQ145" s="44">
        <f>(Tableau1[[#This Row],[Conso HP / an
Cumul]]*0.1799)+(Tableau1[[#This Row],[Conso HC / an_x000D_
Cumul]]*0.1346)</f>
        <v>3544.3956863807066</v>
      </c>
      <c r="AR145" s="44">
        <f>Tableau1[[#This Row],[Conso HP + HC / an_x000D_
Cumul]]*0.1599</f>
        <v>3427.9893041426681</v>
      </c>
      <c r="AS145" s="38">
        <f>MONTH(Tableau1[[#This Row],[Date]])</f>
        <v>4</v>
      </c>
      <c r="AT145" s="38">
        <f>YEAR(Tableau1[[#This Row],[Date]])</f>
        <v>2021</v>
      </c>
    </row>
    <row r="146" spans="1:46" x14ac:dyDescent="0.2">
      <c r="A146" s="19">
        <v>44291.402083333334</v>
      </c>
      <c r="B146" s="20">
        <v>5.9</v>
      </c>
      <c r="C146" s="39">
        <f>IF(ISERROR(Tableau1[[#This Row],[Date]]-A145),"",Tableau1[[#This Row],[Date]]-A145)</f>
        <v>0.97291666666569654</v>
      </c>
      <c r="D146" s="40">
        <f>IF(ISERROR(Tableau1[[#This Row],[Date]]-A145),"",Tableau1[[#This Row],[Date]]-A145)</f>
        <v>0.97291666666569654</v>
      </c>
      <c r="E146" s="39">
        <f>Tableau1[[#This Row],[Date]]-$A$5</f>
        <v>108.69374999999854</v>
      </c>
      <c r="F146" s="40">
        <f>Tableau1[[#This Row],[Date]]-$A$5</f>
        <v>108.69374999999854</v>
      </c>
      <c r="G146" s="40">
        <f>Tableau1[[#This Row],[Diff jour_x000D_
Cumul]]-F$6</f>
        <v>70.610416666670062</v>
      </c>
      <c r="H146" s="40">
        <f>Tableau1[[#This Row],[Diff jour_x000D_
Cumul]]-F$59</f>
        <v>48.090972222220444</v>
      </c>
      <c r="I146" s="21">
        <v>184064</v>
      </c>
      <c r="J146" s="38">
        <f>IF(ISERROR(Tableau1[[#This Row],[Index HP
kWh]]-I145),"",Tableau1[[#This Row],[Index HP
kWh]]-I145)</f>
        <v>13</v>
      </c>
      <c r="K146" s="40">
        <f>IF(ISERROR(Tableau1[[#This Row],[Différence HP
Instantané]]/(Tableau1[[#This Row],[Diff jour
Instantané]]*24)),"",Tableau1[[#This Row],[Différence HP
Instantané]]/(Tableau1[[#This Row],[Diff jour
Instantané]]*24))</f>
        <v>0.55674518201340306</v>
      </c>
      <c r="L146" s="40">
        <f>Tableau1[[#This Row],[Différence HP
Instantané]]/Tableau1[[#This Row],[Diff jour
Instantané]]</f>
        <v>13.361884368321675</v>
      </c>
      <c r="M146" s="40">
        <f>Tableau1[[#This Row],[Conso HP / jour
Instantané]]*365</f>
        <v>4877.0877944374115</v>
      </c>
      <c r="N146" s="38">
        <f>Tableau1[[#This Row],[Index HP
kWh]]-$I$5</f>
        <v>4305</v>
      </c>
      <c r="O146" s="41">
        <f>Tableau1[[#This Row],[Différence HP
Cumul]]/(Tableau1[[#This Row],[Diff jour_x000D_
Cumul]]*24)</f>
        <v>1.65027887988042</v>
      </c>
      <c r="P146" s="41">
        <f>Tableau1[[#This Row],[Différence HP
Cumul]]/Tableau1[[#This Row],[Diff jour_x000D_
Cumul]]</f>
        <v>39.606693117130078</v>
      </c>
      <c r="Q146" s="41">
        <f>Tableau1[[#This Row],[Conso HP / jour
Cumul]]*365</f>
        <v>14456.442987752478</v>
      </c>
      <c r="R146" s="21">
        <v>121482</v>
      </c>
      <c r="S146" s="38">
        <f>Tableau1[[#This Row],[Index HC_x000D_
kWh]]-R145</f>
        <v>15</v>
      </c>
      <c r="T146" s="42">
        <f>Tableau1[[#This Row],[Différence_x000D_ HC
Instantané]]/(Tableau1[[#This Row],[Diff jour
Instantané]]*24)</f>
        <v>0.64239828693854206</v>
      </c>
      <c r="U146" s="42">
        <f>Tableau1[[#This Row],[Différence_x000D_ HC
Instantané]]/Tableau1[[#This Row],[Diff jour
Instantané]]</f>
        <v>15.417558886525009</v>
      </c>
      <c r="V146" s="42">
        <f>Tableau1[[#This Row],[Conso HC / jour_x000D_
Instantané]]*365</f>
        <v>5627.4089935816282</v>
      </c>
      <c r="W146" s="38">
        <f>Tableau1[[#This Row],[Index HC_x000D_
kWh]]-$R$5</f>
        <v>2050</v>
      </c>
      <c r="X146" s="43">
        <f>Tableau1[[#This Row],[Différence HC
Cumul]]/(Tableau1[[#This Row],[Diff jour_x000D_
Cumul]]*24)</f>
        <v>0.78584708565734285</v>
      </c>
      <c r="Y146" s="43">
        <f>Tableau1[[#This Row],[Différence HC
Cumul]]/Tableau1[[#This Row],[Diff jour_x000D_
Cumul]]</f>
        <v>18.860330055776227</v>
      </c>
      <c r="Z146" s="43">
        <f>Tableau1[[#This Row],[Conso HC / jour_x000D_
Cumul]]*365</f>
        <v>6884.0204703583231</v>
      </c>
      <c r="AA146" s="38">
        <f>Tableau1[[#This Row],[Différence HP
Instantané]]+Tableau1[[#This Row],[Différence_x000D_ HC
Instantané]]</f>
        <v>28</v>
      </c>
      <c r="AB146" s="41">
        <f>Tableau1[[#This Row],[Conso HP + HC
Instantané]]/(Tableau1[[#This Row],[Diff jour
Instantané]]*24)</f>
        <v>1.1991434689519451</v>
      </c>
      <c r="AC146" s="34">
        <f>IF(ISERROR(Tableau1[[#This Row],[Date]]-A145),"",Tableau1[[#This Row],[Conso HP + HC
Instantané]]/Tableau1[[#This Row],[Diff jour
Instantané]])</f>
        <v>28.779443254846683</v>
      </c>
      <c r="AD146" s="41">
        <f>Tableau1[[#This Row],[Conso HP + HC / jour_x000D_
Instantané]]*365</f>
        <v>10504.49678801904</v>
      </c>
      <c r="AE146" s="38">
        <f>Tableau1[[#This Row],[Différence HP
Cumul]]+Tableau1[[#This Row],[Différence HC
Cumul]]</f>
        <v>6355</v>
      </c>
      <c r="AF146" s="40">
        <f>(Tableau1[[#This Row],[Conso HP + HC
Cumul]]-AE$6)/Tableau1[[#This Row],[Diff jour_x000D_
Cumul
depuis le 24/01]]</f>
        <v>53.589826807892855</v>
      </c>
      <c r="AG146" s="40">
        <f>(Tableau1[[#This Row],[Conso HP + HC
Cumul]]-AE$59)/Tableau1[[#This Row],[Diff jour_x000D_
Cumul
depuis
précédente facture
16/02/2021]]</f>
        <v>45.289165499416846</v>
      </c>
      <c r="AH146" s="41">
        <f>Tableau1[[#This Row],[Conso HP + HC
Cumul]]/(Tableau1[[#This Row],[Diff jour_x000D_
Cumul]]*24)</f>
        <v>2.4361259655377627</v>
      </c>
      <c r="AI146" s="41">
        <f>Tableau1[[#This Row],[Conso HP + HC
Cumul]]/Tableau1[[#This Row],[Diff jour_x000D_
Cumul]]</f>
        <v>58.467023172906309</v>
      </c>
      <c r="AJ146" s="41">
        <f>Tableau1[[#This Row],[Conso HP + HC / jour_x000D_
Cumul]]*365</f>
        <v>21340.463458110804</v>
      </c>
      <c r="AK146" s="44">
        <f>(Tableau1[[#This Row],[Différence HP
Cumul]]*0.1799)+(Tableau1[[#This Row],[Différence HC
Cumul]]*0.1346)</f>
        <v>1050.3995</v>
      </c>
      <c r="AL146" s="44">
        <f>Tableau1[[#This Row],[Montant
Tarif HP/HC]]/Tableau1[[#This Row],[Diff jour_x000D_
Cumul]]</f>
        <v>9.6638445172791823</v>
      </c>
      <c r="AM146" s="44">
        <f>(Tableau1[[#This Row],[Montant
Tarif HP/HC]]-AK$6)/Tableau1[[#This Row],[Diff jour_x000D_
Cumul
depuis le 24/01]]</f>
        <v>8.8651778243290806</v>
      </c>
      <c r="AN146" s="44">
        <f>(Tableau1[[#This Row],[Montant
Tarif HP/HC]]-AK$59)/Tableau1[[#This Row],[Diff jour_x000D_
Cumul
depuis
précédente facture
16/02/2021]]</f>
        <v>7.4532928621972117</v>
      </c>
      <c r="AO146" s="44">
        <f>Tableau1[[#This Row],[Conso HP + HC
Cumul]]*0.1599</f>
        <v>1016.1644999999999</v>
      </c>
      <c r="AP146" s="44">
        <f>Tableau1[[#This Row],[Montant
Tarif normal]]/Tableau1[[#This Row],[Diff jour_x000D_
Cumul]]</f>
        <v>9.3488770053477168</v>
      </c>
      <c r="AQ146" s="44">
        <f>(Tableau1[[#This Row],[Conso HP / an
Cumul]]*0.1799)+(Tableau1[[#This Row],[Conso HC / an_x000D_
Cumul]]*0.1346)</f>
        <v>3527.3032488069011</v>
      </c>
      <c r="AR146" s="44">
        <f>Tableau1[[#This Row],[Conso HP + HC / an_x000D_
Cumul]]*0.1599</f>
        <v>3412.3401069519173</v>
      </c>
      <c r="AS146" s="38">
        <f>MONTH(Tableau1[[#This Row],[Date]])</f>
        <v>4</v>
      </c>
      <c r="AT146" s="38">
        <f>YEAR(Tableau1[[#This Row],[Date]])</f>
        <v>2021</v>
      </c>
    </row>
    <row r="147" spans="1:46" x14ac:dyDescent="0.2">
      <c r="A147" s="19">
        <v>44292.3125</v>
      </c>
      <c r="B147" s="20">
        <v>-1.5</v>
      </c>
      <c r="C147" s="39">
        <f>IF(ISERROR(Tableau1[[#This Row],[Date]]-A146),"",Tableau1[[#This Row],[Date]]-A146)</f>
        <v>0.91041666666569654</v>
      </c>
      <c r="D147" s="40">
        <f>IF(ISERROR(Tableau1[[#This Row],[Date]]-A146),"",Tableau1[[#This Row],[Date]]-A146)</f>
        <v>0.91041666666569654</v>
      </c>
      <c r="E147" s="39">
        <f>Tableau1[[#This Row],[Date]]-$A$5</f>
        <v>109.60416666666424</v>
      </c>
      <c r="F147" s="40">
        <f>Tableau1[[#This Row],[Date]]-$A$5</f>
        <v>109.60416666666424</v>
      </c>
      <c r="G147" s="40">
        <f>Tableau1[[#This Row],[Diff jour_x000D_
Cumul]]-F$6</f>
        <v>71.520833333335759</v>
      </c>
      <c r="H147" s="40">
        <f>Tableau1[[#This Row],[Diff jour_x000D_
Cumul]]-F$59</f>
        <v>49.00138888888614</v>
      </c>
      <c r="I147" s="21">
        <v>184087</v>
      </c>
      <c r="J147" s="38">
        <f>IF(ISERROR(Tableau1[[#This Row],[Index HP
kWh]]-I146),"",Tableau1[[#This Row],[Index HP
kWh]]-I146)</f>
        <v>23</v>
      </c>
      <c r="K147" s="40">
        <f>IF(ISERROR(Tableau1[[#This Row],[Différence HP
Instantané]]/(Tableau1[[#This Row],[Diff jour
Instantané]]*24)),"",Tableau1[[#This Row],[Différence HP
Instantané]]/(Tableau1[[#This Row],[Diff jour
Instantané]]*24))</f>
        <v>1.0526315789484901</v>
      </c>
      <c r="L147" s="40">
        <f>Tableau1[[#This Row],[Différence HP
Instantané]]/Tableau1[[#This Row],[Diff jour
Instantané]]</f>
        <v>25.263157894763761</v>
      </c>
      <c r="M147" s="40">
        <f>Tableau1[[#This Row],[Conso HP / jour
Instantané]]*365</f>
        <v>9221.0526315887728</v>
      </c>
      <c r="N147" s="38">
        <f>Tableau1[[#This Row],[Index HP
kWh]]-$I$5</f>
        <v>4328</v>
      </c>
      <c r="O147" s="41">
        <f>Tableau1[[#This Row],[Différence HP
Cumul]]/(Tableau1[[#This Row],[Diff jour_x000D_
Cumul]]*24)</f>
        <v>1.6453145789774171</v>
      </c>
      <c r="P147" s="41">
        <f>Tableau1[[#This Row],[Différence HP
Cumul]]/Tableau1[[#This Row],[Diff jour_x000D_
Cumul]]</f>
        <v>39.48754989545801</v>
      </c>
      <c r="Q147" s="41">
        <f>Tableau1[[#This Row],[Conso HP / jour
Cumul]]*365</f>
        <v>14412.955711842173</v>
      </c>
      <c r="R147" s="21">
        <v>121499</v>
      </c>
      <c r="S147" s="38">
        <f>Tableau1[[#This Row],[Index HC_x000D_
kWh]]-R146</f>
        <v>17</v>
      </c>
      <c r="T147" s="42">
        <f>Tableau1[[#This Row],[Différence_x000D_ HC
Instantané]]/(Tableau1[[#This Row],[Diff jour
Instantané]]*24)</f>
        <v>0.77803203661410136</v>
      </c>
      <c r="U147" s="42">
        <f>Tableau1[[#This Row],[Différence_x000D_ HC
Instantané]]/Tableau1[[#This Row],[Diff jour
Instantané]]</f>
        <v>18.672768878738434</v>
      </c>
      <c r="V147" s="42">
        <f>Tableau1[[#This Row],[Conso HC / jour_x000D_
Instantané]]*365</f>
        <v>6815.5606407395289</v>
      </c>
      <c r="W147" s="38">
        <f>Tableau1[[#This Row],[Index HC_x000D_
kWh]]-$R$5</f>
        <v>2067</v>
      </c>
      <c r="X147" s="43">
        <f>Tableau1[[#This Row],[Différence HC
Cumul]]/(Tableau1[[#This Row],[Diff jour_x000D_
Cumul]]*24)</f>
        <v>0.78578217069000023</v>
      </c>
      <c r="Y147" s="43">
        <f>Tableau1[[#This Row],[Différence HC
Cumul]]/Tableau1[[#This Row],[Diff jour_x000D_
Cumul]]</f>
        <v>18.858772096560006</v>
      </c>
      <c r="Z147" s="43">
        <f>Tableau1[[#This Row],[Conso HC / jour_x000D_
Cumul]]*365</f>
        <v>6883.4518152444025</v>
      </c>
      <c r="AA147" s="38">
        <f>Tableau1[[#This Row],[Différence HP
Instantané]]+Tableau1[[#This Row],[Différence_x000D_ HC
Instantané]]</f>
        <v>40</v>
      </c>
      <c r="AB147" s="41">
        <f>Tableau1[[#This Row],[Conso HP + HC
Instantané]]/(Tableau1[[#This Row],[Diff jour
Instantané]]*24)</f>
        <v>1.8306636155625915</v>
      </c>
      <c r="AC147" s="34">
        <f>IF(ISERROR(Tableau1[[#This Row],[Date]]-A146),"",Tableau1[[#This Row],[Conso HP + HC
Instantané]]/Tableau1[[#This Row],[Diff jour
Instantané]])</f>
        <v>43.935926773502196</v>
      </c>
      <c r="AD147" s="41">
        <f>Tableau1[[#This Row],[Conso HP + HC / jour_x000D_
Instantané]]*365</f>
        <v>16036.613272328301</v>
      </c>
      <c r="AE147" s="38">
        <f>Tableau1[[#This Row],[Différence HP
Cumul]]+Tableau1[[#This Row],[Différence HC
Cumul]]</f>
        <v>6395</v>
      </c>
      <c r="AF147" s="40">
        <f>(Tableau1[[#This Row],[Conso HP + HC
Cumul]]-AE$6)/Tableau1[[#This Row],[Diff jour_x000D_
Cumul
depuis le 24/01]]</f>
        <v>53.466938537720296</v>
      </c>
      <c r="AG147" s="40">
        <f>(Tableau1[[#This Row],[Conso HP + HC
Cumul]]-AE$59)/Tableau1[[#This Row],[Diff jour_x000D_
Cumul
depuis
précédente facture
16/02/2021]]</f>
        <v>45.264023128598666</v>
      </c>
      <c r="AH147" s="41">
        <f>Tableau1[[#This Row],[Conso HP + HC
Cumul]]/(Tableau1[[#This Row],[Diff jour_x000D_
Cumul]]*24)</f>
        <v>2.4310967496674176</v>
      </c>
      <c r="AI147" s="41">
        <f>Tableau1[[#This Row],[Conso HP + HC
Cumul]]/Tableau1[[#This Row],[Diff jour_x000D_
Cumul]]</f>
        <v>58.346321992018019</v>
      </c>
      <c r="AJ147" s="41">
        <f>Tableau1[[#This Row],[Conso HP + HC / jour_x000D_
Cumul]]*365</f>
        <v>21296.407527086576</v>
      </c>
      <c r="AK147" s="44">
        <f>(Tableau1[[#This Row],[Différence HP
Cumul]]*0.1799)+(Tableau1[[#This Row],[Différence HC
Cumul]]*0.1346)</f>
        <v>1056.8253999999999</v>
      </c>
      <c r="AL147" s="44">
        <f>Tableau1[[#This Row],[Montant
Tarif HP/HC]]/Tableau1[[#This Row],[Diff jour_x000D_
Cumul]]</f>
        <v>9.6422009503898725</v>
      </c>
      <c r="AM147" s="44">
        <f>(Tableau1[[#This Row],[Montant
Tarif HP/HC]]-AK$6)/Tableau1[[#This Row],[Diff jour_x000D_
Cumul
depuis le 24/01]]</f>
        <v>8.8421760559274585</v>
      </c>
      <c r="AN147" s="44">
        <f>(Tableau1[[#This Row],[Montant
Tarif HP/HC]]-AK$59)/Tableau1[[#This Row],[Diff jour_x000D_
Cumul
depuis
précédente facture
16/02/2021]]</f>
        <v>7.4459522122392992</v>
      </c>
      <c r="AO147" s="44">
        <f>Tableau1[[#This Row],[Conso HP + HC
Cumul]]*0.1599</f>
        <v>1022.5604999999999</v>
      </c>
      <c r="AP147" s="44">
        <f>Tableau1[[#This Row],[Montant
Tarif normal]]/Tableau1[[#This Row],[Diff jour_x000D_
Cumul]]</f>
        <v>9.3295768865236806</v>
      </c>
      <c r="AQ147" s="44">
        <f>(Tableau1[[#This Row],[Conso HP / an
Cumul]]*0.1799)+(Tableau1[[#This Row],[Conso HC / an_x000D_
Cumul]]*0.1346)</f>
        <v>3519.4033468923035</v>
      </c>
      <c r="AR147" s="44">
        <f>Tableau1[[#This Row],[Conso HP + HC / an_x000D_
Cumul]]*0.1599</f>
        <v>3405.2955635811431</v>
      </c>
      <c r="AS147" s="38">
        <f>MONTH(Tableau1[[#This Row],[Date]])</f>
        <v>4</v>
      </c>
      <c r="AT147" s="38">
        <f>YEAR(Tableau1[[#This Row],[Date]])</f>
        <v>2021</v>
      </c>
    </row>
    <row r="148" spans="1:46" x14ac:dyDescent="0.2">
      <c r="A148" s="19">
        <v>44292.576388888891</v>
      </c>
      <c r="B148" s="20">
        <v>6.6</v>
      </c>
      <c r="C148" s="39">
        <f>IF(ISERROR(Tableau1[[#This Row],[Date]]-A147),"",Tableau1[[#This Row],[Date]]-A147)</f>
        <v>0.26388888889050577</v>
      </c>
      <c r="D148" s="40">
        <f>IF(ISERROR(Tableau1[[#This Row],[Date]]-A147),"",Tableau1[[#This Row],[Date]]-A147)</f>
        <v>0.26388888889050577</v>
      </c>
      <c r="E148" s="39">
        <f>Tableau1[[#This Row],[Date]]-$A$5</f>
        <v>109.86805555555475</v>
      </c>
      <c r="F148" s="40">
        <f>Tableau1[[#This Row],[Date]]-$A$5</f>
        <v>109.86805555555475</v>
      </c>
      <c r="G148" s="40">
        <f>Tableau1[[#This Row],[Diff jour_x000D_
Cumul]]-F$6</f>
        <v>71.784722222226264</v>
      </c>
      <c r="H148" s="40">
        <f>Tableau1[[#This Row],[Diff jour_x000D_
Cumul]]-F$59</f>
        <v>49.265277777776646</v>
      </c>
      <c r="I148" s="21">
        <v>184102</v>
      </c>
      <c r="J148" s="38">
        <f>IF(ISERROR(Tableau1[[#This Row],[Index HP
kWh]]-I147),"",Tableau1[[#This Row],[Index HP
kWh]]-I147)</f>
        <v>15</v>
      </c>
      <c r="K148" s="40">
        <f>IF(ISERROR(Tableau1[[#This Row],[Différence HP
Instantané]]/(Tableau1[[#This Row],[Diff jour
Instantané]]*24)),"",Tableau1[[#This Row],[Différence HP
Instantané]]/(Tableau1[[#This Row],[Diff jour
Instantané]]*24))</f>
        <v>2.3684210526170673</v>
      </c>
      <c r="L148" s="40">
        <f>Tableau1[[#This Row],[Différence HP
Instantané]]/Tableau1[[#This Row],[Diff jour
Instantané]]</f>
        <v>56.842105262809618</v>
      </c>
      <c r="M148" s="40">
        <f>Tableau1[[#This Row],[Conso HP / jour
Instantané]]*365</f>
        <v>20747.368420925512</v>
      </c>
      <c r="N148" s="38">
        <f>Tableau1[[#This Row],[Index HP
kWh]]-$I$5</f>
        <v>4343</v>
      </c>
      <c r="O148" s="41">
        <f>Tableau1[[#This Row],[Différence HP
Cumul]]/(Tableau1[[#This Row],[Diff jour_x000D_
Cumul]]*24)</f>
        <v>1.6470513873965105</v>
      </c>
      <c r="P148" s="41">
        <f>Tableau1[[#This Row],[Différence HP
Cumul]]/Tableau1[[#This Row],[Diff jour_x000D_
Cumul]]</f>
        <v>39.529233297516249</v>
      </c>
      <c r="Q148" s="41">
        <f>Tableau1[[#This Row],[Conso HP / jour
Cumul]]*365</f>
        <v>14428.170153593432</v>
      </c>
      <c r="R148" s="21">
        <v>121499</v>
      </c>
      <c r="S148" s="38">
        <f>Tableau1[[#This Row],[Index HC_x000D_
kWh]]-R147</f>
        <v>0</v>
      </c>
      <c r="T148" s="42">
        <f>Tableau1[[#This Row],[Différence_x000D_ HC
Instantané]]/(Tableau1[[#This Row],[Diff jour
Instantané]]*24)</f>
        <v>0</v>
      </c>
      <c r="U148" s="42">
        <f>Tableau1[[#This Row],[Différence_x000D_ HC
Instantané]]/Tableau1[[#This Row],[Diff jour
Instantané]]</f>
        <v>0</v>
      </c>
      <c r="V148" s="42">
        <f>Tableau1[[#This Row],[Conso HC / jour_x000D_
Instantané]]*365</f>
        <v>0</v>
      </c>
      <c r="W148" s="38">
        <f>Tableau1[[#This Row],[Index HC_x000D_
kWh]]-$R$5</f>
        <v>2067</v>
      </c>
      <c r="X148" s="43">
        <f>Tableau1[[#This Row],[Différence HC
Cumul]]/(Tableau1[[#This Row],[Diff jour_x000D_
Cumul]]*24)</f>
        <v>0.78389482333607807</v>
      </c>
      <c r="Y148" s="43">
        <f>Tableau1[[#This Row],[Différence HC
Cumul]]/Tableau1[[#This Row],[Diff jour_x000D_
Cumul]]</f>
        <v>18.813475760065874</v>
      </c>
      <c r="Z148" s="43">
        <f>Tableau1[[#This Row],[Conso HC / jour_x000D_
Cumul]]*365</f>
        <v>6866.918652424044</v>
      </c>
      <c r="AA148" s="38">
        <f>Tableau1[[#This Row],[Différence HP
Instantané]]+Tableau1[[#This Row],[Différence_x000D_ HC
Instantané]]</f>
        <v>15</v>
      </c>
      <c r="AB148" s="41">
        <f>Tableau1[[#This Row],[Conso HP + HC
Instantané]]/(Tableau1[[#This Row],[Diff jour
Instantané]]*24)</f>
        <v>2.3684210526170673</v>
      </c>
      <c r="AC148" s="34">
        <f>IF(ISERROR(Tableau1[[#This Row],[Date]]-A147),"",Tableau1[[#This Row],[Conso HP + HC
Instantané]]/Tableau1[[#This Row],[Diff jour
Instantané]])</f>
        <v>56.842105262809618</v>
      </c>
      <c r="AD148" s="41">
        <f>Tableau1[[#This Row],[Conso HP + HC / jour_x000D_
Instantané]]*365</f>
        <v>20747.368420925512</v>
      </c>
      <c r="AE148" s="38">
        <f>Tableau1[[#This Row],[Différence HP
Cumul]]+Tableau1[[#This Row],[Différence HC
Cumul]]</f>
        <v>6410</v>
      </c>
      <c r="AF148" s="40">
        <f>(Tableau1[[#This Row],[Conso HP + HC
Cumul]]-AE$6)/Tableau1[[#This Row],[Diff jour_x000D_
Cumul
depuis le 24/01]]</f>
        <v>53.479346038499457</v>
      </c>
      <c r="AG148" s="40">
        <f>(Tableau1[[#This Row],[Conso HP + HC
Cumul]]-AE$59)/Tableau1[[#This Row],[Diff jour_x000D_
Cumul
depuis
précédente facture
16/02/2021]]</f>
        <v>45.326040991233313</v>
      </c>
      <c r="AH148" s="41">
        <f>Tableau1[[#This Row],[Conso HP + HC
Cumul]]/(Tableau1[[#This Row],[Diff jour_x000D_
Cumul]]*24)</f>
        <v>2.4309462107325883</v>
      </c>
      <c r="AI148" s="41">
        <f>Tableau1[[#This Row],[Conso HP + HC
Cumul]]/Tableau1[[#This Row],[Diff jour_x000D_
Cumul]]</f>
        <v>58.342709057582127</v>
      </c>
      <c r="AJ148" s="41">
        <f>Tableau1[[#This Row],[Conso HP + HC / jour_x000D_
Cumul]]*365</f>
        <v>21295.088806017477</v>
      </c>
      <c r="AK148" s="44">
        <f>(Tableau1[[#This Row],[Différence HP
Cumul]]*0.1799)+(Tableau1[[#This Row],[Différence HC
Cumul]]*0.1346)</f>
        <v>1059.5238999999999</v>
      </c>
      <c r="AL148" s="44">
        <f>Tableau1[[#This Row],[Montant
Tarif HP/HC]]/Tableau1[[#This Row],[Diff jour_x000D_
Cumul]]</f>
        <v>9.6436029075280398</v>
      </c>
      <c r="AM148" s="44">
        <f>(Tableau1[[#This Row],[Montant
Tarif HP/HC]]-AK$6)/Tableau1[[#This Row],[Diff jour_x000D_
Cumul
depuis le 24/01]]</f>
        <v>8.8472627648248849</v>
      </c>
      <c r="AN148" s="44">
        <f>(Tableau1[[#This Row],[Montant
Tarif HP/HC]]-AK$59)/Tableau1[[#This Row],[Diff jour_x000D_
Cumul
depuis
précédente facture
16/02/2021]]</f>
        <v>7.4608429421219036</v>
      </c>
      <c r="AO148" s="44">
        <f>Tableau1[[#This Row],[Conso HP + HC
Cumul]]*0.1599</f>
        <v>1024.9589999999998</v>
      </c>
      <c r="AP148" s="44">
        <f>Tableau1[[#This Row],[Montant
Tarif normal]]/Tableau1[[#This Row],[Diff jour_x000D_
Cumul]]</f>
        <v>9.3289991783073809</v>
      </c>
      <c r="AQ148" s="44">
        <f>(Tableau1[[#This Row],[Conso HP / an
Cumul]]*0.1799)+(Tableau1[[#This Row],[Conso HC / an_x000D_
Cumul]]*0.1346)</f>
        <v>3519.9150612477347</v>
      </c>
      <c r="AR148" s="44">
        <f>Tableau1[[#This Row],[Conso HP + HC / an_x000D_
Cumul]]*0.1599</f>
        <v>3405.0847000821941</v>
      </c>
      <c r="AS148" s="38">
        <f>MONTH(Tableau1[[#This Row],[Date]])</f>
        <v>4</v>
      </c>
      <c r="AT148" s="38">
        <f>YEAR(Tableau1[[#This Row],[Date]])</f>
        <v>2021</v>
      </c>
    </row>
    <row r="149" spans="1:46" x14ac:dyDescent="0.2">
      <c r="A149" s="19">
        <v>44293.378472222219</v>
      </c>
      <c r="B149" s="20">
        <v>1.1000000000000001</v>
      </c>
      <c r="C149" s="39">
        <f>IF(ISERROR(Tableau1[[#This Row],[Date]]-A148),"",Tableau1[[#This Row],[Date]]-A148)</f>
        <v>0.80208333332848269</v>
      </c>
      <c r="D149" s="40">
        <f>IF(ISERROR(Tableau1[[#This Row],[Date]]-A148),"",Tableau1[[#This Row],[Date]]-A148)</f>
        <v>0.80208333332848269</v>
      </c>
      <c r="E149" s="39">
        <f>Tableau1[[#This Row],[Date]]-$A$5</f>
        <v>110.67013888888323</v>
      </c>
      <c r="F149" s="40">
        <f>Tableau1[[#This Row],[Date]]-$A$5</f>
        <v>110.67013888888323</v>
      </c>
      <c r="G149" s="40">
        <f>Tableau1[[#This Row],[Diff jour_x000D_
Cumul]]-F$6</f>
        <v>72.586805555554747</v>
      </c>
      <c r="H149" s="40">
        <f>Tableau1[[#This Row],[Diff jour_x000D_
Cumul]]-F$59</f>
        <v>50.067361111105129</v>
      </c>
      <c r="I149" s="21">
        <v>184127</v>
      </c>
      <c r="J149" s="38">
        <f>IF(ISERROR(Tableau1[[#This Row],[Index HP
kWh]]-I148),"",Tableau1[[#This Row],[Index HP
kWh]]-I148)</f>
        <v>25</v>
      </c>
      <c r="K149" s="40">
        <f>IF(ISERROR(Tableau1[[#This Row],[Différence HP
Instantané]]/(Tableau1[[#This Row],[Diff jour
Instantané]]*24)),"",Tableau1[[#This Row],[Différence HP
Instantané]]/(Tableau1[[#This Row],[Diff jour
Instantané]]*24))</f>
        <v>1.2987012987091526</v>
      </c>
      <c r="L149" s="40">
        <f>Tableau1[[#This Row],[Différence HP
Instantané]]/Tableau1[[#This Row],[Diff jour
Instantané]]</f>
        <v>31.168831169019665</v>
      </c>
      <c r="M149" s="40">
        <f>Tableau1[[#This Row],[Conso HP / jour
Instantané]]*365</f>
        <v>11376.623376692178</v>
      </c>
      <c r="N149" s="38">
        <f>Tableau1[[#This Row],[Index HP
kWh]]-$I$5</f>
        <v>4368</v>
      </c>
      <c r="O149" s="41">
        <f>Tableau1[[#This Row],[Différence HP
Cumul]]/(Tableau1[[#This Row],[Diff jour_x000D_
Cumul]]*24)</f>
        <v>1.6445267154018348</v>
      </c>
      <c r="P149" s="41">
        <f>Tableau1[[#This Row],[Différence HP
Cumul]]/Tableau1[[#This Row],[Diff jour_x000D_
Cumul]]</f>
        <v>39.468641169644037</v>
      </c>
      <c r="Q149" s="41">
        <f>Tableau1[[#This Row],[Conso HP / jour
Cumul]]*365</f>
        <v>14406.054026920074</v>
      </c>
      <c r="R149" s="21">
        <v>121519</v>
      </c>
      <c r="S149" s="38">
        <f>Tableau1[[#This Row],[Index HC_x000D_
kWh]]-R148</f>
        <v>20</v>
      </c>
      <c r="T149" s="42">
        <f>Tableau1[[#This Row],[Différence_x000D_ HC
Instantané]]/(Tableau1[[#This Row],[Diff jour
Instantané]]*24)</f>
        <v>1.0389610389673221</v>
      </c>
      <c r="U149" s="42">
        <f>Tableau1[[#This Row],[Différence_x000D_ HC
Instantané]]/Tableau1[[#This Row],[Diff jour
Instantané]]</f>
        <v>24.935064935215731</v>
      </c>
      <c r="V149" s="42">
        <f>Tableau1[[#This Row],[Conso HC / jour_x000D_
Instantané]]*365</f>
        <v>9101.2987013537422</v>
      </c>
      <c r="W149" s="38">
        <f>Tableau1[[#This Row],[Index HC_x000D_
kWh]]-$R$5</f>
        <v>2087</v>
      </c>
      <c r="X149" s="43">
        <f>Tableau1[[#This Row],[Différence HC
Cumul]]/(Tableau1[[#This Row],[Diff jour_x000D_
Cumul]]*24)</f>
        <v>0.78574341919497004</v>
      </c>
      <c r="Y149" s="43">
        <f>Tableau1[[#This Row],[Différence HC
Cumul]]/Tableau1[[#This Row],[Diff jour_x000D_
Cumul]]</f>
        <v>18.857842060679282</v>
      </c>
      <c r="Z149" s="43">
        <f>Tableau1[[#This Row],[Conso HC / jour_x000D_
Cumul]]*365</f>
        <v>6883.1123521479376</v>
      </c>
      <c r="AA149" s="38">
        <f>Tableau1[[#This Row],[Différence HP
Instantané]]+Tableau1[[#This Row],[Différence_x000D_ HC
Instantané]]</f>
        <v>45</v>
      </c>
      <c r="AB149" s="41">
        <f>Tableau1[[#This Row],[Conso HP + HC
Instantané]]/(Tableau1[[#This Row],[Diff jour
Instantané]]*24)</f>
        <v>2.3376623376764747</v>
      </c>
      <c r="AC149" s="34">
        <f>IF(ISERROR(Tableau1[[#This Row],[Date]]-A148),"",Tableau1[[#This Row],[Conso HP + HC
Instantané]]/Tableau1[[#This Row],[Diff jour
Instantané]])</f>
        <v>56.103896104235396</v>
      </c>
      <c r="AD149" s="41">
        <f>Tableau1[[#This Row],[Conso HP + HC / jour_x000D_
Instantané]]*365</f>
        <v>20477.922078045918</v>
      </c>
      <c r="AE149" s="38">
        <f>Tableau1[[#This Row],[Différence HP
Cumul]]+Tableau1[[#This Row],[Différence HC
Cumul]]</f>
        <v>6455</v>
      </c>
      <c r="AF149" s="40">
        <f>(Tableau1[[#This Row],[Conso HP + HC
Cumul]]-AE$6)/Tableau1[[#This Row],[Diff jour_x000D_
Cumul
depuis le 24/01]]</f>
        <v>53.508347285339035</v>
      </c>
      <c r="AG149" s="40">
        <f>(Tableau1[[#This Row],[Conso HP + HC
Cumul]]-AE$59)/Tableau1[[#This Row],[Diff jour_x000D_
Cumul
depuis
précédente facture
16/02/2021]]</f>
        <v>45.498703136058253</v>
      </c>
      <c r="AH149" s="41">
        <f>Tableau1[[#This Row],[Conso HP + HC
Cumul]]/(Tableau1[[#This Row],[Diff jour_x000D_
Cumul]]*24)</f>
        <v>2.430270134596805</v>
      </c>
      <c r="AI149" s="41">
        <f>Tableau1[[#This Row],[Conso HP + HC
Cumul]]/Tableau1[[#This Row],[Diff jour_x000D_
Cumul]]</f>
        <v>58.326483230323319</v>
      </c>
      <c r="AJ149" s="41">
        <f>Tableau1[[#This Row],[Conso HP + HC / jour_x000D_
Cumul]]*365</f>
        <v>21289.16637906801</v>
      </c>
      <c r="AK149" s="44">
        <f>(Tableau1[[#This Row],[Différence HP
Cumul]]*0.1799)+(Tableau1[[#This Row],[Différence HC
Cumul]]*0.1346)</f>
        <v>1066.7134000000001</v>
      </c>
      <c r="AL149" s="44">
        <f>Tableau1[[#This Row],[Montant
Tarif HP/HC]]/Tableau1[[#This Row],[Diff jour_x000D_
Cumul]]</f>
        <v>9.6386740877863932</v>
      </c>
      <c r="AM149" s="44">
        <f>(Tableau1[[#This Row],[Montant
Tarif HP/HC]]-AK$6)/Tableau1[[#This Row],[Diff jour_x000D_
Cumul
depuis le 24/01]]</f>
        <v>8.8485475436499446</v>
      </c>
      <c r="AN149" s="44">
        <f>(Tableau1[[#This Row],[Montant
Tarif HP/HC]]-AK$59)/Tableau1[[#This Row],[Diff jour_x000D_
Cumul
depuis
précédente facture
16/02/2021]]</f>
        <v>7.4849161546259158</v>
      </c>
      <c r="AO149" s="44">
        <f>Tableau1[[#This Row],[Conso HP + HC
Cumul]]*0.1599</f>
        <v>1032.1544999999999</v>
      </c>
      <c r="AP149" s="44">
        <f>Tableau1[[#This Row],[Montant
Tarif normal]]/Tableau1[[#This Row],[Diff jour_x000D_
Cumul]]</f>
        <v>9.3264046685286974</v>
      </c>
      <c r="AQ149" s="44">
        <f>(Tableau1[[#This Row],[Conso HP / an
Cumul]]*0.1799)+(Tableau1[[#This Row],[Conso HC / an_x000D_
Cumul]]*0.1346)</f>
        <v>3518.1160420420338</v>
      </c>
      <c r="AR149" s="44">
        <f>Tableau1[[#This Row],[Conso HP + HC / an_x000D_
Cumul]]*0.1599</f>
        <v>3404.1377040129746</v>
      </c>
      <c r="AS149" s="38">
        <f>MONTH(Tableau1[[#This Row],[Date]])</f>
        <v>4</v>
      </c>
      <c r="AT149" s="38">
        <f>YEAR(Tableau1[[#This Row],[Date]])</f>
        <v>2021</v>
      </c>
    </row>
    <row r="150" spans="1:46" x14ac:dyDescent="0.2">
      <c r="A150" s="19">
        <v>44294.395138888889</v>
      </c>
      <c r="B150" s="20">
        <v>5.8</v>
      </c>
      <c r="C150" s="39">
        <f>IF(ISERROR(Tableau1[[#This Row],[Date]]-A149),"",Tableau1[[#This Row],[Date]]-A149)</f>
        <v>1.0166666666700621</v>
      </c>
      <c r="D150" s="40">
        <f>IF(ISERROR(Tableau1[[#This Row],[Date]]-A149),"",Tableau1[[#This Row],[Date]]-A149)</f>
        <v>1.0166666666700621</v>
      </c>
      <c r="E150" s="39">
        <f>Tableau1[[#This Row],[Date]]-$A$5</f>
        <v>111.68680555555329</v>
      </c>
      <c r="F150" s="40">
        <f>Tableau1[[#This Row],[Date]]-$A$5</f>
        <v>111.68680555555329</v>
      </c>
      <c r="G150" s="40">
        <f>Tableau1[[#This Row],[Diff jour_x000D_
Cumul]]-F$6</f>
        <v>73.603472222224809</v>
      </c>
      <c r="H150" s="40">
        <f>Tableau1[[#This Row],[Diff jour_x000D_
Cumul]]-F$59</f>
        <v>51.084027777775191</v>
      </c>
      <c r="I150" s="21">
        <v>184158</v>
      </c>
      <c r="J150" s="38">
        <f>IF(ISERROR(Tableau1[[#This Row],[Index HP
kWh]]-I149),"",Tableau1[[#This Row],[Index HP
kWh]]-I149)</f>
        <v>31</v>
      </c>
      <c r="K150" s="40">
        <f>IF(ISERROR(Tableau1[[#This Row],[Différence HP
Instantané]]/(Tableau1[[#This Row],[Diff jour
Instantané]]*24)),"",Tableau1[[#This Row],[Différence HP
Instantané]]/(Tableau1[[#This Row],[Diff jour
Instantané]]*24))</f>
        <v>1.2704918032744454</v>
      </c>
      <c r="L150" s="40">
        <f>Tableau1[[#This Row],[Différence HP
Instantané]]/Tableau1[[#This Row],[Diff jour
Instantané]]</f>
        <v>30.491803278586687</v>
      </c>
      <c r="M150" s="40">
        <f>Tableau1[[#This Row],[Conso HP / jour
Instantané]]*365</f>
        <v>11129.508196684141</v>
      </c>
      <c r="N150" s="38">
        <f>Tableau1[[#This Row],[Index HP
kWh]]-$I$5</f>
        <v>4399</v>
      </c>
      <c r="O150" s="41">
        <f>Tableau1[[#This Row],[Différence HP
Cumul]]/(Tableau1[[#This Row],[Diff jour_x000D_
Cumul]]*24)</f>
        <v>1.6411219369641379</v>
      </c>
      <c r="P150" s="41">
        <f>Tableau1[[#This Row],[Différence HP
Cumul]]/Tableau1[[#This Row],[Diff jour_x000D_
Cumul]]</f>
        <v>39.386926487139313</v>
      </c>
      <c r="Q150" s="41">
        <f>Tableau1[[#This Row],[Conso HP / jour
Cumul]]*365</f>
        <v>14376.22816780585</v>
      </c>
      <c r="R150" s="21">
        <v>121538</v>
      </c>
      <c r="S150" s="38">
        <f>Tableau1[[#This Row],[Index HC_x000D_
kWh]]-R149</f>
        <v>19</v>
      </c>
      <c r="T150" s="42">
        <f>Tableau1[[#This Row],[Différence_x000D_ HC
Instantané]]/(Tableau1[[#This Row],[Diff jour
Instantané]]*24)</f>
        <v>0.77868852458756332</v>
      </c>
      <c r="U150" s="42">
        <f>Tableau1[[#This Row],[Différence_x000D_ HC
Instantané]]/Tableau1[[#This Row],[Diff jour
Instantané]]</f>
        <v>18.688524590101519</v>
      </c>
      <c r="V150" s="42">
        <f>Tableau1[[#This Row],[Conso HC / jour_x000D_
Instantané]]*365</f>
        <v>6821.3114753870541</v>
      </c>
      <c r="W150" s="38">
        <f>Tableau1[[#This Row],[Index HC_x000D_
kWh]]-$R$5</f>
        <v>2106</v>
      </c>
      <c r="X150" s="43">
        <f>Tableau1[[#This Row],[Différence HC
Cumul]]/(Tableau1[[#This Row],[Diff jour_x000D_
Cumul]]*24)</f>
        <v>0.78567919964684574</v>
      </c>
      <c r="Y150" s="43">
        <f>Tableau1[[#This Row],[Différence HC
Cumul]]/Tableau1[[#This Row],[Diff jour_x000D_
Cumul]]</f>
        <v>18.856300791524298</v>
      </c>
      <c r="Z150" s="43">
        <f>Tableau1[[#This Row],[Conso HC / jour_x000D_
Cumul]]*365</f>
        <v>6882.549788906369</v>
      </c>
      <c r="AA150" s="38">
        <f>Tableau1[[#This Row],[Différence HP
Instantané]]+Tableau1[[#This Row],[Différence_x000D_ HC
Instantané]]</f>
        <v>50</v>
      </c>
      <c r="AB150" s="41">
        <f>Tableau1[[#This Row],[Conso HP + HC
Instantané]]/(Tableau1[[#This Row],[Diff jour
Instantané]]*24)</f>
        <v>2.0491803278620084</v>
      </c>
      <c r="AC150" s="34">
        <f>IF(ISERROR(Tableau1[[#This Row],[Date]]-A149),"",Tableau1[[#This Row],[Conso HP + HC
Instantané]]/Tableau1[[#This Row],[Diff jour
Instantané]])</f>
        <v>49.180327868688209</v>
      </c>
      <c r="AD150" s="41">
        <f>Tableau1[[#This Row],[Conso HP + HC / jour_x000D_
Instantané]]*365</f>
        <v>17950.819672071197</v>
      </c>
      <c r="AE150" s="38">
        <f>Tableau1[[#This Row],[Différence HP
Cumul]]+Tableau1[[#This Row],[Différence HC
Cumul]]</f>
        <v>6505</v>
      </c>
      <c r="AF150" s="40">
        <f>(Tableau1[[#This Row],[Conso HP + HC
Cumul]]-AE$6)/Tableau1[[#This Row],[Diff jour_x000D_
Cumul
depuis le 24/01]]</f>
        <v>53.448565417164055</v>
      </c>
      <c r="AG150" s="40">
        <f>(Tableau1[[#This Row],[Conso HP + HC
Cumul]]-AE$59)/Tableau1[[#This Row],[Diff jour_x000D_
Cumul
depuis
précédente facture
16/02/2021]]</f>
        <v>45.571974279851688</v>
      </c>
      <c r="AH150" s="41">
        <f>Tableau1[[#This Row],[Conso HP + HC
Cumul]]/(Tableau1[[#This Row],[Diff jour_x000D_
Cumul]]*24)</f>
        <v>2.4268011366109836</v>
      </c>
      <c r="AI150" s="41">
        <f>Tableau1[[#This Row],[Conso HP + HC
Cumul]]/Tableau1[[#This Row],[Diff jour_x000D_
Cumul]]</f>
        <v>58.24322727866361</v>
      </c>
      <c r="AJ150" s="41">
        <f>Tableau1[[#This Row],[Conso HP + HC / jour_x000D_
Cumul]]*365</f>
        <v>21258.777956712216</v>
      </c>
      <c r="AK150" s="44">
        <f>(Tableau1[[#This Row],[Différence HP
Cumul]]*0.1799)+(Tableau1[[#This Row],[Différence HC
Cumul]]*0.1346)</f>
        <v>1074.8477</v>
      </c>
      <c r="AL150" s="44">
        <f>Tableau1[[#This Row],[Montant
Tarif HP/HC]]/Tableau1[[#This Row],[Diff jour_x000D_
Cumul]]</f>
        <v>9.6237661615755332</v>
      </c>
      <c r="AM150" s="44">
        <f>(Tableau1[[#This Row],[Montant
Tarif HP/HC]]-AK$6)/Tableau1[[#This Row],[Diff jour_x000D_
Cumul
depuis le 24/01]]</f>
        <v>8.8368398984797203</v>
      </c>
      <c r="AN150" s="44">
        <f>(Tableau1[[#This Row],[Montant
Tarif HP/HC]]-AK$59)/Tableau1[[#This Row],[Diff jour_x000D_
Cumul
depuis
précédente facture
16/02/2021]]</f>
        <v>7.4951861992092006</v>
      </c>
      <c r="AO150" s="44">
        <f>Tableau1[[#This Row],[Conso HP + HC
Cumul]]*0.1599</f>
        <v>1040.1495</v>
      </c>
      <c r="AP150" s="44">
        <f>Tableau1[[#This Row],[Montant
Tarif normal]]/Tableau1[[#This Row],[Diff jour_x000D_
Cumul]]</f>
        <v>9.3130920418583116</v>
      </c>
      <c r="AQ150" s="44">
        <f>(Tableau1[[#This Row],[Conso HP / an
Cumul]]*0.1799)+(Tableau1[[#This Row],[Conso HC / an_x000D_
Cumul]]*0.1346)</f>
        <v>3512.6746489750699</v>
      </c>
      <c r="AR150" s="44">
        <f>Tableau1[[#This Row],[Conso HP + HC / an_x000D_
Cumul]]*0.1599</f>
        <v>3399.2785952782829</v>
      </c>
      <c r="AS150" s="38">
        <f>MONTH(Tableau1[[#This Row],[Date]])</f>
        <v>4</v>
      </c>
      <c r="AT150" s="38">
        <f>YEAR(Tableau1[[#This Row],[Date]])</f>
        <v>2021</v>
      </c>
    </row>
    <row r="151" spans="1:46" x14ac:dyDescent="0.2">
      <c r="A151" s="19">
        <v>44295.370138888888</v>
      </c>
      <c r="B151" s="20">
        <v>8.4</v>
      </c>
      <c r="C151" s="39">
        <f>IF(ISERROR(Tableau1[[#This Row],[Date]]-A150),"",Tableau1[[#This Row],[Date]]-A150)</f>
        <v>0.97499999999854481</v>
      </c>
      <c r="D151" s="40">
        <f>IF(ISERROR(Tableau1[[#This Row],[Date]]-A150),"",Tableau1[[#This Row],[Date]]-A150)</f>
        <v>0.97499999999854481</v>
      </c>
      <c r="E151" s="39">
        <f>Tableau1[[#This Row],[Date]]-$A$5</f>
        <v>112.66180555555184</v>
      </c>
      <c r="F151" s="40">
        <f>Tableau1[[#This Row],[Date]]-$A$5</f>
        <v>112.66180555555184</v>
      </c>
      <c r="G151" s="40">
        <f>Tableau1[[#This Row],[Diff jour_x000D_
Cumul]]-F$6</f>
        <v>74.578472222223354</v>
      </c>
      <c r="H151" s="40">
        <f>Tableau1[[#This Row],[Diff jour_x000D_
Cumul]]-F$59</f>
        <v>52.059027777773736</v>
      </c>
      <c r="I151" s="21">
        <v>184180</v>
      </c>
      <c r="J151" s="38">
        <f>IF(ISERROR(Tableau1[[#This Row],[Index HP
kWh]]-I150),"",Tableau1[[#This Row],[Index HP
kWh]]-I150)</f>
        <v>22</v>
      </c>
      <c r="K151" s="40">
        <f>IF(ISERROR(Tableau1[[#This Row],[Différence HP
Instantané]]/(Tableau1[[#This Row],[Diff jour
Instantané]]*24)),"",Tableau1[[#This Row],[Différence HP
Instantané]]/(Tableau1[[#This Row],[Diff jour
Instantané]]*24))</f>
        <v>0.94017094017234337</v>
      </c>
      <c r="L151" s="40">
        <f>Tableau1[[#This Row],[Différence HP
Instantané]]/Tableau1[[#This Row],[Diff jour
Instantané]]</f>
        <v>22.564102564136242</v>
      </c>
      <c r="M151" s="40">
        <f>Tableau1[[#This Row],[Conso HP / jour
Instantané]]*365</f>
        <v>8235.8974359097283</v>
      </c>
      <c r="N151" s="38">
        <f>Tableau1[[#This Row],[Index HP
kWh]]-$I$5</f>
        <v>4421</v>
      </c>
      <c r="O151" s="41">
        <f>Tableau1[[#This Row],[Différence HP
Cumul]]/(Tableau1[[#This Row],[Diff jour_x000D_
Cumul]]*24)</f>
        <v>1.6350557531452217</v>
      </c>
      <c r="P151" s="41">
        <f>Tableau1[[#This Row],[Différence HP
Cumul]]/Tableau1[[#This Row],[Diff jour_x000D_
Cumul]]</f>
        <v>39.241338075485324</v>
      </c>
      <c r="Q151" s="41">
        <f>Tableau1[[#This Row],[Conso HP / jour
Cumul]]*365</f>
        <v>14323.088397552143</v>
      </c>
      <c r="R151" s="21">
        <v>121553</v>
      </c>
      <c r="S151" s="38">
        <f>Tableau1[[#This Row],[Index HC_x000D_
kWh]]-R150</f>
        <v>15</v>
      </c>
      <c r="T151" s="42">
        <f>Tableau1[[#This Row],[Différence_x000D_ HC
Instantané]]/(Tableau1[[#This Row],[Diff jour
Instantané]]*24)</f>
        <v>0.64102564102659776</v>
      </c>
      <c r="U151" s="42">
        <f>Tableau1[[#This Row],[Différence_x000D_ HC
Instantané]]/Tableau1[[#This Row],[Diff jour
Instantané]]</f>
        <v>15.384615384638346</v>
      </c>
      <c r="V151" s="42">
        <f>Tableau1[[#This Row],[Conso HC / jour_x000D_
Instantané]]*365</f>
        <v>5615.3846153929962</v>
      </c>
      <c r="W151" s="38">
        <f>Tableau1[[#This Row],[Index HC_x000D_
kWh]]-$R$5</f>
        <v>2121</v>
      </c>
      <c r="X151" s="43">
        <f>Tableau1[[#This Row],[Différence HC
Cumul]]/(Tableau1[[#This Row],[Diff jour_x000D_
Cumul]]*24)</f>
        <v>0.78442733599208669</v>
      </c>
      <c r="Y151" s="43">
        <f>Tableau1[[#This Row],[Différence HC
Cumul]]/Tableau1[[#This Row],[Diff jour_x000D_
Cumul]]</f>
        <v>18.826256063810082</v>
      </c>
      <c r="Z151" s="43">
        <f>Tableau1[[#This Row],[Conso HC / jour_x000D_
Cumul]]*365</f>
        <v>6871.5834632906799</v>
      </c>
      <c r="AA151" s="38">
        <f>Tableau1[[#This Row],[Différence HP
Instantané]]+Tableau1[[#This Row],[Différence_x000D_ HC
Instantané]]</f>
        <v>37</v>
      </c>
      <c r="AB151" s="41">
        <f>Tableau1[[#This Row],[Conso HP + HC
Instantané]]/(Tableau1[[#This Row],[Diff jour
Instantané]]*24)</f>
        <v>1.5811965811989412</v>
      </c>
      <c r="AC151" s="34">
        <f>IF(ISERROR(Tableau1[[#This Row],[Date]]-A150),"",Tableau1[[#This Row],[Conso HP + HC
Instantané]]/Tableau1[[#This Row],[Diff jour
Instantané]])</f>
        <v>37.948717948774586</v>
      </c>
      <c r="AD151" s="41">
        <f>Tableau1[[#This Row],[Conso HP + HC / jour_x000D_
Instantané]]*365</f>
        <v>13851.282051302724</v>
      </c>
      <c r="AE151" s="38">
        <f>Tableau1[[#This Row],[Différence HP
Cumul]]+Tableau1[[#This Row],[Différence HC
Cumul]]</f>
        <v>6542</v>
      </c>
      <c r="AF151" s="40">
        <f>(Tableau1[[#This Row],[Conso HP + HC
Cumul]]-AE$6)/Tableau1[[#This Row],[Diff jour_x000D_
Cumul
depuis le 24/01]]</f>
        <v>53.245928505581496</v>
      </c>
      <c r="AG151" s="40">
        <f>(Tableau1[[#This Row],[Conso HP + HC
Cumul]]-AE$59)/Tableau1[[#This Row],[Diff jour_x000D_
Cumul
depuis
précédente facture
16/02/2021]]</f>
        <v>45.429200293473812</v>
      </c>
      <c r="AH151" s="41">
        <f>Tableau1[[#This Row],[Conso HP + HC
Cumul]]/(Tableau1[[#This Row],[Diff jour_x000D_
Cumul]]*24)</f>
        <v>2.4194830891373083</v>
      </c>
      <c r="AI151" s="41">
        <f>Tableau1[[#This Row],[Conso HP + HC
Cumul]]/Tableau1[[#This Row],[Diff jour_x000D_
Cumul]]</f>
        <v>58.067594139295402</v>
      </c>
      <c r="AJ151" s="41">
        <f>Tableau1[[#This Row],[Conso HP + HC / jour_x000D_
Cumul]]*365</f>
        <v>21194.67186084282</v>
      </c>
      <c r="AK151" s="44">
        <f>(Tableau1[[#This Row],[Différence HP
Cumul]]*0.1799)+(Tableau1[[#This Row],[Différence HC
Cumul]]*0.1346)</f>
        <v>1080.8244999999999</v>
      </c>
      <c r="AL151" s="44">
        <f>Tableau1[[#This Row],[Montant
Tarif HP/HC]]/Tableau1[[#This Row],[Diff jour_x000D_
Cumul]]</f>
        <v>9.5935307859686461</v>
      </c>
      <c r="AM151" s="44">
        <f>(Tableau1[[#This Row],[Montant
Tarif HP/HC]]-AK$6)/Tableau1[[#This Row],[Diff jour_x000D_
Cumul
depuis le 24/01]]</f>
        <v>8.8014527576283879</v>
      </c>
      <c r="AN151" s="44">
        <f>(Tableau1[[#This Row],[Montant
Tarif HP/HC]]-AK$59)/Tableau1[[#This Row],[Diff jour_x000D_
Cumul
depuis
précédente facture
16/02/2021]]</f>
        <v>7.469618942173593</v>
      </c>
      <c r="AO151" s="44">
        <f>Tableau1[[#This Row],[Conso HP + HC
Cumul]]*0.1599</f>
        <v>1046.0657999999999</v>
      </c>
      <c r="AP151" s="44">
        <f>Tableau1[[#This Row],[Montant
Tarif normal]]/Tableau1[[#This Row],[Diff jour_x000D_
Cumul]]</f>
        <v>9.285008302873333</v>
      </c>
      <c r="AQ151" s="44">
        <f>(Tableau1[[#This Row],[Conso HP / an
Cumul]]*0.1799)+(Tableau1[[#This Row],[Conso HC / an_x000D_
Cumul]]*0.1346)</f>
        <v>3501.6387368785558</v>
      </c>
      <c r="AR151" s="44">
        <f>Tableau1[[#This Row],[Conso HP + HC / an_x000D_
Cumul]]*0.1599</f>
        <v>3389.0280305487668</v>
      </c>
      <c r="AS151" s="38">
        <f>MONTH(Tableau1[[#This Row],[Date]])</f>
        <v>4</v>
      </c>
      <c r="AT151" s="38">
        <f>YEAR(Tableau1[[#This Row],[Date]])</f>
        <v>2021</v>
      </c>
    </row>
    <row r="152" spans="1:46" x14ac:dyDescent="0.2">
      <c r="A152" s="19">
        <v>44297.355555555558</v>
      </c>
      <c r="B152" s="20">
        <v>5</v>
      </c>
      <c r="C152" s="39">
        <f>IF(ISERROR(Tableau1[[#This Row],[Date]]-A151),"",Tableau1[[#This Row],[Date]]-A151)</f>
        <v>1.9854166666700621</v>
      </c>
      <c r="D152" s="40">
        <f>IF(ISERROR(Tableau1[[#This Row],[Date]]-A151),"",Tableau1[[#This Row],[Date]]-A151)</f>
        <v>1.9854166666700621</v>
      </c>
      <c r="E152" s="39">
        <f>Tableau1[[#This Row],[Date]]-$A$5</f>
        <v>114.6472222222219</v>
      </c>
      <c r="F152" s="40">
        <f>Tableau1[[#This Row],[Date]]-$A$5</f>
        <v>114.6472222222219</v>
      </c>
      <c r="G152" s="40">
        <f>Tableau1[[#This Row],[Diff jour_x000D_
Cumul]]-F$6</f>
        <v>76.563888888893416</v>
      </c>
      <c r="H152" s="40">
        <f>Tableau1[[#This Row],[Diff jour_x000D_
Cumul]]-F$59</f>
        <v>54.044444444443798</v>
      </c>
      <c r="I152" s="21">
        <v>184220</v>
      </c>
      <c r="J152" s="38">
        <f>IF(ISERROR(Tableau1[[#This Row],[Index HP
kWh]]-I151),"",Tableau1[[#This Row],[Index HP
kWh]]-I151)</f>
        <v>40</v>
      </c>
      <c r="K152" s="40">
        <f>IF(ISERROR(Tableau1[[#This Row],[Différence HP
Instantané]]/(Tableau1[[#This Row],[Diff jour
Instantané]]*24)),"",Tableau1[[#This Row],[Différence HP
Instantané]]/(Tableau1[[#This Row],[Diff jour
Instantané]]*24))</f>
        <v>0.8394543546680292</v>
      </c>
      <c r="L152" s="40">
        <f>Tableau1[[#This Row],[Différence HP
Instantané]]/Tableau1[[#This Row],[Diff jour
Instantané]]</f>
        <v>20.146904512032702</v>
      </c>
      <c r="M152" s="40">
        <f>Tableau1[[#This Row],[Conso HP / jour
Instantané]]*365</f>
        <v>7353.6201468919362</v>
      </c>
      <c r="N152" s="38">
        <f>Tableau1[[#This Row],[Index HP
kWh]]-$I$5</f>
        <v>4461</v>
      </c>
      <c r="O152" s="41">
        <f>Tableau1[[#This Row],[Différence HP
Cumul]]/(Tableau1[[#This Row],[Diff jour_x000D_
Cumul]]*24)</f>
        <v>1.6212778329658661</v>
      </c>
      <c r="P152" s="41">
        <f>Tableau1[[#This Row],[Différence HP
Cumul]]/Tableau1[[#This Row],[Diff jour_x000D_
Cumul]]</f>
        <v>38.910667991180787</v>
      </c>
      <c r="Q152" s="41">
        <f>Tableau1[[#This Row],[Conso HP / jour
Cumul]]*365</f>
        <v>14202.393816780987</v>
      </c>
      <c r="R152" s="21">
        <v>121578</v>
      </c>
      <c r="S152" s="38">
        <f>Tableau1[[#This Row],[Index HC_x000D_
kWh]]-R151</f>
        <v>25</v>
      </c>
      <c r="T152" s="42">
        <f>Tableau1[[#This Row],[Différence_x000D_ HC
Instantané]]/(Tableau1[[#This Row],[Diff jour
Instantané]]*24)</f>
        <v>0.52465897166751829</v>
      </c>
      <c r="U152" s="42">
        <f>Tableau1[[#This Row],[Différence_x000D_ HC
Instantané]]/Tableau1[[#This Row],[Diff jour
Instantané]]</f>
        <v>12.591815320020439</v>
      </c>
      <c r="V152" s="42">
        <f>Tableau1[[#This Row],[Conso HC / jour_x000D_
Instantané]]*365</f>
        <v>4596.01259180746</v>
      </c>
      <c r="W152" s="38">
        <f>Tableau1[[#This Row],[Index HC_x000D_
kWh]]-$R$5</f>
        <v>2146</v>
      </c>
      <c r="X152" s="43">
        <f>Tableau1[[#This Row],[Différence HC
Cumul]]/(Tableau1[[#This Row],[Diff jour_x000D_
Cumul]]*24)</f>
        <v>0.77992876699052871</v>
      </c>
      <c r="Y152" s="43">
        <f>Tableau1[[#This Row],[Différence HC
Cumul]]/Tableau1[[#This Row],[Diff jour_x000D_
Cumul]]</f>
        <v>18.718290407772688</v>
      </c>
      <c r="Z152" s="43">
        <f>Tableau1[[#This Row],[Conso HC / jour_x000D_
Cumul]]*365</f>
        <v>6832.1759988370313</v>
      </c>
      <c r="AA152" s="38">
        <f>Tableau1[[#This Row],[Différence HP
Instantané]]+Tableau1[[#This Row],[Différence_x000D_ HC
Instantané]]</f>
        <v>65</v>
      </c>
      <c r="AB152" s="41">
        <f>Tableau1[[#This Row],[Conso HP + HC
Instantané]]/(Tableau1[[#This Row],[Diff jour
Instantané]]*24)</f>
        <v>1.3641133263355474</v>
      </c>
      <c r="AC152" s="34">
        <f>IF(ISERROR(Tableau1[[#This Row],[Date]]-A151),"",Tableau1[[#This Row],[Conso HP + HC
Instantané]]/Tableau1[[#This Row],[Diff jour
Instantané]])</f>
        <v>32.738719832053143</v>
      </c>
      <c r="AD152" s="41">
        <f>Tableau1[[#This Row],[Conso HP + HC / jour_x000D_
Instantané]]*365</f>
        <v>11949.632738699396</v>
      </c>
      <c r="AE152" s="38">
        <f>Tableau1[[#This Row],[Différence HP
Cumul]]+Tableau1[[#This Row],[Différence HC
Cumul]]</f>
        <v>6607</v>
      </c>
      <c r="AF152" s="40">
        <f>(Tableau1[[#This Row],[Conso HP + HC
Cumul]]-AE$6)/Tableau1[[#This Row],[Diff jour_x000D_
Cumul
depuis le 24/01]]</f>
        <v>52.714145775130213</v>
      </c>
      <c r="AG152" s="40">
        <f>(Tableau1[[#This Row],[Conso HP + HC
Cumul]]-AE$59)/Tableau1[[#This Row],[Diff jour_x000D_
Cumul
depuis
précédente facture
16/02/2021]]</f>
        <v>44.96299342105317</v>
      </c>
      <c r="AH152" s="41">
        <f>Tableau1[[#This Row],[Conso HP + HC
Cumul]]/(Tableau1[[#This Row],[Diff jour_x000D_
Cumul]]*24)</f>
        <v>2.4012065999563945</v>
      </c>
      <c r="AI152" s="41">
        <f>Tableau1[[#This Row],[Conso HP + HC
Cumul]]/Tableau1[[#This Row],[Diff jour_x000D_
Cumul]]</f>
        <v>57.628958398953472</v>
      </c>
      <c r="AJ152" s="41">
        <f>Tableau1[[#This Row],[Conso HP + HC / jour_x000D_
Cumul]]*365</f>
        <v>21034.569815618019</v>
      </c>
      <c r="AK152" s="44">
        <f>(Tableau1[[#This Row],[Différence HP
Cumul]]*0.1799)+(Tableau1[[#This Row],[Différence HC
Cumul]]*0.1346)</f>
        <v>1091.3855000000001</v>
      </c>
      <c r="AL152" s="44">
        <f>Tableau1[[#This Row],[Montant
Tarif HP/HC]]/Tableau1[[#This Row],[Diff jour_x000D_
Cumul]]</f>
        <v>9.519511060499628</v>
      </c>
      <c r="AM152" s="44">
        <f>(Tableau1[[#This Row],[Montant
Tarif HP/HC]]-AK$6)/Tableau1[[#This Row],[Diff jour_x000D_
Cumul
depuis le 24/01]]</f>
        <v>8.7111549541046269</v>
      </c>
      <c r="AN152" s="44">
        <f>(Tableau1[[#This Row],[Montant
Tarif HP/HC]]-AK$59)/Tableau1[[#This Row],[Diff jour_x000D_
Cumul
depuis
précédente facture
16/02/2021]]</f>
        <v>7.3906227384869325</v>
      </c>
      <c r="AO152" s="44">
        <f>Tableau1[[#This Row],[Conso HP + HC
Cumul]]*0.1599</f>
        <v>1056.4593</v>
      </c>
      <c r="AP152" s="44">
        <f>Tableau1[[#This Row],[Montant
Tarif normal]]/Tableau1[[#This Row],[Diff jour_x000D_
Cumul]]</f>
        <v>9.2148704479926611</v>
      </c>
      <c r="AQ152" s="44">
        <f>(Tableau1[[#This Row],[Conso HP / an
Cumul]]*0.1799)+(Tableau1[[#This Row],[Conso HC / an_x000D_
Cumul]]*0.1346)</f>
        <v>3474.6215370823638</v>
      </c>
      <c r="AR152" s="44">
        <f>Tableau1[[#This Row],[Conso HP + HC / an_x000D_
Cumul]]*0.1599</f>
        <v>3363.4277135173211</v>
      </c>
      <c r="AS152" s="38">
        <f>MONTH(Tableau1[[#This Row],[Date]])</f>
        <v>4</v>
      </c>
      <c r="AT152" s="38">
        <f>YEAR(Tableau1[[#This Row],[Date]])</f>
        <v>2021</v>
      </c>
    </row>
    <row r="153" spans="1:46" x14ac:dyDescent="0.2">
      <c r="A153" s="19">
        <v>44298.311805555553</v>
      </c>
      <c r="B153" s="20">
        <v>-0.1</v>
      </c>
      <c r="C153" s="39">
        <f>IF(ISERROR(Tableau1[[#This Row],[Date]]-A152),"",Tableau1[[#This Row],[Date]]-A152)</f>
        <v>0.95624999999563443</v>
      </c>
      <c r="D153" s="40">
        <f>IF(ISERROR(Tableau1[[#This Row],[Date]]-A152),"",Tableau1[[#This Row],[Date]]-A152)</f>
        <v>0.95624999999563443</v>
      </c>
      <c r="E153" s="39">
        <f>Tableau1[[#This Row],[Date]]-$A$5</f>
        <v>115.60347222221753</v>
      </c>
      <c r="F153" s="40">
        <f>Tableau1[[#This Row],[Date]]-$A$5</f>
        <v>115.60347222221753</v>
      </c>
      <c r="G153" s="40">
        <f>Tableau1[[#This Row],[Diff jour_x000D_
Cumul]]-F$6</f>
        <v>77.520138888889051</v>
      </c>
      <c r="H153" s="40">
        <f>Tableau1[[#This Row],[Diff jour_x000D_
Cumul]]-F$59</f>
        <v>55.000694444439432</v>
      </c>
      <c r="I153" s="21">
        <v>184247</v>
      </c>
      <c r="J153" s="38">
        <f>IF(ISERROR(Tableau1[[#This Row],[Index HP
kWh]]-I152),"",Tableau1[[#This Row],[Index HP
kWh]]-I152)</f>
        <v>27</v>
      </c>
      <c r="K153" s="40">
        <f>IF(ISERROR(Tableau1[[#This Row],[Différence HP
Instantané]]/(Tableau1[[#This Row],[Diff jour
Instantané]]*24)),"",Tableau1[[#This Row],[Différence HP
Instantané]]/(Tableau1[[#This Row],[Diff jour
Instantané]]*24))</f>
        <v>1.176470588240665</v>
      </c>
      <c r="L153" s="40">
        <f>Tableau1[[#This Row],[Différence HP
Instantané]]/Tableau1[[#This Row],[Diff jour
Instantané]]</f>
        <v>28.235294117775961</v>
      </c>
      <c r="M153" s="40">
        <f>Tableau1[[#This Row],[Conso HP / jour
Instantané]]*365</f>
        <v>10305.882352988227</v>
      </c>
      <c r="N153" s="38">
        <f>Tableau1[[#This Row],[Index HP
kWh]]-$I$5</f>
        <v>4488</v>
      </c>
      <c r="O153" s="41">
        <f>Tableau1[[#This Row],[Différence HP
Cumul]]/(Tableau1[[#This Row],[Diff jour_x000D_
Cumul]]*24)</f>
        <v>1.6175984717876057</v>
      </c>
      <c r="P153" s="41">
        <f>Tableau1[[#This Row],[Différence HP
Cumul]]/Tableau1[[#This Row],[Diff jour_x000D_
Cumul]]</f>
        <v>38.822363322902532</v>
      </c>
      <c r="Q153" s="41">
        <f>Tableau1[[#This Row],[Conso HP / jour
Cumul]]*365</f>
        <v>14170.162612859423</v>
      </c>
      <c r="R153" s="21">
        <v>121596</v>
      </c>
      <c r="S153" s="38">
        <f>Tableau1[[#This Row],[Index HC_x000D_
kWh]]-R152</f>
        <v>18</v>
      </c>
      <c r="T153" s="42">
        <f>Tableau1[[#This Row],[Différence_x000D_ HC
Instantané]]/(Tableau1[[#This Row],[Diff jour
Instantané]]*24)</f>
        <v>0.78431372549377676</v>
      </c>
      <c r="U153" s="42">
        <f>Tableau1[[#This Row],[Différence_x000D_ HC
Instantané]]/Tableau1[[#This Row],[Diff jour
Instantané]]</f>
        <v>18.82352941185064</v>
      </c>
      <c r="V153" s="42">
        <f>Tableau1[[#This Row],[Conso HC / jour_x000D_
Instantané]]*365</f>
        <v>6870.5882353254838</v>
      </c>
      <c r="W153" s="38">
        <f>Tableau1[[#This Row],[Index HC_x000D_
kWh]]-$R$5</f>
        <v>2164</v>
      </c>
      <c r="X153" s="43">
        <f>Tableau1[[#This Row],[Différence HC
Cumul]]/(Tableau1[[#This Row],[Diff jour_x000D_
Cumul]]*24)</f>
        <v>0.77996503853573496</v>
      </c>
      <c r="Y153" s="43">
        <f>Tableau1[[#This Row],[Différence HC
Cumul]]/Tableau1[[#This Row],[Diff jour_x000D_
Cumul]]</f>
        <v>18.71916092485764</v>
      </c>
      <c r="Z153" s="43">
        <f>Tableau1[[#This Row],[Conso HC / jour_x000D_
Cumul]]*365</f>
        <v>6832.4937375730387</v>
      </c>
      <c r="AA153" s="38">
        <f>Tableau1[[#This Row],[Différence HP
Instantané]]+Tableau1[[#This Row],[Différence_x000D_ HC
Instantané]]</f>
        <v>45</v>
      </c>
      <c r="AB153" s="41">
        <f>Tableau1[[#This Row],[Conso HP + HC
Instantané]]/(Tableau1[[#This Row],[Diff jour
Instantané]]*24)</f>
        <v>1.9607843137344418</v>
      </c>
      <c r="AC153" s="34">
        <f>IF(ISERROR(Tableau1[[#This Row],[Date]]-A152),"",Tableau1[[#This Row],[Conso HP + HC
Instantané]]/Tableau1[[#This Row],[Diff jour
Instantané]])</f>
        <v>47.058823529626601</v>
      </c>
      <c r="AD153" s="41">
        <f>Tableau1[[#This Row],[Conso HP + HC / jour_x000D_
Instantané]]*365</f>
        <v>17176.47058831371</v>
      </c>
      <c r="AE153" s="38">
        <f>Tableau1[[#This Row],[Différence HP
Cumul]]+Tableau1[[#This Row],[Différence HC
Cumul]]</f>
        <v>6652</v>
      </c>
      <c r="AF153" s="40">
        <f>(Tableau1[[#This Row],[Conso HP + HC
Cumul]]-AE$6)/Tableau1[[#This Row],[Diff jour_x000D_
Cumul
depuis le 24/01]]</f>
        <v>52.644384523734765</v>
      </c>
      <c r="AG153" s="40">
        <f>(Tableau1[[#This Row],[Conso HP + HC
Cumul]]-AE$59)/Tableau1[[#This Row],[Diff jour_x000D_
Cumul
depuis
précédente facture
16/02/2021]]</f>
        <v>44.999431825359842</v>
      </c>
      <c r="AH153" s="41">
        <f>Tableau1[[#This Row],[Conso HP + HC
Cumul]]/(Tableau1[[#This Row],[Diff jour_x000D_
Cumul]]*24)</f>
        <v>2.3975635103233408</v>
      </c>
      <c r="AI153" s="41">
        <f>Tableau1[[#This Row],[Conso HP + HC
Cumul]]/Tableau1[[#This Row],[Diff jour_x000D_
Cumul]]</f>
        <v>57.541524247760172</v>
      </c>
      <c r="AJ153" s="41">
        <f>Tableau1[[#This Row],[Conso HP + HC / jour_x000D_
Cumul]]*365</f>
        <v>21002.656350432462</v>
      </c>
      <c r="AK153" s="44">
        <f>(Tableau1[[#This Row],[Différence HP
Cumul]]*0.1799)+(Tableau1[[#This Row],[Différence HC
Cumul]]*0.1346)</f>
        <v>1098.6656</v>
      </c>
      <c r="AL153" s="44">
        <f>Tableau1[[#This Row],[Montant
Tarif HP/HC]]/Tableau1[[#This Row],[Diff jour_x000D_
Cumul]]</f>
        <v>9.5037422222760046</v>
      </c>
      <c r="AM153" s="44">
        <f>(Tableau1[[#This Row],[Montant
Tarif HP/HC]]-AK$6)/Tableau1[[#This Row],[Diff jour_x000D_
Cumul
depuis le 24/01]]</f>
        <v>8.6976108358938813</v>
      </c>
      <c r="AN153" s="44">
        <f>(Tableau1[[#This Row],[Montant
Tarif HP/HC]]-AK$59)/Tableau1[[#This Row],[Diff jour_x000D_
Cumul
depuis
précédente facture
16/02/2021]]</f>
        <v>7.3944920897470165</v>
      </c>
      <c r="AO153" s="44">
        <f>Tableau1[[#This Row],[Conso HP + HC
Cumul]]*0.1599</f>
        <v>1063.6548</v>
      </c>
      <c r="AP153" s="44">
        <f>Tableau1[[#This Row],[Montant
Tarif normal]]/Tableau1[[#This Row],[Diff jour_x000D_
Cumul]]</f>
        <v>9.2008897272168522</v>
      </c>
      <c r="AQ153" s="44">
        <f>(Tableau1[[#This Row],[Conso HP / an
Cumul]]*0.1799)+(Tableau1[[#This Row],[Conso HC / an_x000D_
Cumul]]*0.1346)</f>
        <v>3468.8659111307416</v>
      </c>
      <c r="AR153" s="44">
        <f>Tableau1[[#This Row],[Conso HP + HC / an_x000D_
Cumul]]*0.1599</f>
        <v>3358.3247504341502</v>
      </c>
      <c r="AS153" s="38">
        <f>MONTH(Tableau1[[#This Row],[Date]])</f>
        <v>4</v>
      </c>
      <c r="AT153" s="38">
        <f>YEAR(Tableau1[[#This Row],[Date]])</f>
        <v>2021</v>
      </c>
    </row>
    <row r="154" spans="1:46" x14ac:dyDescent="0.2">
      <c r="A154" s="19">
        <v>44299.333333333336</v>
      </c>
      <c r="B154" s="20">
        <v>0.8</v>
      </c>
      <c r="C154" s="39">
        <f>IF(ISERROR(Tableau1[[#This Row],[Date]]-A153),"",Tableau1[[#This Row],[Date]]-A153)</f>
        <v>1.0215277777824667</v>
      </c>
      <c r="D154" s="40">
        <f>IF(ISERROR(Tableau1[[#This Row],[Date]]-A153),"",Tableau1[[#This Row],[Date]]-A153)</f>
        <v>1.0215277777824667</v>
      </c>
      <c r="E154" s="39">
        <f>Tableau1[[#This Row],[Date]]-$A$5</f>
        <v>116.625</v>
      </c>
      <c r="F154" s="40">
        <f>Tableau1[[#This Row],[Date]]-$A$5</f>
        <v>116.625</v>
      </c>
      <c r="G154" s="40">
        <f>Tableau1[[#This Row],[Diff jour_x000D_
Cumul]]-F$6</f>
        <v>78.541666666671517</v>
      </c>
      <c r="H154" s="40">
        <f>Tableau1[[#This Row],[Diff jour_x000D_
Cumul]]-F$59</f>
        <v>56.022222222221899</v>
      </c>
      <c r="I154" s="21">
        <v>184275</v>
      </c>
      <c r="J154" s="38">
        <f>IF(ISERROR(Tableau1[[#This Row],[Index HP
kWh]]-I153),"",Tableau1[[#This Row],[Index HP
kWh]]-I153)</f>
        <v>28</v>
      </c>
      <c r="K154" s="40">
        <f>IF(ISERROR(Tableau1[[#This Row],[Différence HP
Instantané]]/(Tableau1[[#This Row],[Diff jour
Instantané]]*24)),"",Tableau1[[#This Row],[Différence HP
Instantané]]/(Tableau1[[#This Row],[Diff jour
Instantané]]*24))</f>
        <v>1.1420802175338467</v>
      </c>
      <c r="L154" s="40">
        <f>Tableau1[[#This Row],[Différence HP
Instantané]]/Tableau1[[#This Row],[Diff jour
Instantané]]</f>
        <v>27.409925220812323</v>
      </c>
      <c r="M154" s="40">
        <f>Tableau1[[#This Row],[Conso HP / jour
Instantané]]*365</f>
        <v>10004.622705596497</v>
      </c>
      <c r="N154" s="38">
        <f>Tableau1[[#This Row],[Index HP
kWh]]-$I$5</f>
        <v>4516</v>
      </c>
      <c r="O154" s="41">
        <f>Tableau1[[#This Row],[Différence HP
Cumul]]/(Tableau1[[#This Row],[Diff jour_x000D_
Cumul]]*24)</f>
        <v>1.6134333690603786</v>
      </c>
      <c r="P154" s="41">
        <f>Tableau1[[#This Row],[Différence HP
Cumul]]/Tableau1[[#This Row],[Diff jour_x000D_
Cumul]]</f>
        <v>38.722400857449088</v>
      </c>
      <c r="Q154" s="41">
        <f>Tableau1[[#This Row],[Conso HP / jour
Cumul]]*365</f>
        <v>14133.676312968917</v>
      </c>
      <c r="R154" s="21">
        <v>121613</v>
      </c>
      <c r="S154" s="38">
        <f>Tableau1[[#This Row],[Index HC_x000D_
kWh]]-R153</f>
        <v>17</v>
      </c>
      <c r="T154" s="42">
        <f>Tableau1[[#This Row],[Différence_x000D_ HC
Instantané]]/(Tableau1[[#This Row],[Diff jour
Instantané]]*24)</f>
        <v>0.69340584635983549</v>
      </c>
      <c r="U154" s="42">
        <f>Tableau1[[#This Row],[Différence_x000D_ HC
Instantané]]/Tableau1[[#This Row],[Diff jour
Instantané]]</f>
        <v>16.641740312636053</v>
      </c>
      <c r="V154" s="42">
        <f>Tableau1[[#This Row],[Conso HC / jour_x000D_
Instantané]]*365</f>
        <v>6074.2352141121592</v>
      </c>
      <c r="W154" s="38">
        <f>Tableau1[[#This Row],[Index HC_x000D_
kWh]]-$R$5</f>
        <v>2181</v>
      </c>
      <c r="X154" s="43">
        <f>Tableau1[[#This Row],[Différence HC
Cumul]]/(Tableau1[[#This Row],[Diff jour_x000D_
Cumul]]*24)</f>
        <v>0.77920685959271163</v>
      </c>
      <c r="Y154" s="43">
        <f>Tableau1[[#This Row],[Différence HC
Cumul]]/Tableau1[[#This Row],[Diff jour_x000D_
Cumul]]</f>
        <v>18.70096463022508</v>
      </c>
      <c r="Z154" s="43">
        <f>Tableau1[[#This Row],[Conso HC / jour_x000D_
Cumul]]*365</f>
        <v>6825.8520900321546</v>
      </c>
      <c r="AA154" s="38">
        <f>Tableau1[[#This Row],[Différence HP
Instantané]]+Tableau1[[#This Row],[Différence_x000D_ HC
Instantané]]</f>
        <v>45</v>
      </c>
      <c r="AB154" s="41">
        <f>Tableau1[[#This Row],[Conso HP + HC
Instantané]]/(Tableau1[[#This Row],[Diff jour
Instantané]]*24)</f>
        <v>1.8354860638936823</v>
      </c>
      <c r="AC154" s="34">
        <f>IF(ISERROR(Tableau1[[#This Row],[Date]]-A153),"",Tableau1[[#This Row],[Conso HP + HC
Instantané]]/Tableau1[[#This Row],[Diff jour
Instantané]])</f>
        <v>44.051665533448372</v>
      </c>
      <c r="AD154" s="41">
        <f>Tableau1[[#This Row],[Conso HP + HC / jour_x000D_
Instantané]]*365</f>
        <v>16078.857919708656</v>
      </c>
      <c r="AE154" s="38">
        <f>Tableau1[[#This Row],[Différence HP
Cumul]]+Tableau1[[#This Row],[Différence HC
Cumul]]</f>
        <v>6697</v>
      </c>
      <c r="AF154" s="40">
        <f>(Tableau1[[#This Row],[Conso HP + HC
Cumul]]-AE$6)/Tableau1[[#This Row],[Diff jour_x000D_
Cumul
depuis le 24/01]]</f>
        <v>52.532625994691713</v>
      </c>
      <c r="AG154" s="40">
        <f>(Tableau1[[#This Row],[Conso HP + HC
Cumul]]-AE$59)/Tableau1[[#This Row],[Diff jour_x000D_
Cumul
depuis
précédente facture
16/02/2021]]</f>
        <v>44.982149940500058</v>
      </c>
      <c r="AH154" s="41">
        <f>Tableau1[[#This Row],[Conso HP + HC
Cumul]]/(Tableau1[[#This Row],[Diff jour_x000D_
Cumul]]*24)</f>
        <v>2.3926402286530903</v>
      </c>
      <c r="AI154" s="41">
        <f>Tableau1[[#This Row],[Conso HP + HC
Cumul]]/Tableau1[[#This Row],[Diff jour_x000D_
Cumul]]</f>
        <v>57.423365487674168</v>
      </c>
      <c r="AJ154" s="41">
        <f>Tableau1[[#This Row],[Conso HP + HC / jour_x000D_
Cumul]]*365</f>
        <v>20959.52840300107</v>
      </c>
      <c r="AK154" s="44">
        <f>(Tableau1[[#This Row],[Différence HP
Cumul]]*0.1799)+(Tableau1[[#This Row],[Différence HC
Cumul]]*0.1346)</f>
        <v>1105.991</v>
      </c>
      <c r="AL154" s="44">
        <f>Tableau1[[#This Row],[Montant
Tarif HP/HC]]/Tableau1[[#This Row],[Diff jour_x000D_
Cumul]]</f>
        <v>9.4833097534833861</v>
      </c>
      <c r="AM154" s="44">
        <f>(Tableau1[[#This Row],[Montant
Tarif HP/HC]]-AK$6)/Tableau1[[#This Row],[Diff jour_x000D_
Cumul
depuis le 24/01]]</f>
        <v>8.6777557559676328</v>
      </c>
      <c r="AN154" s="44">
        <f>(Tableau1[[#This Row],[Montant
Tarif HP/HC]]-AK$59)/Tableau1[[#This Row],[Diff jour_x000D_
Cumul
depuis
précédente facture
16/02/2021]]</f>
        <v>7.3904172947243589</v>
      </c>
      <c r="AO154" s="44">
        <f>Tableau1[[#This Row],[Conso HP + HC
Cumul]]*0.1599</f>
        <v>1070.8502999999998</v>
      </c>
      <c r="AP154" s="44">
        <f>Tableau1[[#This Row],[Montant
Tarif normal]]/Tableau1[[#This Row],[Diff jour_x000D_
Cumul]]</f>
        <v>9.1819961414790985</v>
      </c>
      <c r="AQ154" s="44">
        <f>(Tableau1[[#This Row],[Conso HP / an
Cumul]]*0.1799)+(Tableau1[[#This Row],[Conso HC / an_x000D_
Cumul]]*0.1346)</f>
        <v>3461.4080600214361</v>
      </c>
      <c r="AR154" s="44">
        <f>Tableau1[[#This Row],[Conso HP + HC / an_x000D_
Cumul]]*0.1599</f>
        <v>3351.4285916398708</v>
      </c>
      <c r="AS154" s="38">
        <f>MONTH(Tableau1[[#This Row],[Date]])</f>
        <v>4</v>
      </c>
      <c r="AT154" s="38">
        <f>YEAR(Tableau1[[#This Row],[Date]])</f>
        <v>2021</v>
      </c>
    </row>
    <row r="155" spans="1:46" x14ac:dyDescent="0.2">
      <c r="A155" s="19">
        <v>44299.523611111108</v>
      </c>
      <c r="B155" s="20">
        <v>10.1</v>
      </c>
      <c r="C155" s="39">
        <f>IF(ISERROR(Tableau1[[#This Row],[Date]]-A154),"",Tableau1[[#This Row],[Date]]-A154)</f>
        <v>0.19027777777228039</v>
      </c>
      <c r="D155" s="40">
        <f>IF(ISERROR(Tableau1[[#This Row],[Date]]-A154),"",Tableau1[[#This Row],[Date]]-A154)</f>
        <v>0.19027777777228039</v>
      </c>
      <c r="E155" s="39">
        <f>Tableau1[[#This Row],[Date]]-$A$5</f>
        <v>116.81527777777228</v>
      </c>
      <c r="F155" s="40">
        <f>Tableau1[[#This Row],[Date]]-$A$5</f>
        <v>116.81527777777228</v>
      </c>
      <c r="G155" s="40">
        <f>Tableau1[[#This Row],[Diff jour_x000D_
Cumul]]-F$6</f>
        <v>78.731944444443798</v>
      </c>
      <c r="H155" s="40">
        <f>Tableau1[[#This Row],[Diff jour_x000D_
Cumul]]-F$59</f>
        <v>56.212499999994179</v>
      </c>
      <c r="I155" s="21">
        <v>184285</v>
      </c>
      <c r="J155" s="38">
        <f>IF(ISERROR(Tableau1[[#This Row],[Index HP
kWh]]-I154),"",Tableau1[[#This Row],[Index HP
kWh]]-I154)</f>
        <v>10</v>
      </c>
      <c r="K155" s="40">
        <f>IF(ISERROR(Tableau1[[#This Row],[Différence HP
Instantané]]/(Tableau1[[#This Row],[Diff jour
Instantané]]*24)),"",Tableau1[[#This Row],[Différence HP
Instantané]]/(Tableau1[[#This Row],[Diff jour
Instantané]]*24))</f>
        <v>2.189781021961076</v>
      </c>
      <c r="L155" s="40">
        <f>Tableau1[[#This Row],[Différence HP
Instantané]]/Tableau1[[#This Row],[Diff jour
Instantané]]</f>
        <v>52.554744527065822</v>
      </c>
      <c r="M155" s="40">
        <f>Tableau1[[#This Row],[Conso HP / jour
Instantané]]*365</f>
        <v>19182.481752379026</v>
      </c>
      <c r="N155" s="38">
        <f>Tableau1[[#This Row],[Index HP
kWh]]-$I$5</f>
        <v>4526</v>
      </c>
      <c r="O155" s="41">
        <f>Tableau1[[#This Row],[Différence HP
Cumul]]/(Tableau1[[#This Row],[Diff jour_x000D_
Cumul]]*24)</f>
        <v>1.6143721687850761</v>
      </c>
      <c r="P155" s="41">
        <f>Tableau1[[#This Row],[Différence HP
Cumul]]/Tableau1[[#This Row],[Diff jour_x000D_
Cumul]]</f>
        <v>38.744932050841825</v>
      </c>
      <c r="Q155" s="41">
        <f>Tableau1[[#This Row],[Conso HP / jour
Cumul]]*365</f>
        <v>14141.900198557267</v>
      </c>
      <c r="R155" s="21">
        <v>121613</v>
      </c>
      <c r="S155" s="38">
        <f>Tableau1[[#This Row],[Index HC_x000D_
kWh]]-R154</f>
        <v>0</v>
      </c>
      <c r="T155" s="42">
        <f>Tableau1[[#This Row],[Différence_x000D_ HC
Instantané]]/(Tableau1[[#This Row],[Diff jour
Instantané]]*24)</f>
        <v>0</v>
      </c>
      <c r="U155" s="42">
        <f>Tableau1[[#This Row],[Différence_x000D_ HC
Instantané]]/Tableau1[[#This Row],[Diff jour
Instantané]]</f>
        <v>0</v>
      </c>
      <c r="V155" s="42">
        <f>Tableau1[[#This Row],[Conso HC / jour_x000D_
Instantané]]*365</f>
        <v>0</v>
      </c>
      <c r="W155" s="38">
        <f>Tableau1[[#This Row],[Index HC_x000D_
kWh]]-$R$5</f>
        <v>2181</v>
      </c>
      <c r="X155" s="43">
        <f>Tableau1[[#This Row],[Différence HC
Cumul]]/(Tableau1[[#This Row],[Diff jour_x000D_
Cumul]]*24)</f>
        <v>0.77793762707031611</v>
      </c>
      <c r="Y155" s="43">
        <f>Tableau1[[#This Row],[Différence HC
Cumul]]/Tableau1[[#This Row],[Diff jour_x000D_
Cumul]]</f>
        <v>18.670503049687586</v>
      </c>
      <c r="Z155" s="43">
        <f>Tableau1[[#This Row],[Conso HC / jour_x000D_
Cumul]]*365</f>
        <v>6814.7336131359689</v>
      </c>
      <c r="AA155" s="38">
        <f>Tableau1[[#This Row],[Différence HP
Instantané]]+Tableau1[[#This Row],[Différence_x000D_ HC
Instantané]]</f>
        <v>10</v>
      </c>
      <c r="AB155" s="41">
        <f>Tableau1[[#This Row],[Conso HP + HC
Instantané]]/(Tableau1[[#This Row],[Diff jour
Instantané]]*24)</f>
        <v>2.189781021961076</v>
      </c>
      <c r="AC155" s="34">
        <f>IF(ISERROR(Tableau1[[#This Row],[Date]]-A154),"",Tableau1[[#This Row],[Conso HP + HC
Instantané]]/Tableau1[[#This Row],[Diff jour
Instantané]])</f>
        <v>52.554744527065822</v>
      </c>
      <c r="AD155" s="41">
        <f>Tableau1[[#This Row],[Conso HP + HC / jour_x000D_
Instantané]]*365</f>
        <v>19182.481752379026</v>
      </c>
      <c r="AE155" s="38">
        <f>Tableau1[[#This Row],[Différence HP
Cumul]]+Tableau1[[#This Row],[Différence HC
Cumul]]</f>
        <v>6707</v>
      </c>
      <c r="AF155" s="40">
        <f>(Tableau1[[#This Row],[Conso HP + HC
Cumul]]-AE$6)/Tableau1[[#This Row],[Diff jour_x000D_
Cumul
depuis le 24/01]]</f>
        <v>52.532679450315321</v>
      </c>
      <c r="AG155" s="40">
        <f>(Tableau1[[#This Row],[Conso HP + HC
Cumul]]-AE$59)/Tableau1[[#This Row],[Diff jour_x000D_
Cumul
depuis
précédente facture
16/02/2021]]</f>
        <v>45.007782966426717</v>
      </c>
      <c r="AH155" s="41">
        <f>Tableau1[[#This Row],[Conso HP + HC
Cumul]]/(Tableau1[[#This Row],[Diff jour_x000D_
Cumul]]*24)</f>
        <v>2.3923097958553923</v>
      </c>
      <c r="AI155" s="41">
        <f>Tableau1[[#This Row],[Conso HP + HC
Cumul]]/Tableau1[[#This Row],[Diff jour_x000D_
Cumul]]</f>
        <v>57.415435100529415</v>
      </c>
      <c r="AJ155" s="41">
        <f>Tableau1[[#This Row],[Conso HP + HC / jour_x000D_
Cumul]]*365</f>
        <v>20956.633811693235</v>
      </c>
      <c r="AK155" s="44">
        <f>(Tableau1[[#This Row],[Différence HP
Cumul]]*0.1799)+(Tableau1[[#This Row],[Différence HC
Cumul]]*0.1346)</f>
        <v>1107.79</v>
      </c>
      <c r="AL155" s="44">
        <f>Tableau1[[#This Row],[Montant
Tarif HP/HC]]/Tableau1[[#This Row],[Diff jour_x000D_
Cumul]]</f>
        <v>9.4832629864343936</v>
      </c>
      <c r="AM155" s="44">
        <f>(Tableau1[[#This Row],[Montant
Tarif HP/HC]]-AK$6)/Tableau1[[#This Row],[Diff jour_x000D_
Cumul
depuis le 24/01]]</f>
        <v>8.6796332139644718</v>
      </c>
      <c r="AN155" s="44">
        <f>(Tableau1[[#This Row],[Montant
Tarif HP/HC]]-AK$59)/Tableau1[[#This Row],[Diff jour_x000D_
Cumul
depuis
précédente facture
16/02/2021]]</f>
        <v>7.3974044918842434</v>
      </c>
      <c r="AO155" s="44">
        <f>Tableau1[[#This Row],[Conso HP + HC
Cumul]]*0.1599</f>
        <v>1072.4493</v>
      </c>
      <c r="AP155" s="44">
        <f>Tableau1[[#This Row],[Montant
Tarif normal]]/Tableau1[[#This Row],[Diff jour_x000D_
Cumul]]</f>
        <v>9.1807280725746523</v>
      </c>
      <c r="AQ155" s="44">
        <f>(Tableau1[[#This Row],[Conso HP / an
Cumul]]*0.1799)+(Tableau1[[#This Row],[Conso HC / an_x000D_
Cumul]]*0.1346)</f>
        <v>3461.3909900485542</v>
      </c>
      <c r="AR155" s="44">
        <f>Tableau1[[#This Row],[Conso HP + HC / an_x000D_
Cumul]]*0.1599</f>
        <v>3350.9657464897477</v>
      </c>
      <c r="AS155" s="38">
        <f>MONTH(Tableau1[[#This Row],[Date]])</f>
        <v>4</v>
      </c>
      <c r="AT155" s="38">
        <f>YEAR(Tableau1[[#This Row],[Date]])</f>
        <v>2021</v>
      </c>
    </row>
    <row r="156" spans="1:46" x14ac:dyDescent="0.2">
      <c r="A156" s="19">
        <v>44299.570833333331</v>
      </c>
      <c r="B156" s="20">
        <v>10.4</v>
      </c>
      <c r="C156" s="39">
        <f>IF(ISERROR(Tableau1[[#This Row],[Date]]-A155),"",Tableau1[[#This Row],[Date]]-A155)</f>
        <v>4.7222222223354038E-2</v>
      </c>
      <c r="D156" s="40">
        <f>IF(ISERROR(Tableau1[[#This Row],[Date]]-A155),"",Tableau1[[#This Row],[Date]]-A155)</f>
        <v>4.7222222223354038E-2</v>
      </c>
      <c r="E156" s="39">
        <f>Tableau1[[#This Row],[Date]]-$A$5</f>
        <v>116.86249999999563</v>
      </c>
      <c r="F156" s="40">
        <f>Tableau1[[#This Row],[Date]]-$A$5</f>
        <v>116.86249999999563</v>
      </c>
      <c r="G156" s="40">
        <f>Tableau1[[#This Row],[Diff jour_x000D_
Cumul]]-F$6</f>
        <v>78.779166666667152</v>
      </c>
      <c r="H156" s="40">
        <f>Tableau1[[#This Row],[Diff jour_x000D_
Cumul]]-F$59</f>
        <v>56.259722222217533</v>
      </c>
      <c r="I156" s="21">
        <v>184287</v>
      </c>
      <c r="J156" s="38">
        <f>IF(ISERROR(Tableau1[[#This Row],[Index HP
kWh]]-I155),"",Tableau1[[#This Row],[Index HP
kWh]]-I155)</f>
        <v>2</v>
      </c>
      <c r="K156" s="40">
        <f>IF(ISERROR(Tableau1[[#This Row],[Différence HP
Instantané]]/(Tableau1[[#This Row],[Diff jour
Instantané]]*24)),"",Tableau1[[#This Row],[Différence HP
Instantané]]/(Tableau1[[#This Row],[Diff jour
Instantané]]*24))</f>
        <v>1.764705882310645</v>
      </c>
      <c r="L156" s="40">
        <f>Tableau1[[#This Row],[Différence HP
Instantané]]/Tableau1[[#This Row],[Diff jour
Instantané]]</f>
        <v>42.352941175455477</v>
      </c>
      <c r="M156" s="40">
        <f>Tableau1[[#This Row],[Conso HP / jour
Instantané]]*365</f>
        <v>15458.823529041249</v>
      </c>
      <c r="N156" s="38">
        <f>Tableau1[[#This Row],[Index HP
kWh]]-$I$5</f>
        <v>4528</v>
      </c>
      <c r="O156" s="41">
        <f>Tableau1[[#This Row],[Différence HP
Cumul]]/(Tableau1[[#This Row],[Diff jour_x000D_
Cumul]]*24)</f>
        <v>1.6144329161764785</v>
      </c>
      <c r="P156" s="41">
        <f>Tableau1[[#This Row],[Différence HP
Cumul]]/Tableau1[[#This Row],[Diff jour_x000D_
Cumul]]</f>
        <v>38.746389988235485</v>
      </c>
      <c r="Q156" s="41">
        <f>Tableau1[[#This Row],[Conso HP / jour
Cumul]]*365</f>
        <v>14142.432345705953</v>
      </c>
      <c r="R156" s="21">
        <v>121613</v>
      </c>
      <c r="S156" s="38">
        <f>Tableau1[[#This Row],[Index HC_x000D_
kWh]]-R155</f>
        <v>0</v>
      </c>
      <c r="T156" s="42">
        <f>Tableau1[[#This Row],[Différence_x000D_ HC
Instantané]]/(Tableau1[[#This Row],[Diff jour
Instantané]]*24)</f>
        <v>0</v>
      </c>
      <c r="U156" s="42">
        <f>Tableau1[[#This Row],[Différence_x000D_ HC
Instantané]]/Tableau1[[#This Row],[Diff jour
Instantané]]</f>
        <v>0</v>
      </c>
      <c r="V156" s="42">
        <f>Tableau1[[#This Row],[Conso HC / jour_x000D_
Instantané]]*365</f>
        <v>0</v>
      </c>
      <c r="W156" s="38">
        <f>Tableau1[[#This Row],[Index HC_x000D_
kWh]]-$R$5</f>
        <v>2181</v>
      </c>
      <c r="X156" s="43">
        <f>Tableau1[[#This Row],[Différence HC
Cumul]]/(Tableau1[[#This Row],[Diff jour_x000D_
Cumul]]*24)</f>
        <v>0.77762327521662977</v>
      </c>
      <c r="Y156" s="43">
        <f>Tableau1[[#This Row],[Différence HC
Cumul]]/Tableau1[[#This Row],[Diff jour_x000D_
Cumul]]</f>
        <v>18.662958605199115</v>
      </c>
      <c r="Z156" s="43">
        <f>Tableau1[[#This Row],[Conso HC / jour_x000D_
Cumul]]*365</f>
        <v>6811.9798908976773</v>
      </c>
      <c r="AA156" s="38">
        <f>Tableau1[[#This Row],[Différence HP
Instantané]]+Tableau1[[#This Row],[Différence_x000D_ HC
Instantané]]</f>
        <v>2</v>
      </c>
      <c r="AB156" s="41">
        <f>Tableau1[[#This Row],[Conso HP + HC
Instantané]]/(Tableau1[[#This Row],[Diff jour
Instantané]]*24)</f>
        <v>1.764705882310645</v>
      </c>
      <c r="AC156" s="34">
        <f>IF(ISERROR(Tableau1[[#This Row],[Date]]-A155),"",Tableau1[[#This Row],[Conso HP + HC
Instantané]]/Tableau1[[#This Row],[Diff jour
Instantané]])</f>
        <v>42.352941175455477</v>
      </c>
      <c r="AD156" s="41">
        <f>Tableau1[[#This Row],[Conso HP + HC / jour_x000D_
Instantané]]*365</f>
        <v>15458.823529041249</v>
      </c>
      <c r="AE156" s="38">
        <f>Tableau1[[#This Row],[Différence HP
Cumul]]+Tableau1[[#This Row],[Différence HC
Cumul]]</f>
        <v>6709</v>
      </c>
      <c r="AF156" s="40">
        <f>(Tableau1[[#This Row],[Conso HP + HC
Cumul]]-AE$6)/Tableau1[[#This Row],[Diff jour_x000D_
Cumul
depuis le 24/01]]</f>
        <v>52.526577458083985</v>
      </c>
      <c r="AG156" s="40">
        <f>(Tableau1[[#This Row],[Conso HP + HC
Cumul]]-AE$59)/Tableau1[[#This Row],[Diff jour_x000D_
Cumul
depuis
précédente facture
16/02/2021]]</f>
        <v>45.005554595505764</v>
      </c>
      <c r="AH156" s="41">
        <f>Tableau1[[#This Row],[Conso HP + HC
Cumul]]/(Tableau1[[#This Row],[Diff jour_x000D_
Cumul]]*24)</f>
        <v>2.3920561913931082</v>
      </c>
      <c r="AI156" s="41">
        <f>Tableau1[[#This Row],[Conso HP + HC
Cumul]]/Tableau1[[#This Row],[Diff jour_x000D_
Cumul]]</f>
        <v>57.409348593434601</v>
      </c>
      <c r="AJ156" s="41">
        <f>Tableau1[[#This Row],[Conso HP + HC / jour_x000D_
Cumul]]*365</f>
        <v>20954.412236603628</v>
      </c>
      <c r="AK156" s="44">
        <f>(Tableau1[[#This Row],[Différence HP
Cumul]]*0.1799)+(Tableau1[[#This Row],[Différence HC
Cumul]]*0.1346)</f>
        <v>1108.1498000000001</v>
      </c>
      <c r="AL156" s="44">
        <f>Tableau1[[#This Row],[Montant
Tarif HP/HC]]/Tableau1[[#This Row],[Diff jour_x000D_
Cumul]]</f>
        <v>9.4825097871433659</v>
      </c>
      <c r="AM156" s="44">
        <f>(Tableau1[[#This Row],[Montant
Tarif HP/HC]]-AK$6)/Tableau1[[#This Row],[Diff jour_x000D_
Cumul
depuis le 24/01]]</f>
        <v>8.6789976199290741</v>
      </c>
      <c r="AN156" s="44">
        <f>(Tableau1[[#This Row],[Montant
Tarif HP/HC]]-AK$59)/Tableau1[[#This Row],[Diff jour_x000D_
Cumul
depuis
précédente facture
16/02/2021]]</f>
        <v>7.3975907374040313</v>
      </c>
      <c r="AO156" s="44">
        <f>Tableau1[[#This Row],[Conso HP + HC
Cumul]]*0.1599</f>
        <v>1072.7691</v>
      </c>
      <c r="AP156" s="44">
        <f>Tableau1[[#This Row],[Montant
Tarif normal]]/Tableau1[[#This Row],[Diff jour_x000D_
Cumul]]</f>
        <v>9.179754840090192</v>
      </c>
      <c r="AQ156" s="44">
        <f>(Tableau1[[#This Row],[Conso HP / an
Cumul]]*0.1799)+(Tableau1[[#This Row],[Conso HC / an_x000D_
Cumul]]*0.1346)</f>
        <v>3461.1160723073281</v>
      </c>
      <c r="AR156" s="44">
        <f>Tableau1[[#This Row],[Conso HP + HC / an_x000D_
Cumul]]*0.1599</f>
        <v>3350.6105166329198</v>
      </c>
      <c r="AS156" s="38">
        <f>MONTH(Tableau1[[#This Row],[Date]])</f>
        <v>4</v>
      </c>
      <c r="AT156" s="38">
        <f>YEAR(Tableau1[[#This Row],[Date]])</f>
        <v>2021</v>
      </c>
    </row>
    <row r="157" spans="1:46" x14ac:dyDescent="0.2">
      <c r="A157" s="19">
        <v>44299.667361111111</v>
      </c>
      <c r="B157" s="20">
        <v>11.5</v>
      </c>
      <c r="C157" s="39">
        <f>IF(ISERROR(Tableau1[[#This Row],[Date]]-A156),"",Tableau1[[#This Row],[Date]]-A156)</f>
        <v>9.6527777779556345E-2</v>
      </c>
      <c r="D157" s="40">
        <f>IF(ISERROR(Tableau1[[#This Row],[Date]]-A156),"",Tableau1[[#This Row],[Date]]-A156)</f>
        <v>9.6527777779556345E-2</v>
      </c>
      <c r="E157" s="39">
        <f>Tableau1[[#This Row],[Date]]-$A$5</f>
        <v>116.95902777777519</v>
      </c>
      <c r="F157" s="40">
        <f>Tableau1[[#This Row],[Date]]-$A$5</f>
        <v>116.95902777777519</v>
      </c>
      <c r="G157" s="40">
        <f>Tableau1[[#This Row],[Diff jour_x000D_
Cumul]]-F$6</f>
        <v>78.875694444446708</v>
      </c>
      <c r="H157" s="40">
        <f>Tableau1[[#This Row],[Diff jour_x000D_
Cumul]]-F$59</f>
        <v>56.35624999999709</v>
      </c>
      <c r="I157" s="21">
        <v>184289</v>
      </c>
      <c r="J157" s="38">
        <f>IF(ISERROR(Tableau1[[#This Row],[Index HP
kWh]]-I156),"",Tableau1[[#This Row],[Index HP
kWh]]-I156)</f>
        <v>2</v>
      </c>
      <c r="K157" s="40">
        <f>IF(ISERROR(Tableau1[[#This Row],[Différence HP
Instantané]]/(Tableau1[[#This Row],[Diff jour
Instantané]]*24)),"",Tableau1[[#This Row],[Différence HP
Instantané]]/(Tableau1[[#This Row],[Diff jour
Instantané]]*24))</f>
        <v>0.86330935250207874</v>
      </c>
      <c r="L157" s="40">
        <f>Tableau1[[#This Row],[Différence HP
Instantané]]/Tableau1[[#This Row],[Diff jour
Instantané]]</f>
        <v>20.71942446004989</v>
      </c>
      <c r="M157" s="40">
        <f>Tableau1[[#This Row],[Conso HP / jour
Instantané]]*365</f>
        <v>7562.5899279182095</v>
      </c>
      <c r="N157" s="38">
        <f>Tableau1[[#This Row],[Index HP
kWh]]-$I$5</f>
        <v>4530</v>
      </c>
      <c r="O157" s="41">
        <f>Tableau1[[#This Row],[Différence HP
Cumul]]/(Tableau1[[#This Row],[Diff jour_x000D_
Cumul]]*24)</f>
        <v>1.6138130043165995</v>
      </c>
      <c r="P157" s="41">
        <f>Tableau1[[#This Row],[Différence HP
Cumul]]/Tableau1[[#This Row],[Diff jour_x000D_
Cumul]]</f>
        <v>38.731512103598391</v>
      </c>
      <c r="Q157" s="41">
        <f>Tableau1[[#This Row],[Conso HP / jour
Cumul]]*365</f>
        <v>14137.001917813413</v>
      </c>
      <c r="R157" s="21">
        <v>121613</v>
      </c>
      <c r="S157" s="38">
        <f>Tableau1[[#This Row],[Index HC_x000D_
kWh]]-R156</f>
        <v>0</v>
      </c>
      <c r="T157" s="42">
        <f>Tableau1[[#This Row],[Différence_x000D_ HC
Instantané]]/(Tableau1[[#This Row],[Diff jour
Instantané]]*24)</f>
        <v>0</v>
      </c>
      <c r="U157" s="42">
        <f>Tableau1[[#This Row],[Différence_x000D_ HC
Instantané]]/Tableau1[[#This Row],[Diff jour
Instantané]]</f>
        <v>0</v>
      </c>
      <c r="V157" s="42">
        <f>Tableau1[[#This Row],[Conso HC / jour_x000D_
Instantané]]*365</f>
        <v>0</v>
      </c>
      <c r="W157" s="38">
        <f>Tableau1[[#This Row],[Index HC_x000D_
kWh]]-$R$5</f>
        <v>2181</v>
      </c>
      <c r="X157" s="43">
        <f>Tableau1[[#This Row],[Différence HC
Cumul]]/(Tableau1[[#This Row],[Diff jour_x000D_
Cumul]]*24)</f>
        <v>0.77698149280673368</v>
      </c>
      <c r="Y157" s="43">
        <f>Tableau1[[#This Row],[Différence HC
Cumul]]/Tableau1[[#This Row],[Diff jour_x000D_
Cumul]]</f>
        <v>18.647555827361607</v>
      </c>
      <c r="Z157" s="43">
        <f>Tableau1[[#This Row],[Conso HC / jour_x000D_
Cumul]]*365</f>
        <v>6806.3578769869864</v>
      </c>
      <c r="AA157" s="38">
        <f>Tableau1[[#This Row],[Différence HP
Instantané]]+Tableau1[[#This Row],[Différence_x000D_ HC
Instantané]]</f>
        <v>2</v>
      </c>
      <c r="AB157" s="41">
        <f>Tableau1[[#This Row],[Conso HP + HC
Instantané]]/(Tableau1[[#This Row],[Diff jour
Instantané]]*24)</f>
        <v>0.86330935250207874</v>
      </c>
      <c r="AC157" s="34">
        <f>IF(ISERROR(Tableau1[[#This Row],[Date]]-A156),"",Tableau1[[#This Row],[Conso HP + HC
Instantané]]/Tableau1[[#This Row],[Diff jour
Instantané]])</f>
        <v>20.71942446004989</v>
      </c>
      <c r="AD157" s="41">
        <f>Tableau1[[#This Row],[Conso HP + HC / jour_x000D_
Instantané]]*365</f>
        <v>7562.5899279182095</v>
      </c>
      <c r="AE157" s="38">
        <f>Tableau1[[#This Row],[Différence HP
Cumul]]+Tableau1[[#This Row],[Différence HC
Cumul]]</f>
        <v>6711</v>
      </c>
      <c r="AF157" s="40">
        <f>(Tableau1[[#This Row],[Conso HP + HC
Cumul]]-AE$6)/Tableau1[[#This Row],[Diff jour_x000D_
Cumul
depuis le 24/01]]</f>
        <v>52.487651984045122</v>
      </c>
      <c r="AG157" s="40">
        <f>(Tableau1[[#This Row],[Conso HP + HC
Cumul]]-AE$59)/Tableau1[[#This Row],[Diff jour_x000D_
Cumul
depuis
précédente facture
16/02/2021]]</f>
        <v>44.963956970169782</v>
      </c>
      <c r="AH157" s="41">
        <f>Tableau1[[#This Row],[Conso HP + HC
Cumul]]/(Tableau1[[#This Row],[Diff jour_x000D_
Cumul]]*24)</f>
        <v>2.3907944971233333</v>
      </c>
      <c r="AI157" s="41">
        <f>Tableau1[[#This Row],[Conso HP + HC
Cumul]]/Tableau1[[#This Row],[Diff jour_x000D_
Cumul]]</f>
        <v>57.379067930959998</v>
      </c>
      <c r="AJ157" s="41">
        <f>Tableau1[[#This Row],[Conso HP + HC / jour_x000D_
Cumul]]*365</f>
        <v>20943.359794800399</v>
      </c>
      <c r="AK157" s="44">
        <f>(Tableau1[[#This Row],[Différence HP
Cumul]]*0.1799)+(Tableau1[[#This Row],[Différence HC
Cumul]]*0.1346)</f>
        <v>1108.5095999999999</v>
      </c>
      <c r="AL157" s="44">
        <f>Tableau1[[#This Row],[Montant
Tarif HP/HC]]/Tableau1[[#This Row],[Diff jour_x000D_
Cumul]]</f>
        <v>9.4777600418002219</v>
      </c>
      <c r="AM157" s="44">
        <f>(Tableau1[[#This Row],[Montant
Tarif HP/HC]]-AK$6)/Tableau1[[#This Row],[Diff jour_x000D_
Cumul
depuis le 24/01]]</f>
        <v>8.6729379033462592</v>
      </c>
      <c r="AN157" s="44">
        <f>(Tableau1[[#This Row],[Montant
Tarif HP/HC]]-AK$59)/Tableau1[[#This Row],[Diff jour_x000D_
Cumul
depuis
précédente facture
16/02/2021]]</f>
        <v>7.3913044249754272</v>
      </c>
      <c r="AO157" s="44">
        <f>Tableau1[[#This Row],[Conso HP + HC
Cumul]]*0.1599</f>
        <v>1073.0889</v>
      </c>
      <c r="AP157" s="44">
        <f>Tableau1[[#This Row],[Montant
Tarif normal]]/Tableau1[[#This Row],[Diff jour_x000D_
Cumul]]</f>
        <v>9.1749129621605032</v>
      </c>
      <c r="AQ157" s="44">
        <f>(Tableau1[[#This Row],[Conso HP / an
Cumul]]*0.1799)+(Tableau1[[#This Row],[Conso HC / an_x000D_
Cumul]]*0.1346)</f>
        <v>3459.3824152570814</v>
      </c>
      <c r="AR157" s="44">
        <f>Tableau1[[#This Row],[Conso HP + HC / an_x000D_
Cumul]]*0.1599</f>
        <v>3348.8432311885836</v>
      </c>
      <c r="AS157" s="38">
        <f>MONTH(Tableau1[[#This Row],[Date]])</f>
        <v>4</v>
      </c>
      <c r="AT157" s="38">
        <f>YEAR(Tableau1[[#This Row],[Date]])</f>
        <v>2021</v>
      </c>
    </row>
    <row r="158" spans="1:46" x14ac:dyDescent="0.2">
      <c r="A158" s="19">
        <v>44299.793749999997</v>
      </c>
      <c r="B158" s="20">
        <v>10.1</v>
      </c>
      <c r="C158" s="39">
        <f>IF(ISERROR(Tableau1[[#This Row],[Date]]-A157),"",Tableau1[[#This Row],[Date]]-A157)</f>
        <v>0.12638888888614019</v>
      </c>
      <c r="D158" s="40">
        <f>IF(ISERROR(Tableau1[[#This Row],[Date]]-A157),"",Tableau1[[#This Row],[Date]]-A157)</f>
        <v>0.12638888888614019</v>
      </c>
      <c r="E158" s="39">
        <f>Tableau1[[#This Row],[Date]]-$A$5</f>
        <v>117.08541666666133</v>
      </c>
      <c r="F158" s="40">
        <f>Tableau1[[#This Row],[Date]]-$A$5</f>
        <v>117.08541666666133</v>
      </c>
      <c r="G158" s="40">
        <f>Tableau1[[#This Row],[Diff jour_x000D_
Cumul]]-F$6</f>
        <v>79.002083333332848</v>
      </c>
      <c r="H158" s="40">
        <f>Tableau1[[#This Row],[Diff jour_x000D_
Cumul]]-F$59</f>
        <v>56.48263888888323</v>
      </c>
      <c r="I158" s="21">
        <v>184290</v>
      </c>
      <c r="J158" s="38">
        <f>IF(ISERROR(Tableau1[[#This Row],[Index HP
kWh]]-I157),"",Tableau1[[#This Row],[Index HP
kWh]]-I157)</f>
        <v>1</v>
      </c>
      <c r="K158" s="40">
        <f>IF(ISERROR(Tableau1[[#This Row],[Différence HP
Instantané]]/(Tableau1[[#This Row],[Diff jour
Instantané]]*24)),"",Tableau1[[#This Row],[Différence HP
Instantané]]/(Tableau1[[#This Row],[Diff jour
Instantané]]*24))</f>
        <v>0.32967032967749932</v>
      </c>
      <c r="L158" s="40">
        <f>Tableau1[[#This Row],[Différence HP
Instantané]]/Tableau1[[#This Row],[Diff jour
Instantané]]</f>
        <v>7.9120879122599836</v>
      </c>
      <c r="M158" s="40">
        <f>Tableau1[[#This Row],[Conso HP / jour
Instantané]]*365</f>
        <v>2887.9120879748939</v>
      </c>
      <c r="N158" s="38">
        <f>Tableau1[[#This Row],[Index HP
kWh]]-$I$5</f>
        <v>4531</v>
      </c>
      <c r="O158" s="41">
        <f>Tableau1[[#This Row],[Différence HP
Cumul]]/(Tableau1[[#This Row],[Diff jour_x000D_
Cumul]]*24)</f>
        <v>1.6124268251455336</v>
      </c>
      <c r="P158" s="41">
        <f>Tableau1[[#This Row],[Différence HP
Cumul]]/Tableau1[[#This Row],[Diff jour_x000D_
Cumul]]</f>
        <v>38.698243803492808</v>
      </c>
      <c r="Q158" s="41">
        <f>Tableau1[[#This Row],[Conso HP / jour
Cumul]]*365</f>
        <v>14124.858988274875</v>
      </c>
      <c r="R158" s="21">
        <v>121613</v>
      </c>
      <c r="S158" s="38">
        <f>Tableau1[[#This Row],[Index HC_x000D_
kWh]]-R157</f>
        <v>0</v>
      </c>
      <c r="T158" s="42">
        <f>Tableau1[[#This Row],[Différence_x000D_ HC
Instantané]]/(Tableau1[[#This Row],[Diff jour
Instantané]]*24)</f>
        <v>0</v>
      </c>
      <c r="U158" s="42">
        <f>Tableau1[[#This Row],[Différence_x000D_ HC
Instantané]]/Tableau1[[#This Row],[Diff jour
Instantané]]</f>
        <v>0</v>
      </c>
      <c r="V158" s="42">
        <f>Tableau1[[#This Row],[Conso HC / jour_x000D_
Instantané]]*365</f>
        <v>0</v>
      </c>
      <c r="W158" s="38">
        <f>Tableau1[[#This Row],[Index HC_x000D_
kWh]]-$R$5</f>
        <v>2181</v>
      </c>
      <c r="X158" s="43">
        <f>Tableau1[[#This Row],[Différence HC
Cumul]]/(Tableau1[[#This Row],[Diff jour_x000D_
Cumul]]*24)</f>
        <v>0.77614277326029768</v>
      </c>
      <c r="Y158" s="43">
        <f>Tableau1[[#This Row],[Différence HC
Cumul]]/Tableau1[[#This Row],[Diff jour_x000D_
Cumul]]</f>
        <v>18.627426558247144</v>
      </c>
      <c r="Z158" s="43">
        <f>Tableau1[[#This Row],[Conso HC / jour_x000D_
Cumul]]*365</f>
        <v>6799.0106937602077</v>
      </c>
      <c r="AA158" s="38">
        <f>Tableau1[[#This Row],[Différence HP
Instantané]]+Tableau1[[#This Row],[Différence_x000D_ HC
Instantané]]</f>
        <v>1</v>
      </c>
      <c r="AB158" s="41">
        <f>Tableau1[[#This Row],[Conso HP + HC
Instantané]]/(Tableau1[[#This Row],[Diff jour
Instantané]]*24)</f>
        <v>0.32967032967749932</v>
      </c>
      <c r="AC158" s="34">
        <f>IF(ISERROR(Tableau1[[#This Row],[Date]]-A157),"",Tableau1[[#This Row],[Conso HP + HC
Instantané]]/Tableau1[[#This Row],[Diff jour
Instantané]])</f>
        <v>7.9120879122599836</v>
      </c>
      <c r="AD158" s="41">
        <f>Tableau1[[#This Row],[Conso HP + HC / jour_x000D_
Instantané]]*365</f>
        <v>2887.9120879748939</v>
      </c>
      <c r="AE158" s="38">
        <f>Tableau1[[#This Row],[Différence HP
Cumul]]+Tableau1[[#This Row],[Différence HC
Cumul]]</f>
        <v>6712</v>
      </c>
      <c r="AF158" s="40">
        <f>(Tableau1[[#This Row],[Conso HP + HC
Cumul]]-AE$6)/Tableau1[[#This Row],[Diff jour_x000D_
Cumul
depuis le 24/01]]</f>
        <v>52.41633923156067</v>
      </c>
      <c r="AG158" s="40">
        <f>(Tableau1[[#This Row],[Conso HP + HC
Cumul]]-AE$59)/Tableau1[[#This Row],[Diff jour_x000D_
Cumul
depuis
précédente facture
16/02/2021]]</f>
        <v>44.881047519522539</v>
      </c>
      <c r="AH158" s="41">
        <f>Tableau1[[#This Row],[Conso HP + HC
Cumul]]/(Tableau1[[#This Row],[Diff jour_x000D_
Cumul]]*24)</f>
        <v>2.3885695984058311</v>
      </c>
      <c r="AI158" s="41">
        <f>Tableau1[[#This Row],[Conso HP + HC
Cumul]]/Tableau1[[#This Row],[Diff jour_x000D_
Cumul]]</f>
        <v>57.325670361739945</v>
      </c>
      <c r="AJ158" s="41">
        <f>Tableau1[[#This Row],[Conso HP + HC / jour_x000D_
Cumul]]*365</f>
        <v>20923.869682035081</v>
      </c>
      <c r="AK158" s="44">
        <f>(Tableau1[[#This Row],[Différence HP
Cumul]]*0.1799)+(Tableau1[[#This Row],[Différence HC
Cumul]]*0.1346)</f>
        <v>1108.6895</v>
      </c>
      <c r="AL158" s="44">
        <f>Tableau1[[#This Row],[Montant
Tarif HP/HC]]/Tableau1[[#This Row],[Diff jour_x000D_
Cumul]]</f>
        <v>9.4690656749884212</v>
      </c>
      <c r="AM158" s="44">
        <f>(Tableau1[[#This Row],[Montant
Tarif HP/HC]]-AK$6)/Tableau1[[#This Row],[Diff jour_x000D_
Cumul
depuis le 24/01]]</f>
        <v>8.6613399435669418</v>
      </c>
      <c r="AN158" s="44">
        <f>(Tableau1[[#This Row],[Montant
Tarif HP/HC]]-AK$59)/Tableau1[[#This Row],[Diff jour_x000D_
Cumul
depuis
précédente facture
16/02/2021]]</f>
        <v>7.3779502551184617</v>
      </c>
      <c r="AO158" s="44">
        <f>Tableau1[[#This Row],[Conso HP + HC
Cumul]]*0.1599</f>
        <v>1073.2487999999998</v>
      </c>
      <c r="AP158" s="44">
        <f>Tableau1[[#This Row],[Montant
Tarif normal]]/Tableau1[[#This Row],[Diff jour_x000D_
Cumul]]</f>
        <v>9.1663746908422166</v>
      </c>
      <c r="AQ158" s="44">
        <f>(Tableau1[[#This Row],[Conso HP / an
Cumul]]*0.1799)+(Tableau1[[#This Row],[Conso HC / an_x000D_
Cumul]]*0.1346)</f>
        <v>3456.2089713707737</v>
      </c>
      <c r="AR158" s="44">
        <f>Tableau1[[#This Row],[Conso HP + HC / an_x000D_
Cumul]]*0.1599</f>
        <v>3345.7267621574092</v>
      </c>
      <c r="AS158" s="38">
        <f>MONTH(Tableau1[[#This Row],[Date]])</f>
        <v>4</v>
      </c>
      <c r="AT158" s="38">
        <f>YEAR(Tableau1[[#This Row],[Date]])</f>
        <v>2021</v>
      </c>
    </row>
    <row r="159" spans="1:46" x14ac:dyDescent="0.2">
      <c r="A159" s="19">
        <v>44301.794444444444</v>
      </c>
      <c r="B159" s="20">
        <v>9.6</v>
      </c>
      <c r="C159" s="39">
        <f>IF(ISERROR(Tableau1[[#This Row],[Date]]-A158),"",Tableau1[[#This Row],[Date]]-A158)</f>
        <v>2.0006944444467081</v>
      </c>
      <c r="D159" s="40">
        <f>IF(ISERROR(Tableau1[[#This Row],[Date]]-A158),"",Tableau1[[#This Row],[Date]]-A158)</f>
        <v>2.0006944444467081</v>
      </c>
      <c r="E159" s="39">
        <f>Tableau1[[#This Row],[Date]]-$A$5</f>
        <v>119.08611111110804</v>
      </c>
      <c r="F159" s="40">
        <f>Tableau1[[#This Row],[Date]]-$A$5</f>
        <v>119.08611111110804</v>
      </c>
      <c r="G159" s="40">
        <f>Tableau1[[#This Row],[Diff jour_x000D_
Cumul]]-F$6</f>
        <v>81.002777777779556</v>
      </c>
      <c r="H159" s="40">
        <f>Tableau1[[#This Row],[Diff jour_x000D_
Cumul]]-F$59</f>
        <v>58.483333333329938</v>
      </c>
      <c r="I159" s="21">
        <v>184351</v>
      </c>
      <c r="J159" s="38">
        <f>IF(ISERROR(Tableau1[[#This Row],[Index HP
kWh]]-I158),"",Tableau1[[#This Row],[Index HP
kWh]]-I158)</f>
        <v>61</v>
      </c>
      <c r="K159" s="40">
        <f>IF(ISERROR(Tableau1[[#This Row],[Différence HP
Instantané]]/(Tableau1[[#This Row],[Diff jour
Instantané]]*24)),"",Tableau1[[#This Row],[Différence HP
Instantané]]/(Tableau1[[#This Row],[Diff jour
Instantané]]*24))</f>
        <v>1.2703922249204647</v>
      </c>
      <c r="L159" s="40">
        <f>Tableau1[[#This Row],[Différence HP
Instantané]]/Tableau1[[#This Row],[Diff jour
Instantané]]</f>
        <v>30.489413398091155</v>
      </c>
      <c r="M159" s="40">
        <f>Tableau1[[#This Row],[Conso HP / jour
Instantané]]*365</f>
        <v>11128.635890303272</v>
      </c>
      <c r="N159" s="38">
        <f>Tableau1[[#This Row],[Index HP
kWh]]-$I$5</f>
        <v>4592</v>
      </c>
      <c r="O159" s="41">
        <f>Tableau1[[#This Row],[Différence HP
Cumul]]/(Tableau1[[#This Row],[Diff jour_x000D_
Cumul]]*24)</f>
        <v>1.6066805066362291</v>
      </c>
      <c r="P159" s="41">
        <f>Tableau1[[#This Row],[Différence HP
Cumul]]/Tableau1[[#This Row],[Diff jour_x000D_
Cumul]]</f>
        <v>38.5603321592695</v>
      </c>
      <c r="Q159" s="41">
        <f>Tableau1[[#This Row],[Conso HP / jour
Cumul]]*365</f>
        <v>14074.521238133368</v>
      </c>
      <c r="R159" s="21">
        <v>121649</v>
      </c>
      <c r="S159" s="38">
        <f>Tableau1[[#This Row],[Index HC_x000D_
kWh]]-R158</f>
        <v>36</v>
      </c>
      <c r="T159" s="42">
        <f>Tableau1[[#This Row],[Différence_x000D_ HC
Instantané]]/(Tableau1[[#This Row],[Diff jour
Instantané]]*24)</f>
        <v>0.74973967372355299</v>
      </c>
      <c r="U159" s="42">
        <f>Tableau1[[#This Row],[Différence_x000D_ HC
Instantané]]/Tableau1[[#This Row],[Diff jour
Instantané]]</f>
        <v>17.993752169365273</v>
      </c>
      <c r="V159" s="42">
        <f>Tableau1[[#This Row],[Conso HC / jour_x000D_
Instantané]]*365</f>
        <v>6567.7195418183246</v>
      </c>
      <c r="W159" s="38">
        <f>Tableau1[[#This Row],[Index HC_x000D_
kWh]]-$R$5</f>
        <v>2217</v>
      </c>
      <c r="X159" s="43">
        <f>Tableau1[[#This Row],[Différence HC
Cumul]]/(Tableau1[[#This Row],[Diff jour_x000D_
Cumul]]*24)</f>
        <v>0.77569919059506098</v>
      </c>
      <c r="Y159" s="43">
        <f>Tableau1[[#This Row],[Différence HC
Cumul]]/Tableau1[[#This Row],[Diff jour_x000D_
Cumul]]</f>
        <v>18.616780574281464</v>
      </c>
      <c r="Z159" s="43">
        <f>Tableau1[[#This Row],[Conso HC / jour_x000D_
Cumul]]*365</f>
        <v>6795.124909612734</v>
      </c>
      <c r="AA159" s="38">
        <f>Tableau1[[#This Row],[Différence HP
Instantané]]+Tableau1[[#This Row],[Différence_x000D_ HC
Instantané]]</f>
        <v>97</v>
      </c>
      <c r="AB159" s="41">
        <f>Tableau1[[#This Row],[Conso HP + HC
Instantané]]/(Tableau1[[#This Row],[Diff jour
Instantané]]*24)</f>
        <v>2.0201318986440175</v>
      </c>
      <c r="AC159" s="34">
        <f>IF(ISERROR(Tableau1[[#This Row],[Date]]-A158),"",Tableau1[[#This Row],[Conso HP + HC
Instantané]]/Tableau1[[#This Row],[Diff jour
Instantané]])</f>
        <v>48.483165567456425</v>
      </c>
      <c r="AD159" s="41">
        <f>Tableau1[[#This Row],[Conso HP + HC / jour_x000D_
Instantané]]*365</f>
        <v>17696.355432121596</v>
      </c>
      <c r="AE159" s="38">
        <f>Tableau1[[#This Row],[Différence HP
Cumul]]+Tableau1[[#This Row],[Différence HC
Cumul]]</f>
        <v>6809</v>
      </c>
      <c r="AF159" s="40">
        <f>(Tableau1[[#This Row],[Conso HP + HC
Cumul]]-AE$6)/Tableau1[[#This Row],[Diff jour_x000D_
Cumul
depuis le 24/01]]</f>
        <v>52.319193443296406</v>
      </c>
      <c r="AG159" s="40">
        <f>(Tableau1[[#This Row],[Conso HP + HC
Cumul]]-AE$59)/Tableau1[[#This Row],[Diff jour_x000D_
Cumul
depuis
précédente facture
16/02/2021]]</f>
        <v>45.004274722145674</v>
      </c>
      <c r="AH159" s="41">
        <f>Tableau1[[#This Row],[Conso HP + HC
Cumul]]/(Tableau1[[#This Row],[Diff jour_x000D_
Cumul]]*24)</f>
        <v>2.3823796972312898</v>
      </c>
      <c r="AI159" s="41">
        <f>Tableau1[[#This Row],[Conso HP + HC
Cumul]]/Tableau1[[#This Row],[Diff jour_x000D_
Cumul]]</f>
        <v>57.177112733550963</v>
      </c>
      <c r="AJ159" s="41">
        <f>Tableau1[[#This Row],[Conso HP + HC / jour_x000D_
Cumul]]*365</f>
        <v>20869.646147746102</v>
      </c>
      <c r="AK159" s="44">
        <f>(Tableau1[[#This Row],[Différence HP
Cumul]]*0.1799)+(Tableau1[[#This Row],[Différence HC
Cumul]]*0.1346)</f>
        <v>1124.509</v>
      </c>
      <c r="AL159" s="44">
        <f>Tableau1[[#This Row],[Montant
Tarif HP/HC]]/Tableau1[[#This Row],[Diff jour_x000D_
Cumul]]</f>
        <v>9.4428224207508684</v>
      </c>
      <c r="AM159" s="44">
        <f>(Tableau1[[#This Row],[Montant
Tarif HP/HC]]-AK$6)/Tableau1[[#This Row],[Diff jour_x000D_
Cumul
depuis le 24/01]]</f>
        <v>8.6427085490893472</v>
      </c>
      <c r="AN159" s="44">
        <f>(Tableau1[[#This Row],[Montant
Tarif HP/HC]]-AK$59)/Tableau1[[#This Row],[Diff jour_x000D_
Cumul
depuis
précédente facture
16/02/2021]]</f>
        <v>7.3960490168143371</v>
      </c>
      <c r="AO159" s="44">
        <f>Tableau1[[#This Row],[Conso HP + HC
Cumul]]*0.1599</f>
        <v>1088.7591</v>
      </c>
      <c r="AP159" s="44">
        <f>Tableau1[[#This Row],[Montant
Tarif normal]]/Tableau1[[#This Row],[Diff jour_x000D_
Cumul]]</f>
        <v>9.1426203260947982</v>
      </c>
      <c r="AQ159" s="44">
        <f>(Tableau1[[#This Row],[Conso HP / an
Cumul]]*0.1799)+(Tableau1[[#This Row],[Conso HC / an_x000D_
Cumul]]*0.1346)</f>
        <v>3446.6301835740669</v>
      </c>
      <c r="AR159" s="44">
        <f>Tableau1[[#This Row],[Conso HP + HC / an_x000D_
Cumul]]*0.1599</f>
        <v>3337.0564190246014</v>
      </c>
      <c r="AS159" s="38">
        <f>MONTH(Tableau1[[#This Row],[Date]])</f>
        <v>4</v>
      </c>
      <c r="AT159" s="38">
        <f>YEAR(Tableau1[[#This Row],[Date]])</f>
        <v>2021</v>
      </c>
    </row>
    <row r="160" spans="1:46" x14ac:dyDescent="0.2">
      <c r="A160" s="19">
        <v>44302.370833333334</v>
      </c>
      <c r="B160" s="20">
        <v>2.1</v>
      </c>
      <c r="C160" s="39">
        <f>IF(ISERROR(Tableau1[[#This Row],[Date]]-A159),"",Tableau1[[#This Row],[Date]]-A159)</f>
        <v>0.57638888889050577</v>
      </c>
      <c r="D160" s="40">
        <f>IF(ISERROR(Tableau1[[#This Row],[Date]]-A159),"",Tableau1[[#This Row],[Date]]-A159)</f>
        <v>0.57638888889050577</v>
      </c>
      <c r="E160" s="39">
        <f>Tableau1[[#This Row],[Date]]-$A$5</f>
        <v>119.66249999999854</v>
      </c>
      <c r="F160" s="40">
        <f>Tableau1[[#This Row],[Date]]-$A$5</f>
        <v>119.66249999999854</v>
      </c>
      <c r="G160" s="40">
        <f>Tableau1[[#This Row],[Diff jour_x000D_
Cumul]]-F$6</f>
        <v>81.579166666670062</v>
      </c>
      <c r="H160" s="40">
        <f>Tableau1[[#This Row],[Diff jour_x000D_
Cumul]]-F$59</f>
        <v>59.059722222220444</v>
      </c>
      <c r="I160" s="21">
        <v>184364</v>
      </c>
      <c r="J160" s="38">
        <f>IF(ISERROR(Tableau1[[#This Row],[Index HP
kWh]]-I159),"",Tableau1[[#This Row],[Index HP
kWh]]-I159)</f>
        <v>13</v>
      </c>
      <c r="K160" s="40">
        <f>IF(ISERROR(Tableau1[[#This Row],[Différence HP
Instantané]]/(Tableau1[[#This Row],[Diff jour
Instantané]]*24)),"",Tableau1[[#This Row],[Différence HP
Instantané]]/(Tableau1[[#This Row],[Diff jour
Instantané]]*24))</f>
        <v>0.93975903614194212</v>
      </c>
      <c r="L160" s="40">
        <f>Tableau1[[#This Row],[Différence HP
Instantané]]/Tableau1[[#This Row],[Diff jour
Instantané]]</f>
        <v>22.554216867406609</v>
      </c>
      <c r="M160" s="40">
        <f>Tableau1[[#This Row],[Conso HP / jour
Instantané]]*365</f>
        <v>8232.2891566034123</v>
      </c>
      <c r="N160" s="38">
        <f>Tableau1[[#This Row],[Index HP
kWh]]-$I$5</f>
        <v>4605</v>
      </c>
      <c r="O160" s="41">
        <f>Tableau1[[#This Row],[Différence HP
Cumul]]/(Tableau1[[#This Row],[Diff jour_x000D_
Cumul]]*24)</f>
        <v>1.6034680873289655</v>
      </c>
      <c r="P160" s="41">
        <f>Tableau1[[#This Row],[Différence HP
Cumul]]/Tableau1[[#This Row],[Diff jour_x000D_
Cumul]]</f>
        <v>38.48323409589517</v>
      </c>
      <c r="Q160" s="41">
        <f>Tableau1[[#This Row],[Conso HP / jour
Cumul]]*365</f>
        <v>14046.380445001738</v>
      </c>
      <c r="R160" s="21">
        <v>121668</v>
      </c>
      <c r="S160" s="38">
        <f>Tableau1[[#This Row],[Index HC_x000D_
kWh]]-R159</f>
        <v>19</v>
      </c>
      <c r="T160" s="42">
        <f>Tableau1[[#This Row],[Différence_x000D_ HC
Instantané]]/(Tableau1[[#This Row],[Diff jour
Instantané]]*24)</f>
        <v>1.3734939758997615</v>
      </c>
      <c r="U160" s="42">
        <f>Tableau1[[#This Row],[Différence_x000D_ HC
Instantané]]/Tableau1[[#This Row],[Diff jour
Instantané]]</f>
        <v>32.963855421594275</v>
      </c>
      <c r="V160" s="42">
        <f>Tableau1[[#This Row],[Conso HC / jour_x000D_
Instantané]]*365</f>
        <v>12031.807228881909</v>
      </c>
      <c r="W160" s="38">
        <f>Tableau1[[#This Row],[Index HC_x000D_
kWh]]-$R$5</f>
        <v>2236</v>
      </c>
      <c r="X160" s="43">
        <f>Tableau1[[#This Row],[Différence HC
Cumul]]/(Tableau1[[#This Row],[Diff jour_x000D_
Cumul]]*24)</f>
        <v>0.77857864131760413</v>
      </c>
      <c r="Y160" s="43">
        <f>Tableau1[[#This Row],[Différence HC
Cumul]]/Tableau1[[#This Row],[Diff jour_x000D_
Cumul]]</f>
        <v>18.685887391622497</v>
      </c>
      <c r="Z160" s="43">
        <f>Tableau1[[#This Row],[Conso HC / jour_x000D_
Cumul]]*365</f>
        <v>6820.3488979422118</v>
      </c>
      <c r="AA160" s="38">
        <f>Tableau1[[#This Row],[Différence HP
Instantané]]+Tableau1[[#This Row],[Différence_x000D_ HC
Instantané]]</f>
        <v>32</v>
      </c>
      <c r="AB160" s="41">
        <f>Tableau1[[#This Row],[Conso HP + HC
Instantané]]/(Tableau1[[#This Row],[Diff jour
Instantané]]*24)</f>
        <v>2.3132530120417036</v>
      </c>
      <c r="AC160" s="34">
        <f>IF(ISERROR(Tableau1[[#This Row],[Date]]-A159),"",Tableau1[[#This Row],[Conso HP + HC
Instantané]]/Tableau1[[#This Row],[Diff jour
Instantané]])</f>
        <v>55.518072289000891</v>
      </c>
      <c r="AD160" s="41">
        <f>Tableau1[[#This Row],[Conso HP + HC / jour_x000D_
Instantané]]*365</f>
        <v>20264.096385485325</v>
      </c>
      <c r="AE160" s="38">
        <f>Tableau1[[#This Row],[Différence HP
Cumul]]+Tableau1[[#This Row],[Différence HC
Cumul]]</f>
        <v>6841</v>
      </c>
      <c r="AF160" s="40">
        <f>(Tableau1[[#This Row],[Conso HP + HC
Cumul]]-AE$6)/Tableau1[[#This Row],[Diff jour_x000D_
Cumul
depuis le 24/01]]</f>
        <v>52.341794780119379</v>
      </c>
      <c r="AG160" s="40">
        <f>(Tableau1[[#This Row],[Conso HP + HC
Cumul]]-AE$59)/Tableau1[[#This Row],[Diff jour_x000D_
Cumul
depuis
précédente facture
16/02/2021]]</f>
        <v>45.106883333726635</v>
      </c>
      <c r="AH160" s="41">
        <f>Tableau1[[#This Row],[Conso HP + HC
Cumul]]/(Tableau1[[#This Row],[Diff jour_x000D_
Cumul]]*24)</f>
        <v>2.3820467286465696</v>
      </c>
      <c r="AI160" s="41">
        <f>Tableau1[[#This Row],[Conso HP + HC
Cumul]]/Tableau1[[#This Row],[Diff jour_x000D_
Cumul]]</f>
        <v>57.169121487517671</v>
      </c>
      <c r="AJ160" s="41">
        <f>Tableau1[[#This Row],[Conso HP + HC / jour_x000D_
Cumul]]*365</f>
        <v>20866.729342943949</v>
      </c>
      <c r="AK160" s="44">
        <f>(Tableau1[[#This Row],[Différence HP
Cumul]]*0.1799)+(Tableau1[[#This Row],[Différence HC
Cumul]]*0.1346)</f>
        <v>1129.4050999999999</v>
      </c>
      <c r="AL160" s="44">
        <f>Tableau1[[#This Row],[Montant
Tarif HP/HC]]/Tableau1[[#This Row],[Diff jour_x000D_
Cumul]]</f>
        <v>9.4382542567639298</v>
      </c>
      <c r="AM160" s="44">
        <f>(Tableau1[[#This Row],[Montant
Tarif HP/HC]]-AK$6)/Tableau1[[#This Row],[Diff jour_x000D_
Cumul
depuis le 24/01]]</f>
        <v>8.6416609632766193</v>
      </c>
      <c r="AN160" s="44">
        <f>(Tableau1[[#This Row],[Montant
Tarif HP/HC]]-AK$59)/Tableau1[[#This Row],[Diff jour_x000D_
Cumul
depuis
précédente facture
16/02/2021]]</f>
        <v>7.4067686663690111</v>
      </c>
      <c r="AO160" s="44">
        <f>Tableau1[[#This Row],[Conso HP + HC
Cumul]]*0.1599</f>
        <v>1093.8759</v>
      </c>
      <c r="AP160" s="44">
        <f>Tableau1[[#This Row],[Montant
Tarif normal]]/Tableau1[[#This Row],[Diff jour_x000D_
Cumul]]</f>
        <v>9.1413425258540748</v>
      </c>
      <c r="AQ160" s="44">
        <f>(Tableau1[[#This Row],[Conso HP / an
Cumul]]*0.1799)+(Tableau1[[#This Row],[Conso HC / an_x000D_
Cumul]]*0.1346)</f>
        <v>3444.9628037188345</v>
      </c>
      <c r="AR160" s="44">
        <f>Tableau1[[#This Row],[Conso HP + HC / an_x000D_
Cumul]]*0.1599</f>
        <v>3336.5900219367372</v>
      </c>
      <c r="AS160" s="38">
        <f>MONTH(Tableau1[[#This Row],[Date]])</f>
        <v>4</v>
      </c>
      <c r="AT160" s="38">
        <f>YEAR(Tableau1[[#This Row],[Date]])</f>
        <v>2021</v>
      </c>
    </row>
    <row r="161" spans="1:46" x14ac:dyDescent="0.2">
      <c r="A161" s="19">
        <v>44306.379861111112</v>
      </c>
      <c r="B161" s="20">
        <v>10.6</v>
      </c>
      <c r="C161" s="39">
        <f>IF(ISERROR(Tableau1[[#This Row],[Date]]-A160),"",Tableau1[[#This Row],[Date]]-A160)</f>
        <v>4.0090277777781012</v>
      </c>
      <c r="D161" s="40">
        <f>IF(ISERROR(Tableau1[[#This Row],[Date]]-A160),"",Tableau1[[#This Row],[Date]]-A160)</f>
        <v>4.0090277777781012</v>
      </c>
      <c r="E161" s="39">
        <f>Tableau1[[#This Row],[Date]]-$A$5</f>
        <v>123.67152777777665</v>
      </c>
      <c r="F161" s="40">
        <f>Tableau1[[#This Row],[Date]]-$A$5</f>
        <v>123.67152777777665</v>
      </c>
      <c r="G161" s="40">
        <f>Tableau1[[#This Row],[Diff jour_x000D_
Cumul]]-F$6</f>
        <v>85.588194444448163</v>
      </c>
      <c r="H161" s="40">
        <f>Tableau1[[#This Row],[Diff jour_x000D_
Cumul]]-F$59</f>
        <v>63.068749999998545</v>
      </c>
      <c r="I161" s="21">
        <v>184441</v>
      </c>
      <c r="J161" s="38">
        <f>IF(ISERROR(Tableau1[[#This Row],[Index HP
kWh]]-I160),"",Tableau1[[#This Row],[Index HP
kWh]]-I160)</f>
        <v>77</v>
      </c>
      <c r="K161" s="40">
        <f>IF(ISERROR(Tableau1[[#This Row],[Différence HP
Instantané]]/(Tableau1[[#This Row],[Diff jour
Instantané]]*24)),"",Tableau1[[#This Row],[Différence HP
Instantané]]/(Tableau1[[#This Row],[Diff jour
Instantané]]*24))</f>
        <v>0.80027715226045859</v>
      </c>
      <c r="L161" s="40">
        <f>Tableau1[[#This Row],[Différence HP
Instantané]]/Tableau1[[#This Row],[Diff jour
Instantané]]</f>
        <v>19.206651654251004</v>
      </c>
      <c r="M161" s="40">
        <f>Tableau1[[#This Row],[Conso HP / jour
Instantané]]*365</f>
        <v>7010.4278538016169</v>
      </c>
      <c r="N161" s="38">
        <f>Tableau1[[#This Row],[Index HP
kWh]]-$I$5</f>
        <v>4682</v>
      </c>
      <c r="O161" s="41">
        <f>Tableau1[[#This Row],[Différence HP
Cumul]]/(Tableau1[[#This Row],[Diff jour_x000D_
Cumul]]*24)</f>
        <v>1.5774312555099619</v>
      </c>
      <c r="P161" s="41">
        <f>Tableau1[[#This Row],[Différence HP
Cumul]]/Tableau1[[#This Row],[Diff jour_x000D_
Cumul]]</f>
        <v>37.858350132239082</v>
      </c>
      <c r="Q161" s="41">
        <f>Tableau1[[#This Row],[Conso HP / jour
Cumul]]*365</f>
        <v>13818.297798267266</v>
      </c>
      <c r="R161" s="21">
        <v>121734</v>
      </c>
      <c r="S161" s="38">
        <f>Tableau1[[#This Row],[Index HC_x000D_
kWh]]-R160</f>
        <v>66</v>
      </c>
      <c r="T161" s="42">
        <f>Tableau1[[#This Row],[Différence_x000D_ HC
Instantané]]/(Tableau1[[#This Row],[Diff jour
Instantané]]*24)</f>
        <v>0.68595184479467874</v>
      </c>
      <c r="U161" s="42">
        <f>Tableau1[[#This Row],[Différence_x000D_ HC
Instantané]]/Tableau1[[#This Row],[Diff jour
Instantané]]</f>
        <v>16.462844275072289</v>
      </c>
      <c r="V161" s="42">
        <f>Tableau1[[#This Row],[Conso HC / jour_x000D_
Instantané]]*365</f>
        <v>6008.9381604013852</v>
      </c>
      <c r="W161" s="38">
        <f>Tableau1[[#This Row],[Index HC_x000D_
kWh]]-$R$5</f>
        <v>2302</v>
      </c>
      <c r="X161" s="43">
        <f>Tableau1[[#This Row],[Différence HC
Cumul]]/(Tableau1[[#This Row],[Diff jour_x000D_
Cumul]]*24)</f>
        <v>0.77557598252540194</v>
      </c>
      <c r="Y161" s="43">
        <f>Tableau1[[#This Row],[Différence HC
Cumul]]/Tableau1[[#This Row],[Diff jour_x000D_
Cumul]]</f>
        <v>18.613823580609647</v>
      </c>
      <c r="Z161" s="43">
        <f>Tableau1[[#This Row],[Conso HC / jour_x000D_
Cumul]]*365</f>
        <v>6794.0456069225211</v>
      </c>
      <c r="AA161" s="38">
        <f>Tableau1[[#This Row],[Différence HP
Instantané]]+Tableau1[[#This Row],[Différence_x000D_ HC
Instantané]]</f>
        <v>143</v>
      </c>
      <c r="AB161" s="41">
        <f>Tableau1[[#This Row],[Conso HP + HC
Instantané]]/(Tableau1[[#This Row],[Diff jour
Instantané]]*24)</f>
        <v>1.4862289970551374</v>
      </c>
      <c r="AC161" s="34">
        <f>IF(ISERROR(Tableau1[[#This Row],[Date]]-A160),"",Tableau1[[#This Row],[Conso HP + HC
Instantané]]/Tableau1[[#This Row],[Diff jour
Instantané]])</f>
        <v>35.669495929323297</v>
      </c>
      <c r="AD161" s="41">
        <f>Tableau1[[#This Row],[Conso HP + HC / jour_x000D_
Instantané]]*365</f>
        <v>13019.366014203004</v>
      </c>
      <c r="AE161" s="38">
        <f>Tableau1[[#This Row],[Différence HP
Cumul]]+Tableau1[[#This Row],[Différence HC
Cumul]]</f>
        <v>6984</v>
      </c>
      <c r="AF161" s="40">
        <f>(Tableau1[[#This Row],[Conso HP + HC
Cumul]]-AE$6)/Tableau1[[#This Row],[Diff jour_x000D_
Cumul
depuis le 24/01]]</f>
        <v>51.560849351300426</v>
      </c>
      <c r="AG161" s="40">
        <f>(Tableau1[[#This Row],[Conso HP + HC
Cumul]]-AE$59)/Tableau1[[#This Row],[Diff jour_x000D_
Cumul
depuis
précédente facture
16/02/2021]]</f>
        <v>44.506986423546763</v>
      </c>
      <c r="AH161" s="41">
        <f>Tableau1[[#This Row],[Conso HP + HC
Cumul]]/(Tableau1[[#This Row],[Diff jour_x000D_
Cumul]]*24)</f>
        <v>2.3530072380353637</v>
      </c>
      <c r="AI161" s="41">
        <f>Tableau1[[#This Row],[Conso HP + HC
Cumul]]/Tableau1[[#This Row],[Diff jour_x000D_
Cumul]]</f>
        <v>56.472173712848729</v>
      </c>
      <c r="AJ161" s="41">
        <f>Tableau1[[#This Row],[Conso HP + HC / jour_x000D_
Cumul]]*365</f>
        <v>20612.343405189786</v>
      </c>
      <c r="AK161" s="44">
        <f>(Tableau1[[#This Row],[Différence HP
Cumul]]*0.1799)+(Tableau1[[#This Row],[Différence HC
Cumul]]*0.1346)</f>
        <v>1152.1410000000001</v>
      </c>
      <c r="AL161" s="44">
        <f>Tableau1[[#This Row],[Montant
Tarif HP/HC]]/Tableau1[[#This Row],[Diff jour_x000D_
Cumul]]</f>
        <v>9.3161378427398702</v>
      </c>
      <c r="AM161" s="44">
        <f>(Tableau1[[#This Row],[Montant
Tarif HP/HC]]-AK$6)/Tableau1[[#This Row],[Diff jour_x000D_
Cumul
depuis le 24/01]]</f>
        <v>8.5025207591256144</v>
      </c>
      <c r="AN161" s="44">
        <f>(Tableau1[[#This Row],[Montant
Tarif HP/HC]]-AK$59)/Tableau1[[#This Row],[Diff jour_x000D_
Cumul
depuis
précédente facture
16/02/2021]]</f>
        <v>7.2964439599644946</v>
      </c>
      <c r="AO161" s="44">
        <f>Tableau1[[#This Row],[Conso HP + HC
Cumul]]*0.1599</f>
        <v>1116.7415999999998</v>
      </c>
      <c r="AP161" s="44">
        <f>Tableau1[[#This Row],[Montant
Tarif normal]]/Tableau1[[#This Row],[Diff jour_x000D_
Cumul]]</f>
        <v>9.0299005766845113</v>
      </c>
      <c r="AQ161" s="44">
        <f>(Tableau1[[#This Row],[Conso HP / an
Cumul]]*0.1799)+(Tableau1[[#This Row],[Conso HC / an_x000D_
Cumul]]*0.1346)</f>
        <v>3400.3903126000523</v>
      </c>
      <c r="AR161" s="44">
        <f>Tableau1[[#This Row],[Conso HP + HC / an_x000D_
Cumul]]*0.1599</f>
        <v>3295.9137104898464</v>
      </c>
      <c r="AS161" s="38">
        <f>MONTH(Tableau1[[#This Row],[Date]])</f>
        <v>4</v>
      </c>
      <c r="AT161" s="38">
        <f>YEAR(Tableau1[[#This Row],[Date]])</f>
        <v>2021</v>
      </c>
    </row>
    <row r="162" spans="1:46" x14ac:dyDescent="0.2">
      <c r="A162" s="19">
        <v>44310.32708333333</v>
      </c>
      <c r="B162" s="20">
        <v>7</v>
      </c>
      <c r="C162" s="39">
        <f>IF(ISERROR(Tableau1[[#This Row],[Date]]-A161),"",Tableau1[[#This Row],[Date]]-A161)</f>
        <v>3.9472222222175333</v>
      </c>
      <c r="D162" s="40">
        <f>IF(ISERROR(Tableau1[[#This Row],[Date]]-A161),"",Tableau1[[#This Row],[Date]]-A161)</f>
        <v>3.9472222222175333</v>
      </c>
      <c r="E162" s="39">
        <f>Tableau1[[#This Row],[Date]]-$A$5</f>
        <v>127.61874999999418</v>
      </c>
      <c r="F162" s="40">
        <f>Tableau1[[#This Row],[Date]]-$A$5</f>
        <v>127.61874999999418</v>
      </c>
      <c r="G162" s="40">
        <f>Tableau1[[#This Row],[Diff jour_x000D_
Cumul]]-F$6</f>
        <v>89.535416666665697</v>
      </c>
      <c r="H162" s="40">
        <f>Tableau1[[#This Row],[Diff jour_x000D_
Cumul]]-F$59</f>
        <v>67.015972222216078</v>
      </c>
      <c r="I162" s="21">
        <v>184494</v>
      </c>
      <c r="J162" s="38">
        <f>IF(ISERROR(Tableau1[[#This Row],[Index HP
kWh]]-I161),"",Tableau1[[#This Row],[Index HP
kWh]]-I161)</f>
        <v>53</v>
      </c>
      <c r="K162" s="40">
        <f>IF(ISERROR(Tableau1[[#This Row],[Différence HP
Instantané]]/(Tableau1[[#This Row],[Diff jour
Instantané]]*24)),"",Tableau1[[#This Row],[Différence HP
Instantané]]/(Tableau1[[#This Row],[Diff jour
Instantané]]*24))</f>
        <v>0.55946516537716007</v>
      </c>
      <c r="L162" s="40">
        <f>Tableau1[[#This Row],[Différence HP
Instantané]]/Tableau1[[#This Row],[Diff jour
Instantané]]</f>
        <v>13.42716396905184</v>
      </c>
      <c r="M162" s="40">
        <f>Tableau1[[#This Row],[Conso HP / jour
Instantané]]*365</f>
        <v>4900.914848703922</v>
      </c>
      <c r="N162" s="38">
        <f>Tableau1[[#This Row],[Index HP
kWh]]-$I$5</f>
        <v>4735</v>
      </c>
      <c r="O162" s="41">
        <f>Tableau1[[#This Row],[Différence HP
Cumul]]/(Tableau1[[#This Row],[Diff jour_x000D_
Cumul]]*24)</f>
        <v>1.5459457694631522</v>
      </c>
      <c r="P162" s="41">
        <f>Tableau1[[#This Row],[Différence HP
Cumul]]/Tableau1[[#This Row],[Diff jour_x000D_
Cumul]]</f>
        <v>37.102698467115651</v>
      </c>
      <c r="Q162" s="41">
        <f>Tableau1[[#This Row],[Conso HP / jour
Cumul]]*365</f>
        <v>13542.484940497212</v>
      </c>
      <c r="R162" s="21">
        <v>121748</v>
      </c>
      <c r="S162" s="38">
        <f>Tableau1[[#This Row],[Index HC_x000D_
kWh]]-R161</f>
        <v>14</v>
      </c>
      <c r="T162" s="42">
        <f>Tableau1[[#This Row],[Différence_x000D_ HC
Instantané]]/(Tableau1[[#This Row],[Diff jour
Instantané]]*24)</f>
        <v>0.14778325123170263</v>
      </c>
      <c r="U162" s="42">
        <f>Tableau1[[#This Row],[Différence_x000D_ HC
Instantané]]/Tableau1[[#This Row],[Diff jour
Instantané]]</f>
        <v>3.5467980295608634</v>
      </c>
      <c r="V162" s="42">
        <f>Tableau1[[#This Row],[Conso HC / jour_x000D_
Instantané]]*365</f>
        <v>1294.5812807897153</v>
      </c>
      <c r="W162" s="38">
        <f>Tableau1[[#This Row],[Index HC_x000D_
kWh]]-$R$5</f>
        <v>2316</v>
      </c>
      <c r="X162" s="43">
        <f>Tableau1[[#This Row],[Différence HC
Cumul]]/(Tableau1[[#This Row],[Diff jour_x000D_
Cumul]]*24)</f>
        <v>0.75615847984723561</v>
      </c>
      <c r="Y162" s="43">
        <f>Tableau1[[#This Row],[Différence HC
Cumul]]/Tableau1[[#This Row],[Diff jour_x000D_
Cumul]]</f>
        <v>18.147803516333656</v>
      </c>
      <c r="Z162" s="43">
        <f>Tableau1[[#This Row],[Conso HC / jour_x000D_
Cumul]]*365</f>
        <v>6623.9482834617847</v>
      </c>
      <c r="AA162" s="38">
        <f>Tableau1[[#This Row],[Différence HP
Instantané]]+Tableau1[[#This Row],[Différence_x000D_ HC
Instantané]]</f>
        <v>67</v>
      </c>
      <c r="AB162" s="41">
        <f>Tableau1[[#This Row],[Conso HP + HC
Instantané]]/(Tableau1[[#This Row],[Diff jour
Instantané]]*24)</f>
        <v>0.70724841660886262</v>
      </c>
      <c r="AC162" s="34">
        <f>IF(ISERROR(Tableau1[[#This Row],[Date]]-A161),"",Tableau1[[#This Row],[Conso HP + HC
Instantané]]/Tableau1[[#This Row],[Diff jour
Instantané]])</f>
        <v>16.973961998612705</v>
      </c>
      <c r="AD162" s="41">
        <f>Tableau1[[#This Row],[Conso HP + HC / jour_x000D_
Instantané]]*365</f>
        <v>6195.4961294936375</v>
      </c>
      <c r="AE162" s="38">
        <f>Tableau1[[#This Row],[Différence HP
Cumul]]+Tableau1[[#This Row],[Différence HC
Cumul]]</f>
        <v>7051</v>
      </c>
      <c r="AF162" s="40">
        <f>(Tableau1[[#This Row],[Conso HP + HC
Cumul]]-AE$6)/Tableau1[[#This Row],[Diff jour_x000D_
Cumul
depuis le 24/01]]</f>
        <v>50.036065802639165</v>
      </c>
      <c r="AG162" s="40">
        <f>(Tableau1[[#This Row],[Conso HP + HC
Cumul]]-AE$59)/Tableau1[[#This Row],[Diff jour_x000D_
Cumul
depuis
précédente facture
16/02/2021]]</f>
        <v>42.885298902628719</v>
      </c>
      <c r="AH162" s="41">
        <f>Tableau1[[#This Row],[Conso HP + HC
Cumul]]/(Tableau1[[#This Row],[Diff jour_x000D_
Cumul]]*24)</f>
        <v>2.3021042493103878</v>
      </c>
      <c r="AI162" s="41">
        <f>Tableau1[[#This Row],[Conso HP + HC
Cumul]]/Tableau1[[#This Row],[Diff jour_x000D_
Cumul]]</f>
        <v>55.250501983449311</v>
      </c>
      <c r="AJ162" s="41">
        <f>Tableau1[[#This Row],[Conso HP + HC / jour_x000D_
Cumul]]*365</f>
        <v>20166.433223959</v>
      </c>
      <c r="AK162" s="44">
        <f>(Tableau1[[#This Row],[Différence HP
Cumul]]*0.1799)+(Tableau1[[#This Row],[Différence HC
Cumul]]*0.1346)</f>
        <v>1163.5600999999999</v>
      </c>
      <c r="AL162" s="44">
        <f>Tableau1[[#This Row],[Montant
Tarif HP/HC]]/Tableau1[[#This Row],[Diff jour_x000D_
Cumul]]</f>
        <v>9.1174698075326148</v>
      </c>
      <c r="AM162" s="44">
        <f>(Tableau1[[#This Row],[Montant
Tarif HP/HC]]-AK$6)/Tableau1[[#This Row],[Diff jour_x000D_
Cumul
depuis le 24/01]]</f>
        <v>8.2552193033483903</v>
      </c>
      <c r="AN162" s="44">
        <f>(Tableau1[[#This Row],[Montant
Tarif HP/HC]]-AK$59)/Tableau1[[#This Row],[Diff jour_x000D_
Cumul
depuis
précédente facture
16/02/2021]]</f>
        <v>7.0370791374367858</v>
      </c>
      <c r="AO162" s="44">
        <f>Tableau1[[#This Row],[Conso HP + HC
Cumul]]*0.1599</f>
        <v>1127.4549</v>
      </c>
      <c r="AP162" s="44">
        <f>Tableau1[[#This Row],[Montant
Tarif normal]]/Tableau1[[#This Row],[Diff jour_x000D_
Cumul]]</f>
        <v>8.8345552671535437</v>
      </c>
      <c r="AQ162" s="44">
        <f>(Tableau1[[#This Row],[Conso HP / an
Cumul]]*0.1799)+(Tableau1[[#This Row],[Conso HC / an_x000D_
Cumul]]*0.1346)</f>
        <v>3327.876479749405</v>
      </c>
      <c r="AR162" s="44">
        <f>Tableau1[[#This Row],[Conso HP + HC / an_x000D_
Cumul]]*0.1599</f>
        <v>3224.6126725110439</v>
      </c>
      <c r="AS162" s="38">
        <f>MONTH(Tableau1[[#This Row],[Date]])</f>
        <v>4</v>
      </c>
      <c r="AT162" s="38">
        <f>YEAR(Tableau1[[#This Row],[Date]])</f>
        <v>2021</v>
      </c>
    </row>
    <row r="163" spans="1:46" x14ac:dyDescent="0.2">
      <c r="A163" s="19">
        <v>44311.275000000001</v>
      </c>
      <c r="B163" s="20">
        <v>8.5</v>
      </c>
      <c r="C163" s="39">
        <f>IF(ISERROR(Tableau1[[#This Row],[Date]]-A162),"",Tableau1[[#This Row],[Date]]-A162)</f>
        <v>0.94791666667151731</v>
      </c>
      <c r="D163" s="40">
        <f>IF(ISERROR(Tableau1[[#This Row],[Date]]-A162),"",Tableau1[[#This Row],[Date]]-A162)</f>
        <v>0.94791666667151731</v>
      </c>
      <c r="E163" s="39">
        <f>Tableau1[[#This Row],[Date]]-$A$5</f>
        <v>128.5666666666657</v>
      </c>
      <c r="F163" s="40">
        <f>Tableau1[[#This Row],[Date]]-$A$5</f>
        <v>128.5666666666657</v>
      </c>
      <c r="G163" s="40">
        <f>Tableau1[[#This Row],[Diff jour_x000D_
Cumul]]-F$6</f>
        <v>90.483333333337214</v>
      </c>
      <c r="H163" s="40">
        <f>Tableau1[[#This Row],[Diff jour_x000D_
Cumul]]-F$59</f>
        <v>67.963888888887595</v>
      </c>
      <c r="I163" s="21">
        <v>184505</v>
      </c>
      <c r="J163" s="38">
        <f>IF(ISERROR(Tableau1[[#This Row],[Index HP
kWh]]-I162),"",Tableau1[[#This Row],[Index HP
kWh]]-I162)</f>
        <v>11</v>
      </c>
      <c r="K163" s="40">
        <f>IF(ISERROR(Tableau1[[#This Row],[Différence HP
Instantané]]/(Tableau1[[#This Row],[Diff jour
Instantané]]*24)),"",Tableau1[[#This Row],[Différence HP
Instantané]]/(Tableau1[[#This Row],[Diff jour
Instantané]]*24))</f>
        <v>0.48351648351400928</v>
      </c>
      <c r="L163" s="40">
        <f>Tableau1[[#This Row],[Différence HP
Instantané]]/Tableau1[[#This Row],[Diff jour
Instantané]]</f>
        <v>11.604395604336222</v>
      </c>
      <c r="M163" s="40">
        <f>Tableau1[[#This Row],[Conso HP / jour
Instantané]]*365</f>
        <v>4235.6043955827208</v>
      </c>
      <c r="N163" s="38">
        <f>Tableau1[[#This Row],[Index HP
kWh]]-$I$5</f>
        <v>4746</v>
      </c>
      <c r="O163" s="41">
        <f>Tableau1[[#This Row],[Différence HP
Cumul]]/(Tableau1[[#This Row],[Diff jour_x000D_
Cumul]]*24)</f>
        <v>1.538112522686037</v>
      </c>
      <c r="P163" s="41">
        <f>Tableau1[[#This Row],[Différence HP
Cumul]]/Tableau1[[#This Row],[Diff jour_x000D_
Cumul]]</f>
        <v>36.914700544464885</v>
      </c>
      <c r="Q163" s="41">
        <f>Tableau1[[#This Row],[Conso HP / jour
Cumul]]*365</f>
        <v>13473.865698729684</v>
      </c>
      <c r="R163" s="21">
        <v>121751</v>
      </c>
      <c r="S163" s="38">
        <f>Tableau1[[#This Row],[Index HC_x000D_
kWh]]-R162</f>
        <v>3</v>
      </c>
      <c r="T163" s="42">
        <f>Tableau1[[#This Row],[Différence_x000D_ HC
Instantané]]/(Tableau1[[#This Row],[Diff jour
Instantané]]*24)</f>
        <v>0.13186813186745708</v>
      </c>
      <c r="U163" s="42">
        <f>Tableau1[[#This Row],[Différence_x000D_ HC
Instantané]]/Tableau1[[#This Row],[Diff jour
Instantané]]</f>
        <v>3.1648351648189701</v>
      </c>
      <c r="V163" s="42">
        <f>Tableau1[[#This Row],[Conso HC / jour_x000D_
Instantané]]*365</f>
        <v>1155.164835158924</v>
      </c>
      <c r="W163" s="38">
        <f>Tableau1[[#This Row],[Index HC_x000D_
kWh]]-$R$5</f>
        <v>2319</v>
      </c>
      <c r="X163" s="43">
        <f>Tableau1[[#This Row],[Différence HC
Cumul]]/(Tableau1[[#This Row],[Diff jour_x000D_
Cumul]]*24)</f>
        <v>0.75155561317086383</v>
      </c>
      <c r="Y163" s="43">
        <f>Tableau1[[#This Row],[Différence HC
Cumul]]/Tableau1[[#This Row],[Diff jour_x000D_
Cumul]]</f>
        <v>18.037334716100734</v>
      </c>
      <c r="Z163" s="43">
        <f>Tableau1[[#This Row],[Conso HC / jour_x000D_
Cumul]]*365</f>
        <v>6583.6271713767683</v>
      </c>
      <c r="AA163" s="38">
        <f>Tableau1[[#This Row],[Différence HP
Instantané]]+Tableau1[[#This Row],[Différence_x000D_ HC
Instantané]]</f>
        <v>14</v>
      </c>
      <c r="AB163" s="41">
        <f>Tableau1[[#This Row],[Conso HP + HC
Instantané]]/(Tableau1[[#This Row],[Diff jour
Instantané]]*24)</f>
        <v>0.61538461538146638</v>
      </c>
      <c r="AC163" s="34">
        <f>IF(ISERROR(Tableau1[[#This Row],[Date]]-A162),"",Tableau1[[#This Row],[Conso HP + HC
Instantané]]/Tableau1[[#This Row],[Diff jour
Instantané]])</f>
        <v>14.769230769155193</v>
      </c>
      <c r="AD163" s="41">
        <f>Tableau1[[#This Row],[Conso HP + HC / jour_x000D_
Instantané]]*365</f>
        <v>5390.7692307416455</v>
      </c>
      <c r="AE163" s="38">
        <f>Tableau1[[#This Row],[Différence HP
Cumul]]+Tableau1[[#This Row],[Différence HC
Cumul]]</f>
        <v>7065</v>
      </c>
      <c r="AF163" s="40">
        <f>(Tableau1[[#This Row],[Conso HP + HC
Cumul]]-AE$6)/Tableau1[[#This Row],[Diff jour_x000D_
Cumul
depuis le 24/01]]</f>
        <v>49.666605268003025</v>
      </c>
      <c r="AG163" s="40">
        <f>(Tableau1[[#This Row],[Conso HP + HC
Cumul]]-AE$59)/Tableau1[[#This Row],[Diff jour_x000D_
Cumul
depuis
précédente facture
16/02/2021]]</f>
        <v>42.493154044223637</v>
      </c>
      <c r="AH163" s="41">
        <f>Tableau1[[#This Row],[Conso HP + HC
Cumul]]/(Tableau1[[#This Row],[Diff jour_x000D_
Cumul]]*24)</f>
        <v>2.2896681358569007</v>
      </c>
      <c r="AI163" s="41">
        <f>Tableau1[[#This Row],[Conso HP + HC
Cumul]]/Tableau1[[#This Row],[Diff jour_x000D_
Cumul]]</f>
        <v>54.952035260565623</v>
      </c>
      <c r="AJ163" s="41">
        <f>Tableau1[[#This Row],[Conso HP + HC / jour_x000D_
Cumul]]*365</f>
        <v>20057.492870106453</v>
      </c>
      <c r="AK163" s="44">
        <f>(Tableau1[[#This Row],[Différence HP
Cumul]]*0.1799)+(Tableau1[[#This Row],[Différence HC
Cumul]]*0.1346)</f>
        <v>1165.9428</v>
      </c>
      <c r="AL163" s="44">
        <f>Tableau1[[#This Row],[Montant
Tarif HP/HC]]/Tableau1[[#This Row],[Diff jour_x000D_
Cumul]]</f>
        <v>9.0687798807363915</v>
      </c>
      <c r="AM163" s="44">
        <f>(Tableau1[[#This Row],[Montant
Tarif HP/HC]]-AK$6)/Tableau1[[#This Row],[Diff jour_x000D_
Cumul
depuis le 24/01]]</f>
        <v>8.1950694418858152</v>
      </c>
      <c r="AN163" s="44">
        <f>(Tableau1[[#This Row],[Montant
Tarif HP/HC]]-AK$59)/Tableau1[[#This Row],[Diff jour_x000D_
Cumul
depuis
précédente facture
16/02/2021]]</f>
        <v>6.9739888012426237</v>
      </c>
      <c r="AO163" s="44">
        <f>Tableau1[[#This Row],[Conso HP + HC
Cumul]]*0.1599</f>
        <v>1129.6934999999999</v>
      </c>
      <c r="AP163" s="44">
        <f>Tableau1[[#This Row],[Montant
Tarif normal]]/Tableau1[[#This Row],[Diff jour_x000D_
Cumul]]</f>
        <v>8.7868304381644418</v>
      </c>
      <c r="AQ163" s="44">
        <f>(Tableau1[[#This Row],[Conso HP / an
Cumul]]*0.1799)+(Tableau1[[#This Row],[Conso HC / an_x000D_
Cumul]]*0.1346)</f>
        <v>3310.1046564687831</v>
      </c>
      <c r="AR163" s="44">
        <f>Tableau1[[#This Row],[Conso HP + HC / an_x000D_
Cumul]]*0.1599</f>
        <v>3207.1931099300214</v>
      </c>
      <c r="AS163" s="38">
        <f>MONTH(Tableau1[[#This Row],[Date]])</f>
        <v>4</v>
      </c>
      <c r="AT163" s="38">
        <f>YEAR(Tableau1[[#This Row],[Date]])</f>
        <v>2021</v>
      </c>
    </row>
    <row r="164" spans="1:46" x14ac:dyDescent="0.2">
      <c r="A164" s="19">
        <v>44312.320833333331</v>
      </c>
      <c r="B164" s="20">
        <v>8.9</v>
      </c>
      <c r="C164" s="39">
        <f>IF(ISERROR(Tableau1[[#This Row],[Date]]-A163),"",Tableau1[[#This Row],[Date]]-A163)</f>
        <v>1.0458333333299379</v>
      </c>
      <c r="D164" s="40">
        <f>IF(ISERROR(Tableau1[[#This Row],[Date]]-A163),"",Tableau1[[#This Row],[Date]]-A163)</f>
        <v>1.0458333333299379</v>
      </c>
      <c r="E164" s="39">
        <f>Tableau1[[#This Row],[Date]]-$A$5</f>
        <v>129.61249999999563</v>
      </c>
      <c r="F164" s="40">
        <f>Tableau1[[#This Row],[Date]]-$A$5</f>
        <v>129.61249999999563</v>
      </c>
      <c r="G164" s="40">
        <f>Tableau1[[#This Row],[Diff jour_x000D_
Cumul]]-F$6</f>
        <v>91.529166666667152</v>
      </c>
      <c r="H164" s="40">
        <f>Tableau1[[#This Row],[Diff jour_x000D_
Cumul]]-F$59</f>
        <v>69.009722222217533</v>
      </c>
      <c r="I164" s="21">
        <v>184517</v>
      </c>
      <c r="J164" s="38">
        <f>IF(ISERROR(Tableau1[[#This Row],[Index HP
kWh]]-I163),"",Tableau1[[#This Row],[Index HP
kWh]]-I163)</f>
        <v>12</v>
      </c>
      <c r="K164" s="40">
        <f>IF(ISERROR(Tableau1[[#This Row],[Différence HP
Instantané]]/(Tableau1[[#This Row],[Diff jour
Instantané]]*24)),"",Tableau1[[#This Row],[Différence HP
Instantané]]/(Tableau1[[#This Row],[Diff jour
Instantané]]*24))</f>
        <v>0.47808764940394261</v>
      </c>
      <c r="L164" s="40">
        <f>Tableau1[[#This Row],[Différence HP
Instantané]]/Tableau1[[#This Row],[Diff jour
Instantané]]</f>
        <v>11.474103585694623</v>
      </c>
      <c r="M164" s="40">
        <f>Tableau1[[#This Row],[Conso HP / jour
Instantané]]*365</f>
        <v>4188.0478087785377</v>
      </c>
      <c r="N164" s="38">
        <f>Tableau1[[#This Row],[Index HP
kWh]]-$I$5</f>
        <v>4758</v>
      </c>
      <c r="O164" s="41">
        <f>Tableau1[[#This Row],[Différence HP
Cumul]]/(Tableau1[[#This Row],[Diff jour_x000D_
Cumul]]*24)</f>
        <v>1.5295592631884014</v>
      </c>
      <c r="P164" s="41">
        <f>Tableau1[[#This Row],[Différence HP
Cumul]]/Tableau1[[#This Row],[Diff jour_x000D_
Cumul]]</f>
        <v>36.709422316521632</v>
      </c>
      <c r="Q164" s="41">
        <f>Tableau1[[#This Row],[Conso HP / jour
Cumul]]*365</f>
        <v>13398.939145530396</v>
      </c>
      <c r="R164" s="21">
        <v>121754</v>
      </c>
      <c r="S164" s="38">
        <f>Tableau1[[#This Row],[Index HC_x000D_
kWh]]-R163</f>
        <v>3</v>
      </c>
      <c r="T164" s="42">
        <f>Tableau1[[#This Row],[Différence_x000D_ HC
Instantané]]/(Tableau1[[#This Row],[Diff jour
Instantané]]*24)</f>
        <v>0.11952191235098565</v>
      </c>
      <c r="U164" s="42">
        <f>Tableau1[[#This Row],[Différence_x000D_ HC
Instantané]]/Tableau1[[#This Row],[Diff jour
Instantané]]</f>
        <v>2.8685258964236557</v>
      </c>
      <c r="V164" s="42">
        <f>Tableau1[[#This Row],[Conso HC / jour_x000D_
Instantané]]*365</f>
        <v>1047.0119521946344</v>
      </c>
      <c r="W164" s="38">
        <f>Tableau1[[#This Row],[Index HC_x000D_
kWh]]-$R$5</f>
        <v>2322</v>
      </c>
      <c r="X164" s="43">
        <f>Tableau1[[#This Row],[Différence HC
Cumul]]/(Tableau1[[#This Row],[Diff jour_x000D_
Cumul]]*24)</f>
        <v>0.74645578165688697</v>
      </c>
      <c r="Y164" s="43">
        <f>Tableau1[[#This Row],[Différence HC
Cumul]]/Tableau1[[#This Row],[Diff jour_x000D_
Cumul]]</f>
        <v>17.914938759765288</v>
      </c>
      <c r="Z164" s="43">
        <f>Tableau1[[#This Row],[Conso HC / jour_x000D_
Cumul]]*365</f>
        <v>6538.9526473143305</v>
      </c>
      <c r="AA164" s="38">
        <f>Tableau1[[#This Row],[Différence HP
Instantané]]+Tableau1[[#This Row],[Différence_x000D_ HC
Instantané]]</f>
        <v>15</v>
      </c>
      <c r="AB164" s="41">
        <f>Tableau1[[#This Row],[Conso HP + HC
Instantané]]/(Tableau1[[#This Row],[Diff jour
Instantané]]*24)</f>
        <v>0.5976095617549283</v>
      </c>
      <c r="AC164" s="34">
        <f>IF(ISERROR(Tableau1[[#This Row],[Date]]-A163),"",Tableau1[[#This Row],[Conso HP + HC
Instantané]]/Tableau1[[#This Row],[Diff jour
Instantané]])</f>
        <v>14.342629482118278</v>
      </c>
      <c r="AD164" s="41">
        <f>Tableau1[[#This Row],[Conso HP + HC / jour_x000D_
Instantané]]*365</f>
        <v>5235.0597609731713</v>
      </c>
      <c r="AE164" s="38">
        <f>Tableau1[[#This Row],[Différence HP
Cumul]]+Tableau1[[#This Row],[Différence HC
Cumul]]</f>
        <v>7080</v>
      </c>
      <c r="AF164" s="40">
        <f>(Tableau1[[#This Row],[Conso HP + HC
Cumul]]-AE$6)/Tableau1[[#This Row],[Diff jour_x000D_
Cumul
depuis le 24/01]]</f>
        <v>49.262985387171405</v>
      </c>
      <c r="AG164" s="40">
        <f>(Tableau1[[#This Row],[Conso HP + HC
Cumul]]-AE$59)/Tableau1[[#This Row],[Diff jour_x000D_
Cumul
depuis
précédente facture
16/02/2021]]</f>
        <v>42.066536518609333</v>
      </c>
      <c r="AH164" s="41">
        <f>Tableau1[[#This Row],[Conso HP + HC
Cumul]]/(Tableau1[[#This Row],[Diff jour_x000D_
Cumul]]*24)</f>
        <v>2.2760150448452885</v>
      </c>
      <c r="AI164" s="41">
        <f>Tableau1[[#This Row],[Conso HP + HC
Cumul]]/Tableau1[[#This Row],[Diff jour_x000D_
Cumul]]</f>
        <v>54.624361076286924</v>
      </c>
      <c r="AJ164" s="41">
        <f>Tableau1[[#This Row],[Conso HP + HC / jour_x000D_
Cumul]]*365</f>
        <v>19937.891792844726</v>
      </c>
      <c r="AK164" s="44">
        <f>(Tableau1[[#This Row],[Différence HP
Cumul]]*0.1799)+(Tableau1[[#This Row],[Différence HC
Cumul]]*0.1346)</f>
        <v>1168.5054</v>
      </c>
      <c r="AL164" s="44">
        <f>Tableau1[[#This Row],[Montant
Tarif HP/HC]]/Tableau1[[#This Row],[Diff jour_x000D_
Cumul]]</f>
        <v>9.015375831806649</v>
      </c>
      <c r="AM164" s="44">
        <f>(Tableau1[[#This Row],[Montant
Tarif HP/HC]]-AK$6)/Tableau1[[#This Row],[Diff jour_x000D_
Cumul
depuis le 24/01]]</f>
        <v>8.1294283243045946</v>
      </c>
      <c r="AN164" s="44">
        <f>(Tableau1[[#This Row],[Montant
Tarif HP/HC]]-AK$59)/Tableau1[[#This Row],[Diff jour_x000D_
Cumul
depuis
précédente facture
16/02/2021]]</f>
        <v>6.9054328093872304</v>
      </c>
      <c r="AO164" s="44">
        <f>Tableau1[[#This Row],[Conso HP + HC
Cumul]]*0.1599</f>
        <v>1132.0919999999999</v>
      </c>
      <c r="AP164" s="44">
        <f>Tableau1[[#This Row],[Montant
Tarif normal]]/Tableau1[[#This Row],[Diff jour_x000D_
Cumul]]</f>
        <v>8.7344353360982776</v>
      </c>
      <c r="AQ164" s="44">
        <f>(Tableau1[[#This Row],[Conso HP / an
Cumul]]*0.1799)+(Tableau1[[#This Row],[Conso HC / an_x000D_
Cumul]]*0.1346)</f>
        <v>3290.6121786094272</v>
      </c>
      <c r="AR164" s="44">
        <f>Tableau1[[#This Row],[Conso HP + HC / an_x000D_
Cumul]]*0.1599</f>
        <v>3188.0688976758715</v>
      </c>
      <c r="AS164" s="38">
        <f>MONTH(Tableau1[[#This Row],[Date]])</f>
        <v>4</v>
      </c>
      <c r="AT164" s="38">
        <f>YEAR(Tableau1[[#This Row],[Date]])</f>
        <v>2021</v>
      </c>
    </row>
    <row r="165" spans="1:46" x14ac:dyDescent="0.2">
      <c r="A165" s="19">
        <v>44314.811805555553</v>
      </c>
      <c r="B165" s="20">
        <v>15.1</v>
      </c>
      <c r="C165" s="39">
        <f>IF(ISERROR(Tableau1[[#This Row],[Date]]-A164),"",Tableau1[[#This Row],[Date]]-A164)</f>
        <v>2.4909722222218988</v>
      </c>
      <c r="D165" s="40">
        <f>IF(ISERROR(Tableau1[[#This Row],[Date]]-A164),"",Tableau1[[#This Row],[Date]]-A164)</f>
        <v>2.4909722222218988</v>
      </c>
      <c r="E165" s="39">
        <f>Tableau1[[#This Row],[Date]]-$A$5</f>
        <v>132.10347222221753</v>
      </c>
      <c r="F165" s="40">
        <f>Tableau1[[#This Row],[Date]]-$A$5</f>
        <v>132.10347222221753</v>
      </c>
      <c r="G165" s="40">
        <f>Tableau1[[#This Row],[Diff jour_x000D_
Cumul]]-F$6</f>
        <v>94.020138888889051</v>
      </c>
      <c r="H165" s="40">
        <f>Tableau1[[#This Row],[Diff jour_x000D_
Cumul]]-F$59</f>
        <v>71.500694444439432</v>
      </c>
      <c r="I165" s="21">
        <v>184547</v>
      </c>
      <c r="J165" s="38">
        <f>IF(ISERROR(Tableau1[[#This Row],[Index HP
kWh]]-I164),"",Tableau1[[#This Row],[Index HP
kWh]]-I164)</f>
        <v>30</v>
      </c>
      <c r="K165" s="40">
        <f>IF(ISERROR(Tableau1[[#This Row],[Différence HP
Instantané]]/(Tableau1[[#This Row],[Diff jour
Instantané]]*24)),"",Tableau1[[#This Row],[Différence HP
Instantané]]/(Tableau1[[#This Row],[Diff jour
Instantané]]*24))</f>
        <v>0.50181209924734704</v>
      </c>
      <c r="L165" s="40">
        <f>Tableau1[[#This Row],[Différence HP
Instantané]]/Tableau1[[#This Row],[Diff jour
Instantané]]</f>
        <v>12.043490381936328</v>
      </c>
      <c r="M165" s="40">
        <f>Tableau1[[#This Row],[Conso HP / jour
Instantané]]*365</f>
        <v>4395.8739894067594</v>
      </c>
      <c r="N165" s="38">
        <f>Tableau1[[#This Row],[Index HP
kWh]]-$I$5</f>
        <v>4788</v>
      </c>
      <c r="O165" s="41">
        <f>Tableau1[[#This Row],[Différence HP
Cumul]]/(Tableau1[[#This Row],[Diff jour_x000D_
Cumul]]*24)</f>
        <v>1.5101798358820695</v>
      </c>
      <c r="P165" s="41">
        <f>Tableau1[[#This Row],[Différence HP
Cumul]]/Tableau1[[#This Row],[Diff jour_x000D_
Cumul]]</f>
        <v>36.24431606116967</v>
      </c>
      <c r="Q165" s="41">
        <f>Tableau1[[#This Row],[Conso HP / jour
Cumul]]*365</f>
        <v>13229.175362326929</v>
      </c>
      <c r="R165" s="21">
        <v>121761</v>
      </c>
      <c r="S165" s="38">
        <f>Tableau1[[#This Row],[Index HC_x000D_
kWh]]-R164</f>
        <v>7</v>
      </c>
      <c r="T165" s="42">
        <f>Tableau1[[#This Row],[Différence_x000D_ HC
Instantané]]/(Tableau1[[#This Row],[Diff jour
Instantané]]*24)</f>
        <v>0.11708948982438097</v>
      </c>
      <c r="U165" s="42">
        <f>Tableau1[[#This Row],[Différence_x000D_ HC
Instantané]]/Tableau1[[#This Row],[Diff jour
Instantané]]</f>
        <v>2.8101477557851431</v>
      </c>
      <c r="V165" s="42">
        <f>Tableau1[[#This Row],[Conso HC / jour_x000D_
Instantané]]*365</f>
        <v>1025.7039308615772</v>
      </c>
      <c r="W165" s="38">
        <f>Tableau1[[#This Row],[Index HC_x000D_
kWh]]-$R$5</f>
        <v>2329</v>
      </c>
      <c r="X165" s="43">
        <f>Tableau1[[#This Row],[Différence HC
Cumul]]/(Tableau1[[#This Row],[Diff jour_x000D_
Cumul]]*24)</f>
        <v>0.73458831198190055</v>
      </c>
      <c r="Y165" s="43">
        <f>Tableau1[[#This Row],[Différence HC
Cumul]]/Tableau1[[#This Row],[Diff jour_x000D_
Cumul]]</f>
        <v>17.630119487565612</v>
      </c>
      <c r="Z165" s="43">
        <f>Tableau1[[#This Row],[Conso HC / jour_x000D_
Cumul]]*365</f>
        <v>6434.993612961448</v>
      </c>
      <c r="AA165" s="38">
        <f>Tableau1[[#This Row],[Différence HP
Instantané]]+Tableau1[[#This Row],[Différence_x000D_ HC
Instantané]]</f>
        <v>37</v>
      </c>
      <c r="AB165" s="41">
        <f>Tableau1[[#This Row],[Conso HP + HC
Instantané]]/(Tableau1[[#This Row],[Diff jour
Instantané]]*24)</f>
        <v>0.61890158907172799</v>
      </c>
      <c r="AC165" s="34">
        <f>IF(ISERROR(Tableau1[[#This Row],[Date]]-A164),"",Tableau1[[#This Row],[Conso HP + HC
Instantané]]/Tableau1[[#This Row],[Diff jour
Instantané]])</f>
        <v>14.853638137721472</v>
      </c>
      <c r="AD165" s="41">
        <f>Tableau1[[#This Row],[Conso HP + HC / jour_x000D_
Instantané]]*365</f>
        <v>5421.577920268337</v>
      </c>
      <c r="AE165" s="38">
        <f>Tableau1[[#This Row],[Différence HP
Cumul]]+Tableau1[[#This Row],[Différence HC
Cumul]]</f>
        <v>7117</v>
      </c>
      <c r="AF165" s="40">
        <f>(Tableau1[[#This Row],[Conso HP + HC
Cumul]]-AE$6)/Tableau1[[#This Row],[Diff jour_x000D_
Cumul
depuis le 24/01]]</f>
        <v>48.351343166726906</v>
      </c>
      <c r="AG165" s="40">
        <f>(Tableau1[[#This Row],[Conso HP + HC
Cumul]]-AE$59)/Tableau1[[#This Row],[Diff jour_x000D_
Cumul
depuis
précédente facture
16/02/2021]]</f>
        <v>41.11848175523059</v>
      </c>
      <c r="AH165" s="41">
        <f>Tableau1[[#This Row],[Conso HP + HC
Cumul]]/(Tableau1[[#This Row],[Diff jour_x000D_
Cumul]]*24)</f>
        <v>2.2447681478639701</v>
      </c>
      <c r="AI165" s="41">
        <f>Tableau1[[#This Row],[Conso HP + HC
Cumul]]/Tableau1[[#This Row],[Diff jour_x000D_
Cumul]]</f>
        <v>53.874435548735278</v>
      </c>
      <c r="AJ165" s="41">
        <f>Tableau1[[#This Row],[Conso HP + HC / jour_x000D_
Cumul]]*365</f>
        <v>19664.168975288376</v>
      </c>
      <c r="AK165" s="44">
        <f>(Tableau1[[#This Row],[Différence HP
Cumul]]*0.1799)+(Tableau1[[#This Row],[Différence HC
Cumul]]*0.1346)</f>
        <v>1174.8446000000001</v>
      </c>
      <c r="AL165" s="44">
        <f>Tableau1[[#This Row],[Montant
Tarif HP/HC]]/Tableau1[[#This Row],[Diff jour_x000D_
Cumul]]</f>
        <v>8.8933665424307549</v>
      </c>
      <c r="AM165" s="44">
        <f>(Tableau1[[#This Row],[Montant
Tarif HP/HC]]-AK$6)/Tableau1[[#This Row],[Diff jour_x000D_
Cumul
depuis le 24/01]]</f>
        <v>7.9814708728183108</v>
      </c>
      <c r="AN165" s="44">
        <f>(Tableau1[[#This Row],[Montant
Tarif HP/HC]]-AK$59)/Tableau1[[#This Row],[Diff jour_x000D_
Cumul
depuis
précédente facture
16/02/2021]]</f>
        <v>6.7535176231781833</v>
      </c>
      <c r="AO165" s="44">
        <f>Tableau1[[#This Row],[Conso HP + HC
Cumul]]*0.1599</f>
        <v>1138.0083</v>
      </c>
      <c r="AP165" s="44">
        <f>Tableau1[[#This Row],[Montant
Tarif normal]]/Tableau1[[#This Row],[Diff jour_x000D_
Cumul]]</f>
        <v>8.6145222442427709</v>
      </c>
      <c r="AQ165" s="44">
        <f>(Tableau1[[#This Row],[Conso HP / an
Cumul]]*0.1799)+(Tableau1[[#This Row],[Conso HC / an_x000D_
Cumul]]*0.1346)</f>
        <v>3246.0787879872255</v>
      </c>
      <c r="AR165" s="44">
        <f>Tableau1[[#This Row],[Conso HP + HC / an_x000D_
Cumul]]*0.1599</f>
        <v>3144.3006191486111</v>
      </c>
      <c r="AS165" s="38">
        <f>MONTH(Tableau1[[#This Row],[Date]])</f>
        <v>4</v>
      </c>
      <c r="AT165" s="38">
        <f>YEAR(Tableau1[[#This Row],[Date]])</f>
        <v>2021</v>
      </c>
    </row>
    <row r="166" spans="1:46" x14ac:dyDescent="0.2">
      <c r="A166" s="19">
        <v>44319.370138888888</v>
      </c>
      <c r="B166" s="20">
        <v>7.2</v>
      </c>
      <c r="C166" s="39">
        <f>IF(ISERROR(Tableau1[[#This Row],[Date]]-A165),"",Tableau1[[#This Row],[Date]]-A165)</f>
        <v>4.5583333333343035</v>
      </c>
      <c r="D166" s="40">
        <f>IF(ISERROR(Tableau1[[#This Row],[Date]]-A165),"",Tableau1[[#This Row],[Date]]-A165)</f>
        <v>4.5583333333343035</v>
      </c>
      <c r="E166" s="39">
        <f>Tableau1[[#This Row],[Date]]-$A$5</f>
        <v>136.66180555555184</v>
      </c>
      <c r="F166" s="40">
        <f>Tableau1[[#This Row],[Date]]-$A$5</f>
        <v>136.66180555555184</v>
      </c>
      <c r="G166" s="40">
        <f>Tableau1[[#This Row],[Diff jour_x000D_
Cumul]]-F$6</f>
        <v>98.578472222223354</v>
      </c>
      <c r="H166" s="40">
        <f>Tableau1[[#This Row],[Diff jour_x000D_
Cumul]]-F$59</f>
        <v>76.059027777773736</v>
      </c>
      <c r="I166" s="21">
        <v>184624</v>
      </c>
      <c r="J166" s="38">
        <f>IF(ISERROR(Tableau1[[#This Row],[Index HP
kWh]]-I165),"",Tableau1[[#This Row],[Index HP
kWh]]-I165)</f>
        <v>77</v>
      </c>
      <c r="K166" s="40">
        <f>IF(ISERROR(Tableau1[[#This Row],[Différence HP
Instantané]]/(Tableau1[[#This Row],[Diff jour
Instantané]]*24)),"",Tableau1[[#This Row],[Différence HP
Instantané]]/(Tableau1[[#This Row],[Diff jour
Instantané]]*24))</f>
        <v>0.703839122486139</v>
      </c>
      <c r="L166" s="40">
        <f>Tableau1[[#This Row],[Différence HP
Instantané]]/Tableau1[[#This Row],[Diff jour
Instantané]]</f>
        <v>16.892138939667337</v>
      </c>
      <c r="M166" s="40">
        <f>Tableau1[[#This Row],[Conso HP / jour
Instantané]]*365</f>
        <v>6165.6307129785782</v>
      </c>
      <c r="N166" s="38">
        <f>Tableau1[[#This Row],[Index HP
kWh]]-$I$5</f>
        <v>4865</v>
      </c>
      <c r="O166" s="41">
        <f>Tableau1[[#This Row],[Différence HP
Cumul]]/(Tableau1[[#This Row],[Diff jour_x000D_
Cumul]]*24)</f>
        <v>1.4832844664190694</v>
      </c>
      <c r="P166" s="41">
        <f>Tableau1[[#This Row],[Différence HP
Cumul]]/Tableau1[[#This Row],[Diff jour_x000D_
Cumul]]</f>
        <v>35.598827194057669</v>
      </c>
      <c r="Q166" s="41">
        <f>Tableau1[[#This Row],[Conso HP / jour
Cumul]]*365</f>
        <v>12993.571925831049</v>
      </c>
      <c r="R166" s="21">
        <v>121801</v>
      </c>
      <c r="S166" s="38">
        <f>Tableau1[[#This Row],[Index HC_x000D_
kWh]]-R165</f>
        <v>40</v>
      </c>
      <c r="T166" s="42">
        <f>Tableau1[[#This Row],[Différence_x000D_ HC
Instantané]]/(Tableau1[[#This Row],[Diff jour
Instantané]]*24)</f>
        <v>0.36563071297981248</v>
      </c>
      <c r="U166" s="42">
        <f>Tableau1[[#This Row],[Différence_x000D_ HC
Instantané]]/Tableau1[[#This Row],[Diff jour
Instantané]]</f>
        <v>8.7751371115154999</v>
      </c>
      <c r="V166" s="42">
        <f>Tableau1[[#This Row],[Conso HC / jour_x000D_
Instantané]]*365</f>
        <v>3202.9250457031576</v>
      </c>
      <c r="W166" s="38">
        <f>Tableau1[[#This Row],[Index HC_x000D_
kWh]]-$R$5</f>
        <v>2369</v>
      </c>
      <c r="X166" s="43">
        <f>Tableau1[[#This Row],[Différence HC
Cumul]]/(Tableau1[[#This Row],[Diff jour_x000D_
Cumul]]*24)</f>
        <v>0.72228178847826841</v>
      </c>
      <c r="Y166" s="43">
        <f>Tableau1[[#This Row],[Différence HC
Cumul]]/Tableau1[[#This Row],[Diff jour_x000D_
Cumul]]</f>
        <v>17.33476292347844</v>
      </c>
      <c r="Z166" s="43">
        <f>Tableau1[[#This Row],[Conso HC / jour_x000D_
Cumul]]*365</f>
        <v>6327.1884670696309</v>
      </c>
      <c r="AA166" s="38">
        <f>Tableau1[[#This Row],[Différence HP
Instantané]]+Tableau1[[#This Row],[Différence_x000D_ HC
Instantané]]</f>
        <v>117</v>
      </c>
      <c r="AB166" s="41">
        <f>Tableau1[[#This Row],[Conso HP + HC
Instantané]]/(Tableau1[[#This Row],[Diff jour
Instantané]]*24)</f>
        <v>1.0694698354659515</v>
      </c>
      <c r="AC166" s="34">
        <f>IF(ISERROR(Tableau1[[#This Row],[Date]]-A165),"",Tableau1[[#This Row],[Conso HP + HC
Instantané]]/Tableau1[[#This Row],[Diff jour
Instantané]])</f>
        <v>25.667276051182839</v>
      </c>
      <c r="AD166" s="41">
        <f>Tableau1[[#This Row],[Conso HP + HC / jour_x000D_
Instantané]]*365</f>
        <v>9368.5557586817358</v>
      </c>
      <c r="AE166" s="38">
        <f>Tableau1[[#This Row],[Différence HP
Cumul]]+Tableau1[[#This Row],[Différence HC
Cumul]]</f>
        <v>7234</v>
      </c>
      <c r="AF166" s="40">
        <f>(Tableau1[[#This Row],[Conso HP + HC
Cumul]]-AE$6)/Tableau1[[#This Row],[Diff jour_x000D_
Cumul
depuis le 24/01]]</f>
        <v>47.302416997174575</v>
      </c>
      <c r="AG166" s="40">
        <f>(Tableau1[[#This Row],[Conso HP + HC
Cumul]]-AE$59)/Tableau1[[#This Row],[Diff jour_x000D_
Cumul
depuis
précédente facture
16/02/2021]]</f>
        <v>40.192467473181779</v>
      </c>
      <c r="AH166" s="41">
        <f>Tableau1[[#This Row],[Conso HP + HC
Cumul]]/(Tableau1[[#This Row],[Diff jour_x000D_
Cumul]]*24)</f>
        <v>2.205566254897338</v>
      </c>
      <c r="AI166" s="41">
        <f>Tableau1[[#This Row],[Conso HP + HC
Cumul]]/Tableau1[[#This Row],[Diff jour_x000D_
Cumul]]</f>
        <v>52.933590117536106</v>
      </c>
      <c r="AJ166" s="41">
        <f>Tableau1[[#This Row],[Conso HP + HC / jour_x000D_
Cumul]]*365</f>
        <v>19320.76039290068</v>
      </c>
      <c r="AK166" s="44">
        <f>(Tableau1[[#This Row],[Différence HP
Cumul]]*0.1799)+(Tableau1[[#This Row],[Différence HC
Cumul]]*0.1346)</f>
        <v>1194.0808999999999</v>
      </c>
      <c r="AL166" s="44">
        <f>Tableau1[[#This Row],[Montant
Tarif HP/HC]]/Tableau1[[#This Row],[Diff jour_x000D_
Cumul]]</f>
        <v>8.7374881017111719</v>
      </c>
      <c r="AM166" s="44">
        <f>(Tableau1[[#This Row],[Montant
Tarif HP/HC]]-AK$6)/Tableau1[[#This Row],[Diff jour_x000D_
Cumul
depuis le 24/01]]</f>
        <v>7.8075393404858451</v>
      </c>
      <c r="AN166" s="44">
        <f>(Tableau1[[#This Row],[Montant
Tarif HP/HC]]-AK$59)/Tableau1[[#This Row],[Diff jour_x000D_
Cumul
depuis
précédente facture
16/02/2021]]</f>
        <v>6.6016818078067869</v>
      </c>
      <c r="AO166" s="44">
        <f>Tableau1[[#This Row],[Conso HP + HC
Cumul]]*0.1599</f>
        <v>1156.7166</v>
      </c>
      <c r="AP166" s="44">
        <f>Tableau1[[#This Row],[Montant
Tarif normal]]/Tableau1[[#This Row],[Diff jour_x000D_
Cumul]]</f>
        <v>8.4640810597940241</v>
      </c>
      <c r="AQ166" s="44">
        <f>(Tableau1[[#This Row],[Conso HP / an
Cumul]]*0.1799)+(Tableau1[[#This Row],[Conso HC / an_x000D_
Cumul]]*0.1346)</f>
        <v>3189.1831571245784</v>
      </c>
      <c r="AR166" s="44">
        <f>Tableau1[[#This Row],[Conso HP + HC / an_x000D_
Cumul]]*0.1599</f>
        <v>3089.3895868248183</v>
      </c>
      <c r="AS166" s="38">
        <f>MONTH(Tableau1[[#This Row],[Date]])</f>
        <v>5</v>
      </c>
      <c r="AT166" s="38">
        <f>YEAR(Tableau1[[#This Row],[Date]])</f>
        <v>2021</v>
      </c>
    </row>
    <row r="167" spans="1:46" x14ac:dyDescent="0.2">
      <c r="A167" s="19">
        <v>44320.299305555556</v>
      </c>
      <c r="B167" s="20">
        <v>10.6</v>
      </c>
      <c r="C167" s="39">
        <f>IF(ISERROR(Tableau1[[#This Row],[Date]]-A166),"",Tableau1[[#This Row],[Date]]-A166)</f>
        <v>0.92916666666860692</v>
      </c>
      <c r="D167" s="40">
        <f>IF(ISERROR(Tableau1[[#This Row],[Date]]-A166),"",Tableau1[[#This Row],[Date]]-A166)</f>
        <v>0.92916666666860692</v>
      </c>
      <c r="E167" s="39">
        <f>Tableau1[[#This Row],[Date]]-$A$5</f>
        <v>137.59097222222044</v>
      </c>
      <c r="F167" s="40">
        <f>Tableau1[[#This Row],[Date]]-$A$5</f>
        <v>137.59097222222044</v>
      </c>
      <c r="G167" s="40">
        <f>Tableau1[[#This Row],[Diff jour_x000D_
Cumul]]-F$6</f>
        <v>99.507638888891961</v>
      </c>
      <c r="H167" s="40">
        <f>Tableau1[[#This Row],[Diff jour_x000D_
Cumul]]-F$59</f>
        <v>76.988194444442343</v>
      </c>
      <c r="I167" s="21">
        <v>184635</v>
      </c>
      <c r="J167" s="38">
        <f>IF(ISERROR(Tableau1[[#This Row],[Index HP
kWh]]-I166),"",Tableau1[[#This Row],[Index HP
kWh]]-I166)</f>
        <v>11</v>
      </c>
      <c r="K167" s="40">
        <f>IF(ISERROR(Tableau1[[#This Row],[Différence HP
Instantané]]/(Tableau1[[#This Row],[Diff jour
Instantané]]*24)),"",Tableau1[[#This Row],[Différence HP
Instantané]]/(Tableau1[[#This Row],[Diff jour
Instantané]]*24))</f>
        <v>0.49327354259986683</v>
      </c>
      <c r="L167" s="40">
        <f>Tableau1[[#This Row],[Différence HP
Instantané]]/Tableau1[[#This Row],[Diff jour
Instantané]]</f>
        <v>11.838565022396804</v>
      </c>
      <c r="M167" s="40">
        <f>Tableau1[[#This Row],[Conso HP / jour
Instantané]]*365</f>
        <v>4321.0762331748329</v>
      </c>
      <c r="N167" s="38">
        <f>Tableau1[[#This Row],[Index HP
kWh]]-$I$5</f>
        <v>4876</v>
      </c>
      <c r="O167" s="41">
        <f>Tableau1[[#This Row],[Différence HP
Cumul]]/(Tableau1[[#This Row],[Diff jour_x000D_
Cumul]]*24)</f>
        <v>1.4765988159349308</v>
      </c>
      <c r="P167" s="41">
        <f>Tableau1[[#This Row],[Différence HP
Cumul]]/Tableau1[[#This Row],[Diff jour_x000D_
Cumul]]</f>
        <v>35.438371582438343</v>
      </c>
      <c r="Q167" s="41">
        <f>Tableau1[[#This Row],[Conso HP / jour
Cumul]]*365</f>
        <v>12935.005627589995</v>
      </c>
      <c r="R167" s="21">
        <v>121816</v>
      </c>
      <c r="S167" s="38">
        <f>Tableau1[[#This Row],[Index HC_x000D_
kWh]]-R166</f>
        <v>15</v>
      </c>
      <c r="T167" s="42">
        <f>Tableau1[[#This Row],[Différence_x000D_ HC
Instantané]]/(Tableau1[[#This Row],[Diff jour
Instantané]]*24)</f>
        <v>0.6726457399089093</v>
      </c>
      <c r="U167" s="42">
        <f>Tableau1[[#This Row],[Différence_x000D_ HC
Instantané]]/Tableau1[[#This Row],[Diff jour
Instantané]]</f>
        <v>16.143497757813822</v>
      </c>
      <c r="V167" s="42">
        <f>Tableau1[[#This Row],[Conso HC / jour_x000D_
Instantané]]*365</f>
        <v>5892.3766816020452</v>
      </c>
      <c r="W167" s="38">
        <f>Tableau1[[#This Row],[Index HC_x000D_
kWh]]-$R$5</f>
        <v>2384</v>
      </c>
      <c r="X167" s="43">
        <f>Tableau1[[#This Row],[Différence HC
Cumul]]/(Tableau1[[#This Row],[Diff jour_x000D_
Cumul]]*24)</f>
        <v>0.72194659089189395</v>
      </c>
      <c r="Y167" s="43">
        <f>Tableau1[[#This Row],[Différence HC
Cumul]]/Tableau1[[#This Row],[Diff jour_x000D_
Cumul]]</f>
        <v>17.326718181405457</v>
      </c>
      <c r="Z167" s="43">
        <f>Tableau1[[#This Row],[Conso HC / jour_x000D_
Cumul]]*365</f>
        <v>6324.2521362129919</v>
      </c>
      <c r="AA167" s="38">
        <f>Tableau1[[#This Row],[Différence HP
Instantané]]+Tableau1[[#This Row],[Différence_x000D_ HC
Instantané]]</f>
        <v>26</v>
      </c>
      <c r="AB167" s="41">
        <f>Tableau1[[#This Row],[Conso HP + HC
Instantané]]/(Tableau1[[#This Row],[Diff jour
Instantané]]*24)</f>
        <v>1.1659192825087761</v>
      </c>
      <c r="AC167" s="34">
        <f>IF(ISERROR(Tableau1[[#This Row],[Date]]-A166),"",Tableau1[[#This Row],[Conso HP + HC
Instantané]]/Tableau1[[#This Row],[Diff jour
Instantané]])</f>
        <v>27.982062780210626</v>
      </c>
      <c r="AD167" s="41">
        <f>Tableau1[[#This Row],[Conso HP + HC / jour_x000D_
Instantané]]*365</f>
        <v>10213.452914776879</v>
      </c>
      <c r="AE167" s="38">
        <f>Tableau1[[#This Row],[Différence HP
Cumul]]+Tableau1[[#This Row],[Différence HC
Cumul]]</f>
        <v>7260</v>
      </c>
      <c r="AF167" s="40">
        <f>(Tableau1[[#This Row],[Conso HP + HC
Cumul]]-AE$6)/Tableau1[[#This Row],[Diff jour_x000D_
Cumul
depuis le 24/01]]</f>
        <v>47.122010454248986</v>
      </c>
      <c r="AG167" s="40">
        <f>(Tableau1[[#This Row],[Conso HP + HC
Cumul]]-AE$59)/Tableau1[[#This Row],[Diff jour_x000D_
Cumul
depuis
précédente facture
16/02/2021]]</f>
        <v>40.04510070988627</v>
      </c>
      <c r="AH167" s="41">
        <f>Tableau1[[#This Row],[Conso HP + HC
Cumul]]/(Tableau1[[#This Row],[Diff jour_x000D_
Cumul]]*24)</f>
        <v>2.1985454068268249</v>
      </c>
      <c r="AI167" s="41">
        <f>Tableau1[[#This Row],[Conso HP + HC
Cumul]]/Tableau1[[#This Row],[Diff jour_x000D_
Cumul]]</f>
        <v>52.765089763843797</v>
      </c>
      <c r="AJ167" s="41">
        <f>Tableau1[[#This Row],[Conso HP + HC / jour_x000D_
Cumul]]*365</f>
        <v>19259.257763802987</v>
      </c>
      <c r="AK167" s="44">
        <f>(Tableau1[[#This Row],[Différence HP
Cumul]]*0.1799)+(Tableau1[[#This Row],[Différence HC
Cumul]]*0.1346)</f>
        <v>1198.0788</v>
      </c>
      <c r="AL167" s="44">
        <f>Tableau1[[#This Row],[Montant
Tarif HP/HC]]/Tableau1[[#This Row],[Diff jour_x000D_
Cumul]]</f>
        <v>8.7075393148978311</v>
      </c>
      <c r="AM167" s="44">
        <f>(Tableau1[[#This Row],[Montant
Tarif HP/HC]]-AK$6)/Tableau1[[#This Row],[Diff jour_x000D_
Cumul
depuis le 24/01]]</f>
        <v>7.7748121514956665</v>
      </c>
      <c r="AN167" s="44">
        <f>(Tableau1[[#This Row],[Montant
Tarif HP/HC]]-AK$59)/Tableau1[[#This Row],[Diff jour_x000D_
Cumul
depuis
précédente facture
16/02/2021]]</f>
        <v>6.5739351812599329</v>
      </c>
      <c r="AO167" s="44">
        <f>Tableau1[[#This Row],[Conso HP + HC
Cumul]]*0.1599</f>
        <v>1160.8739999999998</v>
      </c>
      <c r="AP167" s="44">
        <f>Tableau1[[#This Row],[Montant
Tarif normal]]/Tableau1[[#This Row],[Diff jour_x000D_
Cumul]]</f>
        <v>8.437137853238621</v>
      </c>
      <c r="AQ167" s="44">
        <f>(Tableau1[[#This Row],[Conso HP / an
Cumul]]*0.1799)+(Tableau1[[#This Row],[Conso HC / an_x000D_
Cumul]]*0.1346)</f>
        <v>3178.2518499377088</v>
      </c>
      <c r="AR167" s="44">
        <f>Tableau1[[#This Row],[Conso HP + HC / an_x000D_
Cumul]]*0.1599</f>
        <v>3079.5553164320972</v>
      </c>
      <c r="AS167" s="38">
        <f>MONTH(Tableau1[[#This Row],[Date]])</f>
        <v>5</v>
      </c>
      <c r="AT167" s="38">
        <f>YEAR(Tableau1[[#This Row],[Date]])</f>
        <v>2021</v>
      </c>
    </row>
    <row r="168" spans="1:46" x14ac:dyDescent="0.2">
      <c r="A168" s="19">
        <v>44322.910416666666</v>
      </c>
      <c r="B168" s="20">
        <v>11.8</v>
      </c>
      <c r="C168" s="39">
        <f>IF(ISERROR(Tableau1[[#This Row],[Date]]-A167),"",Tableau1[[#This Row],[Date]]-A167)</f>
        <v>2.6111111111094942</v>
      </c>
      <c r="D168" s="40">
        <f>IF(ISERROR(Tableau1[[#This Row],[Date]]-A167),"",Tableau1[[#This Row],[Date]]-A167)</f>
        <v>2.6111111111094942</v>
      </c>
      <c r="E168" s="39">
        <f>Tableau1[[#This Row],[Date]]-$A$5</f>
        <v>140.20208333332994</v>
      </c>
      <c r="F168" s="40">
        <f>Tableau1[[#This Row],[Date]]-$A$5</f>
        <v>140.20208333332994</v>
      </c>
      <c r="G168" s="40">
        <f>Tableau1[[#This Row],[Diff jour_x000D_
Cumul]]-F$6</f>
        <v>102.11875000000146</v>
      </c>
      <c r="H168" s="40">
        <f>Tableau1[[#This Row],[Diff jour_x000D_
Cumul]]-F$59</f>
        <v>79.599305555551837</v>
      </c>
      <c r="I168" s="21">
        <v>184709</v>
      </c>
      <c r="J168" s="38">
        <f>IF(ISERROR(Tableau1[[#This Row],[Index HP
kWh]]-I167),"",Tableau1[[#This Row],[Index HP
kWh]]-I167)</f>
        <v>74</v>
      </c>
      <c r="K168" s="40">
        <f>IF(ISERROR(Tableau1[[#This Row],[Différence HP
Instantané]]/(Tableau1[[#This Row],[Diff jour
Instantané]]*24)),"",Tableau1[[#This Row],[Différence HP
Instantané]]/(Tableau1[[#This Row],[Diff jour
Instantané]]*24))</f>
        <v>1.1808510638305185</v>
      </c>
      <c r="L168" s="40">
        <f>Tableau1[[#This Row],[Différence HP
Instantané]]/Tableau1[[#This Row],[Diff jour
Instantané]]</f>
        <v>28.340425531932443</v>
      </c>
      <c r="M168" s="40">
        <f>Tableau1[[#This Row],[Conso HP / jour
Instantané]]*365</f>
        <v>10344.255319155342</v>
      </c>
      <c r="N168" s="38">
        <f>Tableau1[[#This Row],[Index HP
kWh]]-$I$5</f>
        <v>4950</v>
      </c>
      <c r="O168" s="41">
        <f>Tableau1[[#This Row],[Différence HP
Cumul]]/(Tableau1[[#This Row],[Diff jour_x000D_
Cumul]]*24)</f>
        <v>1.4710908361442916</v>
      </c>
      <c r="P168" s="41">
        <f>Tableau1[[#This Row],[Différence HP
Cumul]]/Tableau1[[#This Row],[Diff jour_x000D_
Cumul]]</f>
        <v>35.306180067463004</v>
      </c>
      <c r="Q168" s="41">
        <f>Tableau1[[#This Row],[Conso HP / jour
Cumul]]*365</f>
        <v>12886.755724623996</v>
      </c>
      <c r="R168" s="21">
        <v>121843</v>
      </c>
      <c r="S168" s="38">
        <f>Tableau1[[#This Row],[Index HC_x000D_
kWh]]-R167</f>
        <v>27</v>
      </c>
      <c r="T168" s="42">
        <f>Tableau1[[#This Row],[Différence_x000D_ HC
Instantané]]/(Tableau1[[#This Row],[Diff jour
Instantané]]*24)</f>
        <v>0.430851063830054</v>
      </c>
      <c r="U168" s="42">
        <f>Tableau1[[#This Row],[Différence_x000D_ HC
Instantané]]/Tableau1[[#This Row],[Diff jour
Instantané]]</f>
        <v>10.340425531921296</v>
      </c>
      <c r="V168" s="42">
        <f>Tableau1[[#This Row],[Conso HC / jour_x000D_
Instantané]]*365</f>
        <v>3774.2553191512729</v>
      </c>
      <c r="W168" s="38">
        <f>Tableau1[[#This Row],[Index HC_x000D_
kWh]]-$R$5</f>
        <v>2411</v>
      </c>
      <c r="X168" s="43">
        <f>Tableau1[[#This Row],[Différence HC
Cumul]]/(Tableau1[[#This Row],[Diff jour_x000D_
Cumul]]*24)</f>
        <v>0.71652525372603781</v>
      </c>
      <c r="Y168" s="43">
        <f>Tableau1[[#This Row],[Différence HC
Cumul]]/Tableau1[[#This Row],[Diff jour_x000D_
Cumul]]</f>
        <v>17.196606089424908</v>
      </c>
      <c r="Z168" s="43">
        <f>Tableau1[[#This Row],[Conso HC / jour_x000D_
Cumul]]*365</f>
        <v>6276.7612226400915</v>
      </c>
      <c r="AA168" s="38">
        <f>Tableau1[[#This Row],[Différence HP
Instantané]]+Tableau1[[#This Row],[Différence_x000D_ HC
Instantané]]</f>
        <v>101</v>
      </c>
      <c r="AB168" s="41">
        <f>Tableau1[[#This Row],[Conso HP + HC
Instantané]]/(Tableau1[[#This Row],[Diff jour
Instantané]]*24)</f>
        <v>1.6117021276605725</v>
      </c>
      <c r="AC168" s="34">
        <f>IF(ISERROR(Tableau1[[#This Row],[Date]]-A167),"",Tableau1[[#This Row],[Conso HP + HC
Instantané]]/Tableau1[[#This Row],[Diff jour
Instantané]])</f>
        <v>38.680851063853737</v>
      </c>
      <c r="AD168" s="41">
        <f>Tableau1[[#This Row],[Conso HP + HC / jour_x000D_
Instantané]]*365</f>
        <v>14118.510638306614</v>
      </c>
      <c r="AE168" s="38">
        <f>Tableau1[[#This Row],[Différence HP
Cumul]]+Tableau1[[#This Row],[Différence HC
Cumul]]</f>
        <v>7361</v>
      </c>
      <c r="AF168" s="40">
        <f>(Tableau1[[#This Row],[Conso HP + HC
Cumul]]-AE$6)/Tableau1[[#This Row],[Diff jour_x000D_
Cumul
depuis le 24/01]]</f>
        <v>46.906175408531062</v>
      </c>
      <c r="AG168" s="40">
        <f>(Tableau1[[#This Row],[Conso HP + HC
Cumul]]-AE$59)/Tableau1[[#This Row],[Diff jour_x000D_
Cumul
depuis
précédente facture
16/02/2021]]</f>
        <v>40.000348970103857</v>
      </c>
      <c r="AH168" s="41">
        <f>Tableau1[[#This Row],[Conso HP + HC
Cumul]]/(Tableau1[[#This Row],[Diff jour_x000D_
Cumul]]*24)</f>
        <v>2.1876160898703296</v>
      </c>
      <c r="AI168" s="41">
        <f>Tableau1[[#This Row],[Conso HP + HC
Cumul]]/Tableau1[[#This Row],[Diff jour_x000D_
Cumul]]</f>
        <v>52.502786156887908</v>
      </c>
      <c r="AJ168" s="41">
        <f>Tableau1[[#This Row],[Conso HP + HC / jour_x000D_
Cumul]]*365</f>
        <v>19163.516947264085</v>
      </c>
      <c r="AK168" s="44">
        <f>(Tableau1[[#This Row],[Différence HP
Cumul]]*0.1799)+(Tableau1[[#This Row],[Différence HC
Cumul]]*0.1346)</f>
        <v>1215.0255999999999</v>
      </c>
      <c r="AL168" s="44">
        <f>Tableau1[[#This Row],[Montant
Tarif HP/HC]]/Tableau1[[#This Row],[Diff jour_x000D_
Cumul]]</f>
        <v>8.6662449737731855</v>
      </c>
      <c r="AM168" s="44">
        <f>(Tableau1[[#This Row],[Montant
Tarif HP/HC]]-AK$6)/Tableau1[[#This Row],[Diff jour_x000D_
Cumul
depuis le 24/01]]</f>
        <v>7.741967072648154</v>
      </c>
      <c r="AN168" s="44">
        <f>(Tableau1[[#This Row],[Montant
Tarif HP/HC]]-AK$59)/Tableau1[[#This Row],[Diff jour_x000D_
Cumul
depuis
précédente facture
16/02/2021]]</f>
        <v>6.5711904940547283</v>
      </c>
      <c r="AO168" s="44">
        <f>Tableau1[[#This Row],[Conso HP + HC
Cumul]]*0.1599</f>
        <v>1177.0238999999999</v>
      </c>
      <c r="AP168" s="44">
        <f>Tableau1[[#This Row],[Montant
Tarif normal]]/Tableau1[[#This Row],[Diff jour_x000D_
Cumul]]</f>
        <v>8.3951955064863757</v>
      </c>
      <c r="AQ168" s="44">
        <f>(Tableau1[[#This Row],[Conso HP / an
Cumul]]*0.1799)+(Tableau1[[#This Row],[Conso HC / an_x000D_
Cumul]]*0.1346)</f>
        <v>3163.1794154272129</v>
      </c>
      <c r="AR168" s="44">
        <f>Tableau1[[#This Row],[Conso HP + HC / an_x000D_
Cumul]]*0.1599</f>
        <v>3064.2463598675267</v>
      </c>
      <c r="AS168" s="38">
        <f>MONTH(Tableau1[[#This Row],[Date]])</f>
        <v>5</v>
      </c>
      <c r="AT168" s="38">
        <f>YEAR(Tableau1[[#This Row],[Date]])</f>
        <v>2021</v>
      </c>
    </row>
    <row r="169" spans="1:46" x14ac:dyDescent="0.2">
      <c r="A169" s="19">
        <v>44362.272916666669</v>
      </c>
      <c r="B169" s="20">
        <v>15.4</v>
      </c>
      <c r="C169" s="39">
        <f>IF(ISERROR(Tableau1[[#This Row],[Date]]-A168),"",Tableau1[[#This Row],[Date]]-A168)</f>
        <v>39.36250000000291</v>
      </c>
      <c r="D169" s="40">
        <f>IF(ISERROR(Tableau1[[#This Row],[Date]]-A168),"",Tableau1[[#This Row],[Date]]-A168)</f>
        <v>39.36250000000291</v>
      </c>
      <c r="E169" s="39">
        <f>Tableau1[[#This Row],[Date]]-$A$5</f>
        <v>179.56458333333285</v>
      </c>
      <c r="F169" s="40">
        <f>Tableau1[[#This Row],[Date]]-$A$5</f>
        <v>179.56458333333285</v>
      </c>
      <c r="G169" s="40">
        <f>Tableau1[[#This Row],[Diff jour_x000D_
Cumul]]-F$6</f>
        <v>141.48125000000437</v>
      </c>
      <c r="H169" s="40">
        <f>Tableau1[[#This Row],[Diff jour_x000D_
Cumul]]-F$59</f>
        <v>118.96180555555475</v>
      </c>
      <c r="I169" s="21">
        <v>185206</v>
      </c>
      <c r="J169" s="38">
        <f>IF(ISERROR(Tableau1[[#This Row],[Index HP
kWh]]-I168),"",Tableau1[[#This Row],[Index HP
kWh]]-I168)</f>
        <v>497</v>
      </c>
      <c r="K169" s="40">
        <f>IF(ISERROR(Tableau1[[#This Row],[Différence HP
Instantané]]/(Tableau1[[#This Row],[Diff jour
Instantané]]*24)),"",Tableau1[[#This Row],[Différence HP
Instantané]]/(Tableau1[[#This Row],[Diff jour
Instantané]]*24))</f>
        <v>0.52609293955749259</v>
      </c>
      <c r="L169" s="40">
        <f>Tableau1[[#This Row],[Différence HP
Instantané]]/Tableau1[[#This Row],[Diff jour
Instantané]]</f>
        <v>12.626230549379823</v>
      </c>
      <c r="M169" s="40">
        <f>Tableau1[[#This Row],[Conso HP / jour
Instantané]]*365</f>
        <v>4608.5741505236356</v>
      </c>
      <c r="N169" s="38">
        <f>Tableau1[[#This Row],[Index HP
kWh]]-$I$5</f>
        <v>5447</v>
      </c>
      <c r="O169" s="41">
        <f>Tableau1[[#This Row],[Différence HP
Cumul]]/(Tableau1[[#This Row],[Diff jour_x000D_
Cumul]]*24)</f>
        <v>1.2639370699957106</v>
      </c>
      <c r="P169" s="41">
        <f>Tableau1[[#This Row],[Différence HP
Cumul]]/Tableau1[[#This Row],[Diff jour_x000D_
Cumul]]</f>
        <v>30.334489679897054</v>
      </c>
      <c r="Q169" s="41">
        <f>Tableau1[[#This Row],[Conso HP / jour
Cumul]]*365</f>
        <v>11072.088733162425</v>
      </c>
      <c r="R169" s="21">
        <v>122063</v>
      </c>
      <c r="S169" s="38">
        <f>Tableau1[[#This Row],[Index HC_x000D_
kWh]]-R168</f>
        <v>220</v>
      </c>
      <c r="T169" s="42">
        <f>Tableau1[[#This Row],[Différence_x000D_ HC
Instantané]]/(Tableau1[[#This Row],[Diff jour
Instantané]]*24)</f>
        <v>0.23287816237957418</v>
      </c>
      <c r="U169" s="42">
        <f>Tableau1[[#This Row],[Différence_x000D_ HC
Instantané]]/Tableau1[[#This Row],[Diff jour
Instantané]]</f>
        <v>5.5890758971097805</v>
      </c>
      <c r="V169" s="42">
        <f>Tableau1[[#This Row],[Conso HC / jour_x000D_
Instantané]]*365</f>
        <v>2040.0127024450699</v>
      </c>
      <c r="W169" s="38">
        <f>Tableau1[[#This Row],[Index HC_x000D_
kWh]]-$R$5</f>
        <v>2631</v>
      </c>
      <c r="X169" s="43">
        <f>Tableau1[[#This Row],[Différence HC
Cumul]]/(Tableau1[[#This Row],[Diff jour_x000D_
Cumul]]*24)</f>
        <v>0.61050457704400851</v>
      </c>
      <c r="Y169" s="43">
        <f>Tableau1[[#This Row],[Différence HC
Cumul]]/Tableau1[[#This Row],[Diff jour_x000D_
Cumul]]</f>
        <v>14.652109849056206</v>
      </c>
      <c r="Z169" s="43">
        <f>Tableau1[[#This Row],[Conso HC / jour_x000D_
Cumul]]*365</f>
        <v>5348.0200949055152</v>
      </c>
      <c r="AA169" s="38">
        <f>Tableau1[[#This Row],[Différence HP
Instantané]]+Tableau1[[#This Row],[Différence_x000D_ HC
Instantané]]</f>
        <v>717</v>
      </c>
      <c r="AB169" s="41">
        <f>Tableau1[[#This Row],[Conso HP + HC
Instantané]]/(Tableau1[[#This Row],[Diff jour
Instantané]]*24)</f>
        <v>0.75897110193706674</v>
      </c>
      <c r="AC169" s="34">
        <f>IF(ISERROR(Tableau1[[#This Row],[Date]]-A168),"",Tableau1[[#This Row],[Conso HP + HC
Instantané]]/Tableau1[[#This Row],[Diff jour
Instantané]])</f>
        <v>18.215306446489603</v>
      </c>
      <c r="AD169" s="41">
        <f>Tableau1[[#This Row],[Conso HP + HC / jour_x000D_
Instantané]]*365</f>
        <v>6648.586852968705</v>
      </c>
      <c r="AE169" s="38">
        <f>Tableau1[[#This Row],[Différence HP
Cumul]]+Tableau1[[#This Row],[Différence HC
Cumul]]</f>
        <v>8078</v>
      </c>
      <c r="AF169" s="40">
        <f>(Tableau1[[#This Row],[Conso HP + HC
Cumul]]-AE$6)/Tableau1[[#This Row],[Diff jour_x000D_
Cumul
depuis le 24/01]]</f>
        <v>38.923885673895519</v>
      </c>
      <c r="AG169" s="40">
        <f>(Tableau1[[#This Row],[Conso HP + HC
Cumul]]-AE$59)/Tableau1[[#This Row],[Diff jour_x000D_
Cumul
depuis
précédente facture
16/02/2021]]</f>
        <v>32.792037593765727</v>
      </c>
      <c r="AH169" s="41">
        <f>Tableau1[[#This Row],[Conso HP + HC
Cumul]]/(Tableau1[[#This Row],[Diff jour_x000D_
Cumul]]*24)</f>
        <v>1.8744416470397192</v>
      </c>
      <c r="AI169" s="41">
        <f>Tableau1[[#This Row],[Conso HP + HC
Cumul]]/Tableau1[[#This Row],[Diff jour_x000D_
Cumul]]</f>
        <v>44.986599528953263</v>
      </c>
      <c r="AJ169" s="41">
        <f>Tableau1[[#This Row],[Conso HP + HC / jour_x000D_
Cumul]]*365</f>
        <v>16420.10882806794</v>
      </c>
      <c r="AK169" s="44">
        <f>(Tableau1[[#This Row],[Différence HP
Cumul]]*0.1799)+(Tableau1[[#This Row],[Différence HC
Cumul]]*0.1346)</f>
        <v>1334.0479</v>
      </c>
      <c r="AL169" s="44">
        <f>Tableau1[[#This Row],[Montant
Tarif HP/HC]]/Tableau1[[#This Row],[Diff jour_x000D_
Cumul]]</f>
        <v>7.4293486790964458</v>
      </c>
      <c r="AM169" s="44">
        <f>(Tableau1[[#This Row],[Montant
Tarif HP/HC]]-AK$6)/Tableau1[[#This Row],[Diff jour_x000D_
Cumul
depuis le 24/01]]</f>
        <v>6.4292780845516413</v>
      </c>
      <c r="AN169" s="44">
        <f>(Tableau1[[#This Row],[Montant
Tarif HP/HC]]-AK$59)/Tableau1[[#This Row],[Diff jour_x000D_
Cumul
depuis
précédente facture
16/02/2021]]</f>
        <v>5.397400426140547</v>
      </c>
      <c r="AO169" s="44">
        <f>Tableau1[[#This Row],[Conso HP + HC
Cumul]]*0.1599</f>
        <v>1291.6722</v>
      </c>
      <c r="AP169" s="44">
        <f>Tableau1[[#This Row],[Montant
Tarif normal]]/Tableau1[[#This Row],[Diff jour_x000D_
Cumul]]</f>
        <v>7.1933572646796264</v>
      </c>
      <c r="AQ169" s="44">
        <f>(Tableau1[[#This Row],[Conso HP / an
Cumul]]*0.1799)+(Tableau1[[#This Row],[Conso HC / an_x000D_
Cumul]]*0.1346)</f>
        <v>2711.7122678702026</v>
      </c>
      <c r="AR169" s="44">
        <f>Tableau1[[#This Row],[Conso HP + HC / an_x000D_
Cumul]]*0.1599</f>
        <v>2625.5754016080632</v>
      </c>
      <c r="AS169" s="38">
        <f>MONTH(Tableau1[[#This Row],[Date]])</f>
        <v>6</v>
      </c>
      <c r="AT169" s="38">
        <f>YEAR(Tableau1[[#This Row],[Date]])</f>
        <v>2021</v>
      </c>
    </row>
    <row r="170" spans="1:46" x14ac:dyDescent="0.2">
      <c r="A170" s="19">
        <v>44380.677083333336</v>
      </c>
      <c r="B170" s="20">
        <v>22.3</v>
      </c>
      <c r="C170" s="39">
        <f>IF(ISERROR(Tableau1[[#This Row],[Date]]-A169),"",Tableau1[[#This Row],[Date]]-A169)</f>
        <v>18.404166666667152</v>
      </c>
      <c r="D170" s="40">
        <f>IF(ISERROR(Tableau1[[#This Row],[Date]]-A169),"",Tableau1[[#This Row],[Date]]-A169)</f>
        <v>18.404166666667152</v>
      </c>
      <c r="E170" s="39">
        <f>Tableau1[[#This Row],[Date]]-$A$5</f>
        <v>197.96875</v>
      </c>
      <c r="F170" s="40">
        <f>Tableau1[[#This Row],[Date]]-$A$5</f>
        <v>197.96875</v>
      </c>
      <c r="G170" s="40">
        <f>Tableau1[[#This Row],[Diff jour_x000D_
Cumul]]-F$6</f>
        <v>159.88541666667152</v>
      </c>
      <c r="H170" s="40">
        <f>Tableau1[[#This Row],[Diff jour_x000D_
Cumul]]-F$59</f>
        <v>137.3659722222219</v>
      </c>
      <c r="I170" s="21">
        <v>185377</v>
      </c>
      <c r="J170" s="38">
        <f>IF(ISERROR(Tableau1[[#This Row],[Index HP
kWh]]-I169),"",Tableau1[[#This Row],[Index HP
kWh]]-I169)</f>
        <v>171</v>
      </c>
      <c r="K170" s="40">
        <f>IF(ISERROR(Tableau1[[#This Row],[Différence HP
Instantané]]/(Tableau1[[#This Row],[Diff jour
Instantané]]*24)),"",Tableau1[[#This Row],[Différence HP
Instantané]]/(Tableau1[[#This Row],[Diff jour
Instantané]]*24))</f>
        <v>0.38714059316276994</v>
      </c>
      <c r="L170" s="40">
        <f>Tableau1[[#This Row],[Différence HP
Instantané]]/Tableau1[[#This Row],[Diff jour
Instantané]]</f>
        <v>9.2913742359064795</v>
      </c>
      <c r="M170" s="40">
        <f>Tableau1[[#This Row],[Conso HP / jour
Instantané]]*365</f>
        <v>3391.3515961058652</v>
      </c>
      <c r="N170" s="38">
        <f>Tableau1[[#This Row],[Index HP
kWh]]-$I$5</f>
        <v>5618</v>
      </c>
      <c r="O170" s="41">
        <f>Tableau1[[#This Row],[Différence HP
Cumul]]/(Tableau1[[#This Row],[Diff jour_x000D_
Cumul]]*24)</f>
        <v>1.1824256774533017</v>
      </c>
      <c r="P170" s="41">
        <f>Tableau1[[#This Row],[Différence HP
Cumul]]/Tableau1[[#This Row],[Diff jour_x000D_
Cumul]]</f>
        <v>28.378216258879242</v>
      </c>
      <c r="Q170" s="41">
        <f>Tableau1[[#This Row],[Conso HP / jour
Cumul]]*365</f>
        <v>10358.048934490924</v>
      </c>
      <c r="R170" s="21">
        <v>122107</v>
      </c>
      <c r="S170" s="38">
        <f>Tableau1[[#This Row],[Index HC_x000D_
kWh]]-R169</f>
        <v>44</v>
      </c>
      <c r="T170" s="42">
        <f>Tableau1[[#This Row],[Différence_x000D_ HC
Instantané]]/(Tableau1[[#This Row],[Diff jour
Instantané]]*24)</f>
        <v>9.9615123386911572E-2</v>
      </c>
      <c r="U170" s="42">
        <f>Tableau1[[#This Row],[Différence_x000D_ HC
Instantané]]/Tableau1[[#This Row],[Diff jour
Instantané]]</f>
        <v>2.3907629612858776</v>
      </c>
      <c r="V170" s="42">
        <f>Tableau1[[#This Row],[Conso HC / jour_x000D_
Instantané]]*365</f>
        <v>872.62848086934537</v>
      </c>
      <c r="W170" s="38">
        <f>Tableau1[[#This Row],[Index HC_x000D_
kWh]]-$R$5</f>
        <v>2675</v>
      </c>
      <c r="X170" s="43">
        <f>Tableau1[[#This Row],[Différence HC
Cumul]]/(Tableau1[[#This Row],[Diff jour_x000D_
Cumul]]*24)</f>
        <v>0.56300973428045253</v>
      </c>
      <c r="Y170" s="43">
        <f>Tableau1[[#This Row],[Différence HC
Cumul]]/Tableau1[[#This Row],[Diff jour_x000D_
Cumul]]</f>
        <v>13.512233622730861</v>
      </c>
      <c r="Z170" s="43">
        <f>Tableau1[[#This Row],[Conso HC / jour_x000D_
Cumul]]*365</f>
        <v>4931.9652722967639</v>
      </c>
      <c r="AA170" s="38">
        <f>Tableau1[[#This Row],[Différence HP
Instantané]]+Tableau1[[#This Row],[Différence_x000D_ HC
Instantané]]</f>
        <v>215</v>
      </c>
      <c r="AB170" s="41">
        <f>Tableau1[[#This Row],[Conso HP + HC
Instantané]]/(Tableau1[[#This Row],[Diff jour
Instantané]]*24)</f>
        <v>0.48675571654968153</v>
      </c>
      <c r="AC170" s="34">
        <f>IF(ISERROR(Tableau1[[#This Row],[Date]]-A169),"",Tableau1[[#This Row],[Conso HP + HC
Instantané]]/Tableau1[[#This Row],[Diff jour
Instantané]])</f>
        <v>11.682137197192358</v>
      </c>
      <c r="AD170" s="41">
        <f>Tableau1[[#This Row],[Conso HP + HC / jour_x000D_
Instantané]]*365</f>
        <v>4263.9800769752101</v>
      </c>
      <c r="AE170" s="38">
        <f>Tableau1[[#This Row],[Différence HP
Cumul]]+Tableau1[[#This Row],[Différence HC
Cumul]]</f>
        <v>8293</v>
      </c>
      <c r="AF170" s="40">
        <f>(Tableau1[[#This Row],[Conso HP + HC
Cumul]]-AE$6)/Tableau1[[#This Row],[Diff jour_x000D_
Cumul
depuis le 24/01]]</f>
        <v>35.788129519837341</v>
      </c>
      <c r="AG170" s="40">
        <f>(Tableau1[[#This Row],[Conso HP + HC
Cumul]]-AE$59)/Tableau1[[#This Row],[Diff jour_x000D_
Cumul
depuis
précédente facture
16/02/2021]]</f>
        <v>29.963752546674353</v>
      </c>
      <c r="AH170" s="41">
        <f>Tableau1[[#This Row],[Conso HP + HC
Cumul]]/(Tableau1[[#This Row],[Diff jour_x000D_
Cumul]]*24)</f>
        <v>1.7454354117337543</v>
      </c>
      <c r="AI170" s="41">
        <f>Tableau1[[#This Row],[Conso HP + HC
Cumul]]/Tableau1[[#This Row],[Diff jour_x000D_
Cumul]]</f>
        <v>41.890449881610103</v>
      </c>
      <c r="AJ170" s="41">
        <f>Tableau1[[#This Row],[Conso HP + HC / jour_x000D_
Cumul]]*365</f>
        <v>15290.014206787688</v>
      </c>
      <c r="AK170" s="44">
        <f>(Tableau1[[#This Row],[Différence HP
Cumul]]*0.1799)+(Tableau1[[#This Row],[Différence HC
Cumul]]*0.1346)</f>
        <v>1370.7332000000001</v>
      </c>
      <c r="AL170" s="44">
        <f>Tableau1[[#This Row],[Montant
Tarif HP/HC]]/Tableau1[[#This Row],[Diff jour_x000D_
Cumul]]</f>
        <v>6.9239877505919498</v>
      </c>
      <c r="AM170" s="44">
        <f>(Tableau1[[#This Row],[Montant
Tarif HP/HC]]-AK$6)/Tableau1[[#This Row],[Diff jour_x000D_
Cumul
depuis le 24/01]]</f>
        <v>5.9186611245030463</v>
      </c>
      <c r="AN170" s="44">
        <f>(Tableau1[[#This Row],[Montant
Tarif HP/HC]]-AK$59)/Tableau1[[#This Row],[Diff jour_x000D_
Cumul
depuis
précédente facture
16/02/2021]]</f>
        <v>4.9413241796296514</v>
      </c>
      <c r="AO170" s="44">
        <f>Tableau1[[#This Row],[Conso HP + HC
Cumul]]*0.1599</f>
        <v>1326.0506999999998</v>
      </c>
      <c r="AP170" s="44">
        <f>Tableau1[[#This Row],[Montant
Tarif normal]]/Tableau1[[#This Row],[Diff jour_x000D_
Cumul]]</f>
        <v>6.6982829360694547</v>
      </c>
      <c r="AQ170" s="44">
        <f>(Tableau1[[#This Row],[Conso HP / an
Cumul]]*0.1799)+(Tableau1[[#This Row],[Conso HC / an_x000D_
Cumul]]*0.1346)</f>
        <v>2527.2555289660618</v>
      </c>
      <c r="AR170" s="44">
        <f>Tableau1[[#This Row],[Conso HP + HC / an_x000D_
Cumul]]*0.1599</f>
        <v>2444.8732716653512</v>
      </c>
      <c r="AS170" s="38">
        <f>MONTH(Tableau1[[#This Row],[Date]])</f>
        <v>7</v>
      </c>
      <c r="AT170" s="38">
        <f>YEAR(Tableau1[[#This Row],[Date]])</f>
        <v>2021</v>
      </c>
    </row>
    <row r="171" spans="1:46" x14ac:dyDescent="0.2">
      <c r="A171" s="19">
        <v>44451.747916666667</v>
      </c>
      <c r="B171" s="20">
        <v>24.2</v>
      </c>
      <c r="C171" s="39">
        <f>IF(ISERROR(Tableau1[[#This Row],[Date]]-A170),"",Tableau1[[#This Row],[Date]]-A170)</f>
        <v>71.070833333331393</v>
      </c>
      <c r="D171" s="40">
        <f>IF(ISERROR(Tableau1[[#This Row],[Date]]-A170),"",Tableau1[[#This Row],[Date]]-A170)</f>
        <v>71.070833333331393</v>
      </c>
      <c r="E171" s="39">
        <f>Tableau1[[#This Row],[Date]]-$A$5</f>
        <v>269.03958333333139</v>
      </c>
      <c r="F171" s="40">
        <f>Tableau1[[#This Row],[Date]]-$A$5</f>
        <v>269.03958333333139</v>
      </c>
      <c r="G171" s="40">
        <f>Tableau1[[#This Row],[Diff jour_x000D_
Cumul]]-F$6</f>
        <v>230.95625000000291</v>
      </c>
      <c r="H171" s="40">
        <f>Tableau1[[#This Row],[Diff jour_x000D_
Cumul]]-F$59</f>
        <v>208.43680555555329</v>
      </c>
      <c r="I171" s="21">
        <v>186019</v>
      </c>
      <c r="J171" s="38">
        <f>IF(ISERROR(Tableau1[[#This Row],[Index HP
kWh]]-I170),"",Tableau1[[#This Row],[Index HP
kWh]]-I170)</f>
        <v>642</v>
      </c>
      <c r="K171" s="40">
        <f>IF(ISERROR(Tableau1[[#This Row],[Différence HP
Instantané]]/(Tableau1[[#This Row],[Diff jour
Instantané]]*24)),"",Tableau1[[#This Row],[Différence HP
Instantané]]/(Tableau1[[#This Row],[Diff jour
Instantané]]*24))</f>
        <v>0.37638506185144954</v>
      </c>
      <c r="L171" s="40">
        <f>Tableau1[[#This Row],[Différence HP
Instantané]]/Tableau1[[#This Row],[Diff jour
Instantané]]</f>
        <v>9.0332414844347895</v>
      </c>
      <c r="M171" s="40">
        <f>Tableau1[[#This Row],[Conso HP / jour
Instantané]]*365</f>
        <v>3297.1331418186983</v>
      </c>
      <c r="N171" s="38">
        <f>Tableau1[[#This Row],[Index HP
kWh]]-$I$5</f>
        <v>6260</v>
      </c>
      <c r="O171" s="41">
        <f>Tableau1[[#This Row],[Différence HP
Cumul]]/(Tableau1[[#This Row],[Diff jour_x000D_
Cumul]]*24)</f>
        <v>0.96949798279374089</v>
      </c>
      <c r="P171" s="41">
        <f>Tableau1[[#This Row],[Différence HP
Cumul]]/Tableau1[[#This Row],[Diff jour_x000D_
Cumul]]</f>
        <v>23.26795158704978</v>
      </c>
      <c r="Q171" s="41">
        <f>Tableau1[[#This Row],[Conso HP / jour
Cumul]]*365</f>
        <v>8492.8023292731687</v>
      </c>
      <c r="R171" s="21">
        <v>122283</v>
      </c>
      <c r="S171" s="38">
        <f>Tableau1[[#This Row],[Index HC_x000D_
kWh]]-R170</f>
        <v>176</v>
      </c>
      <c r="T171" s="42">
        <f>Tableau1[[#This Row],[Différence_x000D_ HC
Instantané]]/(Tableau1[[#This Row],[Diff jour
Instantané]]*24)</f>
        <v>0.10318344374743789</v>
      </c>
      <c r="U171" s="42">
        <f>Tableau1[[#This Row],[Différence_x000D_ HC
Instantané]]/Tableau1[[#This Row],[Diff jour
Instantané]]</f>
        <v>2.4764026499385094</v>
      </c>
      <c r="V171" s="42">
        <f>Tableau1[[#This Row],[Conso HC / jour_x000D_
Instantané]]*365</f>
        <v>903.88696722755594</v>
      </c>
      <c r="W171" s="38">
        <f>Tableau1[[#This Row],[Index HC_x000D_
kWh]]-$R$5</f>
        <v>2851</v>
      </c>
      <c r="X171" s="43">
        <f>Tableau1[[#This Row],[Différence HC
Cumul]]/(Tableau1[[#This Row],[Diff jour_x000D_
Cumul]]*24)</f>
        <v>0.44153973625318776</v>
      </c>
      <c r="Y171" s="43">
        <f>Tableau1[[#This Row],[Différence HC
Cumul]]/Tableau1[[#This Row],[Diff jour_x000D_
Cumul]]</f>
        <v>10.596953670076505</v>
      </c>
      <c r="Z171" s="43">
        <f>Tableau1[[#This Row],[Conso HC / jour_x000D_
Cumul]]*365</f>
        <v>3867.8880895779243</v>
      </c>
      <c r="AA171" s="38">
        <f>Tableau1[[#This Row],[Différence HP
Instantané]]+Tableau1[[#This Row],[Différence_x000D_ HC
Instantané]]</f>
        <v>818</v>
      </c>
      <c r="AB171" s="41">
        <f>Tableau1[[#This Row],[Conso HP + HC
Instantané]]/(Tableau1[[#This Row],[Diff jour
Instantané]]*24)</f>
        <v>0.47956850559888747</v>
      </c>
      <c r="AC171" s="34">
        <f>IF(ISERROR(Tableau1[[#This Row],[Date]]-A170),"",Tableau1[[#This Row],[Conso HP + HC
Instantané]]/Tableau1[[#This Row],[Diff jour
Instantané]])</f>
        <v>11.509644134373298</v>
      </c>
      <c r="AD171" s="41">
        <f>Tableau1[[#This Row],[Conso HP + HC / jour_x000D_
Instantané]]*365</f>
        <v>4201.0201090462542</v>
      </c>
      <c r="AE171" s="38">
        <f>Tableau1[[#This Row],[Différence HP
Cumul]]+Tableau1[[#This Row],[Différence HC
Cumul]]</f>
        <v>9111</v>
      </c>
      <c r="AF171" s="40">
        <f>(Tableau1[[#This Row],[Conso HP + HC
Cumul]]-AE$6)/Tableau1[[#This Row],[Diff jour_x000D_
Cumul
depuis le 24/01]]</f>
        <v>28.317051389602653</v>
      </c>
      <c r="AG171" s="40">
        <f>(Tableau1[[#This Row],[Conso HP + HC
Cumul]]-AE$59)/Tableau1[[#This Row],[Diff jour_x000D_
Cumul
depuis
précédente facture
16/02/2021]]</f>
        <v>23.671443183219257</v>
      </c>
      <c r="AH171" s="41">
        <f>Tableau1[[#This Row],[Conso HP + HC
Cumul]]/(Tableau1[[#This Row],[Diff jour_x000D_
Cumul]]*24)</f>
        <v>1.4110377190469285</v>
      </c>
      <c r="AI171" s="41">
        <f>Tableau1[[#This Row],[Conso HP + HC
Cumul]]/Tableau1[[#This Row],[Diff jour_x000D_
Cumul]]</f>
        <v>33.864905257126289</v>
      </c>
      <c r="AJ171" s="41">
        <f>Tableau1[[#This Row],[Conso HP + HC / jour_x000D_
Cumul]]*365</f>
        <v>12360.690418851096</v>
      </c>
      <c r="AK171" s="44">
        <f>(Tableau1[[#This Row],[Différence HP
Cumul]]*0.1799)+(Tableau1[[#This Row],[Différence HC
Cumul]]*0.1346)</f>
        <v>1509.9186</v>
      </c>
      <c r="AL171" s="44">
        <f>Tableau1[[#This Row],[Montant
Tarif HP/HC]]/Tableau1[[#This Row],[Diff jour_x000D_
Cumul]]</f>
        <v>5.612254454502553</v>
      </c>
      <c r="AM171" s="44">
        <f>(Tableau1[[#This Row],[Montant
Tarif HP/HC]]-AK$6)/Tableau1[[#This Row],[Diff jour_x000D_
Cumul
depuis le 24/01]]</f>
        <v>4.6999940464914296</v>
      </c>
      <c r="AN171" s="44">
        <f>(Tableau1[[#This Row],[Montant
Tarif HP/HC]]-AK$59)/Tableau1[[#This Row],[Diff jour_x000D_
Cumul
depuis
précédente facture
16/02/2021]]</f>
        <v>3.9242359228250394</v>
      </c>
      <c r="AO171" s="44">
        <f>Tableau1[[#This Row],[Conso HP + HC
Cumul]]*0.1599</f>
        <v>1456.8489</v>
      </c>
      <c r="AP171" s="44">
        <f>Tableau1[[#This Row],[Montant
Tarif normal]]/Tableau1[[#This Row],[Diff jour_x000D_
Cumul]]</f>
        <v>5.4149983506144928</v>
      </c>
      <c r="AQ171" s="44">
        <f>(Tableau1[[#This Row],[Conso HP / an
Cumul]]*0.1799)+(Tableau1[[#This Row],[Conso HC / an_x000D_
Cumul]]*0.1346)</f>
        <v>2048.4728758934316</v>
      </c>
      <c r="AR171" s="44">
        <f>Tableau1[[#This Row],[Conso HP + HC / an_x000D_
Cumul]]*0.1599</f>
        <v>1976.47439797429</v>
      </c>
      <c r="AS171" s="38">
        <f>MONTH(Tableau1[[#This Row],[Date]])</f>
        <v>9</v>
      </c>
      <c r="AT171" s="38">
        <f>YEAR(Tableau1[[#This Row],[Date]])</f>
        <v>2021</v>
      </c>
    </row>
    <row r="172" spans="1:46" x14ac:dyDescent="0.2">
      <c r="A172" s="19">
        <v>44469.249305555553</v>
      </c>
      <c r="B172" s="20">
        <v>5</v>
      </c>
      <c r="C172" s="39">
        <f>IF(ISERROR(Tableau1[[#This Row],[Date]]-A171),"",Tableau1[[#This Row],[Date]]-A171)</f>
        <v>17.50138888888614</v>
      </c>
      <c r="D172" s="40">
        <f>IF(ISERROR(Tableau1[[#This Row],[Date]]-A171),"",Tableau1[[#This Row],[Date]]-A171)</f>
        <v>17.50138888888614</v>
      </c>
      <c r="E172" s="39">
        <f>Tableau1[[#This Row],[Date]]-$A$5</f>
        <v>286.54097222221753</v>
      </c>
      <c r="F172" s="40">
        <f>Tableau1[[#This Row],[Date]]-$A$5</f>
        <v>286.54097222221753</v>
      </c>
      <c r="G172" s="40">
        <f>Tableau1[[#This Row],[Diff jour_x000D_
Cumul]]-F$6</f>
        <v>248.45763888888905</v>
      </c>
      <c r="H172" s="40">
        <f>Tableau1[[#This Row],[Diff jour_x000D_
Cumul]]-F$59</f>
        <v>225.93819444443943</v>
      </c>
      <c r="I172" s="21">
        <v>186182</v>
      </c>
      <c r="J172" s="38">
        <f>IF(ISERROR(Tableau1[[#This Row],[Index HP
kWh]]-I171),"",Tableau1[[#This Row],[Index HP
kWh]]-I171)</f>
        <v>163</v>
      </c>
      <c r="K172" s="40">
        <f>IF(ISERROR(Tableau1[[#This Row],[Différence HP
Instantané]]/(Tableau1[[#This Row],[Diff jour
Instantané]]*24)),"",Tableau1[[#This Row],[Différence HP
Instantané]]/(Tableau1[[#This Row],[Diff jour
Instantané]]*24))</f>
        <v>0.38806443933027285</v>
      </c>
      <c r="L172" s="40">
        <f>Tableau1[[#This Row],[Différence HP
Instantané]]/Tableau1[[#This Row],[Diff jour
Instantané]]</f>
        <v>9.3135465439265488</v>
      </c>
      <c r="M172" s="40">
        <f>Tableau1[[#This Row],[Conso HP / jour
Instantané]]*365</f>
        <v>3399.4444885331905</v>
      </c>
      <c r="N172" s="38">
        <f>Tableau1[[#This Row],[Index HP
kWh]]-$I$5</f>
        <v>6423</v>
      </c>
      <c r="O172" s="41">
        <f>Tableau1[[#This Row],[Différence HP
Cumul]]/(Tableau1[[#This Row],[Diff jour_x000D_
Cumul]]*24)</f>
        <v>0.93398510490308562</v>
      </c>
      <c r="P172" s="41">
        <f>Tableau1[[#This Row],[Différence HP
Cumul]]/Tableau1[[#This Row],[Diff jour_x000D_
Cumul]]</f>
        <v>22.415642517674055</v>
      </c>
      <c r="Q172" s="41">
        <f>Tableau1[[#This Row],[Conso HP / jour
Cumul]]*365</f>
        <v>8181.7095189510301</v>
      </c>
      <c r="R172" s="21">
        <v>122332</v>
      </c>
      <c r="S172" s="38">
        <f>Tableau1[[#This Row],[Index HC_x000D_
kWh]]-R171</f>
        <v>49</v>
      </c>
      <c r="T172" s="42">
        <f>Tableau1[[#This Row],[Différence_x000D_ HC
Instantané]]/(Tableau1[[#This Row],[Diff jour
Instantané]]*24)</f>
        <v>0.11665740814222926</v>
      </c>
      <c r="U172" s="42">
        <f>Tableau1[[#This Row],[Différence_x000D_ HC
Instantané]]/Tableau1[[#This Row],[Diff jour
Instantané]]</f>
        <v>2.7997777954135024</v>
      </c>
      <c r="V172" s="42">
        <f>Tableau1[[#This Row],[Conso HC / jour_x000D_
Instantané]]*365</f>
        <v>1021.9188953259284</v>
      </c>
      <c r="W172" s="38">
        <f>Tableau1[[#This Row],[Index HC_x000D_
kWh]]-$R$5</f>
        <v>2900</v>
      </c>
      <c r="X172" s="43">
        <f>Tableau1[[#This Row],[Différence HC
Cumul]]/(Tableau1[[#This Row],[Diff jour_x000D_
Cumul]]*24)</f>
        <v>0.42169652875898311</v>
      </c>
      <c r="Y172" s="43">
        <f>Tableau1[[#This Row],[Différence HC
Cumul]]/Tableau1[[#This Row],[Diff jour_x000D_
Cumul]]</f>
        <v>10.120716690215595</v>
      </c>
      <c r="Z172" s="43">
        <f>Tableau1[[#This Row],[Conso HC / jour_x000D_
Cumul]]*365</f>
        <v>3694.061591928692</v>
      </c>
      <c r="AA172" s="38">
        <f>Tableau1[[#This Row],[Différence HP
Instantané]]+Tableau1[[#This Row],[Différence_x000D_ HC
Instantané]]</f>
        <v>212</v>
      </c>
      <c r="AB172" s="41">
        <f>Tableau1[[#This Row],[Conso HP + HC
Instantané]]/(Tableau1[[#This Row],[Diff jour
Instantané]]*24)</f>
        <v>0.50472184747250204</v>
      </c>
      <c r="AC172" s="34">
        <f>IF(ISERROR(Tableau1[[#This Row],[Date]]-A171),"",Tableau1[[#This Row],[Conso HP + HC
Instantané]]/Tableau1[[#This Row],[Diff jour
Instantané]])</f>
        <v>12.11332433934005</v>
      </c>
      <c r="AD172" s="41">
        <f>Tableau1[[#This Row],[Conso HP + HC / jour_x000D_
Instantané]]*365</f>
        <v>4421.3633838591186</v>
      </c>
      <c r="AE172" s="38">
        <f>Tableau1[[#This Row],[Différence HP
Cumul]]+Tableau1[[#This Row],[Différence HC
Cumul]]</f>
        <v>9323</v>
      </c>
      <c r="AF172" s="40">
        <f>(Tableau1[[#This Row],[Conso HP + HC
Cumul]]-AE$6)/Tableau1[[#This Row],[Diff jour_x000D_
Cumul
depuis le 24/01]]</f>
        <v>27.175658716693807</v>
      </c>
      <c r="AG172" s="40">
        <f>(Tableau1[[#This Row],[Conso HP + HC
Cumul]]-AE$59)/Tableau1[[#This Row],[Diff jour_x000D_
Cumul
depuis
précédente facture
16/02/2021]]</f>
        <v>22.776140230090469</v>
      </c>
      <c r="AH172" s="41">
        <f>Tableau1[[#This Row],[Conso HP + HC
Cumul]]/(Tableau1[[#This Row],[Diff jour_x000D_
Cumul]]*24)</f>
        <v>1.3556816336620687</v>
      </c>
      <c r="AI172" s="41">
        <f>Tableau1[[#This Row],[Conso HP + HC
Cumul]]/Tableau1[[#This Row],[Diff jour_x000D_
Cumul]]</f>
        <v>32.536359207889653</v>
      </c>
      <c r="AJ172" s="41">
        <f>Tableau1[[#This Row],[Conso HP + HC / jour_x000D_
Cumul]]*365</f>
        <v>11875.771110879723</v>
      </c>
      <c r="AK172" s="44">
        <f>(Tableau1[[#This Row],[Différence HP
Cumul]]*0.1799)+(Tableau1[[#This Row],[Différence HC
Cumul]]*0.1346)</f>
        <v>1545.8377</v>
      </c>
      <c r="AL172" s="44">
        <f>Tableau1[[#This Row],[Montant
Tarif HP/HC]]/Tableau1[[#This Row],[Diff jour_x000D_
Cumul]]</f>
        <v>5.3948225554325822</v>
      </c>
      <c r="AM172" s="44">
        <f>(Tableau1[[#This Row],[Montant
Tarif HP/HC]]-AK$6)/Tableau1[[#This Row],[Diff jour_x000D_
Cumul
depuis le 24/01]]</f>
        <v>4.5134941514174924</v>
      </c>
      <c r="AN172" s="44">
        <f>(Tableau1[[#This Row],[Montant
Tarif HP/HC]]-AK$59)/Tableau1[[#This Row],[Diff jour_x000D_
Cumul
depuis
précédente facture
16/02/2021]]</f>
        <v>3.7792383979149515</v>
      </c>
      <c r="AO172" s="44">
        <f>Tableau1[[#This Row],[Conso HP + HC
Cumul]]*0.1599</f>
        <v>1490.7476999999999</v>
      </c>
      <c r="AP172" s="44">
        <f>Tableau1[[#This Row],[Montant
Tarif normal]]/Tableau1[[#This Row],[Diff jour_x000D_
Cumul]]</f>
        <v>5.2025638373415548</v>
      </c>
      <c r="AQ172" s="44">
        <f>(Tableau1[[#This Row],[Conso HP / an
Cumul]]*0.1799)+(Tableau1[[#This Row],[Conso HC / an_x000D_
Cumul]]*0.1346)</f>
        <v>1969.1102327328922</v>
      </c>
      <c r="AR172" s="44">
        <f>Tableau1[[#This Row],[Conso HP + HC / an_x000D_
Cumul]]*0.1599</f>
        <v>1898.9358006296675</v>
      </c>
      <c r="AS172" s="38">
        <f>MONTH(Tableau1[[#This Row],[Date]])</f>
        <v>9</v>
      </c>
      <c r="AT172" s="38">
        <f>YEAR(Tableau1[[#This Row],[Date]])</f>
        <v>2021</v>
      </c>
    </row>
    <row r="173" spans="1:46" x14ac:dyDescent="0.2">
      <c r="A173" s="19">
        <v>44484.5</v>
      </c>
      <c r="B173" s="20"/>
      <c r="C173" s="39">
        <f>IF(ISERROR(Tableau1[[#This Row],[Date]]-A172),"",Tableau1[[#This Row],[Date]]-A172)</f>
        <v>15.250694444446708</v>
      </c>
      <c r="D173" s="40">
        <f>IF(ISERROR(Tableau1[[#This Row],[Date]]-A172),"",Tableau1[[#This Row],[Date]]-A172)</f>
        <v>15.250694444446708</v>
      </c>
      <c r="E173" s="39">
        <f>Tableau1[[#This Row],[Date]]-$A$5</f>
        <v>301.79166666666424</v>
      </c>
      <c r="F173" s="40">
        <f>Tableau1[[#This Row],[Date]]-$A$5</f>
        <v>301.79166666666424</v>
      </c>
      <c r="G173" s="40">
        <f>Tableau1[[#This Row],[Diff jour_x000D_
Cumul]]-F$6</f>
        <v>263.70833333333576</v>
      </c>
      <c r="H173" s="40">
        <f>Tableau1[[#This Row],[Diff jour_x000D_
Cumul]]-F$59</f>
        <v>241.18888888888614</v>
      </c>
      <c r="I173" s="21">
        <v>186426</v>
      </c>
      <c r="J173" s="38">
        <f>IF(ISERROR(Tableau1[[#This Row],[Index HP
kWh]]-I172),"",Tableau1[[#This Row],[Index HP
kWh]]-I172)</f>
        <v>244</v>
      </c>
      <c r="K173" s="40">
        <f>IF(ISERROR(Tableau1[[#This Row],[Différence HP
Instantané]]/(Tableau1[[#This Row],[Diff jour
Instantané]]*24)),"",Tableau1[[#This Row],[Différence HP
Instantané]]/(Tableau1[[#This Row],[Diff jour
Instantané]]*24))</f>
        <v>0.66663630982185818</v>
      </c>
      <c r="L173" s="40">
        <f>Tableau1[[#This Row],[Différence HP
Instantané]]/Tableau1[[#This Row],[Diff jour
Instantané]]</f>
        <v>15.999271435724596</v>
      </c>
      <c r="M173" s="40">
        <f>Tableau1[[#This Row],[Conso HP / jour
Instantané]]*365</f>
        <v>5839.7340740394775</v>
      </c>
      <c r="N173" s="38">
        <f>Tableau1[[#This Row],[Index HP
kWh]]-$I$5</f>
        <v>6667</v>
      </c>
      <c r="O173" s="41">
        <f>Tableau1[[#This Row],[Différence HP
Cumul]]/(Tableau1[[#This Row],[Diff jour_x000D_
Cumul]]*24)</f>
        <v>0.92047494132266372</v>
      </c>
      <c r="P173" s="41">
        <f>Tableau1[[#This Row],[Différence HP
Cumul]]/Tableau1[[#This Row],[Diff jour_x000D_
Cumul]]</f>
        <v>22.091398591743928</v>
      </c>
      <c r="Q173" s="41">
        <f>Tableau1[[#This Row],[Conso HP / jour
Cumul]]*365</f>
        <v>8063.3604859865336</v>
      </c>
      <c r="R173" s="21">
        <v>122389</v>
      </c>
      <c r="S173" s="38">
        <f>Tableau1[[#This Row],[Index HC_x000D_
kWh]]-R172</f>
        <v>57</v>
      </c>
      <c r="T173" s="42">
        <f>Tableau1[[#This Row],[Différence_x000D_ HC
Instantané]]/(Tableau1[[#This Row],[Diff jour
Instantané]]*24)</f>
        <v>0.15573061336002425</v>
      </c>
      <c r="U173" s="42">
        <f>Tableau1[[#This Row],[Différence_x000D_ HC
Instantané]]/Tableau1[[#This Row],[Diff jour
Instantané]]</f>
        <v>3.737534720640582</v>
      </c>
      <c r="V173" s="42">
        <f>Tableau1[[#This Row],[Conso HC / jour_x000D_
Instantané]]*365</f>
        <v>1364.2001730338125</v>
      </c>
      <c r="W173" s="38">
        <f>Tableau1[[#This Row],[Index HC_x000D_
kWh]]-$R$5</f>
        <v>2957</v>
      </c>
      <c r="X173" s="43">
        <f>Tableau1[[#This Row],[Différence HC
Cumul]]/(Tableau1[[#This Row],[Diff jour_x000D_
Cumul]]*24)</f>
        <v>0.40825624741129696</v>
      </c>
      <c r="Y173" s="43">
        <f>Tableau1[[#This Row],[Différence HC
Cumul]]/Tableau1[[#This Row],[Diff jour_x000D_
Cumul]]</f>
        <v>9.798149937871127</v>
      </c>
      <c r="Z173" s="43">
        <f>Tableau1[[#This Row],[Conso HC / jour_x000D_
Cumul]]*365</f>
        <v>3576.3247273229613</v>
      </c>
      <c r="AA173" s="38">
        <f>Tableau1[[#This Row],[Différence HP
Instantané]]+Tableau1[[#This Row],[Différence_x000D_ HC
Instantané]]</f>
        <v>301</v>
      </c>
      <c r="AB173" s="41">
        <f>Tableau1[[#This Row],[Conso HP + HC
Instantané]]/(Tableau1[[#This Row],[Diff jour
Instantané]]*24)</f>
        <v>0.82236692318188243</v>
      </c>
      <c r="AC173" s="34">
        <f>IF(ISERROR(Tableau1[[#This Row],[Date]]-A172),"",Tableau1[[#This Row],[Conso HP + HC
Instantané]]/Tableau1[[#This Row],[Diff jour
Instantané]])</f>
        <v>19.736806156365176</v>
      </c>
      <c r="AD173" s="41">
        <f>Tableau1[[#This Row],[Conso HP + HC / jour_x000D_
Instantané]]*365</f>
        <v>7203.934247073289</v>
      </c>
      <c r="AE173" s="38">
        <f>Tableau1[[#This Row],[Différence HP
Cumul]]+Tableau1[[#This Row],[Différence HC
Cumul]]</f>
        <v>9624</v>
      </c>
      <c r="AF173" s="40">
        <f>(Tableau1[[#This Row],[Conso HP + HC
Cumul]]-AE$6)/Tableau1[[#This Row],[Diff jour_x000D_
Cumul
depuis le 24/01]]</f>
        <v>26.745457418233283</v>
      </c>
      <c r="AG173" s="40">
        <f>(Tableau1[[#This Row],[Conso HP + HC
Cumul]]-AE$59)/Tableau1[[#This Row],[Diff jour_x000D_
Cumul
depuis
précédente facture
16/02/2021]]</f>
        <v>22.583959091537551</v>
      </c>
      <c r="AH173" s="41">
        <f>Tableau1[[#This Row],[Conso HP + HC
Cumul]]/(Tableau1[[#This Row],[Diff jour_x000D_
Cumul]]*24)</f>
        <v>1.3287311887339608</v>
      </c>
      <c r="AI173" s="41">
        <f>Tableau1[[#This Row],[Conso HP + HC
Cumul]]/Tableau1[[#This Row],[Diff jour_x000D_
Cumul]]</f>
        <v>31.889548529615055</v>
      </c>
      <c r="AJ173" s="41">
        <f>Tableau1[[#This Row],[Conso HP + HC / jour_x000D_
Cumul]]*365</f>
        <v>11639.685213309494</v>
      </c>
      <c r="AK173" s="44">
        <f>(Tableau1[[#This Row],[Différence HP
Cumul]]*0.1799)+(Tableau1[[#This Row],[Différence HC
Cumul]]*0.1346)</f>
        <v>1597.4054999999998</v>
      </c>
      <c r="AL173" s="44">
        <f>Tableau1[[#This Row],[Montant
Tarif HP/HC]]/Tableau1[[#This Row],[Diff jour_x000D_
Cumul]]</f>
        <v>5.2930735882921862</v>
      </c>
      <c r="AM173" s="44">
        <f>(Tableau1[[#This Row],[Montant
Tarif HP/HC]]-AK$6)/Tableau1[[#This Row],[Diff jour_x000D_
Cumul
depuis le 24/01]]</f>
        <v>4.4480198451571713</v>
      </c>
      <c r="AN173" s="44">
        <f>(Tableau1[[#This Row],[Montant
Tarif HP/HC]]-AK$59)/Tableau1[[#This Row],[Diff jour_x000D_
Cumul
depuis
précédente facture
16/02/2021]]</f>
        <v>3.7540788224996966</v>
      </c>
      <c r="AO173" s="44">
        <f>Tableau1[[#This Row],[Conso HP + HC
Cumul]]*0.1599</f>
        <v>1538.8775999999998</v>
      </c>
      <c r="AP173" s="44">
        <f>Tableau1[[#This Row],[Montant
Tarif normal]]/Tableau1[[#This Row],[Diff jour_x000D_
Cumul]]</f>
        <v>5.0991388098854467</v>
      </c>
      <c r="AQ173" s="44">
        <f>(Tableau1[[#This Row],[Conso HP / an
Cumul]]*0.1799)+(Tableau1[[#This Row],[Conso HC / an_x000D_
Cumul]]*0.1346)</f>
        <v>1931.9718597266481</v>
      </c>
      <c r="AR173" s="44">
        <f>Tableau1[[#This Row],[Conso HP + HC / an_x000D_
Cumul]]*0.1599</f>
        <v>1861.1856656081879</v>
      </c>
      <c r="AS173" s="38">
        <f>MONTH(Tableau1[[#This Row],[Date]])</f>
        <v>10</v>
      </c>
      <c r="AT173" s="38">
        <f>YEAR(Tableau1[[#This Row],[Date]])</f>
        <v>2021</v>
      </c>
    </row>
    <row r="174" spans="1:46" x14ac:dyDescent="0.2">
      <c r="A174" s="19">
        <v>44502.765972222223</v>
      </c>
      <c r="B174" s="20">
        <v>8.4</v>
      </c>
      <c r="C174" s="39">
        <f>IF(ISERROR(Tableau1[[#This Row],[Date]]-A173),"",Tableau1[[#This Row],[Date]]-A173)</f>
        <v>18.265972222223354</v>
      </c>
      <c r="D174" s="40">
        <f>IF(ISERROR(Tableau1[[#This Row],[Date]]-A173),"",Tableau1[[#This Row],[Date]]-A173)</f>
        <v>18.265972222223354</v>
      </c>
      <c r="E174" s="39">
        <f>Tableau1[[#This Row],[Date]]-$A$5</f>
        <v>320.0576388888876</v>
      </c>
      <c r="F174" s="40">
        <f>Tableau1[[#This Row],[Date]]-$A$5</f>
        <v>320.0576388888876</v>
      </c>
      <c r="G174" s="40">
        <f>Tableau1[[#This Row],[Diff jour_x000D_
Cumul]]-F$6</f>
        <v>281.97430555555911</v>
      </c>
      <c r="H174" s="40">
        <f>Tableau1[[#This Row],[Diff jour_x000D_
Cumul]]-F$59</f>
        <v>259.45486111110949</v>
      </c>
      <c r="I174" s="21">
        <v>186810</v>
      </c>
      <c r="J174" s="38">
        <f>IF(ISERROR(Tableau1[[#This Row],[Index HP
kWh]]-I173),"",Tableau1[[#This Row],[Index HP
kWh]]-I173)</f>
        <v>384</v>
      </c>
      <c r="K174" s="40">
        <f>IF(ISERROR(Tableau1[[#This Row],[Différence HP
Instantané]]/(Tableau1[[#This Row],[Diff jour
Instantané]]*24)),"",Tableau1[[#This Row],[Différence HP
Instantané]]/(Tableau1[[#This Row],[Diff jour
Instantané]]*24))</f>
        <v>0.87594570961481855</v>
      </c>
      <c r="L174" s="40">
        <f>Tableau1[[#This Row],[Différence HP
Instantané]]/Tableau1[[#This Row],[Diff jour
Instantané]]</f>
        <v>21.022697030755644</v>
      </c>
      <c r="M174" s="40">
        <f>Tableau1[[#This Row],[Conso HP / jour
Instantané]]*365</f>
        <v>7673.2844162258098</v>
      </c>
      <c r="N174" s="38">
        <f>Tableau1[[#This Row],[Index HP
kWh]]-$I$5</f>
        <v>7051</v>
      </c>
      <c r="O174" s="41">
        <f>Tableau1[[#This Row],[Différence HP
Cumul]]/(Tableau1[[#This Row],[Diff jour_x000D_
Cumul]]*24)</f>
        <v>0.91793361872753321</v>
      </c>
      <c r="P174" s="41">
        <f>Tableau1[[#This Row],[Différence HP
Cumul]]/Tableau1[[#This Row],[Diff jour_x000D_
Cumul]]</f>
        <v>22.0304068494608</v>
      </c>
      <c r="Q174" s="41">
        <f>Tableau1[[#This Row],[Conso HP / jour
Cumul]]*365</f>
        <v>8041.0985000531919</v>
      </c>
      <c r="R174" s="21">
        <v>122479</v>
      </c>
      <c r="S174" s="38">
        <f>Tableau1[[#This Row],[Index HC_x000D_
kWh]]-R173</f>
        <v>90</v>
      </c>
      <c r="T174" s="42">
        <f>Tableau1[[#This Row],[Différence_x000D_ HC
Instantané]]/(Tableau1[[#This Row],[Diff jour
Instantané]]*24)</f>
        <v>0.2052997756909731</v>
      </c>
      <c r="U174" s="42">
        <f>Tableau1[[#This Row],[Différence_x000D_ HC
Instantané]]/Tableau1[[#This Row],[Diff jour
Instantané]]</f>
        <v>4.9271946165833542</v>
      </c>
      <c r="V174" s="42">
        <f>Tableau1[[#This Row],[Conso HC / jour_x000D_
Instantané]]*365</f>
        <v>1798.4260350529244</v>
      </c>
      <c r="W174" s="38">
        <f>Tableau1[[#This Row],[Index HC_x000D_
kWh]]-$R$5</f>
        <v>3047</v>
      </c>
      <c r="X174" s="43">
        <f>Tableau1[[#This Row],[Différence HC
Cumul]]/(Tableau1[[#This Row],[Diff jour_x000D_
Cumul]]*24)</f>
        <v>0.39667334225823198</v>
      </c>
      <c r="Y174" s="43">
        <f>Tableau1[[#This Row],[Différence HC
Cumul]]/Tableau1[[#This Row],[Diff jour_x000D_
Cumul]]</f>
        <v>9.5201602141975687</v>
      </c>
      <c r="Z174" s="43">
        <f>Tableau1[[#This Row],[Conso HC / jour_x000D_
Cumul]]*365</f>
        <v>3474.8584781821128</v>
      </c>
      <c r="AA174" s="38">
        <f>Tableau1[[#This Row],[Différence HP
Instantané]]+Tableau1[[#This Row],[Différence_x000D_ HC
Instantané]]</f>
        <v>474</v>
      </c>
      <c r="AB174" s="41">
        <f>Tableau1[[#This Row],[Conso HP + HC
Instantané]]/(Tableau1[[#This Row],[Diff jour
Instantané]]*24)</f>
        <v>1.0812454853057916</v>
      </c>
      <c r="AC174" s="34">
        <f>IF(ISERROR(Tableau1[[#This Row],[Date]]-A173),"",Tableau1[[#This Row],[Conso HP + HC
Instantané]]/Tableau1[[#This Row],[Diff jour
Instantané]])</f>
        <v>25.949891647339001</v>
      </c>
      <c r="AD174" s="41">
        <f>Tableau1[[#This Row],[Conso HP + HC / jour_x000D_
Instantané]]*365</f>
        <v>9471.7104512787355</v>
      </c>
      <c r="AE174" s="38">
        <f>Tableau1[[#This Row],[Différence HP
Cumul]]+Tableau1[[#This Row],[Différence HC
Cumul]]</f>
        <v>10098</v>
      </c>
      <c r="AF174" s="40">
        <f>(Tableau1[[#This Row],[Conso HP + HC
Cumul]]-AE$6)/Tableau1[[#This Row],[Diff jour_x000D_
Cumul
depuis le 24/01]]</f>
        <v>26.693921579733829</v>
      </c>
      <c r="AG174" s="40">
        <f>(Tableau1[[#This Row],[Conso HP + HC
Cumul]]-AE$59)/Tableau1[[#This Row],[Diff jour_x000D_
Cumul
depuis
précédente facture
16/02/2021]]</f>
        <v>22.820925284049231</v>
      </c>
      <c r="AH174" s="41">
        <f>Tableau1[[#This Row],[Conso HP + HC
Cumul]]/(Tableau1[[#This Row],[Diff jour_x000D_
Cumul]]*24)</f>
        <v>1.3146069609857653</v>
      </c>
      <c r="AI174" s="41">
        <f>Tableau1[[#This Row],[Conso HP + HC
Cumul]]/Tableau1[[#This Row],[Diff jour_x000D_
Cumul]]</f>
        <v>31.550567063658367</v>
      </c>
      <c r="AJ174" s="41">
        <f>Tableau1[[#This Row],[Conso HP + HC / jour_x000D_
Cumul]]*365</f>
        <v>11515.956978235305</v>
      </c>
      <c r="AK174" s="44">
        <f>(Tableau1[[#This Row],[Différence HP
Cumul]]*0.1799)+(Tableau1[[#This Row],[Différence HC
Cumul]]*0.1346)</f>
        <v>1678.6010999999999</v>
      </c>
      <c r="AL174" s="44">
        <f>Tableau1[[#This Row],[Montant
Tarif HP/HC]]/Tableau1[[#This Row],[Diff jour_x000D_
Cumul]]</f>
        <v>5.2446837570489899</v>
      </c>
      <c r="AM174" s="44">
        <f>(Tableau1[[#This Row],[Montant
Tarif HP/HC]]-AK$6)/Tableau1[[#This Row],[Diff jour_x000D_
Cumul
depuis le 24/01]]</f>
        <v>4.4478361158792961</v>
      </c>
      <c r="AN174" s="44">
        <f>(Tableau1[[#This Row],[Montant
Tarif HP/HC]]-AK$59)/Tableau1[[#This Row],[Diff jour_x000D_
Cumul
depuis
précédente facture
16/02/2021]]</f>
        <v>3.8027335305060253</v>
      </c>
      <c r="AO174" s="44">
        <f>Tableau1[[#This Row],[Conso HP + HC
Cumul]]*0.1599</f>
        <v>1614.6701999999998</v>
      </c>
      <c r="AP174" s="44">
        <f>Tableau1[[#This Row],[Montant
Tarif normal]]/Tableau1[[#This Row],[Diff jour_x000D_
Cumul]]</f>
        <v>5.0449356734789719</v>
      </c>
      <c r="AQ174" s="44">
        <f>(Tableau1[[#This Row],[Conso HP / an
Cumul]]*0.1799)+(Tableau1[[#This Row],[Conso HC / an_x000D_
Cumul]]*0.1346)</f>
        <v>1914.3095713228818</v>
      </c>
      <c r="AR174" s="44">
        <f>Tableau1[[#This Row],[Conso HP + HC / an_x000D_
Cumul]]*0.1599</f>
        <v>1841.401520819825</v>
      </c>
      <c r="AS174" s="38">
        <f>MONTH(Tableau1[[#This Row],[Date]])</f>
        <v>11</v>
      </c>
      <c r="AT174" s="38">
        <f>YEAR(Tableau1[[#This Row],[Date]])</f>
        <v>2021</v>
      </c>
    </row>
    <row r="175" spans="1:46" x14ac:dyDescent="0.2">
      <c r="A175" s="19">
        <v>44511.496527777781</v>
      </c>
      <c r="B175" s="20">
        <v>11.4</v>
      </c>
      <c r="C175" s="39">
        <f>IF(ISERROR(Tableau1[[#This Row],[Date]]-A174),"",Tableau1[[#This Row],[Date]]-A174)</f>
        <v>8.7305555555576575</v>
      </c>
      <c r="D175" s="40">
        <f>IF(ISERROR(Tableau1[[#This Row],[Date]]-A174),"",Tableau1[[#This Row],[Date]]-A174)</f>
        <v>8.7305555555576575</v>
      </c>
      <c r="E175" s="39">
        <f>Tableau1[[#This Row],[Date]]-$A$5</f>
        <v>328.78819444444525</v>
      </c>
      <c r="F175" s="40">
        <f>Tableau1[[#This Row],[Date]]-$A$5</f>
        <v>328.78819444444525</v>
      </c>
      <c r="G175" s="40">
        <f>Tableau1[[#This Row],[Diff jour_x000D_
Cumul]]-F$6</f>
        <v>290.70486111111677</v>
      </c>
      <c r="H175" s="40">
        <f>Tableau1[[#This Row],[Diff jour_x000D_
Cumul]]-F$59</f>
        <v>268.18541666666715</v>
      </c>
      <c r="I175" s="21">
        <v>187090</v>
      </c>
      <c r="J175" s="38">
        <f>IF(ISERROR(Tableau1[[#This Row],[Index HP
kWh]]-I174),"",Tableau1[[#This Row],[Index HP
kWh]]-I174)</f>
        <v>280</v>
      </c>
      <c r="K175" s="40">
        <f>IF(ISERROR(Tableau1[[#This Row],[Différence HP
Instantané]]/(Tableau1[[#This Row],[Diff jour
Instantané]]*24)),"",Tableau1[[#This Row],[Différence HP
Instantané]]/(Tableau1[[#This Row],[Diff jour
Instantané]]*24))</f>
        <v>1.3363028953226181</v>
      </c>
      <c r="L175" s="40">
        <f>Tableau1[[#This Row],[Différence HP
Instantané]]/Tableau1[[#This Row],[Diff jour
Instantané]]</f>
        <v>32.071269487742832</v>
      </c>
      <c r="M175" s="40">
        <f>Tableau1[[#This Row],[Conso HP / jour
Instantané]]*365</f>
        <v>11706.013363026133</v>
      </c>
      <c r="N175" s="38">
        <f>Tableau1[[#This Row],[Index HP
kWh]]-$I$5</f>
        <v>7331</v>
      </c>
      <c r="O175" s="41">
        <f>Tableau1[[#This Row],[Différence HP
Cumul]]/(Tableau1[[#This Row],[Diff jour_x000D_
Cumul]]*24)</f>
        <v>0.9290428868635856</v>
      </c>
      <c r="P175" s="41">
        <f>Tableau1[[#This Row],[Différence HP
Cumul]]/Tableau1[[#This Row],[Diff jour_x000D_
Cumul]]</f>
        <v>22.297029284726054</v>
      </c>
      <c r="Q175" s="41">
        <f>Tableau1[[#This Row],[Conso HP / jour
Cumul]]*365</f>
        <v>8138.4156889250098</v>
      </c>
      <c r="R175" s="21">
        <v>122555</v>
      </c>
      <c r="S175" s="38">
        <f>Tableau1[[#This Row],[Index HC_x000D_
kWh]]-R174</f>
        <v>76</v>
      </c>
      <c r="T175" s="42">
        <f>Tableau1[[#This Row],[Différence_x000D_ HC
Instantané]]/(Tableau1[[#This Row],[Diff jour
Instantané]]*24)</f>
        <v>0.36271078587328209</v>
      </c>
      <c r="U175" s="42">
        <f>Tableau1[[#This Row],[Différence_x000D_ HC
Instantané]]/Tableau1[[#This Row],[Diff jour
Instantané]]</f>
        <v>8.7050588609587702</v>
      </c>
      <c r="V175" s="42">
        <f>Tableau1[[#This Row],[Conso HC / jour_x000D_
Instantané]]*365</f>
        <v>3177.3464842499511</v>
      </c>
      <c r="W175" s="38">
        <f>Tableau1[[#This Row],[Index HC_x000D_
kWh]]-$R$5</f>
        <v>3123</v>
      </c>
      <c r="X175" s="43">
        <f>Tableau1[[#This Row],[Différence HC
Cumul]]/(Tableau1[[#This Row],[Diff jour_x000D_
Cumul]]*24)</f>
        <v>0.39577150943595385</v>
      </c>
      <c r="Y175" s="43">
        <f>Tableau1[[#This Row],[Différence HC
Cumul]]/Tableau1[[#This Row],[Diff jour_x000D_
Cumul]]</f>
        <v>9.4985162264628933</v>
      </c>
      <c r="Z175" s="43">
        <f>Tableau1[[#This Row],[Conso HC / jour_x000D_
Cumul]]*365</f>
        <v>3466.9584226589559</v>
      </c>
      <c r="AA175" s="38">
        <f>Tableau1[[#This Row],[Différence HP
Instantané]]+Tableau1[[#This Row],[Différence_x000D_ HC
Instantané]]</f>
        <v>356</v>
      </c>
      <c r="AB175" s="41">
        <f>Tableau1[[#This Row],[Conso HP + HC
Instantané]]/(Tableau1[[#This Row],[Diff jour
Instantané]]*24)</f>
        <v>1.6990136811959002</v>
      </c>
      <c r="AC175" s="34">
        <f>IF(ISERROR(Tableau1[[#This Row],[Date]]-A174),"",Tableau1[[#This Row],[Conso HP + HC
Instantané]]/Tableau1[[#This Row],[Diff jour
Instantané]])</f>
        <v>40.776328348701604</v>
      </c>
      <c r="AD175" s="41">
        <f>Tableau1[[#This Row],[Conso HP + HC / jour_x000D_
Instantané]]*365</f>
        <v>14883.359847276086</v>
      </c>
      <c r="AE175" s="38">
        <f>Tableau1[[#This Row],[Différence HP
Cumul]]+Tableau1[[#This Row],[Différence HC
Cumul]]</f>
        <v>10454</v>
      </c>
      <c r="AF175" s="40">
        <f>(Tableau1[[#This Row],[Conso HP + HC
Cumul]]-AE$6)/Tableau1[[#This Row],[Diff jour_x000D_
Cumul
depuis le 24/01]]</f>
        <v>27.116849611217418</v>
      </c>
      <c r="AG175" s="40">
        <f>(Tableau1[[#This Row],[Conso HP + HC
Cumul]]-AE$59)/Tableau1[[#This Row],[Diff jour_x000D_
Cumul
depuis
précédente facture
16/02/2021]]</f>
        <v>23.405448655703022</v>
      </c>
      <c r="AH175" s="41">
        <f>Tableau1[[#This Row],[Conso HP + HC
Cumul]]/(Tableau1[[#This Row],[Diff jour_x000D_
Cumul]]*24)</f>
        <v>1.3248143962995396</v>
      </c>
      <c r="AI175" s="41">
        <f>Tableau1[[#This Row],[Conso HP + HC
Cumul]]/Tableau1[[#This Row],[Diff jour_x000D_
Cumul]]</f>
        <v>31.795545511188948</v>
      </c>
      <c r="AJ175" s="41">
        <f>Tableau1[[#This Row],[Conso HP + HC / jour_x000D_
Cumul]]*365</f>
        <v>11605.374111583966</v>
      </c>
      <c r="AK175" s="44">
        <f>(Tableau1[[#This Row],[Différence HP
Cumul]]*0.1799)+(Tableau1[[#This Row],[Différence HC
Cumul]]*0.1346)</f>
        <v>1739.2027</v>
      </c>
      <c r="AL175" s="44">
        <f>Tableau1[[#This Row],[Montant
Tarif HP/HC]]/Tableau1[[#This Row],[Diff jour_x000D_
Cumul]]</f>
        <v>5.2897358524041227</v>
      </c>
      <c r="AM175" s="44">
        <f>(Tableau1[[#This Row],[Montant
Tarif HP/HC]]-AK$6)/Tableau1[[#This Row],[Diff jour_x000D_
Cumul
depuis le 24/01]]</f>
        <v>4.5227214122761081</v>
      </c>
      <c r="AN175" s="44">
        <f>(Tableau1[[#This Row],[Montant
Tarif HP/HC]]-AK$59)/Tableau1[[#This Row],[Diff jour_x000D_
Cumul
depuis
précédente facture
16/02/2021]]</f>
        <v>3.9049077053344559</v>
      </c>
      <c r="AO175" s="44">
        <f>Tableau1[[#This Row],[Conso HP + HC
Cumul]]*0.1599</f>
        <v>1671.5945999999999</v>
      </c>
      <c r="AP175" s="44">
        <f>Tableau1[[#This Row],[Montant
Tarif normal]]/Tableau1[[#This Row],[Diff jour_x000D_
Cumul]]</f>
        <v>5.084107727239112</v>
      </c>
      <c r="AQ175" s="44">
        <f>(Tableau1[[#This Row],[Conso HP / an
Cumul]]*0.1799)+(Tableau1[[#This Row],[Conso HC / an_x000D_
Cumul]]*0.1346)</f>
        <v>1930.7535861275046</v>
      </c>
      <c r="AR175" s="44">
        <f>Tableau1[[#This Row],[Conso HP + HC / an_x000D_
Cumul]]*0.1599</f>
        <v>1855.6993204422761</v>
      </c>
      <c r="AS175" s="38">
        <f>MONTH(Tableau1[[#This Row],[Date]])</f>
        <v>11</v>
      </c>
      <c r="AT175" s="38">
        <f>YEAR(Tableau1[[#This Row],[Date]])</f>
        <v>2021</v>
      </c>
    </row>
    <row r="176" spans="1:46" x14ac:dyDescent="0.2">
      <c r="A176" s="19">
        <v>44520.461805555555</v>
      </c>
      <c r="B176" s="20">
        <v>3.8</v>
      </c>
      <c r="C176" s="39">
        <f>IF(ISERROR(Tableau1[[#This Row],[Date]]-A175),"",Tableau1[[#This Row],[Date]]-A175)</f>
        <v>8.9652777777737356</v>
      </c>
      <c r="D176" s="40">
        <f>IF(ISERROR(Tableau1[[#This Row],[Date]]-A175),"",Tableau1[[#This Row],[Date]]-A175)</f>
        <v>8.9652777777737356</v>
      </c>
      <c r="E176" s="39">
        <f>Tableau1[[#This Row],[Date]]-$A$5</f>
        <v>337.75347222221899</v>
      </c>
      <c r="F176" s="40">
        <f>Tableau1[[#This Row],[Date]]-$A$5</f>
        <v>337.75347222221899</v>
      </c>
      <c r="G176" s="40">
        <f>Tableau1[[#This Row],[Diff jour_x000D_
Cumul]]-F$6</f>
        <v>299.67013888889051</v>
      </c>
      <c r="H176" s="40">
        <f>Tableau1[[#This Row],[Diff jour_x000D_
Cumul]]-F$59</f>
        <v>277.15069444444089</v>
      </c>
      <c r="I176" s="21">
        <v>187397</v>
      </c>
      <c r="J176" s="38">
        <f>IF(ISERROR(Tableau1[[#This Row],[Index HP
kWh]]-I175),"",Tableau1[[#This Row],[Index HP
kWh]]-I175)</f>
        <v>307</v>
      </c>
      <c r="K176" s="40">
        <f>IF(ISERROR(Tableau1[[#This Row],[Différence HP
Instantané]]/(Tableau1[[#This Row],[Diff jour
Instantané]]*24)),"",Tableau1[[#This Row],[Différence HP
Instantané]]/(Tableau1[[#This Row],[Diff jour
Instantané]]*24))</f>
        <v>1.4268009295126496</v>
      </c>
      <c r="L176" s="40">
        <f>Tableau1[[#This Row],[Différence HP
Instantané]]/Tableau1[[#This Row],[Diff jour
Instantané]]</f>
        <v>34.243222308303586</v>
      </c>
      <c r="M176" s="40">
        <f>Tableau1[[#This Row],[Conso HP / jour
Instantané]]*365</f>
        <v>12498.776142530809</v>
      </c>
      <c r="N176" s="38">
        <f>Tableau1[[#This Row],[Index HP
kWh]]-$I$5</f>
        <v>7638</v>
      </c>
      <c r="O176" s="41">
        <f>Tableau1[[#This Row],[Différence HP
Cumul]]/(Tableau1[[#This Row],[Diff jour_x000D_
Cumul]]*24)</f>
        <v>0.94225530208794706</v>
      </c>
      <c r="P176" s="41">
        <f>Tableau1[[#This Row],[Différence HP
Cumul]]/Tableau1[[#This Row],[Diff jour_x000D_
Cumul]]</f>
        <v>22.61412725011073</v>
      </c>
      <c r="Q176" s="41">
        <f>Tableau1[[#This Row],[Conso HP / jour
Cumul]]*365</f>
        <v>8254.1564462904171</v>
      </c>
      <c r="R176" s="21">
        <v>122594</v>
      </c>
      <c r="S176" s="38">
        <f>Tableau1[[#This Row],[Index HC_x000D_
kWh]]-R175</f>
        <v>39</v>
      </c>
      <c r="T176" s="42">
        <f>Tableau1[[#This Row],[Différence_x000D_ HC
Instantané]]/(Tableau1[[#This Row],[Diff jour
Instantané]]*24)</f>
        <v>0.18125484120844734</v>
      </c>
      <c r="U176" s="42">
        <f>Tableau1[[#This Row],[Différence_x000D_ HC
Instantané]]/Tableau1[[#This Row],[Diff jour
Instantané]]</f>
        <v>4.350116189002736</v>
      </c>
      <c r="V176" s="42">
        <f>Tableau1[[#This Row],[Conso HC / jour_x000D_
Instantané]]*365</f>
        <v>1587.7924089859987</v>
      </c>
      <c r="W176" s="38">
        <f>Tableau1[[#This Row],[Index HC_x000D_
kWh]]-$R$5</f>
        <v>3162</v>
      </c>
      <c r="X176" s="43">
        <f>Tableau1[[#This Row],[Différence HC
Cumul]]/(Tableau1[[#This Row],[Diff jour_x000D_
Cumul]]*24)</f>
        <v>0.39007741099791682</v>
      </c>
      <c r="Y176" s="43">
        <f>Tableau1[[#This Row],[Différence HC
Cumul]]/Tableau1[[#This Row],[Diff jour_x000D_
Cumul]]</f>
        <v>9.3618578639500036</v>
      </c>
      <c r="Z176" s="43">
        <f>Tableau1[[#This Row],[Conso HC / jour_x000D_
Cumul]]*365</f>
        <v>3417.0781203417514</v>
      </c>
      <c r="AA176" s="38">
        <f>Tableau1[[#This Row],[Différence HP
Instantané]]+Tableau1[[#This Row],[Différence_x000D_ HC
Instantané]]</f>
        <v>346</v>
      </c>
      <c r="AB176" s="41">
        <f>Tableau1[[#This Row],[Conso HP + HC
Instantané]]/(Tableau1[[#This Row],[Diff jour
Instantané]]*24)</f>
        <v>1.6080557707210967</v>
      </c>
      <c r="AC176" s="34">
        <f>IF(ISERROR(Tableau1[[#This Row],[Date]]-A175),"",Tableau1[[#This Row],[Conso HP + HC
Instantané]]/Tableau1[[#This Row],[Diff jour
Instantané]])</f>
        <v>38.593338497306327</v>
      </c>
      <c r="AD176" s="41">
        <f>Tableau1[[#This Row],[Conso HP + HC / jour_x000D_
Instantané]]*365</f>
        <v>14086.56855151681</v>
      </c>
      <c r="AE176" s="38">
        <f>Tableau1[[#This Row],[Différence HP
Cumul]]+Tableau1[[#This Row],[Différence HC
Cumul]]</f>
        <v>10800</v>
      </c>
      <c r="AF176" s="40">
        <f>(Tableau1[[#This Row],[Conso HP + HC
Cumul]]-AE$6)/Tableau1[[#This Row],[Diff jour_x000D_
Cumul
depuis le 24/01]]</f>
        <v>27.460193499797082</v>
      </c>
      <c r="AG176" s="40">
        <f>(Tableau1[[#This Row],[Conso HP + HC
Cumul]]-AE$59)/Tableau1[[#This Row],[Diff jour_x000D_
Cumul
depuis
précédente facture
16/02/2021]]</f>
        <v>23.896746906140919</v>
      </c>
      <c r="AH176" s="41">
        <f>Tableau1[[#This Row],[Conso HP + HC
Cumul]]/(Tableau1[[#This Row],[Diff jour_x000D_
Cumul]]*24)</f>
        <v>1.332332713085864</v>
      </c>
      <c r="AI176" s="41">
        <f>Tableau1[[#This Row],[Conso HP + HC
Cumul]]/Tableau1[[#This Row],[Diff jour_x000D_
Cumul]]</f>
        <v>31.975985114060734</v>
      </c>
      <c r="AJ176" s="41">
        <f>Tableau1[[#This Row],[Conso HP + HC / jour_x000D_
Cumul]]*365</f>
        <v>11671.234566632167</v>
      </c>
      <c r="AK176" s="44">
        <f>(Tableau1[[#This Row],[Différence HP
Cumul]]*0.1799)+(Tableau1[[#This Row],[Différence HC
Cumul]]*0.1346)</f>
        <v>1799.6813999999999</v>
      </c>
      <c r="AL176" s="44">
        <f>Tableau1[[#This Row],[Montant
Tarif HP/HC]]/Tableau1[[#This Row],[Diff jour_x000D_
Cumul]]</f>
        <v>5.3283875607825903</v>
      </c>
      <c r="AM176" s="44">
        <f>(Tableau1[[#This Row],[Montant
Tarif HP/HC]]-AK$6)/Tableau1[[#This Row],[Diff jour_x000D_
Cumul
depuis le 24/01]]</f>
        <v>4.5892320305891641</v>
      </c>
      <c r="AN176" s="44">
        <f>(Tableau1[[#This Row],[Montant
Tarif HP/HC]]-AK$59)/Tableau1[[#This Row],[Diff jour_x000D_
Cumul
depuis
précédente facture
16/02/2021]]</f>
        <v>3.9968075931415679</v>
      </c>
      <c r="AO176" s="44">
        <f>Tableau1[[#This Row],[Conso HP + HC
Cumul]]*0.1599</f>
        <v>1726.9199999999998</v>
      </c>
      <c r="AP176" s="44">
        <f>Tableau1[[#This Row],[Montant
Tarif normal]]/Tableau1[[#This Row],[Diff jour_x000D_
Cumul]]</f>
        <v>5.1129600197383107</v>
      </c>
      <c r="AQ176" s="44">
        <f>(Tableau1[[#This Row],[Conso HP / an
Cumul]]*0.1799)+(Tableau1[[#This Row],[Conso HC / an_x000D_
Cumul]]*0.1346)</f>
        <v>1944.861459685646</v>
      </c>
      <c r="AR176" s="44">
        <f>Tableau1[[#This Row],[Conso HP + HC / an_x000D_
Cumul]]*0.1599</f>
        <v>1866.2304072044833</v>
      </c>
      <c r="AS176" s="38">
        <f>MONTH(Tableau1[[#This Row],[Date]])</f>
        <v>11</v>
      </c>
      <c r="AT176" s="38">
        <f>YEAR(Tableau1[[#This Row],[Date]])</f>
        <v>2021</v>
      </c>
    </row>
    <row r="177" spans="1:46" x14ac:dyDescent="0.2">
      <c r="A177" s="19">
        <v>44528.518055555556</v>
      </c>
      <c r="B177" s="20">
        <v>5.6</v>
      </c>
      <c r="C177" s="39">
        <f>IF(ISERROR(Tableau1[[#This Row],[Date]]-A176),"",Tableau1[[#This Row],[Date]]-A176)</f>
        <v>8.0562500000014552</v>
      </c>
      <c r="D177" s="40">
        <f>IF(ISERROR(Tableau1[[#This Row],[Date]]-A176),"",Tableau1[[#This Row],[Date]]-A176)</f>
        <v>8.0562500000014552</v>
      </c>
      <c r="E177" s="39">
        <f>Tableau1[[#This Row],[Date]]-$A$5</f>
        <v>345.80972222222044</v>
      </c>
      <c r="F177" s="40">
        <f>Tableau1[[#This Row],[Date]]-$A$5</f>
        <v>345.80972222222044</v>
      </c>
      <c r="G177" s="40">
        <f>Tableau1[[#This Row],[Diff jour_x000D_
Cumul]]-F$6</f>
        <v>307.72638888889196</v>
      </c>
      <c r="H177" s="40">
        <f>Tableau1[[#This Row],[Diff jour_x000D_
Cumul]]-F$59</f>
        <v>285.20694444444234</v>
      </c>
      <c r="I177" s="21">
        <v>187800</v>
      </c>
      <c r="J177" s="38">
        <f>IF(ISERROR(Tableau1[[#This Row],[Index HP
kWh]]-I176),"",Tableau1[[#This Row],[Index HP
kWh]]-I176)</f>
        <v>403</v>
      </c>
      <c r="K177" s="40">
        <f>IF(ISERROR(Tableau1[[#This Row],[Différence HP
Instantané]]/(Tableau1[[#This Row],[Diff jour
Instantané]]*24)),"",Tableau1[[#This Row],[Différence HP
Instantané]]/(Tableau1[[#This Row],[Diff jour
Instantané]]*24))</f>
        <v>2.084303077320544</v>
      </c>
      <c r="L177" s="40">
        <f>Tableau1[[#This Row],[Différence HP
Instantané]]/Tableau1[[#This Row],[Diff jour
Instantané]]</f>
        <v>50.023273855693056</v>
      </c>
      <c r="M177" s="40">
        <f>Tableau1[[#This Row],[Conso HP / jour
Instantané]]*365</f>
        <v>18258.494957327966</v>
      </c>
      <c r="N177" s="38">
        <f>Tableau1[[#This Row],[Index HP
kWh]]-$I$5</f>
        <v>8041</v>
      </c>
      <c r="O177" s="41">
        <f>Tableau1[[#This Row],[Différence HP
Cumul]]/(Tableau1[[#This Row],[Diff jour_x000D_
Cumul]]*24)</f>
        <v>0.96886132788182822</v>
      </c>
      <c r="P177" s="41">
        <f>Tableau1[[#This Row],[Différence HP
Cumul]]/Tableau1[[#This Row],[Diff jour_x000D_
Cumul]]</f>
        <v>23.252671869163876</v>
      </c>
      <c r="Q177" s="41">
        <f>Tableau1[[#This Row],[Conso HP / jour
Cumul]]*365</f>
        <v>8487.2252322448148</v>
      </c>
      <c r="R177" s="21">
        <v>122648</v>
      </c>
      <c r="S177" s="38">
        <f>Tableau1[[#This Row],[Index HC_x000D_
kWh]]-R176</f>
        <v>54</v>
      </c>
      <c r="T177" s="42">
        <f>Tableau1[[#This Row],[Différence_x000D_ HC
Instantané]]/(Tableau1[[#This Row],[Diff jour
Instantané]]*24)</f>
        <v>0.2792862684250853</v>
      </c>
      <c r="U177" s="42">
        <f>Tableau1[[#This Row],[Différence_x000D_ HC
Instantané]]/Tableau1[[#This Row],[Diff jour
Instantané]]</f>
        <v>6.7028704422020473</v>
      </c>
      <c r="V177" s="42">
        <f>Tableau1[[#This Row],[Conso HC / jour_x000D_
Instantané]]*365</f>
        <v>2446.5477114037471</v>
      </c>
      <c r="W177" s="38">
        <f>Tableau1[[#This Row],[Index HC_x000D_
kWh]]-$R$5</f>
        <v>3216</v>
      </c>
      <c r="X177" s="43">
        <f>Tableau1[[#This Row],[Différence HC
Cumul]]/(Tableau1[[#This Row],[Diff jour_x000D_
Cumul]]*24)</f>
        <v>0.38749633509115278</v>
      </c>
      <c r="Y177" s="43">
        <f>Tableau1[[#This Row],[Différence HC
Cumul]]/Tableau1[[#This Row],[Diff jour_x000D_
Cumul]]</f>
        <v>9.2999120421876675</v>
      </c>
      <c r="Z177" s="43">
        <f>Tableau1[[#This Row],[Conso HC / jour_x000D_
Cumul]]*365</f>
        <v>3394.4678953984985</v>
      </c>
      <c r="AA177" s="38">
        <f>Tableau1[[#This Row],[Différence HP
Instantané]]+Tableau1[[#This Row],[Différence_x000D_ HC
Instantané]]</f>
        <v>457</v>
      </c>
      <c r="AB177" s="41">
        <f>Tableau1[[#This Row],[Conso HP + HC
Instantané]]/(Tableau1[[#This Row],[Diff jour
Instantané]]*24)</f>
        <v>2.3635893457456296</v>
      </c>
      <c r="AC177" s="34">
        <f>IF(ISERROR(Tableau1[[#This Row],[Date]]-A176),"",Tableau1[[#This Row],[Conso HP + HC
Instantané]]/Tableau1[[#This Row],[Diff jour
Instantané]])</f>
        <v>56.726144297895104</v>
      </c>
      <c r="AD177" s="41">
        <f>Tableau1[[#This Row],[Conso HP + HC / jour_x000D_
Instantané]]*365</f>
        <v>20705.042668731712</v>
      </c>
      <c r="AE177" s="38">
        <f>Tableau1[[#This Row],[Différence HP
Cumul]]+Tableau1[[#This Row],[Différence HC
Cumul]]</f>
        <v>11257</v>
      </c>
      <c r="AF177" s="40">
        <f>(Tableau1[[#This Row],[Conso HP + HC
Cumul]]-AE$6)/Tableau1[[#This Row],[Diff jour_x000D_
Cumul
depuis le 24/01]]</f>
        <v>28.226373537097519</v>
      </c>
      <c r="AG177" s="40">
        <f>(Tableau1[[#This Row],[Conso HP + HC
Cumul]]-AE$59)/Tableau1[[#This Row],[Diff jour_x000D_
Cumul
depuis
précédente facture
16/02/2021]]</f>
        <v>24.824079980910732</v>
      </c>
      <c r="AH177" s="41">
        <f>Tableau1[[#This Row],[Conso HP + HC
Cumul]]/(Tableau1[[#This Row],[Diff jour_x000D_
Cumul]]*24)</f>
        <v>1.356357662972981</v>
      </c>
      <c r="AI177" s="41">
        <f>Tableau1[[#This Row],[Conso HP + HC
Cumul]]/Tableau1[[#This Row],[Diff jour_x000D_
Cumul]]</f>
        <v>32.552583911351547</v>
      </c>
      <c r="AJ177" s="41">
        <f>Tableau1[[#This Row],[Conso HP + HC / jour_x000D_
Cumul]]*365</f>
        <v>11881.693127643315</v>
      </c>
      <c r="AK177" s="44">
        <f>(Tableau1[[#This Row],[Différence HP
Cumul]]*0.1799)+(Tableau1[[#This Row],[Différence HC
Cumul]]*0.1346)</f>
        <v>1879.4495000000002</v>
      </c>
      <c r="AL177" s="44">
        <f>Tableau1[[#This Row],[Montant
Tarif HP/HC]]/Tableau1[[#This Row],[Diff jour_x000D_
Cumul]]</f>
        <v>5.4349238301410425</v>
      </c>
      <c r="AM177" s="44">
        <f>(Tableau1[[#This Row],[Montant
Tarif HP/HC]]-AK$6)/Tableau1[[#This Row],[Diff jour_x000D_
Cumul
depuis le 24/01]]</f>
        <v>4.7283039496666399</v>
      </c>
      <c r="AN177" s="44">
        <f>(Tableau1[[#This Row],[Montant
Tarif HP/HC]]-AK$59)/Tableau1[[#This Row],[Diff jour_x000D_
Cumul
depuis
précédente facture
16/02/2021]]</f>
        <v>4.163594621838949</v>
      </c>
      <c r="AO177" s="44">
        <f>Tableau1[[#This Row],[Conso HP + HC
Cumul]]*0.1599</f>
        <v>1799.9942999999998</v>
      </c>
      <c r="AP177" s="44">
        <f>Tableau1[[#This Row],[Montant
Tarif normal]]/Tableau1[[#This Row],[Diff jour_x000D_
Cumul]]</f>
        <v>5.2051581674251119</v>
      </c>
      <c r="AQ177" s="44">
        <f>(Tableau1[[#This Row],[Conso HP / an
Cumul]]*0.1799)+(Tableau1[[#This Row],[Conso HC / an_x000D_
Cumul]]*0.1346)</f>
        <v>1983.74719800148</v>
      </c>
      <c r="AR177" s="44">
        <f>Tableau1[[#This Row],[Conso HP + HC / an_x000D_
Cumul]]*0.1599</f>
        <v>1899.8827311101659</v>
      </c>
      <c r="AS177" s="38">
        <f>MONTH(Tableau1[[#This Row],[Date]])</f>
        <v>11</v>
      </c>
      <c r="AT177" s="38">
        <f>YEAR(Tableau1[[#This Row],[Date]])</f>
        <v>2021</v>
      </c>
    </row>
    <row r="178" spans="1:46" x14ac:dyDescent="0.2">
      <c r="A178" s="19">
        <v>44537.881249999999</v>
      </c>
      <c r="B178" s="20">
        <v>7.1</v>
      </c>
      <c r="C178" s="39">
        <f>IF(ISERROR(Tableau1[[#This Row],[Date]]-A177),"",Tableau1[[#This Row],[Date]]-A177)</f>
        <v>9.3631944444423425</v>
      </c>
      <c r="D178" s="40">
        <f>IF(ISERROR(Tableau1[[#This Row],[Date]]-A177),"",Tableau1[[#This Row],[Date]]-A177)</f>
        <v>9.3631944444423425</v>
      </c>
      <c r="E178" s="39">
        <f>Tableau1[[#This Row],[Date]]-$A$5</f>
        <v>355.17291666666279</v>
      </c>
      <c r="F178" s="40">
        <f>Tableau1[[#This Row],[Date]]-$A$5</f>
        <v>355.17291666666279</v>
      </c>
      <c r="G178" s="40">
        <f>Tableau1[[#This Row],[Diff jour_x000D_
Cumul]]-F$6</f>
        <v>317.0895833333343</v>
      </c>
      <c r="H178" s="40">
        <f>Tableau1[[#This Row],[Diff jour_x000D_
Cumul]]-F$59</f>
        <v>294.57013888888469</v>
      </c>
      <c r="I178" s="21">
        <v>188205</v>
      </c>
      <c r="J178" s="38">
        <f>IF(ISERROR(Tableau1[[#This Row],[Index HP
kWh]]-I177),"",Tableau1[[#This Row],[Index HP
kWh]]-I177)</f>
        <v>405</v>
      </c>
      <c r="K178" s="40">
        <f>IF(ISERROR(Tableau1[[#This Row],[Différence HP
Instantané]]/(Tableau1[[#This Row],[Diff jour
Instantané]]*24)),"",Tableau1[[#This Row],[Différence HP
Instantané]]/(Tableau1[[#This Row],[Diff jour
Instantané]]*24))</f>
        <v>1.8022695245869209</v>
      </c>
      <c r="L178" s="40">
        <f>Tableau1[[#This Row],[Différence HP
Instantané]]/Tableau1[[#This Row],[Diff jour
Instantané]]</f>
        <v>43.254468590086105</v>
      </c>
      <c r="M178" s="40">
        <f>Tableau1[[#This Row],[Conso HP / jour
Instantané]]*365</f>
        <v>15787.881035381428</v>
      </c>
      <c r="N178" s="38">
        <f>Tableau1[[#This Row],[Index HP
kWh]]-$I$5</f>
        <v>8446</v>
      </c>
      <c r="O178" s="41">
        <f>Tableau1[[#This Row],[Différence HP
Cumul]]/(Tableau1[[#This Row],[Diff jour_x000D_
Cumul]]*24)</f>
        <v>0.99083193045641993</v>
      </c>
      <c r="P178" s="41">
        <f>Tableau1[[#This Row],[Différence HP
Cumul]]/Tableau1[[#This Row],[Diff jour_x000D_
Cumul]]</f>
        <v>23.779966330954078</v>
      </c>
      <c r="Q178" s="41">
        <f>Tableau1[[#This Row],[Conso HP / jour
Cumul]]*365</f>
        <v>8679.6877107982382</v>
      </c>
      <c r="R178" s="21">
        <v>122809</v>
      </c>
      <c r="S178" s="38">
        <f>Tableau1[[#This Row],[Index HC_x000D_
kWh]]-R177</f>
        <v>161</v>
      </c>
      <c r="T178" s="42">
        <f>Tableau1[[#This Row],[Différence_x000D_ HC
Instantané]]/(Tableau1[[#This Row],[Diff jour
Instantané]]*24)</f>
        <v>0.71645776162591179</v>
      </c>
      <c r="U178" s="42">
        <f>Tableau1[[#This Row],[Différence_x000D_ HC
Instantané]]/Tableau1[[#This Row],[Diff jour
Instantané]]</f>
        <v>17.194986279021883</v>
      </c>
      <c r="V178" s="42">
        <f>Tableau1[[#This Row],[Conso HC / jour_x000D_
Instantané]]*365</f>
        <v>6276.1699918429877</v>
      </c>
      <c r="W178" s="38">
        <f>Tableau1[[#This Row],[Index HC_x000D_
kWh]]-$R$5</f>
        <v>3377</v>
      </c>
      <c r="X178" s="43">
        <f>Tableau1[[#This Row],[Différence HC
Cumul]]/(Tableau1[[#This Row],[Diff jour_x000D_
Cumul]]*24)</f>
        <v>0.39616853293290671</v>
      </c>
      <c r="Y178" s="43">
        <f>Tableau1[[#This Row],[Différence HC
Cumul]]/Tableau1[[#This Row],[Diff jour_x000D_
Cumul]]</f>
        <v>9.5080447903897607</v>
      </c>
      <c r="Z178" s="43">
        <f>Tableau1[[#This Row],[Conso HC / jour_x000D_
Cumul]]*365</f>
        <v>3470.4363484922628</v>
      </c>
      <c r="AA178" s="38">
        <f>Tableau1[[#This Row],[Différence HP
Instantané]]+Tableau1[[#This Row],[Différence_x000D_ HC
Instantané]]</f>
        <v>566</v>
      </c>
      <c r="AB178" s="41">
        <f>Tableau1[[#This Row],[Conso HP + HC
Instantané]]/(Tableau1[[#This Row],[Diff jour
Instantané]]*24)</f>
        <v>2.5187272862128327</v>
      </c>
      <c r="AC178" s="34">
        <f>IF(ISERROR(Tableau1[[#This Row],[Date]]-A177),"",Tableau1[[#This Row],[Conso HP + HC
Instantané]]/Tableau1[[#This Row],[Diff jour
Instantané]])</f>
        <v>60.449454869107988</v>
      </c>
      <c r="AD178" s="41">
        <f>Tableau1[[#This Row],[Conso HP + HC / jour_x000D_
Instantané]]*365</f>
        <v>22064.051027224417</v>
      </c>
      <c r="AE178" s="38">
        <f>Tableau1[[#This Row],[Différence HP
Cumul]]+Tableau1[[#This Row],[Différence HC
Cumul]]</f>
        <v>11823</v>
      </c>
      <c r="AF178" s="40">
        <f>(Tableau1[[#This Row],[Conso HP + HC
Cumul]]-AE$6)/Tableau1[[#This Row],[Diff jour_x000D_
Cumul
depuis le 24/01]]</f>
        <v>29.177874286314896</v>
      </c>
      <c r="AG178" s="40">
        <f>(Tableau1[[#This Row],[Conso HP + HC
Cumul]]-AE$59)/Tableau1[[#This Row],[Diff jour_x000D_
Cumul
depuis
précédente facture
16/02/2021]]</f>
        <v>25.956466697</v>
      </c>
      <c r="AH178" s="41">
        <f>Tableau1[[#This Row],[Conso HP + HC
Cumul]]/(Tableau1[[#This Row],[Diff jour_x000D_
Cumul]]*24)</f>
        <v>1.3870004633893267</v>
      </c>
      <c r="AI178" s="41">
        <f>Tableau1[[#This Row],[Conso HP + HC
Cumul]]/Tableau1[[#This Row],[Diff jour_x000D_
Cumul]]</f>
        <v>33.288011121343843</v>
      </c>
      <c r="AJ178" s="41">
        <f>Tableau1[[#This Row],[Conso HP + HC / jour_x000D_
Cumul]]*365</f>
        <v>12150.124059290503</v>
      </c>
      <c r="AK178" s="44">
        <f>(Tableau1[[#This Row],[Différence HP
Cumul]]*0.1799)+(Tableau1[[#This Row],[Différence HC
Cumul]]*0.1346)</f>
        <v>1973.9796000000001</v>
      </c>
      <c r="AL178" s="44">
        <f>Tableau1[[#This Row],[Montant
Tarif HP/HC]]/Tableau1[[#This Row],[Diff jour_x000D_
Cumul]]</f>
        <v>5.5577987717251007</v>
      </c>
      <c r="AM178" s="44">
        <f>(Tableau1[[#This Row],[Montant
Tarif HP/HC]]-AK$6)/Tableau1[[#This Row],[Diff jour_x000D_
Cumul
depuis le 24/01]]</f>
        <v>4.8868019684237352</v>
      </c>
      <c r="AN178" s="44">
        <f>(Tableau1[[#This Row],[Montant
Tarif HP/HC]]-AK$59)/Tableau1[[#This Row],[Diff jour_x000D_
Cumul
depuis
précédente facture
16/02/2021]]</f>
        <v>4.3521594036508624</v>
      </c>
      <c r="AO178" s="44">
        <f>Tableau1[[#This Row],[Conso HP + HC
Cumul]]*0.1599</f>
        <v>1890.4976999999999</v>
      </c>
      <c r="AP178" s="44">
        <f>Tableau1[[#This Row],[Montant
Tarif normal]]/Tableau1[[#This Row],[Diff jour_x000D_
Cumul]]</f>
        <v>5.32275297830288</v>
      </c>
      <c r="AQ178" s="44">
        <f>(Tableau1[[#This Row],[Conso HP / an
Cumul]]*0.1799)+(Tableau1[[#This Row],[Conso HC / an_x000D_
Cumul]]*0.1346)</f>
        <v>2028.5965516796616</v>
      </c>
      <c r="AR178" s="44">
        <f>Tableau1[[#This Row],[Conso HP + HC / an_x000D_
Cumul]]*0.1599</f>
        <v>1942.8048370805514</v>
      </c>
      <c r="AS178" s="38">
        <f>MONTH(Tableau1[[#This Row],[Date]])</f>
        <v>12</v>
      </c>
      <c r="AT178" s="38">
        <f>YEAR(Tableau1[[#This Row],[Date]])</f>
        <v>2021</v>
      </c>
    </row>
    <row r="179" spans="1:46" x14ac:dyDescent="0.2">
      <c r="A179" s="19">
        <v>44549.504861111112</v>
      </c>
      <c r="B179" s="20">
        <v>1.5</v>
      </c>
      <c r="C179" s="39">
        <f>IF(ISERROR(Tableau1[[#This Row],[Date]]-A178),"",Tableau1[[#This Row],[Date]]-A178)</f>
        <v>11.62361111111386</v>
      </c>
      <c r="D179" s="40">
        <f>IF(ISERROR(Tableau1[[#This Row],[Date]]-A178),"",Tableau1[[#This Row],[Date]]-A178)</f>
        <v>11.62361111111386</v>
      </c>
      <c r="E179" s="39">
        <f>Tableau1[[#This Row],[Date]]-$A$5</f>
        <v>366.79652777777665</v>
      </c>
      <c r="F179" s="40">
        <f>Tableau1[[#This Row],[Date]]-$A$5</f>
        <v>366.79652777777665</v>
      </c>
      <c r="G179" s="40">
        <f>Tableau1[[#This Row],[Diff jour_x000D_
Cumul]]-F$6</f>
        <v>328.71319444444816</v>
      </c>
      <c r="H179" s="40">
        <f>Tableau1[[#This Row],[Diff jour_x000D_
Cumul]]-F$59</f>
        <v>306.19374999999854</v>
      </c>
      <c r="I179" s="21">
        <v>188716</v>
      </c>
      <c r="J179" s="38">
        <f>IF(ISERROR(Tableau1[[#This Row],[Index HP
kWh]]-I178),"",Tableau1[[#This Row],[Index HP
kWh]]-I178)</f>
        <v>511</v>
      </c>
      <c r="K179" s="40">
        <f>IF(ISERROR(Tableau1[[#This Row],[Différence HP
Instantané]]/(Tableau1[[#This Row],[Diff jour
Instantané]]*24)),"",Tableau1[[#This Row],[Différence HP
Instantané]]/(Tableau1[[#This Row],[Diff jour
Instantané]]*24))</f>
        <v>1.8317600669131766</v>
      </c>
      <c r="L179" s="40">
        <f>Tableau1[[#This Row],[Différence HP
Instantané]]/Tableau1[[#This Row],[Diff jour
Instantané]]</f>
        <v>43.96224160591624</v>
      </c>
      <c r="M179" s="40">
        <f>Tableau1[[#This Row],[Conso HP / jour
Instantané]]*365</f>
        <v>16046.218186159427</v>
      </c>
      <c r="N179" s="38">
        <f>Tableau1[[#This Row],[Index HP
kWh]]-$I$5</f>
        <v>8957</v>
      </c>
      <c r="O179" s="41">
        <f>Tableau1[[#This Row],[Différence HP
Cumul]]/(Tableau1[[#This Row],[Diff jour_x000D_
Cumul]]*24)</f>
        <v>1.0174805513956262</v>
      </c>
      <c r="P179" s="41">
        <f>Tableau1[[#This Row],[Différence HP
Cumul]]/Tableau1[[#This Row],[Diff jour_x000D_
Cumul]]</f>
        <v>24.419533233495031</v>
      </c>
      <c r="Q179" s="41">
        <f>Tableau1[[#This Row],[Conso HP / jour
Cumul]]*365</f>
        <v>8913.1296302256869</v>
      </c>
      <c r="R179" s="21">
        <v>123033</v>
      </c>
      <c r="S179" s="38">
        <f>Tableau1[[#This Row],[Index HC_x000D_
kWh]]-R178</f>
        <v>224</v>
      </c>
      <c r="T179" s="42">
        <f>Tableau1[[#This Row],[Différence_x000D_ HC
Instantané]]/(Tableau1[[#This Row],[Diff jour
Instantané]]*24)</f>
        <v>0.80296331700303636</v>
      </c>
      <c r="U179" s="42">
        <f>Tableau1[[#This Row],[Différence_x000D_ HC
Instantané]]/Tableau1[[#This Row],[Diff jour
Instantané]]</f>
        <v>19.271119608072873</v>
      </c>
      <c r="V179" s="42">
        <f>Tableau1[[#This Row],[Conso HC / jour_x000D_
Instantané]]*365</f>
        <v>7033.9586569465982</v>
      </c>
      <c r="W179" s="38">
        <f>Tableau1[[#This Row],[Index HC_x000D_
kWh]]-$R$5</f>
        <v>3601</v>
      </c>
      <c r="X179" s="43">
        <f>Tableau1[[#This Row],[Différence HC
Cumul]]/(Tableau1[[#This Row],[Diff jour_x000D_
Cumul]]*24)</f>
        <v>0.40905967015470024</v>
      </c>
      <c r="Y179" s="43">
        <f>Tableau1[[#This Row],[Différence HC
Cumul]]/Tableau1[[#This Row],[Diff jour_x000D_
Cumul]]</f>
        <v>9.8174320837128057</v>
      </c>
      <c r="Z179" s="43">
        <f>Tableau1[[#This Row],[Conso HC / jour_x000D_
Cumul]]*365</f>
        <v>3583.3627105551741</v>
      </c>
      <c r="AA179" s="38">
        <f>Tableau1[[#This Row],[Différence HP
Instantané]]+Tableau1[[#This Row],[Différence_x000D_ HC
Instantané]]</f>
        <v>735</v>
      </c>
      <c r="AB179" s="41">
        <f>Tableau1[[#This Row],[Conso HP + HC
Instantané]]/(Tableau1[[#This Row],[Diff jour
Instantané]]*24)</f>
        <v>2.6347233839162127</v>
      </c>
      <c r="AC179" s="34">
        <f>IF(ISERROR(Tableau1[[#This Row],[Date]]-A178),"",Tableau1[[#This Row],[Conso HP + HC
Instantané]]/Tableau1[[#This Row],[Diff jour
Instantané]])</f>
        <v>63.233361213989113</v>
      </c>
      <c r="AD179" s="41">
        <f>Tableau1[[#This Row],[Conso HP + HC / jour_x000D_
Instantané]]*365</f>
        <v>23080.176843106026</v>
      </c>
      <c r="AE179" s="38">
        <f>Tableau1[[#This Row],[Différence HP
Cumul]]+Tableau1[[#This Row],[Différence HC
Cumul]]</f>
        <v>12558</v>
      </c>
      <c r="AF179" s="40">
        <f>(Tableau1[[#This Row],[Conso HP + HC
Cumul]]-AE$6)/Tableau1[[#This Row],[Diff jour_x000D_
Cumul
depuis le 24/01]]</f>
        <v>30.382108685593945</v>
      </c>
      <c r="AG179" s="40">
        <f>(Tableau1[[#This Row],[Conso HP + HC
Cumul]]-AE$59)/Tableau1[[#This Row],[Diff jour_x000D_
Cumul
depuis
précédente facture
16/02/2021]]</f>
        <v>27.371558041273016</v>
      </c>
      <c r="AH179" s="41">
        <f>Tableau1[[#This Row],[Conso HP + HC
Cumul]]/(Tableau1[[#This Row],[Diff jour_x000D_
Cumul]]*24)</f>
        <v>1.4265402215503264</v>
      </c>
      <c r="AI179" s="41">
        <f>Tableau1[[#This Row],[Conso HP + HC
Cumul]]/Tableau1[[#This Row],[Diff jour_x000D_
Cumul]]</f>
        <v>34.23696531720784</v>
      </c>
      <c r="AJ179" s="41">
        <f>Tableau1[[#This Row],[Conso HP + HC / jour_x000D_
Cumul]]*365</f>
        <v>12496.492340780862</v>
      </c>
      <c r="AK179" s="44">
        <f>(Tableau1[[#This Row],[Différence HP
Cumul]]*0.1799)+(Tableau1[[#This Row],[Différence HC
Cumul]]*0.1346)</f>
        <v>2096.0589</v>
      </c>
      <c r="AL179" s="44">
        <f>Tableau1[[#This Row],[Montant
Tarif HP/HC]]/Tableau1[[#This Row],[Diff jour_x000D_
Cumul]]</f>
        <v>5.7145003871734996</v>
      </c>
      <c r="AM179" s="44">
        <f>(Tableau1[[#This Row],[Montant
Tarif HP/HC]]-AK$6)/Tableau1[[#This Row],[Diff jour_x000D_
Cumul
depuis le 24/01]]</f>
        <v>5.0853854614056342</v>
      </c>
      <c r="AN179" s="44">
        <f>(Tableau1[[#This Row],[Montant
Tarif HP/HC]]-AK$59)/Tableau1[[#This Row],[Diff jour_x000D_
Cumul
depuis
précédente facture
16/02/2021]]</f>
        <v>4.585643893776429</v>
      </c>
      <c r="AO179" s="44">
        <f>Tableau1[[#This Row],[Conso HP + HC
Cumul]]*0.1599</f>
        <v>2008.0241999999998</v>
      </c>
      <c r="AP179" s="44">
        <f>Tableau1[[#This Row],[Montant
Tarif normal]]/Tableau1[[#This Row],[Diff jour_x000D_
Cumul]]</f>
        <v>5.4744907542215326</v>
      </c>
      <c r="AQ179" s="44">
        <f>(Tableau1[[#This Row],[Conso HP / an
Cumul]]*0.1799)+(Tableau1[[#This Row],[Conso HC / an_x000D_
Cumul]]*0.1346)</f>
        <v>2085.7926413183277</v>
      </c>
      <c r="AR179" s="44">
        <f>Tableau1[[#This Row],[Conso HP + HC / an_x000D_
Cumul]]*0.1599</f>
        <v>1998.1891252908597</v>
      </c>
      <c r="AS179" s="38">
        <f>MONTH(Tableau1[[#This Row],[Date]])</f>
        <v>12</v>
      </c>
      <c r="AT179" s="38">
        <f>YEAR(Tableau1[[#This Row],[Date]])</f>
        <v>2021</v>
      </c>
    </row>
    <row r="180" spans="1:46" x14ac:dyDescent="0.2">
      <c r="A180" s="19">
        <v>44550.722222222219</v>
      </c>
      <c r="B180" s="20">
        <v>1.8</v>
      </c>
      <c r="C180" s="39">
        <f>IF(ISERROR(Tableau1[[#This Row],[Date]]-A179),"",Tableau1[[#This Row],[Date]]-A179)</f>
        <v>1.2173611111065838</v>
      </c>
      <c r="D180" s="40">
        <f>IF(ISERROR(Tableau1[[#This Row],[Date]]-A179),"",Tableau1[[#This Row],[Date]]-A179)</f>
        <v>1.2173611111065838</v>
      </c>
      <c r="E180" s="39">
        <f>Tableau1[[#This Row],[Date]]-$A$5</f>
        <v>368.01388888888323</v>
      </c>
      <c r="F180" s="40">
        <f>Tableau1[[#This Row],[Date]]-$A$5</f>
        <v>368.01388888888323</v>
      </c>
      <c r="G180" s="40">
        <f>Tableau1[[#This Row],[Diff jour_x000D_
Cumul]]-F$6</f>
        <v>329.93055555555475</v>
      </c>
      <c r="H180" s="40">
        <f>Tableau1[[#This Row],[Diff jour_x000D_
Cumul]]-F$59</f>
        <v>307.41111111110513</v>
      </c>
      <c r="I180" s="21">
        <v>188797</v>
      </c>
      <c r="J180" s="38">
        <f>IF(ISERROR(Tableau1[[#This Row],[Index HP
kWh]]-I179),"",Tableau1[[#This Row],[Index HP
kWh]]-I179)</f>
        <v>81</v>
      </c>
      <c r="K180" s="40">
        <f>IF(ISERROR(Tableau1[[#This Row],[Différence HP
Instantané]]/(Tableau1[[#This Row],[Diff jour
Instantané]]*24)),"",Tableau1[[#This Row],[Différence HP
Instantané]]/(Tableau1[[#This Row],[Diff jour
Instantané]]*24))</f>
        <v>2.7723901882590267</v>
      </c>
      <c r="L180" s="40">
        <f>Tableau1[[#This Row],[Différence HP
Instantané]]/Tableau1[[#This Row],[Diff jour
Instantané]]</f>
        <v>66.537364518216648</v>
      </c>
      <c r="M180" s="40">
        <f>Tableau1[[#This Row],[Conso HP / jour
Instantané]]*365</f>
        <v>24286.138049149078</v>
      </c>
      <c r="N180" s="38">
        <f>Tableau1[[#This Row],[Index HP
kWh]]-$I$5</f>
        <v>9038</v>
      </c>
      <c r="O180" s="41">
        <f>Tableau1[[#This Row],[Différence HP
Cumul]]/(Tableau1[[#This Row],[Diff jour_x000D_
Cumul]]*24)</f>
        <v>1.0232856549798248</v>
      </c>
      <c r="P180" s="41">
        <f>Tableau1[[#This Row],[Différence HP
Cumul]]/Tableau1[[#This Row],[Diff jour_x000D_
Cumul]]</f>
        <v>24.558855719515794</v>
      </c>
      <c r="Q180" s="41">
        <f>Tableau1[[#This Row],[Conso HP / jour
Cumul]]*365</f>
        <v>8963.9823376232653</v>
      </c>
      <c r="R180" s="21">
        <v>123058</v>
      </c>
      <c r="S180" s="38">
        <f>Tableau1[[#This Row],[Index HC_x000D_
kWh]]-R179</f>
        <v>25</v>
      </c>
      <c r="T180" s="42">
        <f>Tableau1[[#This Row],[Différence_x000D_ HC
Instantané]]/(Tableau1[[#This Row],[Diff jour
Instantané]]*24)</f>
        <v>0.85567598403056377</v>
      </c>
      <c r="U180" s="42">
        <f>Tableau1[[#This Row],[Différence_x000D_ HC
Instantané]]/Tableau1[[#This Row],[Diff jour
Instantané]]</f>
        <v>20.536223616733533</v>
      </c>
      <c r="V180" s="42">
        <f>Tableau1[[#This Row],[Conso HC / jour_x000D_
Instantané]]*365</f>
        <v>7495.7216201077399</v>
      </c>
      <c r="W180" s="38">
        <f>Tableau1[[#This Row],[Index HC_x000D_
kWh]]-$R$5</f>
        <v>3626</v>
      </c>
      <c r="X180" s="43">
        <f>Tableau1[[#This Row],[Différence HC
Cumul]]/(Tableau1[[#This Row],[Diff jour_x000D_
Cumul]]*24)</f>
        <v>0.41053704192928131</v>
      </c>
      <c r="Y180" s="43">
        <f>Tableau1[[#This Row],[Différence HC
Cumul]]/Tableau1[[#This Row],[Diff jour_x000D_
Cumul]]</f>
        <v>9.8528890063027514</v>
      </c>
      <c r="Z180" s="43">
        <f>Tableau1[[#This Row],[Conso HC / jour_x000D_
Cumul]]*365</f>
        <v>3596.3044873005042</v>
      </c>
      <c r="AA180" s="38">
        <f>Tableau1[[#This Row],[Différence HP
Instantané]]+Tableau1[[#This Row],[Différence_x000D_ HC
Instantané]]</f>
        <v>106</v>
      </c>
      <c r="AB180" s="41">
        <f>Tableau1[[#This Row],[Conso HP + HC
Instantané]]/(Tableau1[[#This Row],[Diff jour
Instantané]]*24)</f>
        <v>3.6280661722895906</v>
      </c>
      <c r="AC180" s="34">
        <f>IF(ISERROR(Tableau1[[#This Row],[Date]]-A179),"",Tableau1[[#This Row],[Conso HP + HC
Instantané]]/Tableau1[[#This Row],[Diff jour
Instantané]])</f>
        <v>87.073588134950171</v>
      </c>
      <c r="AD180" s="41">
        <f>Tableau1[[#This Row],[Conso HP + HC / jour_x000D_
Instantané]]*365</f>
        <v>31781.859669256814</v>
      </c>
      <c r="AE180" s="38">
        <f>Tableau1[[#This Row],[Différence HP
Cumul]]+Tableau1[[#This Row],[Différence HC
Cumul]]</f>
        <v>12664</v>
      </c>
      <c r="AF180" s="40">
        <f>(Tableau1[[#This Row],[Conso HP + HC
Cumul]]-AE$6)/Tableau1[[#This Row],[Diff jour_x000D_
Cumul
depuis le 24/01]]</f>
        <v>30.591286045043223</v>
      </c>
      <c r="AG180" s="40">
        <f>(Tableau1[[#This Row],[Conso HP + HC
Cumul]]-AE$59)/Tableau1[[#This Row],[Diff jour_x000D_
Cumul
depuis
précédente facture
16/02/2021]]</f>
        <v>27.607980626739973</v>
      </c>
      <c r="AH180" s="41">
        <f>Tableau1[[#This Row],[Conso HP + HC
Cumul]]/(Tableau1[[#This Row],[Diff jour_x000D_
Cumul]]*24)</f>
        <v>1.4338226969091061</v>
      </c>
      <c r="AI180" s="41">
        <f>Tableau1[[#This Row],[Conso HP + HC
Cumul]]/Tableau1[[#This Row],[Diff jour_x000D_
Cumul]]</f>
        <v>34.411744725818544</v>
      </c>
      <c r="AJ180" s="41">
        <f>Tableau1[[#This Row],[Conso HP + HC / jour_x000D_
Cumul]]*365</f>
        <v>12560.286824923769</v>
      </c>
      <c r="AK180" s="44">
        <f>(Tableau1[[#This Row],[Différence HP
Cumul]]*0.1799)+(Tableau1[[#This Row],[Différence HC
Cumul]]*0.1346)</f>
        <v>2113.9958000000001</v>
      </c>
      <c r="AL180" s="44">
        <f>Tableau1[[#This Row],[Montant
Tarif HP/HC]]/Tableau1[[#This Row],[Diff jour_x000D_
Cumul]]</f>
        <v>5.7443370041892425</v>
      </c>
      <c r="AM180" s="44">
        <f>(Tableau1[[#This Row],[Montant
Tarif HP/HC]]-AK$6)/Tableau1[[#This Row],[Diff jour_x000D_
Cumul
depuis le 24/01]]</f>
        <v>5.1209873458219448</v>
      </c>
      <c r="AN180" s="44">
        <f>(Tableau1[[#This Row],[Montant
Tarif HP/HC]]-AK$59)/Tableau1[[#This Row],[Diff jour_x000D_
Cumul
depuis
précédente facture
16/02/2021]]</f>
        <v>4.6258327971953044</v>
      </c>
      <c r="AO180" s="44">
        <f>Tableau1[[#This Row],[Conso HP + HC
Cumul]]*0.1599</f>
        <v>2024.9735999999998</v>
      </c>
      <c r="AP180" s="44">
        <f>Tableau1[[#This Row],[Montant
Tarif normal]]/Tableau1[[#This Row],[Diff jour_x000D_
Cumul]]</f>
        <v>5.5024379816583853</v>
      </c>
      <c r="AQ180" s="44">
        <f>(Tableau1[[#This Row],[Conso HP / an
Cumul]]*0.1799)+(Tableau1[[#This Row],[Conso HC / an_x000D_
Cumul]]*0.1346)</f>
        <v>2096.6830065290733</v>
      </c>
      <c r="AR180" s="44">
        <f>Tableau1[[#This Row],[Conso HP + HC / an_x000D_
Cumul]]*0.1599</f>
        <v>2008.3898633053104</v>
      </c>
      <c r="AS180" s="38">
        <f>MONTH(Tableau1[[#This Row],[Date]])</f>
        <v>12</v>
      </c>
      <c r="AT180" s="38">
        <f>YEAR(Tableau1[[#This Row],[Date]])</f>
        <v>2021</v>
      </c>
    </row>
    <row r="181" spans="1:46" x14ac:dyDescent="0.2">
      <c r="A181" s="19">
        <v>44552.724305555559</v>
      </c>
      <c r="B181" s="20">
        <v>-0.7</v>
      </c>
      <c r="C181" s="39">
        <f>IF(ISERROR(Tableau1[[#This Row],[Date]]-A180),"",Tableau1[[#This Row],[Date]]-A180)</f>
        <v>2.0020833333401242</v>
      </c>
      <c r="D181" s="40">
        <f>IF(ISERROR(Tableau1[[#This Row],[Date]]-A180),"",Tableau1[[#This Row],[Date]]-A180)</f>
        <v>2.0020833333401242</v>
      </c>
      <c r="E181" s="39">
        <f>Tableau1[[#This Row],[Date]]-$A$5</f>
        <v>370.01597222222335</v>
      </c>
      <c r="F181" s="40">
        <f>Tableau1[[#This Row],[Date]]-$A$5</f>
        <v>370.01597222222335</v>
      </c>
      <c r="G181" s="40">
        <f>Tableau1[[#This Row],[Diff jour_x000D_
Cumul]]-F$6</f>
        <v>331.93263888889487</v>
      </c>
      <c r="H181" s="40">
        <f>Tableau1[[#This Row],[Diff jour_x000D_
Cumul]]-F$59</f>
        <v>309.41319444444525</v>
      </c>
      <c r="I181" s="21">
        <v>188917</v>
      </c>
      <c r="J181" s="38">
        <f>IF(ISERROR(Tableau1[[#This Row],[Index HP
kWh]]-I180),"",Tableau1[[#This Row],[Index HP
kWh]]-I180)</f>
        <v>120</v>
      </c>
      <c r="K181" s="40">
        <f>IF(ISERROR(Tableau1[[#This Row],[Différence HP
Instantané]]/(Tableau1[[#This Row],[Diff jour
Instantané]]*24)),"",Tableau1[[#This Row],[Différence HP
Instantané]]/(Tableau1[[#This Row],[Diff jour
Instantané]]*24))</f>
        <v>2.497398543175712</v>
      </c>
      <c r="L181" s="40">
        <f>Tableau1[[#This Row],[Différence HP
Instantané]]/Tableau1[[#This Row],[Diff jour
Instantané]]</f>
        <v>59.937565036217094</v>
      </c>
      <c r="M181" s="40">
        <f>Tableau1[[#This Row],[Conso HP / jour
Instantané]]*365</f>
        <v>21877.211238219239</v>
      </c>
      <c r="N181" s="38">
        <f>Tableau1[[#This Row],[Index HP
kWh]]-$I$5</f>
        <v>9158</v>
      </c>
      <c r="O181" s="41">
        <f>Tableau1[[#This Row],[Différence HP
Cumul]]/(Tableau1[[#This Row],[Diff jour_x000D_
Cumul]]*24)</f>
        <v>1.0312617886239863</v>
      </c>
      <c r="P181" s="41">
        <f>Tableau1[[#This Row],[Différence HP
Cumul]]/Tableau1[[#This Row],[Diff jour_x000D_
Cumul]]</f>
        <v>24.750282926975675</v>
      </c>
      <c r="Q181" s="41">
        <f>Tableau1[[#This Row],[Conso HP / jour
Cumul]]*365</f>
        <v>9033.8532683461217</v>
      </c>
      <c r="R181" s="21">
        <v>123108</v>
      </c>
      <c r="S181" s="38">
        <f>Tableau1[[#This Row],[Index HC_x000D_
kWh]]-R180</f>
        <v>50</v>
      </c>
      <c r="T181" s="42">
        <f>Tableau1[[#This Row],[Différence_x000D_ HC
Instantané]]/(Tableau1[[#This Row],[Diff jour
Instantané]]*24)</f>
        <v>1.0405827263232135</v>
      </c>
      <c r="U181" s="42">
        <f>Tableau1[[#This Row],[Différence_x000D_ HC
Instantané]]/Tableau1[[#This Row],[Diff jour
Instantané]]</f>
        <v>24.973985431757121</v>
      </c>
      <c r="V181" s="42">
        <f>Tableau1[[#This Row],[Conso HC / jour_x000D_
Instantané]]*365</f>
        <v>9115.5046825913487</v>
      </c>
      <c r="W181" s="38">
        <f>Tableau1[[#This Row],[Index HC_x000D_
kWh]]-$R$5</f>
        <v>3676</v>
      </c>
      <c r="X181" s="43">
        <f>Tableau1[[#This Row],[Différence HC
Cumul]]/(Tableau1[[#This Row],[Diff jour_x000D_
Cumul]]*24)</f>
        <v>0.41394609466933546</v>
      </c>
      <c r="Y181" s="43">
        <f>Tableau1[[#This Row],[Différence HC
Cumul]]/Tableau1[[#This Row],[Diff jour_x000D_
Cumul]]</f>
        <v>9.9347062720640515</v>
      </c>
      <c r="Z181" s="43">
        <f>Tableau1[[#This Row],[Conso HC / jour_x000D_
Cumul]]*365</f>
        <v>3626.1677893033789</v>
      </c>
      <c r="AA181" s="38">
        <f>Tableau1[[#This Row],[Différence HP
Instantané]]+Tableau1[[#This Row],[Différence_x000D_ HC
Instantané]]</f>
        <v>170</v>
      </c>
      <c r="AB181" s="41">
        <f>Tableau1[[#This Row],[Conso HP + HC
Instantané]]/(Tableau1[[#This Row],[Diff jour
Instantané]]*24)</f>
        <v>3.5379812694989257</v>
      </c>
      <c r="AC181" s="34">
        <f>IF(ISERROR(Tableau1[[#This Row],[Date]]-A180),"",Tableau1[[#This Row],[Conso HP + HC
Instantané]]/Tableau1[[#This Row],[Diff jour
Instantané]])</f>
        <v>84.911550467974209</v>
      </c>
      <c r="AD181" s="41">
        <f>Tableau1[[#This Row],[Conso HP + HC / jour_x000D_
Instantané]]*365</f>
        <v>30992.715920810588</v>
      </c>
      <c r="AE181" s="38">
        <f>Tableau1[[#This Row],[Différence HP
Cumul]]+Tableau1[[#This Row],[Différence HC
Cumul]]</f>
        <v>12834</v>
      </c>
      <c r="AF181" s="40">
        <f>(Tableau1[[#This Row],[Conso HP + HC
Cumul]]-AE$6)/Tableau1[[#This Row],[Diff jour_x000D_
Cumul
depuis le 24/01]]</f>
        <v>30.91892389478231</v>
      </c>
      <c r="AG181" s="40">
        <f>(Tableau1[[#This Row],[Conso HP + HC
Cumul]]-AE$59)/Tableau1[[#This Row],[Diff jour_x000D_
Cumul
depuis
précédente facture
16/02/2021]]</f>
        <v>27.978768053326675</v>
      </c>
      <c r="AH181" s="41">
        <f>Tableau1[[#This Row],[Conso HP + HC
Cumul]]/(Tableau1[[#This Row],[Diff jour_x000D_
Cumul]]*24)</f>
        <v>1.4452078832933219</v>
      </c>
      <c r="AI181" s="41">
        <f>Tableau1[[#This Row],[Conso HP + HC
Cumul]]/Tableau1[[#This Row],[Diff jour_x000D_
Cumul]]</f>
        <v>34.684989199039727</v>
      </c>
      <c r="AJ181" s="41">
        <f>Tableau1[[#This Row],[Conso HP + HC / jour_x000D_
Cumul]]*365</f>
        <v>12660.021057649501</v>
      </c>
      <c r="AK181" s="44">
        <f>(Tableau1[[#This Row],[Différence HP
Cumul]]*0.1799)+(Tableau1[[#This Row],[Différence HC
Cumul]]*0.1346)</f>
        <v>2142.3137999999999</v>
      </c>
      <c r="AL181" s="44">
        <f>Tableau1[[#This Row],[Montant
Tarif HP/HC]]/Tableau1[[#This Row],[Diff jour_x000D_
Cumul]]</f>
        <v>5.7897873627827448</v>
      </c>
      <c r="AM181" s="44">
        <f>(Tableau1[[#This Row],[Montant
Tarif HP/HC]]-AK$6)/Tableau1[[#This Row],[Diff jour_x000D_
Cumul
depuis le 24/01]]</f>
        <v>5.175412112983004</v>
      </c>
      <c r="AN181" s="44">
        <f>(Tableau1[[#This Row],[Montant
Tarif HP/HC]]-AK$59)/Tableau1[[#This Row],[Diff jour_x000D_
Cumul
depuis
précédente facture
16/02/2021]]</f>
        <v>4.6874225987812821</v>
      </c>
      <c r="AO181" s="44">
        <f>Tableau1[[#This Row],[Conso HP + HC
Cumul]]*0.1599</f>
        <v>2052.1565999999998</v>
      </c>
      <c r="AP181" s="44">
        <f>Tableau1[[#This Row],[Montant
Tarif normal]]/Tableau1[[#This Row],[Diff jour_x000D_
Cumul]]</f>
        <v>5.5461297729264514</v>
      </c>
      <c r="AQ181" s="44">
        <f>(Tableau1[[#This Row],[Conso HP / an
Cumul]]*0.1799)+(Tableau1[[#This Row],[Conso HC / an_x000D_
Cumul]]*0.1346)</f>
        <v>2113.2723874157023</v>
      </c>
      <c r="AR181" s="44">
        <f>Tableau1[[#This Row],[Conso HP + HC / an_x000D_
Cumul]]*0.1599</f>
        <v>2024.337367118155</v>
      </c>
      <c r="AS181" s="38">
        <f>MONTH(Tableau1[[#This Row],[Date]])</f>
        <v>12</v>
      </c>
      <c r="AT181" s="38">
        <f>YEAR(Tableau1[[#This Row],[Date]])</f>
        <v>2021</v>
      </c>
    </row>
    <row r="182" spans="1:46" x14ac:dyDescent="0.2">
      <c r="A182" s="19">
        <v>44554.658333333333</v>
      </c>
      <c r="B182" s="20">
        <v>11</v>
      </c>
      <c r="C182" s="39">
        <f>IF(ISERROR(Tableau1[[#This Row],[Date]]-A181),"",Tableau1[[#This Row],[Date]]-A181)</f>
        <v>1.9340277777737356</v>
      </c>
      <c r="D182" s="40">
        <f>IF(ISERROR(Tableau1[[#This Row],[Date]]-A181),"",Tableau1[[#This Row],[Date]]-A181)</f>
        <v>1.9340277777737356</v>
      </c>
      <c r="E182" s="39">
        <f>Tableau1[[#This Row],[Date]]-$A$5</f>
        <v>371.94999999999709</v>
      </c>
      <c r="F182" s="40">
        <f>Tableau1[[#This Row],[Date]]-$A$5</f>
        <v>371.94999999999709</v>
      </c>
      <c r="G182" s="40">
        <f>Tableau1[[#This Row],[Diff jour_x000D_
Cumul]]-F$6</f>
        <v>333.86666666666861</v>
      </c>
      <c r="H182" s="40">
        <f>Tableau1[[#This Row],[Diff jour_x000D_
Cumul]]-F$59</f>
        <v>311.34722222221899</v>
      </c>
      <c r="I182" s="21">
        <v>189001</v>
      </c>
      <c r="J182" s="38">
        <f>IF(ISERROR(Tableau1[[#This Row],[Index HP
kWh]]-I181),"",Tableau1[[#This Row],[Index HP
kWh]]-I181)</f>
        <v>84</v>
      </c>
      <c r="K182" s="40">
        <f>IF(ISERROR(Tableau1[[#This Row],[Différence HP
Instantané]]/(Tableau1[[#This Row],[Diff jour
Instantané]]*24)),"",Tableau1[[#This Row],[Différence HP
Instantané]]/(Tableau1[[#This Row],[Diff jour
Instantané]]*24))</f>
        <v>1.8096947935405867</v>
      </c>
      <c r="L182" s="40">
        <f>Tableau1[[#This Row],[Différence HP
Instantané]]/Tableau1[[#This Row],[Diff jour
Instantané]]</f>
        <v>43.432675044974083</v>
      </c>
      <c r="M182" s="40">
        <f>Tableau1[[#This Row],[Conso HP / jour
Instantané]]*365</f>
        <v>15852.92639141554</v>
      </c>
      <c r="N182" s="38">
        <f>Tableau1[[#This Row],[Index HP
kWh]]-$I$5</f>
        <v>9242</v>
      </c>
      <c r="O182" s="41">
        <f>Tableau1[[#This Row],[Différence HP
Cumul]]/(Tableau1[[#This Row],[Diff jour_x000D_
Cumul]]*24)</f>
        <v>1.0353094053860368</v>
      </c>
      <c r="P182" s="41">
        <f>Tableau1[[#This Row],[Différence HP
Cumul]]/Tableau1[[#This Row],[Diff jour_x000D_
Cumul]]</f>
        <v>24.847425729264881</v>
      </c>
      <c r="Q182" s="41">
        <f>Tableau1[[#This Row],[Conso HP / jour
Cumul]]*365</f>
        <v>9069.3103911816816</v>
      </c>
      <c r="R182" s="21">
        <v>123141</v>
      </c>
      <c r="S182" s="38">
        <f>Tableau1[[#This Row],[Index HC_x000D_
kWh]]-R181</f>
        <v>33</v>
      </c>
      <c r="T182" s="42">
        <f>Tableau1[[#This Row],[Différence_x000D_ HC
Instantané]]/(Tableau1[[#This Row],[Diff jour
Instantané]]*24)</f>
        <v>0.71095152603380185</v>
      </c>
      <c r="U182" s="42">
        <f>Tableau1[[#This Row],[Différence_x000D_ HC
Instantané]]/Tableau1[[#This Row],[Diff jour
Instantané]]</f>
        <v>17.062836624811247</v>
      </c>
      <c r="V182" s="42">
        <f>Tableau1[[#This Row],[Conso HC / jour_x000D_
Instantané]]*365</f>
        <v>6227.9353680561053</v>
      </c>
      <c r="W182" s="38">
        <f>Tableau1[[#This Row],[Index HC_x000D_
kWh]]-$R$5</f>
        <v>3709</v>
      </c>
      <c r="X182" s="43">
        <f>Tableau1[[#This Row],[Différence HC
Cumul]]/(Tableau1[[#This Row],[Diff jour_x000D_
Cumul]]*24)</f>
        <v>0.41549043330197039</v>
      </c>
      <c r="Y182" s="43">
        <f>Tableau1[[#This Row],[Différence HC
Cumul]]/Tableau1[[#This Row],[Diff jour_x000D_
Cumul]]</f>
        <v>9.9717703992472888</v>
      </c>
      <c r="Z182" s="43">
        <f>Tableau1[[#This Row],[Conso HC / jour_x000D_
Cumul]]*365</f>
        <v>3639.6961957252606</v>
      </c>
      <c r="AA182" s="38">
        <f>Tableau1[[#This Row],[Différence HP
Instantané]]+Tableau1[[#This Row],[Différence_x000D_ HC
Instantané]]</f>
        <v>117</v>
      </c>
      <c r="AB182" s="41">
        <f>Tableau1[[#This Row],[Conso HP + HC
Instantané]]/(Tableau1[[#This Row],[Diff jour
Instantané]]*24)</f>
        <v>2.5206463195743884</v>
      </c>
      <c r="AC182" s="34">
        <f>IF(ISERROR(Tableau1[[#This Row],[Date]]-A181),"",Tableau1[[#This Row],[Conso HP + HC
Instantané]]/Tableau1[[#This Row],[Diff jour
Instantané]])</f>
        <v>60.495511669785323</v>
      </c>
      <c r="AD182" s="41">
        <f>Tableau1[[#This Row],[Conso HP + HC / jour_x000D_
Instantané]]*365</f>
        <v>22080.861759471642</v>
      </c>
      <c r="AE182" s="38">
        <f>Tableau1[[#This Row],[Différence HP
Cumul]]+Tableau1[[#This Row],[Différence HC
Cumul]]</f>
        <v>12951</v>
      </c>
      <c r="AF182" s="40">
        <f>(Tableau1[[#This Row],[Conso HP + HC
Cumul]]-AE$6)/Tableau1[[#This Row],[Diff jour_x000D_
Cumul
depuis le 24/01]]</f>
        <v>31.090255591054131</v>
      </c>
      <c r="AG182" s="40">
        <f>(Tableau1[[#This Row],[Conso HP + HC
Cumul]]-AE$59)/Tableau1[[#This Row],[Diff jour_x000D_
Cumul
depuis
précédente facture
16/02/2021]]</f>
        <v>28.18075567649581</v>
      </c>
      <c r="AH182" s="41">
        <f>Tableau1[[#This Row],[Conso HP + HC
Cumul]]/(Tableau1[[#This Row],[Diff jour_x000D_
Cumul]]*24)</f>
        <v>1.450799838688007</v>
      </c>
      <c r="AI182" s="41">
        <f>Tableau1[[#This Row],[Conso HP + HC
Cumul]]/Tableau1[[#This Row],[Diff jour_x000D_
Cumul]]</f>
        <v>34.819196128512168</v>
      </c>
      <c r="AJ182" s="41">
        <f>Tableau1[[#This Row],[Conso HP + HC / jour_x000D_
Cumul]]*365</f>
        <v>12709.00658690694</v>
      </c>
      <c r="AK182" s="44">
        <f>(Tableau1[[#This Row],[Différence HP
Cumul]]*0.1799)+(Tableau1[[#This Row],[Différence HC
Cumul]]*0.1346)</f>
        <v>2161.8672000000001</v>
      </c>
      <c r="AL182" s="44">
        <f>Tableau1[[#This Row],[Montant
Tarif HP/HC]]/Tableau1[[#This Row],[Diff jour_x000D_
Cumul]]</f>
        <v>5.8122521844334374</v>
      </c>
      <c r="AM182" s="44">
        <f>(Tableau1[[#This Row],[Montant
Tarif HP/HC]]-AK$6)/Tableau1[[#This Row],[Diff jour_x000D_
Cumul
depuis le 24/01]]</f>
        <v>5.2039984025558805</v>
      </c>
      <c r="AN182" s="44">
        <f>(Tableau1[[#This Row],[Montant
Tarif HP/HC]]-AK$59)/Tableau1[[#This Row],[Diff jour_x000D_
Cumul
depuis
précédente facture
16/02/2021]]</f>
        <v>4.7211078021145161</v>
      </c>
      <c r="AO182" s="44">
        <f>Tableau1[[#This Row],[Conso HP + HC
Cumul]]*0.1599</f>
        <v>2070.8649</v>
      </c>
      <c r="AP182" s="44">
        <f>Tableau1[[#This Row],[Montant
Tarif normal]]/Tableau1[[#This Row],[Diff jour_x000D_
Cumul]]</f>
        <v>5.5675894609490957</v>
      </c>
      <c r="AQ182" s="44">
        <f>(Tableau1[[#This Row],[Conso HP / an
Cumul]]*0.1799)+(Tableau1[[#This Row],[Conso HC / an_x000D_
Cumul]]*0.1346)</f>
        <v>2121.4720473182047</v>
      </c>
      <c r="AR182" s="44">
        <f>Tableau1[[#This Row],[Conso HP + HC / an_x000D_
Cumul]]*0.1599</f>
        <v>2032.1701532464197</v>
      </c>
      <c r="AS182" s="38">
        <f>MONTH(Tableau1[[#This Row],[Date]])</f>
        <v>12</v>
      </c>
      <c r="AT182" s="38">
        <f>YEAR(Tableau1[[#This Row],[Date]])</f>
        <v>2021</v>
      </c>
    </row>
    <row r="183" spans="1:46" x14ac:dyDescent="0.2">
      <c r="A183" s="19">
        <v>44556.803472222222</v>
      </c>
      <c r="B183" s="20">
        <v>10.6</v>
      </c>
      <c r="C183" s="39">
        <f>IF(ISERROR(Tableau1[[#This Row],[Date]]-A182),"",Tableau1[[#This Row],[Date]]-A182)</f>
        <v>2.1451388888890506</v>
      </c>
      <c r="D183" s="40">
        <f>IF(ISERROR(Tableau1[[#This Row],[Date]]-A182),"",Tableau1[[#This Row],[Date]]-A182)</f>
        <v>2.1451388888890506</v>
      </c>
      <c r="E183" s="39">
        <f>Tableau1[[#This Row],[Date]]-$A$5</f>
        <v>374.09513888888614</v>
      </c>
      <c r="F183" s="40">
        <f>Tableau1[[#This Row],[Date]]-$A$5</f>
        <v>374.09513888888614</v>
      </c>
      <c r="G183" s="40">
        <f>Tableau1[[#This Row],[Diff jour_x000D_
Cumul]]-F$6</f>
        <v>336.01180555555766</v>
      </c>
      <c r="H183" s="40">
        <f>Tableau1[[#This Row],[Diff jour_x000D_
Cumul]]-F$59</f>
        <v>313.49236111110804</v>
      </c>
      <c r="I183" s="21">
        <v>189020</v>
      </c>
      <c r="J183" s="38">
        <f>IF(ISERROR(Tableau1[[#This Row],[Index HP
kWh]]-I182),"",Tableau1[[#This Row],[Index HP
kWh]]-I182)</f>
        <v>19</v>
      </c>
      <c r="K183" s="40">
        <f>IF(ISERROR(Tableau1[[#This Row],[Différence HP
Instantané]]/(Tableau1[[#This Row],[Diff jour
Instantané]]*24)),"",Tableau1[[#This Row],[Différence HP
Instantané]]/(Tableau1[[#This Row],[Diff jour
Instantané]]*24))</f>
        <v>0.36905147296857044</v>
      </c>
      <c r="L183" s="40">
        <f>Tableau1[[#This Row],[Différence HP
Instantané]]/Tableau1[[#This Row],[Diff jour
Instantané]]</f>
        <v>8.8572353512456896</v>
      </c>
      <c r="M183" s="40">
        <f>Tableau1[[#This Row],[Conso HP / jour
Instantané]]*365</f>
        <v>3232.8909032046768</v>
      </c>
      <c r="N183" s="38">
        <f>Tableau1[[#This Row],[Index HP
kWh]]-$I$5</f>
        <v>9261</v>
      </c>
      <c r="O183" s="41">
        <f>Tableau1[[#This Row],[Différence HP
Cumul]]/(Tableau1[[#This Row],[Diff jour_x000D_
Cumul]]*24)</f>
        <v>1.0314889446200817</v>
      </c>
      <c r="P183" s="41">
        <f>Tableau1[[#This Row],[Différence HP
Cumul]]/Tableau1[[#This Row],[Diff jour_x000D_
Cumul]]</f>
        <v>24.755734670881957</v>
      </c>
      <c r="Q183" s="41">
        <f>Tableau1[[#This Row],[Conso HP / jour
Cumul]]*365</f>
        <v>9035.8431548719145</v>
      </c>
      <c r="R183" s="21">
        <v>123146</v>
      </c>
      <c r="S183" s="38">
        <f>Tableau1[[#This Row],[Index HC_x000D_
kWh]]-R182</f>
        <v>5</v>
      </c>
      <c r="T183" s="42">
        <f>Tableau1[[#This Row],[Différence_x000D_ HC
Instantané]]/(Tableau1[[#This Row],[Diff jour
Instantané]]*24)</f>
        <v>9.7118808675939583E-2</v>
      </c>
      <c r="U183" s="42">
        <f>Tableau1[[#This Row],[Différence_x000D_ HC
Instantané]]/Tableau1[[#This Row],[Diff jour
Instantané]]</f>
        <v>2.33085140822255</v>
      </c>
      <c r="V183" s="42">
        <f>Tableau1[[#This Row],[Conso HC / jour_x000D_
Instantané]]*365</f>
        <v>850.76076400123077</v>
      </c>
      <c r="W183" s="38">
        <f>Tableau1[[#This Row],[Index HC_x000D_
kWh]]-$R$5</f>
        <v>3714</v>
      </c>
      <c r="X183" s="43">
        <f>Tableau1[[#This Row],[Différence HC
Cumul]]/(Tableau1[[#This Row],[Diff jour_x000D_
Cumul]]*24)</f>
        <v>0.41366482456743148</v>
      </c>
      <c r="Y183" s="43">
        <f>Tableau1[[#This Row],[Différence HC
Cumul]]/Tableau1[[#This Row],[Diff jour_x000D_
Cumul]]</f>
        <v>9.9279557896183555</v>
      </c>
      <c r="Z183" s="43">
        <f>Tableau1[[#This Row],[Conso HC / jour_x000D_
Cumul]]*365</f>
        <v>3623.7038632106996</v>
      </c>
      <c r="AA183" s="38">
        <f>Tableau1[[#This Row],[Différence HP
Instantané]]+Tableau1[[#This Row],[Différence_x000D_ HC
Instantané]]</f>
        <v>24</v>
      </c>
      <c r="AB183" s="41">
        <f>Tableau1[[#This Row],[Conso HP + HC
Instantané]]/(Tableau1[[#This Row],[Diff jour
Instantané]]*24)</f>
        <v>0.46617028164451002</v>
      </c>
      <c r="AC183" s="34">
        <f>IF(ISERROR(Tableau1[[#This Row],[Date]]-A182),"",Tableau1[[#This Row],[Conso HP + HC
Instantané]]/Tableau1[[#This Row],[Diff jour
Instantané]])</f>
        <v>11.188086759468241</v>
      </c>
      <c r="AD183" s="41">
        <f>Tableau1[[#This Row],[Conso HP + HC / jour_x000D_
Instantané]]*365</f>
        <v>4083.6516672059083</v>
      </c>
      <c r="AE183" s="38">
        <f>Tableau1[[#This Row],[Différence HP
Cumul]]+Tableau1[[#This Row],[Différence HC
Cumul]]</f>
        <v>12975</v>
      </c>
      <c r="AF183" s="40">
        <f>(Tableau1[[#This Row],[Conso HP + HC
Cumul]]-AE$6)/Tableau1[[#This Row],[Diff jour_x000D_
Cumul
depuis le 24/01]]</f>
        <v>30.963197804309758</v>
      </c>
      <c r="AG183" s="40">
        <f>(Tableau1[[#This Row],[Conso HP + HC
Cumul]]-AE$59)/Tableau1[[#This Row],[Diff jour_x000D_
Cumul
depuis
précédente facture
16/02/2021]]</f>
        <v>28.064479685620828</v>
      </c>
      <c r="AH183" s="41">
        <f>Tableau1[[#This Row],[Conso HP + HC
Cumul]]/(Tableau1[[#This Row],[Diff jour_x000D_
Cumul]]*24)</f>
        <v>1.4451537691875131</v>
      </c>
      <c r="AI183" s="41">
        <f>Tableau1[[#This Row],[Conso HP + HC
Cumul]]/Tableau1[[#This Row],[Diff jour_x000D_
Cumul]]</f>
        <v>34.683690460500316</v>
      </c>
      <c r="AJ183" s="41">
        <f>Tableau1[[#This Row],[Conso HP + HC / jour_x000D_
Cumul]]*365</f>
        <v>12659.547018082616</v>
      </c>
      <c r="AK183" s="44">
        <f>(Tableau1[[#This Row],[Différence HP
Cumul]]*0.1799)+(Tableau1[[#This Row],[Différence HC
Cumul]]*0.1346)</f>
        <v>2165.9583000000002</v>
      </c>
      <c r="AL183" s="44">
        <f>Tableau1[[#This Row],[Montant
Tarif HP/HC]]/Tableau1[[#This Row],[Diff jour_x000D_
Cumul]]</f>
        <v>5.7898595165742952</v>
      </c>
      <c r="AM183" s="44">
        <f>(Tableau1[[#This Row],[Montant
Tarif HP/HC]]-AK$6)/Tableau1[[#This Row],[Diff jour_x000D_
Cumul
depuis le 24/01]]</f>
        <v>5.1829509297168057</v>
      </c>
      <c r="AN183" s="44">
        <f>(Tableau1[[#This Row],[Montant
Tarif HP/HC]]-AK$59)/Tableau1[[#This Row],[Diff jour_x000D_
Cumul
depuis
précédente facture
16/02/2021]]</f>
        <v>4.7018526855829403</v>
      </c>
      <c r="AO183" s="44">
        <f>Tableau1[[#This Row],[Conso HP + HC
Cumul]]*0.1599</f>
        <v>2074.7024999999999</v>
      </c>
      <c r="AP183" s="44">
        <f>Tableau1[[#This Row],[Montant
Tarif normal]]/Tableau1[[#This Row],[Diff jour_x000D_
Cumul]]</f>
        <v>5.5459221046340001</v>
      </c>
      <c r="AQ183" s="44">
        <f>(Tableau1[[#This Row],[Conso HP / an
Cumul]]*0.1799)+(Tableau1[[#This Row],[Conso HC / an_x000D_
Cumul]]*0.1346)</f>
        <v>2113.2987235496175</v>
      </c>
      <c r="AR183" s="44">
        <f>Tableau1[[#This Row],[Conso HP + HC / an_x000D_
Cumul]]*0.1599</f>
        <v>2024.2615681914101</v>
      </c>
      <c r="AS183" s="38">
        <f>MONTH(Tableau1[[#This Row],[Date]])</f>
        <v>12</v>
      </c>
      <c r="AT183" s="38">
        <f>YEAR(Tableau1[[#This Row],[Date]])</f>
        <v>2021</v>
      </c>
    </row>
    <row r="184" spans="1:46" x14ac:dyDescent="0.2">
      <c r="A184" s="19">
        <v>44578.790277777778</v>
      </c>
      <c r="B184" s="20">
        <v>4.5999999999999996</v>
      </c>
      <c r="C184" s="39">
        <f>IF(ISERROR(Tableau1[[#This Row],[Date]]-A183),"",Tableau1[[#This Row],[Date]]-A183)</f>
        <v>21.986805555556202</v>
      </c>
      <c r="D184" s="40">
        <f>IF(ISERROR(Tableau1[[#This Row],[Date]]-A183),"",Tableau1[[#This Row],[Date]]-A183)</f>
        <v>21.986805555556202</v>
      </c>
      <c r="E184" s="39">
        <f>Tableau1[[#This Row],[Date]]-$A$5</f>
        <v>396.08194444444234</v>
      </c>
      <c r="F184" s="40">
        <f>Tableau1[[#This Row],[Date]]-$A$5</f>
        <v>396.08194444444234</v>
      </c>
      <c r="G184" s="40">
        <f>Tableau1[[#This Row],[Diff jour_x000D_
Cumul]]-F$6</f>
        <v>357.99861111111386</v>
      </c>
      <c r="H184" s="40">
        <f>Tableau1[[#This Row],[Diff jour_x000D_
Cumul]]-F$59</f>
        <v>335.47916666666424</v>
      </c>
      <c r="I184" s="21">
        <v>189901</v>
      </c>
      <c r="J184" s="38">
        <f>IF(ISERROR(Tableau1[[#This Row],[Index HP
kWh]]-I183),"",Tableau1[[#This Row],[Index HP
kWh]]-I183)</f>
        <v>881</v>
      </c>
      <c r="K184" s="40">
        <f>IF(ISERROR(Tableau1[[#This Row],[Différence HP
Instantané]]/(Tableau1[[#This Row],[Diff jour
Instantané]]*24)),"",Tableau1[[#This Row],[Différence HP
Instantané]]/(Tableau1[[#This Row],[Diff jour
Instantané]]*24))</f>
        <v>1.6695619216069753</v>
      </c>
      <c r="L184" s="40">
        <f>Tableau1[[#This Row],[Différence HP
Instantané]]/Tableau1[[#This Row],[Diff jour
Instantané]]</f>
        <v>40.069486118567404</v>
      </c>
      <c r="M184" s="40">
        <f>Tableau1[[#This Row],[Conso HP / jour
Instantané]]*365</f>
        <v>14625.362433277103</v>
      </c>
      <c r="N184" s="38">
        <f>Tableau1[[#This Row],[Index HP
kWh]]-$I$5</f>
        <v>10142</v>
      </c>
      <c r="O184" s="41">
        <f>Tableau1[[#This Row],[Différence HP
Cumul]]/(Tableau1[[#This Row],[Diff jour_x000D_
Cumul]]*24)</f>
        <v>1.0669088537374829</v>
      </c>
      <c r="P184" s="41">
        <f>Tableau1[[#This Row],[Différence HP
Cumul]]/Tableau1[[#This Row],[Diff jour_x000D_
Cumul]]</f>
        <v>25.605812489699588</v>
      </c>
      <c r="Q184" s="41">
        <f>Tableau1[[#This Row],[Conso HP / jour
Cumul]]*365</f>
        <v>9346.1215587403494</v>
      </c>
      <c r="R184" s="21">
        <v>123525</v>
      </c>
      <c r="S184" s="38">
        <f>Tableau1[[#This Row],[Index HC_x000D_
kWh]]-R183</f>
        <v>379</v>
      </c>
      <c r="T184" s="42">
        <f>Tableau1[[#This Row],[Différence_x000D_ HC
Instantané]]/(Tableau1[[#This Row],[Diff jour
Instantané]]*24)</f>
        <v>0.71823378920436276</v>
      </c>
      <c r="U184" s="42">
        <f>Tableau1[[#This Row],[Différence_x000D_ HC
Instantané]]/Tableau1[[#This Row],[Diff jour
Instantané]]</f>
        <v>17.237610940904709</v>
      </c>
      <c r="V184" s="42">
        <f>Tableau1[[#This Row],[Conso HC / jour_x000D_
Instantané]]*365</f>
        <v>6291.7279934302187</v>
      </c>
      <c r="W184" s="38">
        <f>Tableau1[[#This Row],[Index HC_x000D_
kWh]]-$R$5</f>
        <v>4093</v>
      </c>
      <c r="X184" s="43">
        <f>Tableau1[[#This Row],[Différence HC
Cumul]]/(Tableau1[[#This Row],[Diff jour_x000D_
Cumul]]*24)</f>
        <v>0.43057167603505397</v>
      </c>
      <c r="Y184" s="43">
        <f>Tableau1[[#This Row],[Différence HC
Cumul]]/Tableau1[[#This Row],[Diff jour_x000D_
Cumul]]</f>
        <v>10.333720224841295</v>
      </c>
      <c r="Z184" s="43">
        <f>Tableau1[[#This Row],[Conso HC / jour_x000D_
Cumul]]*365</f>
        <v>3771.807882067073</v>
      </c>
      <c r="AA184" s="38">
        <f>Tableau1[[#This Row],[Différence HP
Instantané]]+Tableau1[[#This Row],[Différence_x000D_ HC
Instantané]]</f>
        <v>1260</v>
      </c>
      <c r="AB184" s="41">
        <f>Tableau1[[#This Row],[Conso HP + HC
Instantané]]/(Tableau1[[#This Row],[Diff jour
Instantané]]*24)</f>
        <v>2.3877957108113379</v>
      </c>
      <c r="AC184" s="34">
        <f>IF(ISERROR(Tableau1[[#This Row],[Date]]-A183),"",Tableau1[[#This Row],[Conso HP + HC
Instantané]]/Tableau1[[#This Row],[Diff jour
Instantané]])</f>
        <v>57.307097059472113</v>
      </c>
      <c r="AD184" s="41">
        <f>Tableau1[[#This Row],[Conso HP + HC / jour_x000D_
Instantané]]*365</f>
        <v>20917.09042670732</v>
      </c>
      <c r="AE184" s="38">
        <f>Tableau1[[#This Row],[Différence HP
Cumul]]+Tableau1[[#This Row],[Différence HC
Cumul]]</f>
        <v>14235</v>
      </c>
      <c r="AF184" s="40">
        <f>(Tableau1[[#This Row],[Conso HP + HC
Cumul]]-AE$6)/Tableau1[[#This Row],[Diff jour_x000D_
Cumul
depuis le 24/01]]</f>
        <v>32.581131987631608</v>
      </c>
      <c r="AG184" s="40">
        <f>(Tableau1[[#This Row],[Conso HP + HC
Cumul]]-AE$59)/Tableau1[[#This Row],[Diff jour_x000D_
Cumul
depuis
précédente facture
16/02/2021]]</f>
        <v>29.980997329690336</v>
      </c>
      <c r="AH184" s="41">
        <f>Tableau1[[#This Row],[Conso HP + HC
Cumul]]/(Tableau1[[#This Row],[Diff jour_x000D_
Cumul]]*24)</f>
        <v>1.4974805297725369</v>
      </c>
      <c r="AI184" s="41">
        <f>Tableau1[[#This Row],[Conso HP + HC
Cumul]]/Tableau1[[#This Row],[Diff jour_x000D_
Cumul]]</f>
        <v>35.939532714540881</v>
      </c>
      <c r="AJ184" s="41">
        <f>Tableau1[[#This Row],[Conso HP + HC / jour_x000D_
Cumul]]*365</f>
        <v>13117.929440807422</v>
      </c>
      <c r="AK184" s="44">
        <f>(Tableau1[[#This Row],[Différence HP
Cumul]]*0.1799)+(Tableau1[[#This Row],[Différence HC
Cumul]]*0.1346)</f>
        <v>2375.4636</v>
      </c>
      <c r="AL184" s="44">
        <f>Tableau1[[#This Row],[Montant
Tarif HP/HC]]/Tableau1[[#This Row],[Diff jour_x000D_
Cumul]]</f>
        <v>5.9974044091605938</v>
      </c>
      <c r="AM184" s="44">
        <f>(Tableau1[[#This Row],[Montant
Tarif HP/HC]]-AK$6)/Tableau1[[#This Row],[Diff jour_x000D_
Cumul
depuis le 24/01]]</f>
        <v>5.4498479587521258</v>
      </c>
      <c r="AN184" s="44">
        <f>(Tableau1[[#This Row],[Montant
Tarif HP/HC]]-AK$59)/Tableau1[[#This Row],[Diff jour_x000D_
Cumul
depuis
précédente facture
16/02/2021]]</f>
        <v>5.018195963485101</v>
      </c>
      <c r="AO184" s="44">
        <f>Tableau1[[#This Row],[Conso HP + HC
Cumul]]*0.1599</f>
        <v>2276.1765</v>
      </c>
      <c r="AP184" s="44">
        <f>Tableau1[[#This Row],[Montant
Tarif normal]]/Tableau1[[#This Row],[Diff jour_x000D_
Cumul]]</f>
        <v>5.7467312810550872</v>
      </c>
      <c r="AQ184" s="44">
        <f>(Tableau1[[#This Row],[Conso HP / an
Cumul]]*0.1799)+(Tableau1[[#This Row],[Conso HC / an_x000D_
Cumul]]*0.1346)</f>
        <v>2189.052609343617</v>
      </c>
      <c r="AR184" s="44">
        <f>Tableau1[[#This Row],[Conso HP + HC / an_x000D_
Cumul]]*0.1599</f>
        <v>2097.5569175851065</v>
      </c>
      <c r="AS184" s="38">
        <f>MONTH(Tableau1[[#This Row],[Date]])</f>
        <v>1</v>
      </c>
      <c r="AT184" s="38">
        <f>YEAR(Tableau1[[#This Row],[Date]])</f>
        <v>2022</v>
      </c>
    </row>
    <row r="185" spans="1:46" x14ac:dyDescent="0.2">
      <c r="A185" s="19">
        <v>44580.3125</v>
      </c>
      <c r="B185" s="20">
        <v>3.1</v>
      </c>
      <c r="C185" s="39">
        <f>IF(ISERROR(Tableau1[[#This Row],[Date]]-A184),"",Tableau1[[#This Row],[Date]]-A184)</f>
        <v>1.5222222222218988</v>
      </c>
      <c r="D185" s="40">
        <f>IF(ISERROR(Tableau1[[#This Row],[Date]]-A184),"",Tableau1[[#This Row],[Date]]-A184)</f>
        <v>1.5222222222218988</v>
      </c>
      <c r="E185" s="39">
        <f>Tableau1[[#This Row],[Date]]-$A$5</f>
        <v>397.60416666666424</v>
      </c>
      <c r="F185" s="40">
        <f>Tableau1[[#This Row],[Date]]-$A$5</f>
        <v>397.60416666666424</v>
      </c>
      <c r="G185" s="40">
        <f>Tableau1[[#This Row],[Diff jour_x000D_
Cumul]]-F$6</f>
        <v>359.52083333333576</v>
      </c>
      <c r="H185" s="40">
        <f>Tableau1[[#This Row],[Diff jour_x000D_
Cumul]]-F$59</f>
        <v>337.00138888888614</v>
      </c>
      <c r="I185" s="21">
        <v>189960</v>
      </c>
      <c r="J185" s="38">
        <f>IF(ISERROR(Tableau1[[#This Row],[Index HP
kWh]]-I184),"",Tableau1[[#This Row],[Index HP
kWh]]-I184)</f>
        <v>59</v>
      </c>
      <c r="K185" s="40">
        <f>IF(ISERROR(Tableau1[[#This Row],[Différence HP
Instantané]]/(Tableau1[[#This Row],[Diff jour
Instantané]]*24)),"",Tableau1[[#This Row],[Différence HP
Instantané]]/(Tableau1[[#This Row],[Diff jour
Instantané]]*24))</f>
        <v>1.6149635036499781</v>
      </c>
      <c r="L185" s="40">
        <f>Tableau1[[#This Row],[Différence HP
Instantané]]/Tableau1[[#This Row],[Diff jour
Instantané]]</f>
        <v>38.759124087599474</v>
      </c>
      <c r="M185" s="40">
        <f>Tableau1[[#This Row],[Conso HP / jour
Instantané]]*365</f>
        <v>14147.080291973809</v>
      </c>
      <c r="N185" s="38">
        <f>Tableau1[[#This Row],[Index HP
kWh]]-$I$5</f>
        <v>10201</v>
      </c>
      <c r="O185" s="41">
        <f>Tableau1[[#This Row],[Différence HP
Cumul]]/(Tableau1[[#This Row],[Diff jour_x000D_
Cumul]]*24)</f>
        <v>1.069007073618031</v>
      </c>
      <c r="P185" s="41">
        <f>Tableau1[[#This Row],[Différence HP
Cumul]]/Tableau1[[#This Row],[Diff jour_x000D_
Cumul]]</f>
        <v>25.656169766832747</v>
      </c>
      <c r="Q185" s="41">
        <f>Tableau1[[#This Row],[Conso HP / jour
Cumul]]*365</f>
        <v>9364.5019648939524</v>
      </c>
      <c r="R185" s="21">
        <v>123565</v>
      </c>
      <c r="S185" s="38">
        <f>Tableau1[[#This Row],[Index HC_x000D_
kWh]]-R184</f>
        <v>40</v>
      </c>
      <c r="T185" s="42">
        <f>Tableau1[[#This Row],[Différence_x000D_ HC
Instantané]]/(Tableau1[[#This Row],[Diff jour
Instantané]]*24)</f>
        <v>1.0948905109491378</v>
      </c>
      <c r="U185" s="42">
        <f>Tableau1[[#This Row],[Différence_x000D_ HC
Instantané]]/Tableau1[[#This Row],[Diff jour
Instantané]]</f>
        <v>26.277372262779306</v>
      </c>
      <c r="V185" s="42">
        <f>Tableau1[[#This Row],[Conso HC / jour_x000D_
Instantané]]*365</f>
        <v>9591.2408759144473</v>
      </c>
      <c r="W185" s="38">
        <f>Tableau1[[#This Row],[Index HC_x000D_
kWh]]-$R$5</f>
        <v>4133</v>
      </c>
      <c r="X185" s="43">
        <f>Tableau1[[#This Row],[Différence HC
Cumul]]/(Tableau1[[#This Row],[Diff jour_x000D_
Cumul]]*24)</f>
        <v>0.43311501178936601</v>
      </c>
      <c r="Y185" s="43">
        <f>Tableau1[[#This Row],[Différence HC
Cumul]]/Tableau1[[#This Row],[Diff jour_x000D_
Cumul]]</f>
        <v>10.394760282944784</v>
      </c>
      <c r="Z185" s="43">
        <f>Tableau1[[#This Row],[Conso HC / jour_x000D_
Cumul]]*365</f>
        <v>3794.0875032748463</v>
      </c>
      <c r="AA185" s="38">
        <f>Tableau1[[#This Row],[Différence HP
Instantané]]+Tableau1[[#This Row],[Différence_x000D_ HC
Instantané]]</f>
        <v>99</v>
      </c>
      <c r="AB185" s="41">
        <f>Tableau1[[#This Row],[Conso HP + HC
Instantané]]/(Tableau1[[#This Row],[Diff jour
Instantané]]*24)</f>
        <v>2.7098540145991157</v>
      </c>
      <c r="AC185" s="41">
        <f>IF(ISERROR(Tableau1[[#This Row],[Date]]-A184),"",Tableau1[[#This Row],[Conso HP + HC
Instantané]]/Tableau1[[#This Row],[Diff jour
Instantané]])</f>
        <v>65.036496350378783</v>
      </c>
      <c r="AD185" s="41">
        <f>Tableau1[[#This Row],[Conso HP + HC / jour_x000D_
Instantané]]*365</f>
        <v>23738.321167888254</v>
      </c>
      <c r="AE185" s="38">
        <f>Tableau1[[#This Row],[Différence HP
Cumul]]+Tableau1[[#This Row],[Différence HC
Cumul]]</f>
        <v>14334</v>
      </c>
      <c r="AF185" s="40">
        <f>(Tableau1[[#This Row],[Conso HP + HC
Cumul]]-AE$6)/Tableau1[[#This Row],[Diff jour_x000D_
Cumul
depuis le 24/01]]</f>
        <v>32.718548994610664</v>
      </c>
      <c r="AG185" s="40">
        <f>(Tableau1[[#This Row],[Conso HP + HC
Cumul]]-AE$59)/Tableau1[[#This Row],[Diff jour_x000D_
Cumul
depuis
précédente facture
16/02/2021]]</f>
        <v>30.139341661137482</v>
      </c>
      <c r="AH185" s="41">
        <f>Tableau1[[#This Row],[Conso HP + HC
Cumul]]/(Tableau1[[#This Row],[Diff jour_x000D_
Cumul]]*24)</f>
        <v>1.5021220854073971</v>
      </c>
      <c r="AI185" s="41">
        <f>Tableau1[[#This Row],[Conso HP + HC
Cumul]]/Tableau1[[#This Row],[Diff jour_x000D_
Cumul]]</f>
        <v>36.050930049777534</v>
      </c>
      <c r="AJ185" s="41">
        <f>Tableau1[[#This Row],[Conso HP + HC / jour_x000D_
Cumul]]*365</f>
        <v>13158.589468168801</v>
      </c>
      <c r="AK185" s="44">
        <f>(Tableau1[[#This Row],[Différence HP
Cumul]]*0.1799)+(Tableau1[[#This Row],[Différence HC
Cumul]]*0.1346)</f>
        <v>2391.4616999999998</v>
      </c>
      <c r="AL185" s="44">
        <f>Tableau1[[#This Row],[Montant
Tarif HP/HC]]/Tableau1[[#This Row],[Diff jour_x000D_
Cumul]]</f>
        <v>6.0146796751375788</v>
      </c>
      <c r="AM185" s="44">
        <f>(Tableau1[[#This Row],[Montant
Tarif HP/HC]]-AK$6)/Tableau1[[#This Row],[Diff jour_x000D_
Cumul
depuis le 24/01]]</f>
        <v>5.4712715303934258</v>
      </c>
      <c r="AN185" s="44">
        <f>(Tableau1[[#This Row],[Montant
Tarif HP/HC]]-AK$59)/Tableau1[[#This Row],[Diff jour_x000D_
Cumul
depuis
précédente facture
16/02/2021]]</f>
        <v>5.0430008778401412</v>
      </c>
      <c r="AO185" s="44">
        <f>Tableau1[[#This Row],[Conso HP + HC
Cumul]]*0.1599</f>
        <v>2292.0065999999997</v>
      </c>
      <c r="AP185" s="44">
        <f>Tableau1[[#This Row],[Montant
Tarif normal]]/Tableau1[[#This Row],[Diff jour_x000D_
Cumul]]</f>
        <v>5.7645437149594265</v>
      </c>
      <c r="AQ185" s="44">
        <f>(Tableau1[[#This Row],[Conso HP / an
Cumul]]*0.1799)+(Tableau1[[#This Row],[Conso HC / an_x000D_
Cumul]]*0.1346)</f>
        <v>2195.3580814252164</v>
      </c>
      <c r="AR185" s="44">
        <f>Tableau1[[#This Row],[Conso HP + HC / an_x000D_
Cumul]]*0.1599</f>
        <v>2104.0584559601912</v>
      </c>
      <c r="AS185" s="38">
        <f>MONTH(Tableau1[[#This Row],[Date]])</f>
        <v>1</v>
      </c>
      <c r="AT185" s="38">
        <f>YEAR(Tableau1[[#This Row],[Date]])</f>
        <v>2022</v>
      </c>
    </row>
    <row r="186" spans="1:46" x14ac:dyDescent="0.2">
      <c r="A186" s="19">
        <v>44581.306944444441</v>
      </c>
      <c r="B186" s="20">
        <v>4.8</v>
      </c>
      <c r="C186" s="39">
        <f>IF(ISERROR(Tableau1[[#This Row],[Date]]-A185),"",Tableau1[[#This Row],[Date]]-A185)</f>
        <v>0.99444444444088731</v>
      </c>
      <c r="D186" s="40">
        <f>IF(ISERROR(Tableau1[[#This Row],[Date]]-A185),"",Tableau1[[#This Row],[Date]]-A185)</f>
        <v>0.99444444444088731</v>
      </c>
      <c r="E186" s="39">
        <f>Tableau1[[#This Row],[Date]]-$A$5</f>
        <v>398.59861111110513</v>
      </c>
      <c r="F186" s="40">
        <f>Tableau1[[#This Row],[Date]]-$A$5</f>
        <v>398.59861111110513</v>
      </c>
      <c r="G186" s="40">
        <f>Tableau1[[#This Row],[Diff jour_x000D_
Cumul]]-F$6</f>
        <v>360.51527777777665</v>
      </c>
      <c r="H186" s="40">
        <f>Tableau1[[#This Row],[Diff jour_x000D_
Cumul]]-F$59</f>
        <v>337.99583333332703</v>
      </c>
      <c r="I186" s="21">
        <v>190008</v>
      </c>
      <c r="J186" s="38">
        <f>IF(ISERROR(Tableau1[[#This Row],[Index HP
kWh]]-I185),"",Tableau1[[#This Row],[Index HP
kWh]]-I185)</f>
        <v>48</v>
      </c>
      <c r="K186" s="40">
        <f>IF(ISERROR(Tableau1[[#This Row],[Différence HP
Instantané]]/(Tableau1[[#This Row],[Diff jour
Instantané]]*24)),"",Tableau1[[#This Row],[Différence HP
Instantané]]/(Tableau1[[#This Row],[Diff jour
Instantané]]*24))</f>
        <v>2.0111731843647358</v>
      </c>
      <c r="L186" s="40">
        <f>Tableau1[[#This Row],[Différence HP
Instantané]]/Tableau1[[#This Row],[Diff jour
Instantané]]</f>
        <v>48.268156424753663</v>
      </c>
      <c r="M186" s="40">
        <f>Tableau1[[#This Row],[Conso HP / jour
Instantané]]*365</f>
        <v>17617.877095035088</v>
      </c>
      <c r="N186" s="38">
        <f>Tableau1[[#This Row],[Index HP
kWh]]-$I$5</f>
        <v>10249</v>
      </c>
      <c r="O186" s="41">
        <f>Tableau1[[#This Row],[Différence HP
Cumul]]/(Tableau1[[#This Row],[Diff jour_x000D_
Cumul]]*24)</f>
        <v>1.0713576383928576</v>
      </c>
      <c r="P186" s="41">
        <f>Tableau1[[#This Row],[Différence HP
Cumul]]/Tableau1[[#This Row],[Diff jour_x000D_
Cumul]]</f>
        <v>25.712583321428585</v>
      </c>
      <c r="Q186" s="41">
        <f>Tableau1[[#This Row],[Conso HP / jour
Cumul]]*365</f>
        <v>9385.0929123214337</v>
      </c>
      <c r="R186" s="21">
        <v>123583</v>
      </c>
      <c r="S186" s="38">
        <f>Tableau1[[#This Row],[Index HC_x000D_
kWh]]-R185</f>
        <v>18</v>
      </c>
      <c r="T186" s="42">
        <f>Tableau1[[#This Row],[Différence_x000D_ HC
Instantané]]/(Tableau1[[#This Row],[Diff jour
Instantané]]*24)</f>
        <v>0.75418994413677598</v>
      </c>
      <c r="U186" s="42">
        <f>Tableau1[[#This Row],[Différence_x000D_ HC
Instantané]]/Tableau1[[#This Row],[Diff jour
Instantané]]</f>
        <v>18.100558659282623</v>
      </c>
      <c r="V186" s="42">
        <f>Tableau1[[#This Row],[Conso HC / jour_x000D_
Instantané]]*365</f>
        <v>6606.7039106381571</v>
      </c>
      <c r="W186" s="38">
        <f>Tableau1[[#This Row],[Index HC_x000D_
kWh]]-$R$5</f>
        <v>4151</v>
      </c>
      <c r="X186" s="43">
        <f>Tableau1[[#This Row],[Différence HC
Cumul]]/(Tableau1[[#This Row],[Diff jour_x000D_
Cumul]]*24)</f>
        <v>0.43391604614779511</v>
      </c>
      <c r="Y186" s="43">
        <f>Tableau1[[#This Row],[Différence HC
Cumul]]/Tableau1[[#This Row],[Diff jour_x000D_
Cumul]]</f>
        <v>10.413985107547083</v>
      </c>
      <c r="Z186" s="43">
        <f>Tableau1[[#This Row],[Conso HC / jour_x000D_
Cumul]]*365</f>
        <v>3801.1045642546851</v>
      </c>
      <c r="AA186" s="38">
        <f>Tableau1[[#This Row],[Différence HP
Instantané]]+Tableau1[[#This Row],[Différence_x000D_ HC
Instantané]]</f>
        <v>66</v>
      </c>
      <c r="AB186" s="41">
        <f>Tableau1[[#This Row],[Conso HP + HC
Instantané]]/(Tableau1[[#This Row],[Diff jour
Instantané]]*24)</f>
        <v>2.7653631285015119</v>
      </c>
      <c r="AC186" s="41">
        <f>IF(ISERROR(Tableau1[[#This Row],[Date]]-A185),"",Tableau1[[#This Row],[Conso HP + HC
Instantané]]/Tableau1[[#This Row],[Diff jour
Instantané]])</f>
        <v>66.368715084036282</v>
      </c>
      <c r="AD186" s="41">
        <f>Tableau1[[#This Row],[Conso HP + HC / jour_x000D_
Instantané]]*365</f>
        <v>24224.581005673244</v>
      </c>
      <c r="AE186" s="38">
        <f>Tableau1[[#This Row],[Différence HP
Cumul]]+Tableau1[[#This Row],[Différence HC
Cumul]]</f>
        <v>14400</v>
      </c>
      <c r="AF186" s="40">
        <f>(Tableau1[[#This Row],[Conso HP + HC
Cumul]]-AE$6)/Tableau1[[#This Row],[Diff jour_x000D_
Cumul
depuis le 24/01]]</f>
        <v>32.811369528953648</v>
      </c>
      <c r="AG186" s="40">
        <f>(Tableau1[[#This Row],[Conso HP + HC
Cumul]]-AE$59)/Tableau1[[#This Row],[Diff jour_x000D_
Cumul
depuis
précédente facture
16/02/2021]]</f>
        <v>30.24593498440619</v>
      </c>
      <c r="AH186" s="41">
        <f>Tableau1[[#This Row],[Conso HP + HC
Cumul]]/(Tableau1[[#This Row],[Diff jour_x000D_
Cumul]]*24)</f>
        <v>1.5052736845406527</v>
      </c>
      <c r="AI186" s="41">
        <f>Tableau1[[#This Row],[Conso HP + HC
Cumul]]/Tableau1[[#This Row],[Diff jour_x000D_
Cumul]]</f>
        <v>36.126568428975666</v>
      </c>
      <c r="AJ186" s="41">
        <f>Tableau1[[#This Row],[Conso HP + HC / jour_x000D_
Cumul]]*365</f>
        <v>13186.197476576119</v>
      </c>
      <c r="AK186" s="44">
        <f>(Tableau1[[#This Row],[Différence HP
Cumul]]*0.1799)+(Tableau1[[#This Row],[Différence HC
Cumul]]*0.1346)</f>
        <v>2402.5196999999998</v>
      </c>
      <c r="AL186" s="44">
        <f>Tableau1[[#This Row],[Montant
Tarif HP/HC]]/Tableau1[[#This Row],[Diff jour_x000D_
Cumul]]</f>
        <v>6.0274161350008395</v>
      </c>
      <c r="AM186" s="44">
        <f>(Tableau1[[#This Row],[Montant
Tarif HP/HC]]-AK$6)/Tableau1[[#This Row],[Diff jour_x000D_
Cumul
depuis le 24/01]]</f>
        <v>5.4868523525355464</v>
      </c>
      <c r="AN186" s="44">
        <f>(Tableau1[[#This Row],[Montant
Tarif HP/HC]]-AK$59)/Tableau1[[#This Row],[Diff jour_x000D_
Cumul
depuis
précédente facture
16/02/2021]]</f>
        <v>5.060879843193427</v>
      </c>
      <c r="AO186" s="44">
        <f>Tableau1[[#This Row],[Conso HP + HC
Cumul]]*0.1599</f>
        <v>2302.56</v>
      </c>
      <c r="AP186" s="44">
        <f>Tableau1[[#This Row],[Montant
Tarif normal]]/Tableau1[[#This Row],[Diff jour_x000D_
Cumul]]</f>
        <v>5.7766382917932093</v>
      </c>
      <c r="AQ186" s="44">
        <f>(Tableau1[[#This Row],[Conso HP / an
Cumul]]*0.1799)+(Tableau1[[#This Row],[Conso HC / an_x000D_
Cumul]]*0.1346)</f>
        <v>2200.0068892753065</v>
      </c>
      <c r="AR186" s="44">
        <f>Tableau1[[#This Row],[Conso HP + HC / an_x000D_
Cumul]]*0.1599</f>
        <v>2108.4729765045213</v>
      </c>
      <c r="AS186" s="38">
        <f>MONTH(Tableau1[[#This Row],[Date]])</f>
        <v>1</v>
      </c>
      <c r="AT186" s="38">
        <f>YEAR(Tableau1[[#This Row],[Date]])</f>
        <v>2022</v>
      </c>
    </row>
    <row r="187" spans="1:46" x14ac:dyDescent="0.2">
      <c r="A187" s="19">
        <v>44582.325694444444</v>
      </c>
      <c r="B187" s="20">
        <v>-1.5</v>
      </c>
      <c r="C187" s="39">
        <f>IF(ISERROR(Tableau1[[#This Row],[Date]]-A186),"",Tableau1[[#This Row],[Date]]-A186)</f>
        <v>1.0187500000029104</v>
      </c>
      <c r="D187" s="40">
        <f>IF(ISERROR(Tableau1[[#This Row],[Date]]-A186),"",Tableau1[[#This Row],[Date]]-A186)</f>
        <v>1.0187500000029104</v>
      </c>
      <c r="E187" s="39">
        <f>Tableau1[[#This Row],[Date]]-$A$5</f>
        <v>399.61736111110804</v>
      </c>
      <c r="F187" s="40">
        <f>Tableau1[[#This Row],[Date]]-$A$5</f>
        <v>399.61736111110804</v>
      </c>
      <c r="G187" s="40">
        <f>Tableau1[[#This Row],[Diff jour_x000D_
Cumul]]-F$6</f>
        <v>361.53402777777956</v>
      </c>
      <c r="H187" s="40">
        <f>Tableau1[[#This Row],[Diff jour_x000D_
Cumul]]-F$59</f>
        <v>339.01458333332994</v>
      </c>
      <c r="I187" s="21">
        <v>190052</v>
      </c>
      <c r="J187" s="38">
        <f>IF(ISERROR(Tableau1[[#This Row],[Index HP
kWh]]-I186),"",Tableau1[[#This Row],[Index HP
kWh]]-I186)</f>
        <v>44</v>
      </c>
      <c r="K187" s="40">
        <f>IF(ISERROR(Tableau1[[#This Row],[Différence HP
Instantané]]/(Tableau1[[#This Row],[Diff jour
Instantané]]*24)),"",Tableau1[[#This Row],[Différence HP
Instantané]]/(Tableau1[[#This Row],[Diff jour
Instantané]]*24))</f>
        <v>1.7995910020398487</v>
      </c>
      <c r="L187" s="40">
        <f>Tableau1[[#This Row],[Différence HP
Instantané]]/Tableau1[[#This Row],[Diff jour
Instantané]]</f>
        <v>43.190184048956368</v>
      </c>
      <c r="M187" s="40">
        <f>Tableau1[[#This Row],[Conso HP / jour
Instantané]]*365</f>
        <v>15764.417177869074</v>
      </c>
      <c r="N187" s="38">
        <f>Tableau1[[#This Row],[Index HP
kWh]]-$I$5</f>
        <v>10293</v>
      </c>
      <c r="O187" s="41">
        <f>Tableau1[[#This Row],[Différence HP
Cumul]]/(Tableau1[[#This Row],[Diff jour_x000D_
Cumul]]*24)</f>
        <v>1.0732141336591161</v>
      </c>
      <c r="P187" s="41">
        <f>Tableau1[[#This Row],[Différence HP
Cumul]]/Tableau1[[#This Row],[Diff jour_x000D_
Cumul]]</f>
        <v>25.757139207818788</v>
      </c>
      <c r="Q187" s="41">
        <f>Tableau1[[#This Row],[Conso HP / jour
Cumul]]*365</f>
        <v>9401.3558108538582</v>
      </c>
      <c r="R187" s="21">
        <v>123606</v>
      </c>
      <c r="S187" s="38">
        <f>Tableau1[[#This Row],[Index HC_x000D_
kWh]]-R186</f>
        <v>23</v>
      </c>
      <c r="T187" s="42">
        <f>Tableau1[[#This Row],[Différence_x000D_ HC
Instantané]]/(Tableau1[[#This Row],[Diff jour
Instantané]]*24)</f>
        <v>0.94069529652082995</v>
      </c>
      <c r="U187" s="42">
        <f>Tableau1[[#This Row],[Différence_x000D_ HC
Instantané]]/Tableau1[[#This Row],[Diff jour
Instantané]]</f>
        <v>22.576687116499919</v>
      </c>
      <c r="V187" s="42">
        <f>Tableau1[[#This Row],[Conso HC / jour_x000D_
Instantané]]*365</f>
        <v>8240.4907975224705</v>
      </c>
      <c r="W187" s="38">
        <f>Tableau1[[#This Row],[Index HC_x000D_
kWh]]-$R$5</f>
        <v>4174</v>
      </c>
      <c r="X187" s="43">
        <f>Tableau1[[#This Row],[Différence HC
Cumul]]/(Tableau1[[#This Row],[Diff jour_x000D_
Cumul]]*24)</f>
        <v>0.43520798541660849</v>
      </c>
      <c r="Y187" s="43">
        <f>Tableau1[[#This Row],[Différence HC
Cumul]]/Tableau1[[#This Row],[Diff jour_x000D_
Cumul]]</f>
        <v>10.444991649998602</v>
      </c>
      <c r="Z187" s="43">
        <f>Tableau1[[#This Row],[Conso HC / jour_x000D_
Cumul]]*365</f>
        <v>3812.42195224949</v>
      </c>
      <c r="AA187" s="38">
        <f>Tableau1[[#This Row],[Différence HP
Instantané]]+Tableau1[[#This Row],[Différence_x000D_ HC
Instantané]]</f>
        <v>67</v>
      </c>
      <c r="AB187" s="41">
        <f>Tableau1[[#This Row],[Conso HP + HC
Instantané]]/(Tableau1[[#This Row],[Diff jour
Instantané]]*24)</f>
        <v>2.7402862985606786</v>
      </c>
      <c r="AC187" s="41">
        <f>IF(ISERROR(Tableau1[[#This Row],[Date]]-A186),"",Tableau1[[#This Row],[Conso HP + HC
Instantané]]/Tableau1[[#This Row],[Diff jour
Instantané]])</f>
        <v>65.766871165456294</v>
      </c>
      <c r="AD187" s="41">
        <f>Tableau1[[#This Row],[Conso HP + HC / jour_x000D_
Instantané]]*365</f>
        <v>24004.907975391547</v>
      </c>
      <c r="AE187" s="38">
        <f>Tableau1[[#This Row],[Différence HP
Cumul]]+Tableau1[[#This Row],[Différence HC
Cumul]]</f>
        <v>14467</v>
      </c>
      <c r="AF187" s="40">
        <f>(Tableau1[[#This Row],[Conso HP + HC
Cumul]]-AE$6)/Tableau1[[#This Row],[Diff jour_x000D_
Cumul
depuis le 24/01]]</f>
        <v>32.904233311371712</v>
      </c>
      <c r="AG187" s="40">
        <f>(Tableau1[[#This Row],[Conso HP + HC
Cumul]]-AE$59)/Tableau1[[#This Row],[Diff jour_x000D_
Cumul
depuis
précédente facture
16/02/2021]]</f>
        <v>30.352676568731983</v>
      </c>
      <c r="AH187" s="41">
        <f>Tableau1[[#This Row],[Conso HP + HC
Cumul]]/(Tableau1[[#This Row],[Diff jour_x000D_
Cumul]]*24)</f>
        <v>1.5084221190757245</v>
      </c>
      <c r="AI187" s="41">
        <f>Tableau1[[#This Row],[Conso HP + HC
Cumul]]/Tableau1[[#This Row],[Diff jour_x000D_
Cumul]]</f>
        <v>36.202130857817394</v>
      </c>
      <c r="AJ187" s="41">
        <f>Tableau1[[#This Row],[Conso HP + HC / jour_x000D_
Cumul]]*365</f>
        <v>13213.77776310335</v>
      </c>
      <c r="AK187" s="44">
        <f>(Tableau1[[#This Row],[Différence HP
Cumul]]*0.1799)+(Tableau1[[#This Row],[Différence HC
Cumul]]*0.1346)</f>
        <v>2413.5311000000002</v>
      </c>
      <c r="AL187" s="44">
        <f>Tableau1[[#This Row],[Montant
Tarif HP/HC]]/Tableau1[[#This Row],[Diff jour_x000D_
Cumul]]</f>
        <v>6.0396052195764121</v>
      </c>
      <c r="AM187" s="44">
        <f>(Tableau1[[#This Row],[Montant
Tarif HP/HC]]-AK$6)/Tableau1[[#This Row],[Diff jour_x000D_
Cumul
depuis le 24/01]]</f>
        <v>5.5018486426473343</v>
      </c>
      <c r="AN187" s="44">
        <f>(Tableau1[[#This Row],[Montant
Tarif HP/HC]]-AK$59)/Tableau1[[#This Row],[Diff jour_x000D_
Cumul
depuis
précédente facture
16/02/2021]]</f>
        <v>5.0781523410374945</v>
      </c>
      <c r="AO187" s="44">
        <f>Tableau1[[#This Row],[Conso HP + HC
Cumul]]*0.1599</f>
        <v>2313.2732999999998</v>
      </c>
      <c r="AP187" s="44">
        <f>Tableau1[[#This Row],[Montant
Tarif normal]]/Tableau1[[#This Row],[Diff jour_x000D_
Cumul]]</f>
        <v>5.7887207241650005</v>
      </c>
      <c r="AQ187" s="44">
        <f>(Tableau1[[#This Row],[Conso HP / an
Cumul]]*0.1799)+(Tableau1[[#This Row],[Conso HC / an_x000D_
Cumul]]*0.1346)</f>
        <v>2204.4559051453907</v>
      </c>
      <c r="AR187" s="44">
        <f>Tableau1[[#This Row],[Conso HP + HC / an_x000D_
Cumul]]*0.1599</f>
        <v>2112.8830643202255</v>
      </c>
      <c r="AS187" s="38">
        <f>MONTH(Tableau1[[#This Row],[Date]])</f>
        <v>1</v>
      </c>
      <c r="AT187" s="38">
        <f>YEAR(Tableau1[[#This Row],[Date]])</f>
        <v>2022</v>
      </c>
    </row>
    <row r="188" spans="1:46" x14ac:dyDescent="0.2">
      <c r="A188" s="19">
        <v>44583.338888888888</v>
      </c>
      <c r="B188" s="20">
        <v>-2.1</v>
      </c>
      <c r="C188" s="39">
        <f>IF(ISERROR(Tableau1[[#This Row],[Date]]-A187),"",Tableau1[[#This Row],[Date]]-A187)</f>
        <v>1.0131944444437977</v>
      </c>
      <c r="D188" s="40">
        <f>IF(ISERROR(Tableau1[[#This Row],[Date]]-A187),"",Tableau1[[#This Row],[Date]]-A187)</f>
        <v>1.0131944444437977</v>
      </c>
      <c r="E188" s="39">
        <f>Tableau1[[#This Row],[Date]]-$A$5</f>
        <v>400.63055555555184</v>
      </c>
      <c r="F188" s="40">
        <f>Tableau1[[#This Row],[Date]]-$A$5</f>
        <v>400.63055555555184</v>
      </c>
      <c r="G188" s="40">
        <f>Tableau1[[#This Row],[Diff jour_x000D_
Cumul]]-F$6</f>
        <v>362.54722222222335</v>
      </c>
      <c r="H188" s="40">
        <f>Tableau1[[#This Row],[Diff jour_x000D_
Cumul]]-F$59</f>
        <v>340.02777777777374</v>
      </c>
      <c r="I188" s="21">
        <v>190102</v>
      </c>
      <c r="J188" s="38">
        <f>IF(ISERROR(Tableau1[[#This Row],[Index HP
kWh]]-I187),"",Tableau1[[#This Row],[Index HP
kWh]]-I187)</f>
        <v>50</v>
      </c>
      <c r="K188" s="40">
        <f>IF(ISERROR(Tableau1[[#This Row],[Différence HP
Instantané]]/(Tableau1[[#This Row],[Diff jour
Instantané]]*24)),"",Tableau1[[#This Row],[Différence HP
Instantané]]/(Tableau1[[#This Row],[Diff jour
Instantané]]*24))</f>
        <v>2.0562028786853426</v>
      </c>
      <c r="L188" s="40">
        <f>Tableau1[[#This Row],[Différence HP
Instantané]]/Tableau1[[#This Row],[Diff jour
Instantané]]</f>
        <v>49.348869088448225</v>
      </c>
      <c r="M188" s="40">
        <f>Tableau1[[#This Row],[Conso HP / jour
Instantané]]*365</f>
        <v>18012.337217283603</v>
      </c>
      <c r="N188" s="38">
        <f>Tableau1[[#This Row],[Index HP
kWh]]-$I$5</f>
        <v>10343</v>
      </c>
      <c r="O188" s="41">
        <f>Tableau1[[#This Row],[Différence HP
Cumul]]/(Tableau1[[#This Row],[Diff jour_x000D_
Cumul]]*24)</f>
        <v>1.0757001116295939</v>
      </c>
      <c r="P188" s="41">
        <f>Tableau1[[#This Row],[Différence HP
Cumul]]/Tableau1[[#This Row],[Diff jour_x000D_
Cumul]]</f>
        <v>25.816802679110253</v>
      </c>
      <c r="Q188" s="41">
        <f>Tableau1[[#This Row],[Conso HP / jour
Cumul]]*365</f>
        <v>9423.1329778752424</v>
      </c>
      <c r="R188" s="21">
        <v>123631</v>
      </c>
      <c r="S188" s="38">
        <f>Tableau1[[#This Row],[Index HC_x000D_
kWh]]-R187</f>
        <v>25</v>
      </c>
      <c r="T188" s="42">
        <f>Tableau1[[#This Row],[Différence_x000D_ HC
Instantané]]/(Tableau1[[#This Row],[Diff jour
Instantané]]*24)</f>
        <v>1.0281014393426713</v>
      </c>
      <c r="U188" s="42">
        <f>Tableau1[[#This Row],[Différence_x000D_ HC
Instantané]]/Tableau1[[#This Row],[Diff jour
Instantané]]</f>
        <v>24.674434544224113</v>
      </c>
      <c r="V188" s="42">
        <f>Tableau1[[#This Row],[Conso HC / jour_x000D_
Instantané]]*365</f>
        <v>9006.1686086418013</v>
      </c>
      <c r="W188" s="38">
        <f>Tableau1[[#This Row],[Index HC_x000D_
kWh]]-$R$5</f>
        <v>4199</v>
      </c>
      <c r="X188" s="43">
        <f>Tableau1[[#This Row],[Différence HC
Cumul]]/(Tableau1[[#This Row],[Diff jour_x000D_
Cumul]]*24)</f>
        <v>0.4367074126203872</v>
      </c>
      <c r="Y188" s="43">
        <f>Tableau1[[#This Row],[Différence HC
Cumul]]/Tableau1[[#This Row],[Diff jour_x000D_
Cumul]]</f>
        <v>10.480977902889293</v>
      </c>
      <c r="Z188" s="43">
        <f>Tableau1[[#This Row],[Conso HC / jour_x000D_
Cumul]]*365</f>
        <v>3825.5569345545919</v>
      </c>
      <c r="AA188" s="38">
        <f>Tableau1[[#This Row],[Différence HP
Instantané]]+Tableau1[[#This Row],[Différence_x000D_ HC
Instantané]]</f>
        <v>75</v>
      </c>
      <c r="AB188" s="41">
        <f>Tableau1[[#This Row],[Conso HP + HC
Instantané]]/(Tableau1[[#This Row],[Diff jour
Instantané]]*24)</f>
        <v>3.0843043180280141</v>
      </c>
      <c r="AC188" s="41">
        <f>IF(ISERROR(Tableau1[[#This Row],[Date]]-A187),"",Tableau1[[#This Row],[Conso HP + HC
Instantané]]/Tableau1[[#This Row],[Diff jour
Instantané]])</f>
        <v>74.023303632672338</v>
      </c>
      <c r="AD188" s="41">
        <f>Tableau1[[#This Row],[Conso HP + HC / jour_x000D_
Instantané]]*365</f>
        <v>27018.505825925404</v>
      </c>
      <c r="AE188" s="38">
        <f>Tableau1[[#This Row],[Différence HP
Cumul]]+Tableau1[[#This Row],[Différence HC
Cumul]]</f>
        <v>14542</v>
      </c>
      <c r="AF188" s="40">
        <f>(Tableau1[[#This Row],[Conso HP + HC
Cumul]]-AE$6)/Tableau1[[#This Row],[Diff jour_x000D_
Cumul
depuis le 24/01]]</f>
        <v>33.019146931051026</v>
      </c>
      <c r="AG188" s="40">
        <f>(Tableau1[[#This Row],[Conso HP + HC
Cumul]]-AE$59)/Tableau1[[#This Row],[Diff jour_x000D_
Cumul
depuis
précédente facture
16/02/2021]]</f>
        <v>30.482803692509144</v>
      </c>
      <c r="AH188" s="41">
        <f>Tableau1[[#This Row],[Conso HP + HC
Cumul]]/(Tableau1[[#This Row],[Diff jour_x000D_
Cumul]]*24)</f>
        <v>1.512407524249981</v>
      </c>
      <c r="AI188" s="41">
        <f>Tableau1[[#This Row],[Conso HP + HC
Cumul]]/Tableau1[[#This Row],[Diff jour_x000D_
Cumul]]</f>
        <v>36.297780581999547</v>
      </c>
      <c r="AJ188" s="41">
        <f>Tableau1[[#This Row],[Conso HP + HC / jour_x000D_
Cumul]]*365</f>
        <v>13248.689912429834</v>
      </c>
      <c r="AK188" s="44">
        <f>(Tableau1[[#This Row],[Différence HP
Cumul]]*0.1799)+(Tableau1[[#This Row],[Différence HC
Cumul]]*0.1346)</f>
        <v>2425.8910999999998</v>
      </c>
      <c r="AL188" s="44">
        <f>Tableau1[[#This Row],[Montant
Tarif HP/HC]]/Tableau1[[#This Row],[Diff jour_x000D_
Cumul]]</f>
        <v>6.0551824277008333</v>
      </c>
      <c r="AM188" s="44">
        <f>(Tableau1[[#This Row],[Montant
Tarif HP/HC]]-AK$6)/Tableau1[[#This Row],[Diff jour_x000D_
Cumul
depuis le 24/01]]</f>
        <v>5.5205649838718154</v>
      </c>
      <c r="AN188" s="44">
        <f>(Tableau1[[#This Row],[Montant
Tarif HP/HC]]-AK$59)/Tableau1[[#This Row],[Diff jour_x000D_
Cumul
depuis
précédente facture
16/02/2021]]</f>
        <v>5.0993707376848896</v>
      </c>
      <c r="AO188" s="44">
        <f>Tableau1[[#This Row],[Conso HP + HC
Cumul]]*0.1599</f>
        <v>2325.2657999999997</v>
      </c>
      <c r="AP188" s="44">
        <f>Tableau1[[#This Row],[Montant
Tarif normal]]/Tableau1[[#This Row],[Diff jour_x000D_
Cumul]]</f>
        <v>5.804015115061727</v>
      </c>
      <c r="AQ188" s="44">
        <f>(Tableau1[[#This Row],[Conso HP / an
Cumul]]*0.1799)+(Tableau1[[#This Row],[Conso HC / an_x000D_
Cumul]]*0.1346)</f>
        <v>2210.1415861108044</v>
      </c>
      <c r="AR188" s="44">
        <f>Tableau1[[#This Row],[Conso HP + HC / an_x000D_
Cumul]]*0.1599</f>
        <v>2118.4655169975304</v>
      </c>
      <c r="AS188" s="38">
        <f>MONTH(Tableau1[[#This Row],[Date]])</f>
        <v>1</v>
      </c>
      <c r="AT188" s="38">
        <f>YEAR(Tableau1[[#This Row],[Date]])</f>
        <v>2022</v>
      </c>
    </row>
    <row r="189" spans="1:46" x14ac:dyDescent="0.2">
      <c r="A189" s="19">
        <v>44584.343055555553</v>
      </c>
      <c r="B189" s="20">
        <v>2</v>
      </c>
      <c r="C189" s="39">
        <f>IF(ISERROR(Tableau1[[#This Row],[Date]]-A188),"",Tableau1[[#This Row],[Date]]-A188)</f>
        <v>1.0041666666656965</v>
      </c>
      <c r="D189" s="40">
        <f>IF(ISERROR(Tableau1[[#This Row],[Date]]-A188),"",Tableau1[[#This Row],[Date]]-A188)</f>
        <v>1.0041666666656965</v>
      </c>
      <c r="E189" s="39">
        <f>Tableau1[[#This Row],[Date]]-$A$5</f>
        <v>401.63472222221753</v>
      </c>
      <c r="F189" s="40">
        <f>Tableau1[[#This Row],[Date]]-$A$5</f>
        <v>401.63472222221753</v>
      </c>
      <c r="G189" s="40">
        <f>Tableau1[[#This Row],[Diff jour_x000D_
Cumul]]-F$6</f>
        <v>363.55138888888905</v>
      </c>
      <c r="H189" s="40">
        <f>Tableau1[[#This Row],[Diff jour_x000D_
Cumul]]-F$59</f>
        <v>341.03194444443943</v>
      </c>
      <c r="I189" s="21">
        <v>190159</v>
      </c>
      <c r="J189" s="38">
        <f>IF(ISERROR(Tableau1[[#This Row],[Index HP
kWh]]-I188),"",Tableau1[[#This Row],[Index HP
kWh]]-I188)</f>
        <v>57</v>
      </c>
      <c r="K189" s="40">
        <f>IF(ISERROR(Tableau1[[#This Row],[Différence HP
Instantané]]/(Tableau1[[#This Row],[Diff jour
Instantané]]*24)),"",Tableau1[[#This Row],[Différence HP
Instantané]]/(Tableau1[[#This Row],[Diff jour
Instantané]]*24))</f>
        <v>2.3651452282180525</v>
      </c>
      <c r="L189" s="40">
        <f>Tableau1[[#This Row],[Différence HP
Instantané]]/Tableau1[[#This Row],[Diff jour
Instantané]]</f>
        <v>56.76348547723326</v>
      </c>
      <c r="M189" s="40">
        <f>Tableau1[[#This Row],[Conso HP / jour
Instantané]]*365</f>
        <v>20718.67219919014</v>
      </c>
      <c r="N189" s="38">
        <f>Tableau1[[#This Row],[Index HP
kWh]]-$I$5</f>
        <v>10400</v>
      </c>
      <c r="O189" s="41">
        <f>Tableau1[[#This Row],[Différence HP
Cumul]]/(Tableau1[[#This Row],[Diff jour_x000D_
Cumul]]*24)</f>
        <v>1.078923980814531</v>
      </c>
      <c r="P189" s="41">
        <f>Tableau1[[#This Row],[Différence HP
Cumul]]/Tableau1[[#This Row],[Diff jour_x000D_
Cumul]]</f>
        <v>25.894175539548744</v>
      </c>
      <c r="Q189" s="41">
        <f>Tableau1[[#This Row],[Conso HP / jour
Cumul]]*365</f>
        <v>9451.3740719352918</v>
      </c>
      <c r="R189" s="21">
        <v>123655</v>
      </c>
      <c r="S189" s="38">
        <f>Tableau1[[#This Row],[Index HC_x000D_
kWh]]-R188</f>
        <v>24</v>
      </c>
      <c r="T189" s="42">
        <f>Tableau1[[#This Row],[Différence_x000D_ HC
Instantané]]/(Tableau1[[#This Row],[Diff jour
Instantané]]*24)</f>
        <v>0.99585062240760114</v>
      </c>
      <c r="U189" s="42">
        <f>Tableau1[[#This Row],[Différence_x000D_ HC
Instantané]]/Tableau1[[#This Row],[Diff jour
Instantané]]</f>
        <v>23.900414937782426</v>
      </c>
      <c r="V189" s="42">
        <f>Tableau1[[#This Row],[Conso HC / jour_x000D_
Instantané]]*365</f>
        <v>8723.6514522905854</v>
      </c>
      <c r="W189" s="38">
        <f>Tableau1[[#This Row],[Index HC_x000D_
kWh]]-$R$5</f>
        <v>4223</v>
      </c>
      <c r="X189" s="43">
        <f>Tableau1[[#This Row],[Différence HC
Cumul]]/(Tableau1[[#This Row],[Diff jour_x000D_
Cumul]]*24)</f>
        <v>0.43810538182497738</v>
      </c>
      <c r="Y189" s="43">
        <f>Tableau1[[#This Row],[Différence HC
Cumul]]/Tableau1[[#This Row],[Diff jour_x000D_
Cumul]]</f>
        <v>10.514529163799457</v>
      </c>
      <c r="Z189" s="43">
        <f>Tableau1[[#This Row],[Conso HC / jour_x000D_
Cumul]]*365</f>
        <v>3837.803144786802</v>
      </c>
      <c r="AA189" s="38">
        <f>Tableau1[[#This Row],[Différence HP
Instantané]]+Tableau1[[#This Row],[Différence_x000D_ HC
Instantané]]</f>
        <v>81</v>
      </c>
      <c r="AB189" s="41">
        <f>Tableau1[[#This Row],[Conso HP + HC
Instantané]]/(Tableau1[[#This Row],[Diff jour
Instantané]]*24)</f>
        <v>3.3609958506256539</v>
      </c>
      <c r="AC189" s="41">
        <f>IF(ISERROR(Tableau1[[#This Row],[Date]]-A188),"",Tableau1[[#This Row],[Conso HP + HC
Instantané]]/Tableau1[[#This Row],[Diff jour
Instantané]])</f>
        <v>80.663900415015689</v>
      </c>
      <c r="AD189" s="41">
        <f>Tableau1[[#This Row],[Conso HP + HC / jour_x000D_
Instantané]]*365</f>
        <v>29442.323651480725</v>
      </c>
      <c r="AE189" s="38">
        <f>Tableau1[[#This Row],[Différence HP
Cumul]]+Tableau1[[#This Row],[Différence HC
Cumul]]</f>
        <v>14623</v>
      </c>
      <c r="AF189" s="40">
        <f>(Tableau1[[#This Row],[Conso HP + HC
Cumul]]-AE$6)/Tableau1[[#This Row],[Diff jour_x000D_
Cumul
depuis le 24/01]]</f>
        <v>33.150746684902394</v>
      </c>
      <c r="AG189" s="40">
        <f>(Tableau1[[#This Row],[Conso HP + HC
Cumul]]-AE$59)/Tableau1[[#This Row],[Diff jour_x000D_
Cumul
depuis
précédente facture
16/02/2021]]</f>
        <v>30.630561653152853</v>
      </c>
      <c r="AH189" s="41">
        <f>Tableau1[[#This Row],[Conso HP + HC
Cumul]]/(Tableau1[[#This Row],[Diff jour_x000D_
Cumul]]*24)</f>
        <v>1.5170293626395084</v>
      </c>
      <c r="AI189" s="41">
        <f>Tableau1[[#This Row],[Conso HP + HC
Cumul]]/Tableau1[[#This Row],[Diff jour_x000D_
Cumul]]</f>
        <v>36.408704703348199</v>
      </c>
      <c r="AJ189" s="41">
        <f>Tableau1[[#This Row],[Conso HP + HC / jour_x000D_
Cumul]]*365</f>
        <v>13289.177216722093</v>
      </c>
      <c r="AK189" s="44">
        <f>(Tableau1[[#This Row],[Différence HP
Cumul]]*0.1799)+(Tableau1[[#This Row],[Différence HC
Cumul]]*0.1346)</f>
        <v>2439.3757999999998</v>
      </c>
      <c r="AL189" s="44">
        <f>Tableau1[[#This Row],[Montant
Tarif HP/HC]]/Tableau1[[#This Row],[Diff jour_x000D_
Cumul]]</f>
        <v>6.0736178050122254</v>
      </c>
      <c r="AM189" s="44">
        <f>(Tableau1[[#This Row],[Montant
Tarif HP/HC]]-AK$6)/Tableau1[[#This Row],[Diff jour_x000D_
Cumul
depuis le 24/01]]</f>
        <v>5.5424082030279962</v>
      </c>
      <c r="AN189" s="44">
        <f>(Tableau1[[#This Row],[Montant
Tarif HP/HC]]-AK$59)/Tableau1[[#This Row],[Diff jour_x000D_
Cumul
depuis
précédente facture
16/02/2021]]</f>
        <v>5.1238965395063927</v>
      </c>
      <c r="AO189" s="44">
        <f>Tableau1[[#This Row],[Conso HP + HC
Cumul]]*0.1599</f>
        <v>2338.2176999999997</v>
      </c>
      <c r="AP189" s="44">
        <f>Tableau1[[#This Row],[Montant
Tarif normal]]/Tableau1[[#This Row],[Diff jour_x000D_
Cumul]]</f>
        <v>5.8217518820653771</v>
      </c>
      <c r="AQ189" s="44">
        <f>(Tableau1[[#This Row],[Conso HP / an
Cumul]]*0.1799)+(Tableau1[[#This Row],[Conso HC / an_x000D_
Cumul]]*0.1346)</f>
        <v>2216.8704988294626</v>
      </c>
      <c r="AR189" s="44">
        <f>Tableau1[[#This Row],[Conso HP + HC / an_x000D_
Cumul]]*0.1599</f>
        <v>2124.9394369538627</v>
      </c>
      <c r="AS189" s="38">
        <f>MONTH(Tableau1[[#This Row],[Date]])</f>
        <v>1</v>
      </c>
      <c r="AT189" s="38">
        <f>YEAR(Tableau1[[#This Row],[Date]])</f>
        <v>2022</v>
      </c>
    </row>
    <row r="190" spans="1:46" x14ac:dyDescent="0.2">
      <c r="A190" s="19">
        <v>44585.331944444442</v>
      </c>
      <c r="B190" s="20">
        <v>-0.7</v>
      </c>
      <c r="C190" s="39">
        <f>IF(ISERROR(Tableau1[[#This Row],[Date]]-A189),"",Tableau1[[#This Row],[Date]]-A189)</f>
        <v>0.98888888888905058</v>
      </c>
      <c r="D190" s="40">
        <f>IF(ISERROR(Tableau1[[#This Row],[Date]]-A189),"",Tableau1[[#This Row],[Date]]-A189)</f>
        <v>0.98888888888905058</v>
      </c>
      <c r="E190" s="39">
        <f>Tableau1[[#This Row],[Date]]-$A$5</f>
        <v>402.62361111110658</v>
      </c>
      <c r="F190" s="40">
        <f>Tableau1[[#This Row],[Date]]-$A$5</f>
        <v>402.62361111110658</v>
      </c>
      <c r="G190" s="40">
        <f>Tableau1[[#This Row],[Diff jour_x000D_
Cumul]]-F$6</f>
        <v>364.5402777777781</v>
      </c>
      <c r="H190" s="40">
        <f>Tableau1[[#This Row],[Diff jour_x000D_
Cumul]]-F$59</f>
        <v>342.02083333332848</v>
      </c>
      <c r="I190" s="21">
        <v>190210</v>
      </c>
      <c r="J190" s="38">
        <f>IF(ISERROR(Tableau1[[#This Row],[Index HP
kWh]]-I189),"",Tableau1[[#This Row],[Index HP
kWh]]-I189)</f>
        <v>51</v>
      </c>
      <c r="K190" s="40">
        <f>IF(ISERROR(Tableau1[[#This Row],[Différence HP
Instantané]]/(Tableau1[[#This Row],[Diff jour
Instantané]]*24)),"",Tableau1[[#This Row],[Différence HP
Instantané]]/(Tableau1[[#This Row],[Diff jour
Instantané]]*24))</f>
        <v>2.1488764044940307</v>
      </c>
      <c r="L190" s="40">
        <f>Tableau1[[#This Row],[Différence HP
Instantané]]/Tableau1[[#This Row],[Diff jour
Instantané]]</f>
        <v>51.573033707856737</v>
      </c>
      <c r="M190" s="40">
        <f>Tableau1[[#This Row],[Conso HP / jour
Instantané]]*365</f>
        <v>18824.157303367709</v>
      </c>
      <c r="N190" s="38">
        <f>Tableau1[[#This Row],[Index HP
kWh]]-$I$5</f>
        <v>10451</v>
      </c>
      <c r="O190" s="41">
        <f>Tableau1[[#This Row],[Différence HP
Cumul]]/(Tableau1[[#This Row],[Diff jour_x000D_
Cumul]]*24)</f>
        <v>1.081551904349608</v>
      </c>
      <c r="P190" s="41">
        <f>Tableau1[[#This Row],[Différence HP
Cumul]]/Tableau1[[#This Row],[Diff jour_x000D_
Cumul]]</f>
        <v>25.957245704390594</v>
      </c>
      <c r="Q190" s="41">
        <f>Tableau1[[#This Row],[Conso HP / jour
Cumul]]*365</f>
        <v>9474.3946821025675</v>
      </c>
      <c r="R190" s="21">
        <v>123679</v>
      </c>
      <c r="S190" s="38">
        <f>Tableau1[[#This Row],[Index HC_x000D_
kWh]]-R189</f>
        <v>24</v>
      </c>
      <c r="T190" s="42">
        <f>Tableau1[[#This Row],[Différence_x000D_ HC
Instantané]]/(Tableau1[[#This Row],[Diff jour
Instantané]]*24)</f>
        <v>1.0112359550560144</v>
      </c>
      <c r="U190" s="42">
        <f>Tableau1[[#This Row],[Différence_x000D_ HC
Instantané]]/Tableau1[[#This Row],[Diff jour
Instantané]]</f>
        <v>24.269662921344345</v>
      </c>
      <c r="V190" s="42">
        <f>Tableau1[[#This Row],[Conso HC / jour_x000D_
Instantané]]*365</f>
        <v>8858.4269662906863</v>
      </c>
      <c r="W190" s="38">
        <f>Tableau1[[#This Row],[Index HC_x000D_
kWh]]-$R$5</f>
        <v>4247</v>
      </c>
      <c r="X190" s="43">
        <f>Tableau1[[#This Row],[Différence HC
Cumul]]/(Tableau1[[#This Row],[Diff jour_x000D_
Cumul]]*24)</f>
        <v>0.43951305499691756</v>
      </c>
      <c r="Y190" s="43">
        <f>Tableau1[[#This Row],[Différence HC
Cumul]]/Tableau1[[#This Row],[Diff jour_x000D_
Cumul]]</f>
        <v>10.548313319926022</v>
      </c>
      <c r="Z190" s="43">
        <f>Tableau1[[#This Row],[Conso HC / jour_x000D_
Cumul]]*365</f>
        <v>3850.1343617729981</v>
      </c>
      <c r="AA190" s="38">
        <f>Tableau1[[#This Row],[Différence HP
Instantané]]+Tableau1[[#This Row],[Différence_x000D_ HC
Instantané]]</f>
        <v>75</v>
      </c>
      <c r="AB190" s="41">
        <f>Tableau1[[#This Row],[Conso HP + HC
Instantané]]/(Tableau1[[#This Row],[Diff jour
Instantané]]*24)</f>
        <v>3.1601123595500451</v>
      </c>
      <c r="AC190" s="41">
        <f>IF(ISERROR(Tableau1[[#This Row],[Date]]-A189),"",Tableau1[[#This Row],[Conso HP + HC
Instantané]]/Tableau1[[#This Row],[Diff jour
Instantané]])</f>
        <v>75.842696629201086</v>
      </c>
      <c r="AD190" s="41">
        <f>Tableau1[[#This Row],[Conso HP + HC / jour_x000D_
Instantané]]*365</f>
        <v>27682.584269658397</v>
      </c>
      <c r="AE190" s="38">
        <f>Tableau1[[#This Row],[Différence HP
Cumul]]+Tableau1[[#This Row],[Différence HC
Cumul]]</f>
        <v>14698</v>
      </c>
      <c r="AF190" s="40">
        <f>(Tableau1[[#This Row],[Conso HP + HC
Cumul]]-AE$6)/Tableau1[[#This Row],[Diff jour_x000D_
Cumul
depuis le 24/01]]</f>
        <v>33.266557193420908</v>
      </c>
      <c r="AG190" s="40">
        <f>(Tableau1[[#This Row],[Conso HP + HC
Cumul]]-AE$59)/Tableau1[[#This Row],[Diff jour_x000D_
Cumul
depuis
précédente facture
16/02/2021]]</f>
        <v>30.761284034842369</v>
      </c>
      <c r="AH190" s="41">
        <f>Tableau1[[#This Row],[Conso HP + HC
Cumul]]/(Tableau1[[#This Row],[Diff jour_x000D_
Cumul]]*24)</f>
        <v>1.5210649593465255</v>
      </c>
      <c r="AI190" s="41">
        <f>Tableau1[[#This Row],[Conso HP + HC
Cumul]]/Tableau1[[#This Row],[Diff jour_x000D_
Cumul]]</f>
        <v>36.505559024316611</v>
      </c>
      <c r="AJ190" s="41">
        <f>Tableau1[[#This Row],[Conso HP + HC / jour_x000D_
Cumul]]*365</f>
        <v>13324.529043875564</v>
      </c>
      <c r="AK190" s="44">
        <f>(Tableau1[[#This Row],[Différence HP
Cumul]]*0.1799)+(Tableau1[[#This Row],[Différence HC
Cumul]]*0.1346)</f>
        <v>2451.7811000000002</v>
      </c>
      <c r="AL190" s="44">
        <f>Tableau1[[#This Row],[Montant
Tarif HP/HC]]/Tableau1[[#This Row],[Diff jour_x000D_
Cumul]]</f>
        <v>6.0895114750819106</v>
      </c>
      <c r="AM190" s="44">
        <f>(Tableau1[[#This Row],[Montant
Tarif HP/HC]]-AK$6)/Tableau1[[#This Row],[Diff jour_x000D_
Cumul
depuis le 24/01]]</f>
        <v>5.5614032895313308</v>
      </c>
      <c r="AN190" s="44">
        <f>(Tableau1[[#This Row],[Montant
Tarif HP/HC]]-AK$59)/Tableau1[[#This Row],[Diff jour_x000D_
Cumul
depuis
précédente facture
16/02/2021]]</f>
        <v>5.1453523542669917</v>
      </c>
      <c r="AO190" s="44">
        <f>Tableau1[[#This Row],[Conso HP + HC
Cumul]]*0.1599</f>
        <v>2350.2102</v>
      </c>
      <c r="AP190" s="44">
        <f>Tableau1[[#This Row],[Montant
Tarif normal]]/Tableau1[[#This Row],[Diff jour_x000D_
Cumul]]</f>
        <v>5.8372388879882262</v>
      </c>
      <c r="AQ190" s="44">
        <f>(Tableau1[[#This Row],[Conso HP / an
Cumul]]*0.1799)+(Tableau1[[#This Row],[Conso HC / an_x000D_
Cumul]]*0.1346)</f>
        <v>2222.6716884048974</v>
      </c>
      <c r="AR190" s="44">
        <f>Tableau1[[#This Row],[Conso HP + HC / an_x000D_
Cumul]]*0.1599</f>
        <v>2130.5921941157026</v>
      </c>
      <c r="AS190" s="38">
        <f>MONTH(Tableau1[[#This Row],[Date]])</f>
        <v>1</v>
      </c>
      <c r="AT190" s="38">
        <f>YEAR(Tableau1[[#This Row],[Date]])</f>
        <v>2022</v>
      </c>
    </row>
    <row r="191" spans="1:46" x14ac:dyDescent="0.2">
      <c r="A191" s="19">
        <v>44586.320138888892</v>
      </c>
      <c r="B191" s="20">
        <v>-3.4</v>
      </c>
      <c r="C191" s="39">
        <f>IF(ISERROR(Tableau1[[#This Row],[Date]]-A190),"",Tableau1[[#This Row],[Date]]-A190)</f>
        <v>0.98819444444961846</v>
      </c>
      <c r="D191" s="40">
        <f>IF(ISERROR(Tableau1[[#This Row],[Date]]-A190),"",Tableau1[[#This Row],[Date]]-A190)</f>
        <v>0.98819444444961846</v>
      </c>
      <c r="E191" s="39">
        <f>Tableau1[[#This Row],[Date]]-$A$5</f>
        <v>403.6118055555562</v>
      </c>
      <c r="F191" s="40">
        <f>Tableau1[[#This Row],[Date]]-$A$5</f>
        <v>403.6118055555562</v>
      </c>
      <c r="G191" s="40">
        <f>Tableau1[[#This Row],[Diff jour_x000D_
Cumul]]-F$6</f>
        <v>365.52847222222772</v>
      </c>
      <c r="H191" s="40">
        <f>Tableau1[[#This Row],[Diff jour_x000D_
Cumul]]-F$59</f>
        <v>343.0090277777781</v>
      </c>
      <c r="I191" s="21">
        <v>190263</v>
      </c>
      <c r="J191" s="38">
        <f>IF(ISERROR(Tableau1[[#This Row],[Index HP
kWh]]-I190),"",Tableau1[[#This Row],[Index HP
kWh]]-I190)</f>
        <v>53</v>
      </c>
      <c r="K191" s="40">
        <f>IF(ISERROR(Tableau1[[#This Row],[Différence HP
Instantané]]/(Tableau1[[#This Row],[Diff jour
Instantané]]*24)),"",Tableau1[[#This Row],[Différence HP
Instantané]]/(Tableau1[[#This Row],[Diff jour
Instantané]]*24))</f>
        <v>2.2347153900093817</v>
      </c>
      <c r="L191" s="40">
        <f>Tableau1[[#This Row],[Différence HP
Instantané]]/Tableau1[[#This Row],[Diff jour
Instantané]]</f>
        <v>53.63316936022516</v>
      </c>
      <c r="M191" s="40">
        <f>Tableau1[[#This Row],[Conso HP / jour
Instantané]]*365</f>
        <v>19576.106816482185</v>
      </c>
      <c r="N191" s="38">
        <f>Tableau1[[#This Row],[Index HP
kWh]]-$I$5</f>
        <v>10504</v>
      </c>
      <c r="O191" s="41">
        <f>Tableau1[[#This Row],[Différence HP
Cumul]]/(Tableau1[[#This Row],[Diff jour_x000D_
Cumul]]*24)</f>
        <v>1.0843752849702581</v>
      </c>
      <c r="P191" s="41">
        <f>Tableau1[[#This Row],[Différence HP
Cumul]]/Tableau1[[#This Row],[Diff jour_x000D_
Cumul]]</f>
        <v>26.025006839286196</v>
      </c>
      <c r="Q191" s="41">
        <f>Tableau1[[#This Row],[Conso HP / jour
Cumul]]*365</f>
        <v>9499.1274963394608</v>
      </c>
      <c r="R191" s="21">
        <v>123706</v>
      </c>
      <c r="S191" s="38">
        <f>Tableau1[[#This Row],[Index HC_x000D_
kWh]]-R190</f>
        <v>27</v>
      </c>
      <c r="T191" s="42">
        <f>Tableau1[[#This Row],[Différence_x000D_ HC
Instantané]]/(Tableau1[[#This Row],[Diff jour
Instantané]]*24)</f>
        <v>1.1384399156651568</v>
      </c>
      <c r="U191" s="42">
        <f>Tableau1[[#This Row],[Différence_x000D_ HC
Instantané]]/Tableau1[[#This Row],[Diff jour
Instantané]]</f>
        <v>27.322557975963761</v>
      </c>
      <c r="V191" s="42">
        <f>Tableau1[[#This Row],[Conso HC / jour_x000D_
Instantané]]*365</f>
        <v>9972.7336612267736</v>
      </c>
      <c r="W191" s="38">
        <f>Tableau1[[#This Row],[Index HC_x000D_
kWh]]-$R$5</f>
        <v>4274</v>
      </c>
      <c r="X191" s="43">
        <f>Tableau1[[#This Row],[Différence HC
Cumul]]/(Tableau1[[#This Row],[Diff jour_x000D_
Cumul]]*24)</f>
        <v>0.44122429245648165</v>
      </c>
      <c r="Y191" s="43">
        <f>Tableau1[[#This Row],[Différence HC
Cumul]]/Tableau1[[#This Row],[Diff jour_x000D_
Cumul]]</f>
        <v>10.589383018955559</v>
      </c>
      <c r="Z191" s="43">
        <f>Tableau1[[#This Row],[Conso HC / jour_x000D_
Cumul]]*365</f>
        <v>3865.1248019187788</v>
      </c>
      <c r="AA191" s="38">
        <f>Tableau1[[#This Row],[Différence HP
Instantané]]+Tableau1[[#This Row],[Différence_x000D_ HC
Instantané]]</f>
        <v>80</v>
      </c>
      <c r="AB191" s="41">
        <f>Tableau1[[#This Row],[Conso HP + HC
Instantané]]/(Tableau1[[#This Row],[Diff jour
Instantané]]*24)</f>
        <v>3.3731553056745383</v>
      </c>
      <c r="AC191" s="41">
        <f>IF(ISERROR(Tableau1[[#This Row],[Date]]-A190),"",Tableau1[[#This Row],[Conso HP + HC
Instantané]]/Tableau1[[#This Row],[Diff jour
Instantané]])</f>
        <v>80.955727336188914</v>
      </c>
      <c r="AD191" s="41">
        <f>Tableau1[[#This Row],[Conso HP + HC / jour_x000D_
Instantané]]*365</f>
        <v>29548.840477708953</v>
      </c>
      <c r="AE191" s="38">
        <f>Tableau1[[#This Row],[Différence HP
Cumul]]+Tableau1[[#This Row],[Différence HC
Cumul]]</f>
        <v>14778</v>
      </c>
      <c r="AF191" s="40">
        <f>(Tableau1[[#This Row],[Conso HP + HC
Cumul]]-AE$6)/Tableau1[[#This Row],[Diff jour_x000D_
Cumul
depuis le 24/01]]</f>
        <v>33.395483327981623</v>
      </c>
      <c r="AG191" s="40">
        <f>(Tableau1[[#This Row],[Conso HP + HC
Cumul]]-AE$59)/Tableau1[[#This Row],[Diff jour_x000D_
Cumul
depuis
précédente facture
16/02/2021]]</f>
        <v>30.90589209467678</v>
      </c>
      <c r="AH191" s="41">
        <f>Tableau1[[#This Row],[Conso HP + HC
Cumul]]/(Tableau1[[#This Row],[Diff jour_x000D_
Cumul]]*24)</f>
        <v>1.5255995774267397</v>
      </c>
      <c r="AI191" s="41">
        <f>Tableau1[[#This Row],[Conso HP + HC
Cumul]]/Tableau1[[#This Row],[Diff jour_x000D_
Cumul]]</f>
        <v>36.614389858241758</v>
      </c>
      <c r="AJ191" s="41">
        <f>Tableau1[[#This Row],[Conso HP + HC / jour_x000D_
Cumul]]*365</f>
        <v>13364.252298258241</v>
      </c>
      <c r="AK191" s="44">
        <f>(Tableau1[[#This Row],[Différence HP
Cumul]]*0.1799)+(Tableau1[[#This Row],[Différence HC
Cumul]]*0.1346)</f>
        <v>2464.9499999999998</v>
      </c>
      <c r="AL191" s="44">
        <f>Tableau1[[#This Row],[Montant
Tarif HP/HC]]/Tableau1[[#This Row],[Diff jour_x000D_
Cumul]]</f>
        <v>6.1072296847390044</v>
      </c>
      <c r="AM191" s="44">
        <f>(Tableau1[[#This Row],[Montant
Tarif HP/HC]]-AK$6)/Tableau1[[#This Row],[Diff jour_x000D_
Cumul
depuis le 24/01]]</f>
        <v>5.5823952306496025</v>
      </c>
      <c r="AN191" s="44">
        <f>(Tableau1[[#This Row],[Montant
Tarif HP/HC]]-AK$59)/Tableau1[[#This Row],[Diff jour_x000D_
Cumul
depuis
précédente facture
16/02/2021]]</f>
        <v>5.1689210965859687</v>
      </c>
      <c r="AO191" s="44">
        <f>Tableau1[[#This Row],[Conso HP + HC
Cumul]]*0.1599</f>
        <v>2363.0021999999999</v>
      </c>
      <c r="AP191" s="44">
        <f>Tableau1[[#This Row],[Montant
Tarif normal]]/Tableau1[[#This Row],[Diff jour_x000D_
Cumul]]</f>
        <v>5.8546409383328566</v>
      </c>
      <c r="AQ191" s="44">
        <f>(Tableau1[[#This Row],[Conso HP / an
Cumul]]*0.1799)+(Tableau1[[#This Row],[Conso HC / an_x000D_
Cumul]]*0.1346)</f>
        <v>2229.1388349297367</v>
      </c>
      <c r="AR191" s="44">
        <f>Tableau1[[#This Row],[Conso HP + HC / an_x000D_
Cumul]]*0.1599</f>
        <v>2136.9439424914926</v>
      </c>
      <c r="AS191" s="38">
        <f>MONTH(Tableau1[[#This Row],[Date]])</f>
        <v>1</v>
      </c>
      <c r="AT191" s="38">
        <f>YEAR(Tableau1[[#This Row],[Date]])</f>
        <v>2022</v>
      </c>
    </row>
    <row r="192" spans="1:46" x14ac:dyDescent="0.2">
      <c r="A192" s="19">
        <v>44587.322916666664</v>
      </c>
      <c r="B192" s="20">
        <v>-1.1000000000000001</v>
      </c>
      <c r="C192" s="39">
        <f>IF(ISERROR(Tableau1[[#This Row],[Date]]-A191),"",Tableau1[[#This Row],[Date]]-A191)</f>
        <v>1.0027777777722804</v>
      </c>
      <c r="D192" s="40">
        <f>IF(ISERROR(Tableau1[[#This Row],[Date]]-A191),"",Tableau1[[#This Row],[Date]]-A191)</f>
        <v>1.0027777777722804</v>
      </c>
      <c r="E192" s="39">
        <f>Tableau1[[#This Row],[Date]]-$A$5</f>
        <v>404.61458333332848</v>
      </c>
      <c r="F192" s="40">
        <f>Tableau1[[#This Row],[Date]]-$A$5</f>
        <v>404.61458333332848</v>
      </c>
      <c r="G192" s="40">
        <f>Tableau1[[#This Row],[Diff jour_x000D_
Cumul]]-F$6</f>
        <v>366.53125</v>
      </c>
      <c r="H192" s="40">
        <f>Tableau1[[#This Row],[Diff jour_x000D_
Cumul]]-F$59</f>
        <v>344.01180555555038</v>
      </c>
      <c r="I192" s="21">
        <v>190316</v>
      </c>
      <c r="J192" s="38">
        <f>IF(ISERROR(Tableau1[[#This Row],[Index HP
kWh]]-I191),"",Tableau1[[#This Row],[Index HP
kWh]]-I191)</f>
        <v>53</v>
      </c>
      <c r="K192" s="40">
        <f>IF(ISERROR(Tableau1[[#This Row],[Différence HP
Instantané]]/(Tableau1[[#This Row],[Diff jour
Instantané]]*24)),"",Tableau1[[#This Row],[Différence HP
Instantané]]/(Tableau1[[#This Row],[Diff jour
Instantané]]*24))</f>
        <v>2.2022160664940675</v>
      </c>
      <c r="L192" s="40">
        <f>Tableau1[[#This Row],[Différence HP
Instantané]]/Tableau1[[#This Row],[Diff jour
Instantané]]</f>
        <v>52.853185595857617</v>
      </c>
      <c r="M192" s="40">
        <f>Tableau1[[#This Row],[Conso HP / jour
Instantané]]*365</f>
        <v>19291.412742488032</v>
      </c>
      <c r="N192" s="38">
        <f>Tableau1[[#This Row],[Index HP
kWh]]-$I$5</f>
        <v>10557</v>
      </c>
      <c r="O192" s="41">
        <f>Tableau1[[#This Row],[Différence HP
Cumul]]/(Tableau1[[#This Row],[Diff jour_x000D_
Cumul]]*24)</f>
        <v>1.0871456890559561</v>
      </c>
      <c r="P192" s="41">
        <f>Tableau1[[#This Row],[Différence HP
Cumul]]/Tableau1[[#This Row],[Diff jour_x000D_
Cumul]]</f>
        <v>26.091496537342948</v>
      </c>
      <c r="Q192" s="41">
        <f>Tableau1[[#This Row],[Conso HP / jour
Cumul]]*365</f>
        <v>9523.3962361301765</v>
      </c>
      <c r="R192" s="21">
        <v>123731</v>
      </c>
      <c r="S192" s="38">
        <f>Tableau1[[#This Row],[Index HC_x000D_
kWh]]-R191</f>
        <v>25</v>
      </c>
      <c r="T192" s="42">
        <f>Tableau1[[#This Row],[Différence_x000D_ HC
Instantané]]/(Tableau1[[#This Row],[Diff jour
Instantané]]*24)</f>
        <v>1.0387811634405979</v>
      </c>
      <c r="U192" s="42">
        <f>Tableau1[[#This Row],[Différence_x000D_ HC
Instantané]]/Tableau1[[#This Row],[Diff jour
Instantané]]</f>
        <v>24.930747922574348</v>
      </c>
      <c r="V192" s="42">
        <f>Tableau1[[#This Row],[Conso HC / jour_x000D_
Instantané]]*365</f>
        <v>9099.7229917396362</v>
      </c>
      <c r="W192" s="38">
        <f>Tableau1[[#This Row],[Index HC_x000D_
kWh]]-$R$5</f>
        <v>4299</v>
      </c>
      <c r="X192" s="43">
        <f>Tableau1[[#This Row],[Différence HC
Cumul]]/(Tableau1[[#This Row],[Diff jour_x000D_
Cumul]]*24)</f>
        <v>0.44270524933708022</v>
      </c>
      <c r="Y192" s="43">
        <f>Tableau1[[#This Row],[Différence HC
Cumul]]/Tableau1[[#This Row],[Diff jour_x000D_
Cumul]]</f>
        <v>10.624925984089925</v>
      </c>
      <c r="Z192" s="43">
        <f>Tableau1[[#This Row],[Conso HC / jour_x000D_
Cumul]]*365</f>
        <v>3878.0979841928229</v>
      </c>
      <c r="AA192" s="38">
        <f>Tableau1[[#This Row],[Différence HP
Instantané]]+Tableau1[[#This Row],[Différence_x000D_ HC
Instantané]]</f>
        <v>78</v>
      </c>
      <c r="AB192" s="41">
        <f>Tableau1[[#This Row],[Conso HP + HC
Instantané]]/(Tableau1[[#This Row],[Diff jour
Instantané]]*24)</f>
        <v>3.2409972299346652</v>
      </c>
      <c r="AC192" s="41">
        <f>IF(ISERROR(Tableau1[[#This Row],[Date]]-A191),"",Tableau1[[#This Row],[Conso HP + HC
Instantané]]/Tableau1[[#This Row],[Diff jour
Instantané]])</f>
        <v>77.783933518431965</v>
      </c>
      <c r="AD192" s="41">
        <f>Tableau1[[#This Row],[Conso HP + HC / jour_x000D_
Instantané]]*365</f>
        <v>28391.135734227668</v>
      </c>
      <c r="AE192" s="38">
        <f>Tableau1[[#This Row],[Différence HP
Cumul]]+Tableau1[[#This Row],[Différence HC
Cumul]]</f>
        <v>14856</v>
      </c>
      <c r="AF192" s="40">
        <f>(Tableau1[[#This Row],[Conso HP + HC
Cumul]]-AE$6)/Tableau1[[#This Row],[Diff jour_x000D_
Cumul
depuis le 24/01]]</f>
        <v>33.516923863927019</v>
      </c>
      <c r="AG192" s="40">
        <f>(Tableau1[[#This Row],[Conso HP + HC
Cumul]]-AE$59)/Tableau1[[#This Row],[Diff jour_x000D_
Cumul
depuis
précédente facture
16/02/2021]]</f>
        <v>31.042539318539681</v>
      </c>
      <c r="AH192" s="41">
        <f>Tableau1[[#This Row],[Conso HP + HC
Cumul]]/(Tableau1[[#This Row],[Diff jour_x000D_
Cumul]]*24)</f>
        <v>1.5298509383930363</v>
      </c>
      <c r="AI192" s="41">
        <f>Tableau1[[#This Row],[Conso HP + HC
Cumul]]/Tableau1[[#This Row],[Diff jour_x000D_
Cumul]]</f>
        <v>36.716422521432875</v>
      </c>
      <c r="AJ192" s="41">
        <f>Tableau1[[#This Row],[Conso HP + HC / jour_x000D_
Cumul]]*365</f>
        <v>13401.494220323</v>
      </c>
      <c r="AK192" s="44">
        <f>(Tableau1[[#This Row],[Différence HP
Cumul]]*0.1799)+(Tableau1[[#This Row],[Différence HC
Cumul]]*0.1346)</f>
        <v>2477.8497000000002</v>
      </c>
      <c r="AL192" s="44">
        <f>Tableau1[[#This Row],[Montant
Tarif HP/HC]]/Tableau1[[#This Row],[Diff jour_x000D_
Cumul]]</f>
        <v>6.1239752645265009</v>
      </c>
      <c r="AM192" s="44">
        <f>(Tableau1[[#This Row],[Montant
Tarif HP/HC]]-AK$6)/Tableau1[[#This Row],[Diff jour_x000D_
Cumul
depuis le 24/01]]</f>
        <v>5.6023165828288866</v>
      </c>
      <c r="AN192" s="44">
        <f>(Tableau1[[#This Row],[Montant
Tarif HP/HC]]-AK$59)/Tableau1[[#This Row],[Diff jour_x000D_
Cumul
depuis
précédente facture
16/02/2021]]</f>
        <v>5.1913517825818296</v>
      </c>
      <c r="AO192" s="44">
        <f>Tableau1[[#This Row],[Conso HP + HC
Cumul]]*0.1599</f>
        <v>2375.4743999999996</v>
      </c>
      <c r="AP192" s="44">
        <f>Tableau1[[#This Row],[Montant
Tarif normal]]/Tableau1[[#This Row],[Diff jour_x000D_
Cumul]]</f>
        <v>5.8709559611771152</v>
      </c>
      <c r="AQ192" s="44">
        <f>(Tableau1[[#This Row],[Conso HP / an
Cumul]]*0.1799)+(Tableau1[[#This Row],[Conso HC / an_x000D_
Cumul]]*0.1346)</f>
        <v>2235.2509715521728</v>
      </c>
      <c r="AR192" s="44">
        <f>Tableau1[[#This Row],[Conso HP + HC / an_x000D_
Cumul]]*0.1599</f>
        <v>2142.8989258296474</v>
      </c>
      <c r="AS192" s="38">
        <f>MONTH(Tableau1[[#This Row],[Date]])</f>
        <v>1</v>
      </c>
      <c r="AT192" s="38">
        <f>YEAR(Tableau1[[#This Row],[Date]])</f>
        <v>2022</v>
      </c>
    </row>
    <row r="193" spans="1:46" x14ac:dyDescent="0.2">
      <c r="A193" s="19">
        <v>44588.306944444441</v>
      </c>
      <c r="B193" s="20">
        <v>-1.8</v>
      </c>
      <c r="C193" s="39">
        <f>IF(ISERROR(Tableau1[[#This Row],[Date]]-A192),"",Tableau1[[#This Row],[Date]]-A192)</f>
        <v>0.98402777777664596</v>
      </c>
      <c r="D193" s="40">
        <f>IF(ISERROR(Tableau1[[#This Row],[Date]]-A192),"",Tableau1[[#This Row],[Date]]-A192)</f>
        <v>0.98402777777664596</v>
      </c>
      <c r="E193" s="39">
        <f>Tableau1[[#This Row],[Date]]-$A$5</f>
        <v>405.59861111110513</v>
      </c>
      <c r="F193" s="40">
        <f>Tableau1[[#This Row],[Date]]-$A$5</f>
        <v>405.59861111110513</v>
      </c>
      <c r="G193" s="40">
        <f>Tableau1[[#This Row],[Diff jour_x000D_
Cumul]]-F$6</f>
        <v>367.51527777777665</v>
      </c>
      <c r="H193" s="40">
        <f>Tableau1[[#This Row],[Diff jour_x000D_
Cumul]]-F$59</f>
        <v>344.99583333332703</v>
      </c>
      <c r="I193" s="21">
        <v>190377</v>
      </c>
      <c r="J193" s="38">
        <f>IF(ISERROR(Tableau1[[#This Row],[Index HP
kWh]]-I192),"",Tableau1[[#This Row],[Index HP
kWh]]-I192)</f>
        <v>61</v>
      </c>
      <c r="K193" s="40">
        <f>IF(ISERROR(Tableau1[[#This Row],[Différence HP
Instantané]]/(Tableau1[[#This Row],[Diff jour
Instantané]]*24)),"",Tableau1[[#This Row],[Différence HP
Instantané]]/(Tableau1[[#This Row],[Diff jour
Instantané]]*24))</f>
        <v>2.5829216654934437</v>
      </c>
      <c r="L193" s="40">
        <f>Tableau1[[#This Row],[Différence HP
Instantané]]/Tableau1[[#This Row],[Diff jour
Instantané]]</f>
        <v>61.990119971842645</v>
      </c>
      <c r="M193" s="40">
        <f>Tableau1[[#This Row],[Conso HP / jour
Instantané]]*365</f>
        <v>22626.393789722566</v>
      </c>
      <c r="N193" s="38">
        <f>Tableau1[[#This Row],[Index HP
kWh]]-$I$5</f>
        <v>10618</v>
      </c>
      <c r="O193" s="41">
        <f>Tableau1[[#This Row],[Différence HP
Cumul]]/(Tableau1[[#This Row],[Diff jour_x000D_
Cumul]]*24)</f>
        <v>1.0907746095448931</v>
      </c>
      <c r="P193" s="41">
        <f>Tableau1[[#This Row],[Différence HP
Cumul]]/Tableau1[[#This Row],[Diff jour_x000D_
Cumul]]</f>
        <v>26.178590629077437</v>
      </c>
      <c r="Q193" s="41">
        <f>Tableau1[[#This Row],[Conso HP / jour
Cumul]]*365</f>
        <v>9555.1855796132641</v>
      </c>
      <c r="R193" s="21">
        <v>123760</v>
      </c>
      <c r="S193" s="38">
        <f>Tableau1[[#This Row],[Index HC_x000D_
kWh]]-R192</f>
        <v>29</v>
      </c>
      <c r="T193" s="42">
        <f>Tableau1[[#This Row],[Différence_x000D_ HC
Instantané]]/(Tableau1[[#This Row],[Diff jour
Instantané]]*24)</f>
        <v>1.2279463655624567</v>
      </c>
      <c r="U193" s="42">
        <f>Tableau1[[#This Row],[Différence_x000D_ HC
Instantané]]/Tableau1[[#This Row],[Diff jour
Instantané]]</f>
        <v>29.470712773498963</v>
      </c>
      <c r="V193" s="42">
        <f>Tableau1[[#This Row],[Conso HC / jour_x000D_
Instantané]]*365</f>
        <v>10756.810162327121</v>
      </c>
      <c r="W193" s="38">
        <f>Tableau1[[#This Row],[Index HC_x000D_
kWh]]-$R$5</f>
        <v>4328</v>
      </c>
      <c r="X193" s="43">
        <f>Tableau1[[#This Row],[Différence HC
Cumul]]/(Tableau1[[#This Row],[Diff jour_x000D_
Cumul]]*24)</f>
        <v>0.44461033246471066</v>
      </c>
      <c r="Y193" s="43">
        <f>Tableau1[[#This Row],[Différence HC
Cumul]]/Tableau1[[#This Row],[Diff jour_x000D_
Cumul]]</f>
        <v>10.670647979153056</v>
      </c>
      <c r="Z193" s="43">
        <f>Tableau1[[#This Row],[Conso HC / jour_x000D_
Cumul]]*365</f>
        <v>3894.7865123908655</v>
      </c>
      <c r="AA193" s="38">
        <f>Tableau1[[#This Row],[Différence HP
Instantané]]+Tableau1[[#This Row],[Différence_x000D_ HC
Instantané]]</f>
        <v>90</v>
      </c>
      <c r="AB193" s="41">
        <f>Tableau1[[#This Row],[Conso HP + HC
Instantané]]/(Tableau1[[#This Row],[Diff jour
Instantané]]*24)</f>
        <v>3.8108680310559007</v>
      </c>
      <c r="AC193" s="41">
        <f>IF(ISERROR(Tableau1[[#This Row],[Date]]-A192),"",Tableau1[[#This Row],[Conso HP + HC
Instantané]]/Tableau1[[#This Row],[Diff jour
Instantané]])</f>
        <v>91.460832745341605</v>
      </c>
      <c r="AD193" s="41">
        <f>Tableau1[[#This Row],[Conso HP + HC / jour_x000D_
Instantané]]*365</f>
        <v>33383.203952049684</v>
      </c>
      <c r="AE193" s="38">
        <f>Tableau1[[#This Row],[Différence HP
Cumul]]+Tableau1[[#This Row],[Différence HC
Cumul]]</f>
        <v>14946</v>
      </c>
      <c r="AF193" s="40">
        <f>(Tableau1[[#This Row],[Conso HP + HC
Cumul]]-AE$6)/Tableau1[[#This Row],[Diff jour_x000D_
Cumul
depuis le 24/01]]</f>
        <v>33.67206956626908</v>
      </c>
      <c r="AG193" s="40">
        <f>(Tableau1[[#This Row],[Conso HP + HC
Cumul]]-AE$59)/Tableau1[[#This Row],[Diff jour_x000D_
Cumul
depuis
précédente facture
16/02/2021]]</f>
        <v>31.21486974480425</v>
      </c>
      <c r="AH193" s="41">
        <f>Tableau1[[#This Row],[Conso HP + HC
Cumul]]/(Tableau1[[#This Row],[Diff jour_x000D_
Cumul]]*24)</f>
        <v>1.5353849420096037</v>
      </c>
      <c r="AI193" s="41">
        <f>Tableau1[[#This Row],[Conso HP + HC
Cumul]]/Tableau1[[#This Row],[Diff jour_x000D_
Cumul]]</f>
        <v>36.849238608230493</v>
      </c>
      <c r="AJ193" s="41">
        <f>Tableau1[[#This Row],[Conso HP + HC / jour_x000D_
Cumul]]*365</f>
        <v>13449.972092004131</v>
      </c>
      <c r="AK193" s="44">
        <f>(Tableau1[[#This Row],[Différence HP
Cumul]]*0.1799)+(Tableau1[[#This Row],[Différence HC
Cumul]]*0.1346)</f>
        <v>2492.7269999999999</v>
      </c>
      <c r="AL193" s="44">
        <f>Tableau1[[#This Row],[Montant
Tarif HP/HC]]/Tableau1[[#This Row],[Diff jour_x000D_
Cumul]]</f>
        <v>6.145797672165032</v>
      </c>
      <c r="AM193" s="44">
        <f>(Tableau1[[#This Row],[Montant
Tarif HP/HC]]-AK$6)/Tableau1[[#This Row],[Diff jour_x000D_
Cumul
depuis le 24/01]]</f>
        <v>5.6277970605908463</v>
      </c>
      <c r="AN193" s="44">
        <f>(Tableau1[[#This Row],[Montant
Tarif HP/HC]]-AK$59)/Tableau1[[#This Row],[Diff jour_x000D_
Cumul
depuis
précédente facture
16/02/2021]]</f>
        <v>5.2196676771459538</v>
      </c>
      <c r="AO193" s="44">
        <f>Tableau1[[#This Row],[Conso HP + HC
Cumul]]*0.1599</f>
        <v>2389.8653999999997</v>
      </c>
      <c r="AP193" s="44">
        <f>Tableau1[[#This Row],[Montant
Tarif normal]]/Tableau1[[#This Row],[Diff jour_x000D_
Cumul]]</f>
        <v>5.892193253456055</v>
      </c>
      <c r="AQ193" s="44">
        <f>(Tableau1[[#This Row],[Conso HP / an
Cumul]]*0.1799)+(Tableau1[[#This Row],[Conso HC / an_x000D_
Cumul]]*0.1346)</f>
        <v>2243.2161503402367</v>
      </c>
      <c r="AR193" s="44">
        <f>Tableau1[[#This Row],[Conso HP + HC / an_x000D_
Cumul]]*0.1599</f>
        <v>2150.6505375114602</v>
      </c>
      <c r="AS193" s="38">
        <f>MONTH(Tableau1[[#This Row],[Date]])</f>
        <v>1</v>
      </c>
      <c r="AT193" s="38">
        <f>YEAR(Tableau1[[#This Row],[Date]])</f>
        <v>2022</v>
      </c>
    </row>
    <row r="194" spans="1:46" x14ac:dyDescent="0.2">
      <c r="A194" s="19">
        <v>44589.354861111111</v>
      </c>
      <c r="B194" s="20">
        <v>5.4</v>
      </c>
      <c r="C194" s="39">
        <f>IF(ISERROR(Tableau1[[#This Row],[Date]]-A193),"",Tableau1[[#This Row],[Date]]-A193)</f>
        <v>1.0479166666700621</v>
      </c>
      <c r="D194" s="40">
        <f>IF(ISERROR(Tableau1[[#This Row],[Date]]-A193),"",Tableau1[[#This Row],[Date]]-A193)</f>
        <v>1.0479166666700621</v>
      </c>
      <c r="E194" s="39">
        <f>Tableau1[[#This Row],[Date]]-$A$5</f>
        <v>406.64652777777519</v>
      </c>
      <c r="F194" s="40">
        <f>Tableau1[[#This Row],[Date]]-$A$5</f>
        <v>406.64652777777519</v>
      </c>
      <c r="G194" s="40">
        <f>Tableau1[[#This Row],[Diff jour_x000D_
Cumul]]-F$6</f>
        <v>368.56319444444671</v>
      </c>
      <c r="H194" s="40">
        <f>Tableau1[[#This Row],[Diff jour_x000D_
Cumul]]-F$59</f>
        <v>346.04374999999709</v>
      </c>
      <c r="I194" s="21">
        <v>190435</v>
      </c>
      <c r="J194" s="38">
        <f>IF(ISERROR(Tableau1[[#This Row],[Index HP
kWh]]-I193),"",Tableau1[[#This Row],[Index HP
kWh]]-I193)</f>
        <v>58</v>
      </c>
      <c r="K194" s="40">
        <f>IF(ISERROR(Tableau1[[#This Row],[Différence HP
Instantané]]/(Tableau1[[#This Row],[Diff jour
Instantané]]*24)),"",Tableau1[[#This Row],[Différence HP
Instantané]]/(Tableau1[[#This Row],[Diff jour
Instantané]]*24))</f>
        <v>2.3061630218613147</v>
      </c>
      <c r="L194" s="40">
        <f>Tableau1[[#This Row],[Différence HP
Instantané]]/Tableau1[[#This Row],[Diff jour
Instantané]]</f>
        <v>55.347912524671557</v>
      </c>
      <c r="M194" s="40">
        <f>Tableau1[[#This Row],[Conso HP / jour
Instantané]]*365</f>
        <v>20201.988071505119</v>
      </c>
      <c r="N194" s="38">
        <f>Tableau1[[#This Row],[Index HP
kWh]]-$I$5</f>
        <v>10676</v>
      </c>
      <c r="O194" s="41">
        <f>Tableau1[[#This Row],[Différence HP
Cumul]]/(Tableau1[[#This Row],[Diff jour_x000D_
Cumul]]*24)</f>
        <v>1.0939066313051775</v>
      </c>
      <c r="P194" s="41">
        <f>Tableau1[[#This Row],[Différence HP
Cumul]]/Tableau1[[#This Row],[Diff jour_x000D_
Cumul]]</f>
        <v>26.25375915132426</v>
      </c>
      <c r="Q194" s="41">
        <f>Tableau1[[#This Row],[Conso HP / jour
Cumul]]*365</f>
        <v>9582.6220902333553</v>
      </c>
      <c r="R194" s="21">
        <v>123781</v>
      </c>
      <c r="S194" s="38">
        <f>Tableau1[[#This Row],[Index HC_x000D_
kWh]]-R193</f>
        <v>21</v>
      </c>
      <c r="T194" s="42">
        <f>Tableau1[[#This Row],[Différence_x000D_ HC
Instantané]]/(Tableau1[[#This Row],[Diff jour
Instantané]]*24)</f>
        <v>0.83499005963944162</v>
      </c>
      <c r="U194" s="42">
        <f>Tableau1[[#This Row],[Différence_x000D_ HC
Instantané]]/Tableau1[[#This Row],[Diff jour
Instantané]]</f>
        <v>20.039761431346598</v>
      </c>
      <c r="V194" s="42">
        <f>Tableau1[[#This Row],[Conso HC / jour_x000D_
Instantané]]*365</f>
        <v>7314.5129224415086</v>
      </c>
      <c r="W194" s="38">
        <f>Tableau1[[#This Row],[Index HC_x000D_
kWh]]-$R$5</f>
        <v>4349</v>
      </c>
      <c r="X194" s="43">
        <f>Tableau1[[#This Row],[Différence HC
Cumul]]/(Tableau1[[#This Row],[Diff jour_x000D_
Cumul]]*24)</f>
        <v>0.44561633004366963</v>
      </c>
      <c r="Y194" s="43">
        <f>Tableau1[[#This Row],[Différence HC
Cumul]]/Tableau1[[#This Row],[Diff jour_x000D_
Cumul]]</f>
        <v>10.69479192104807</v>
      </c>
      <c r="Z194" s="43">
        <f>Tableau1[[#This Row],[Conso HC / jour_x000D_
Cumul]]*365</f>
        <v>3903.5990511825457</v>
      </c>
      <c r="AA194" s="38">
        <f>Tableau1[[#This Row],[Différence HP
Instantané]]+Tableau1[[#This Row],[Différence_x000D_ HC
Instantané]]</f>
        <v>79</v>
      </c>
      <c r="AB194" s="41">
        <f>Tableau1[[#This Row],[Conso HP + HC
Instantané]]/(Tableau1[[#This Row],[Diff jour
Instantané]]*24)</f>
        <v>3.1411530815007564</v>
      </c>
      <c r="AC194" s="41">
        <f>IF(ISERROR(Tableau1[[#This Row],[Date]]-A193),"",Tableau1[[#This Row],[Conso HP + HC
Instantané]]/Tableau1[[#This Row],[Diff jour
Instantané]])</f>
        <v>75.387673956018162</v>
      </c>
      <c r="AD194" s="41">
        <f>Tableau1[[#This Row],[Conso HP + HC / jour_x000D_
Instantané]]*365</f>
        <v>27516.500993946629</v>
      </c>
      <c r="AE194" s="38">
        <f>Tableau1[[#This Row],[Différence HP
Cumul]]+Tableau1[[#This Row],[Différence HC
Cumul]]</f>
        <v>15025</v>
      </c>
      <c r="AF194" s="40">
        <f>(Tableau1[[#This Row],[Conso HP + HC
Cumul]]-AE$6)/Tableau1[[#This Row],[Diff jour_x000D_
Cumul
depuis le 24/01]]</f>
        <v>33.79067738647241</v>
      </c>
      <c r="AG194" s="40">
        <f>(Tableau1[[#This Row],[Conso HP + HC
Cumul]]-AE$59)/Tableau1[[#This Row],[Diff jour_x000D_
Cumul
depuis
précédente facture
16/02/2021]]</f>
        <v>31.348637274911312</v>
      </c>
      <c r="AH194" s="41">
        <f>Tableau1[[#This Row],[Conso HP + HC
Cumul]]/(Tableau1[[#This Row],[Diff jour_x000D_
Cumul]]*24)</f>
        <v>1.539522961348847</v>
      </c>
      <c r="AI194" s="41">
        <f>Tableau1[[#This Row],[Conso HP + HC
Cumul]]/Tableau1[[#This Row],[Diff jour_x000D_
Cumul]]</f>
        <v>36.948551072372332</v>
      </c>
      <c r="AJ194" s="41">
        <f>Tableau1[[#This Row],[Conso HP + HC / jour_x000D_
Cumul]]*365</f>
        <v>13486.221141415901</v>
      </c>
      <c r="AK194" s="44">
        <f>(Tableau1[[#This Row],[Différence HP
Cumul]]*0.1799)+(Tableau1[[#This Row],[Différence HC
Cumul]]*0.1346)</f>
        <v>2505.9877999999999</v>
      </c>
      <c r="AL194" s="44">
        <f>Tableau1[[#This Row],[Montant
Tarif HP/HC]]/Tableau1[[#This Row],[Diff jour_x000D_
Cumul]]</f>
        <v>6.1625702638963045</v>
      </c>
      <c r="AM194" s="44">
        <f>(Tableau1[[#This Row],[Montant
Tarif HP/HC]]-AK$6)/Tableau1[[#This Row],[Diff jour_x000D_
Cumul
depuis le 24/01]]</f>
        <v>5.6477755548479012</v>
      </c>
      <c r="AN194" s="44">
        <f>(Tableau1[[#This Row],[Montant
Tarif HP/HC]]-AK$59)/Tableau1[[#This Row],[Diff jour_x000D_
Cumul
depuis
précédente facture
16/02/2021]]</f>
        <v>5.2421822385175716</v>
      </c>
      <c r="AO194" s="44">
        <f>Tableau1[[#This Row],[Conso HP + HC
Cumul]]*0.1599</f>
        <v>2402.4974999999999</v>
      </c>
      <c r="AP194" s="44">
        <f>Tableau1[[#This Row],[Montant
Tarif normal]]/Tableau1[[#This Row],[Diff jour_x000D_
Cumul]]</f>
        <v>5.9080733164723354</v>
      </c>
      <c r="AQ194" s="44">
        <f>(Tableau1[[#This Row],[Conso HP / an
Cumul]]*0.1799)+(Tableau1[[#This Row],[Conso HC / an_x000D_
Cumul]]*0.1346)</f>
        <v>2249.3381463221513</v>
      </c>
      <c r="AR194" s="44">
        <f>Tableau1[[#This Row],[Conso HP + HC / an_x000D_
Cumul]]*0.1599</f>
        <v>2156.4467605124023</v>
      </c>
      <c r="AS194" s="38">
        <f>MONTH(Tableau1[[#This Row],[Date]])</f>
        <v>1</v>
      </c>
      <c r="AT194" s="38">
        <f>YEAR(Tableau1[[#This Row],[Date]])</f>
        <v>2022</v>
      </c>
    </row>
    <row r="195" spans="1:46" x14ac:dyDescent="0.2">
      <c r="A195" s="19">
        <v>44590.316666666666</v>
      </c>
      <c r="B195" s="20">
        <v>5.7</v>
      </c>
      <c r="C195" s="39">
        <f>IF(ISERROR(Tableau1[[#This Row],[Date]]-A194),"",Tableau1[[#This Row],[Date]]-A194)</f>
        <v>0.96180555555474712</v>
      </c>
      <c r="D195" s="40">
        <f>IF(ISERROR(Tableau1[[#This Row],[Date]]-A194),"",Tableau1[[#This Row],[Date]]-A194)</f>
        <v>0.96180555555474712</v>
      </c>
      <c r="E195" s="39">
        <f>Tableau1[[#This Row],[Date]]-$A$5</f>
        <v>407.60833333332994</v>
      </c>
      <c r="F195" s="40">
        <f>Tableau1[[#This Row],[Date]]-$A$5</f>
        <v>407.60833333332994</v>
      </c>
      <c r="G195" s="40">
        <f>Tableau1[[#This Row],[Diff jour_x000D_
Cumul]]-F$6</f>
        <v>369.52500000000146</v>
      </c>
      <c r="H195" s="40">
        <f>Tableau1[[#This Row],[Diff jour_x000D_
Cumul]]-F$59</f>
        <v>347.00555555555184</v>
      </c>
      <c r="I195" s="21">
        <v>190474</v>
      </c>
      <c r="J195" s="38">
        <f>IF(ISERROR(Tableau1[[#This Row],[Index HP
kWh]]-I194),"",Tableau1[[#This Row],[Index HP
kWh]]-I194)</f>
        <v>39</v>
      </c>
      <c r="K195" s="40">
        <f>IF(ISERROR(Tableau1[[#This Row],[Différence HP
Instantané]]/(Tableau1[[#This Row],[Diff jour
Instantané]]*24)),"",Tableau1[[#This Row],[Différence HP
Instantané]]/(Tableau1[[#This Row],[Diff jour
Instantané]]*24))</f>
        <v>1.6895306859219978</v>
      </c>
      <c r="L195" s="40">
        <f>Tableau1[[#This Row],[Différence HP
Instantané]]/Tableau1[[#This Row],[Diff jour
Instantané]]</f>
        <v>40.548736462127948</v>
      </c>
      <c r="M195" s="40">
        <f>Tableau1[[#This Row],[Conso HP / jour
Instantané]]*365</f>
        <v>14800.288808676702</v>
      </c>
      <c r="N195" s="38">
        <f>Tableau1[[#This Row],[Index HP
kWh]]-$I$5</f>
        <v>10715</v>
      </c>
      <c r="O195" s="41">
        <f>Tableau1[[#This Row],[Différence HP
Cumul]]/(Tableau1[[#This Row],[Diff jour_x000D_
Cumul]]*24)</f>
        <v>1.0953120847218623</v>
      </c>
      <c r="P195" s="41">
        <f>Tableau1[[#This Row],[Différence HP
Cumul]]/Tableau1[[#This Row],[Diff jour_x000D_
Cumul]]</f>
        <v>26.287490033324694</v>
      </c>
      <c r="Q195" s="41">
        <f>Tableau1[[#This Row],[Conso HP / jour
Cumul]]*365</f>
        <v>9594.9338621635125</v>
      </c>
      <c r="R195" s="21">
        <v>123799</v>
      </c>
      <c r="S195" s="38">
        <f>Tableau1[[#This Row],[Index HC_x000D_
kWh]]-R194</f>
        <v>18</v>
      </c>
      <c r="T195" s="42">
        <f>Tableau1[[#This Row],[Différence_x000D_ HC
Instantané]]/(Tableau1[[#This Row],[Diff jour
Instantané]]*24)</f>
        <v>0.77978339350246051</v>
      </c>
      <c r="U195" s="42">
        <f>Tableau1[[#This Row],[Différence_x000D_ HC
Instantané]]/Tableau1[[#This Row],[Diff jour
Instantané]]</f>
        <v>18.714801444059052</v>
      </c>
      <c r="V195" s="42">
        <f>Tableau1[[#This Row],[Conso HC / jour_x000D_
Instantané]]*365</f>
        <v>6830.9025270815537</v>
      </c>
      <c r="W195" s="38">
        <f>Tableau1[[#This Row],[Index HC_x000D_
kWh]]-$R$5</f>
        <v>4367</v>
      </c>
      <c r="X195" s="43">
        <f>Tableau1[[#This Row],[Différence HC
Cumul]]/(Tableau1[[#This Row],[Diff jour_x000D_
Cumul]]*24)</f>
        <v>0.44640484124875152</v>
      </c>
      <c r="Y195" s="43">
        <f>Tableau1[[#This Row],[Différence HC
Cumul]]/Tableau1[[#This Row],[Diff jour_x000D_
Cumul]]</f>
        <v>10.713716189970036</v>
      </c>
      <c r="Z195" s="43">
        <f>Tableau1[[#This Row],[Conso HC / jour_x000D_
Cumul]]*365</f>
        <v>3910.5064093390633</v>
      </c>
      <c r="AA195" s="38">
        <f>Tableau1[[#This Row],[Différence HP
Instantané]]+Tableau1[[#This Row],[Différence_x000D_ HC
Instantané]]</f>
        <v>57</v>
      </c>
      <c r="AB195" s="41">
        <f>Tableau1[[#This Row],[Conso HP + HC
Instantané]]/(Tableau1[[#This Row],[Diff jour
Instantané]]*24)</f>
        <v>2.4693140794244584</v>
      </c>
      <c r="AC195" s="41">
        <f>IF(ISERROR(Tableau1[[#This Row],[Date]]-A194),"",Tableau1[[#This Row],[Conso HP + HC
Instantané]]/Tableau1[[#This Row],[Diff jour
Instantané]])</f>
        <v>59.263537906186997</v>
      </c>
      <c r="AD195" s="41">
        <f>Tableau1[[#This Row],[Conso HP + HC / jour_x000D_
Instantané]]*365</f>
        <v>21631.191335758253</v>
      </c>
      <c r="AE195" s="38">
        <f>Tableau1[[#This Row],[Différence HP
Cumul]]+Tableau1[[#This Row],[Différence HC
Cumul]]</f>
        <v>15082</v>
      </c>
      <c r="AF195" s="40">
        <f>(Tableau1[[#This Row],[Conso HP + HC
Cumul]]-AE$6)/Tableau1[[#This Row],[Diff jour_x000D_
Cumul
depuis le 24/01]]</f>
        <v>33.856978553548338</v>
      </c>
      <c r="AG195" s="40">
        <f>(Tableau1[[#This Row],[Conso HP + HC
Cumul]]-AE$59)/Tableau1[[#This Row],[Diff jour_x000D_
Cumul
depuis
précédente facture
16/02/2021]]</f>
        <v>31.42600983013434</v>
      </c>
      <c r="AH195" s="41">
        <f>Tableau1[[#This Row],[Conso HP + HC
Cumul]]/(Tableau1[[#This Row],[Diff jour_x000D_
Cumul]]*24)</f>
        <v>1.5417169259706136</v>
      </c>
      <c r="AI195" s="41">
        <f>Tableau1[[#This Row],[Conso HP + HC
Cumul]]/Tableau1[[#This Row],[Diff jour_x000D_
Cumul]]</f>
        <v>37.00120622329473</v>
      </c>
      <c r="AJ195" s="41">
        <f>Tableau1[[#This Row],[Conso HP + HC / jour_x000D_
Cumul]]*365</f>
        <v>13505.440271502577</v>
      </c>
      <c r="AK195" s="44">
        <f>(Tableau1[[#This Row],[Différence HP
Cumul]]*0.1799)+(Tableau1[[#This Row],[Différence HC
Cumul]]*0.1346)</f>
        <v>2515.4267</v>
      </c>
      <c r="AL195" s="44">
        <f>Tableau1[[#This Row],[Montant
Tarif HP/HC]]/Tableau1[[#This Row],[Diff jour_x000D_
Cumul]]</f>
        <v>6.1711856561650791</v>
      </c>
      <c r="AM195" s="44">
        <f>(Tableau1[[#This Row],[Montant
Tarif HP/HC]]-AK$6)/Tableau1[[#This Row],[Diff jour_x000D_
Cumul
depuis le 24/01]]</f>
        <v>5.6586187673364234</v>
      </c>
      <c r="AN195" s="44">
        <f>(Tableau1[[#This Row],[Montant
Tarif HP/HC]]-AK$59)/Tableau1[[#This Row],[Diff jour_x000D_
Cumul
depuis
précédente facture
16/02/2021]]</f>
        <v>5.2548533324795228</v>
      </c>
      <c r="AO195" s="44">
        <f>Tableau1[[#This Row],[Conso HP + HC
Cumul]]*0.1599</f>
        <v>2411.6117999999997</v>
      </c>
      <c r="AP195" s="44">
        <f>Tableau1[[#This Row],[Montant
Tarif normal]]/Tableau1[[#This Row],[Diff jour_x000D_
Cumul]]</f>
        <v>5.9164928751048267</v>
      </c>
      <c r="AQ195" s="44">
        <f>(Tableau1[[#This Row],[Conso HP / an
Cumul]]*0.1799)+(Tableau1[[#This Row],[Conso HC / an_x000D_
Cumul]]*0.1346)</f>
        <v>2252.4827645002542</v>
      </c>
      <c r="AR195" s="44">
        <f>Tableau1[[#This Row],[Conso HP + HC / an_x000D_
Cumul]]*0.1599</f>
        <v>2159.519899413262</v>
      </c>
      <c r="AS195" s="38">
        <f>MONTH(Tableau1[[#This Row],[Date]])</f>
        <v>1</v>
      </c>
      <c r="AT195" s="38">
        <f>YEAR(Tableau1[[#This Row],[Date]])</f>
        <v>2022</v>
      </c>
    </row>
    <row r="196" spans="1:46" x14ac:dyDescent="0.2">
      <c r="A196" s="19">
        <v>44591.369444444441</v>
      </c>
      <c r="B196" s="20">
        <v>7</v>
      </c>
      <c r="C196" s="39">
        <f>IF(ISERROR(Tableau1[[#This Row],[Date]]-A195),"",Tableau1[[#This Row],[Date]]-A195)</f>
        <v>1.0527777777751908</v>
      </c>
      <c r="D196" s="40">
        <f>IF(ISERROR(Tableau1[[#This Row],[Date]]-A195),"",Tableau1[[#This Row],[Date]]-A195)</f>
        <v>1.0527777777751908</v>
      </c>
      <c r="E196" s="39">
        <f>Tableau1[[#This Row],[Date]]-$A$5</f>
        <v>408.66111111110513</v>
      </c>
      <c r="F196" s="40">
        <f>Tableau1[[#This Row],[Date]]-$A$5</f>
        <v>408.66111111110513</v>
      </c>
      <c r="G196" s="40">
        <f>Tableau1[[#This Row],[Diff jour_x000D_
Cumul]]-F$6</f>
        <v>370.57777777777665</v>
      </c>
      <c r="H196" s="40">
        <f>Tableau1[[#This Row],[Diff jour_x000D_
Cumul]]-F$59</f>
        <v>348.05833333332703</v>
      </c>
      <c r="I196" s="21">
        <v>190516</v>
      </c>
      <c r="J196" s="38">
        <f>IF(ISERROR(Tableau1[[#This Row],[Index HP
kWh]]-I195),"",Tableau1[[#This Row],[Index HP
kWh]]-I195)</f>
        <v>42</v>
      </c>
      <c r="K196" s="40">
        <f>IF(ISERROR(Tableau1[[#This Row],[Différence HP
Instantané]]/(Tableau1[[#This Row],[Diff jour
Instantané]]*24)),"",Tableau1[[#This Row],[Différence HP
Instantané]]/(Tableau1[[#This Row],[Diff jour
Instantané]]*24))</f>
        <v>1.6622691292916836</v>
      </c>
      <c r="L196" s="40">
        <f>Tableau1[[#This Row],[Différence HP
Instantané]]/Tableau1[[#This Row],[Diff jour
Instantané]]</f>
        <v>39.894459103000408</v>
      </c>
      <c r="M196" s="40">
        <f>Tableau1[[#This Row],[Conso HP / jour
Instantané]]*365</f>
        <v>14561.477572595149</v>
      </c>
      <c r="N196" s="38">
        <f>Tableau1[[#This Row],[Index HP
kWh]]-$I$5</f>
        <v>10757</v>
      </c>
      <c r="O196" s="41">
        <f>Tableau1[[#This Row],[Différence HP
Cumul]]/(Tableau1[[#This Row],[Diff jour_x000D_
Cumul]]*24)</f>
        <v>1.0967726586821624</v>
      </c>
      <c r="P196" s="41">
        <f>Tableau1[[#This Row],[Différence HP
Cumul]]/Tableau1[[#This Row],[Diff jour_x000D_
Cumul]]</f>
        <v>26.322543808371897</v>
      </c>
      <c r="Q196" s="41">
        <f>Tableau1[[#This Row],[Conso HP / jour
Cumul]]*365</f>
        <v>9607.7284900557424</v>
      </c>
      <c r="R196" s="21">
        <v>123814</v>
      </c>
      <c r="S196" s="38">
        <f>Tableau1[[#This Row],[Index HC_x000D_
kWh]]-R195</f>
        <v>15</v>
      </c>
      <c r="T196" s="42">
        <f>Tableau1[[#This Row],[Différence_x000D_ HC
Instantané]]/(Tableau1[[#This Row],[Diff jour
Instantané]]*24)</f>
        <v>0.59366754617560136</v>
      </c>
      <c r="U196" s="42">
        <f>Tableau1[[#This Row],[Différence_x000D_ HC
Instantané]]/Tableau1[[#This Row],[Diff jour
Instantané]]</f>
        <v>14.248021108214431</v>
      </c>
      <c r="V196" s="42">
        <f>Tableau1[[#This Row],[Conso HC / jour_x000D_
Instantané]]*365</f>
        <v>5200.5277044982677</v>
      </c>
      <c r="W196" s="38">
        <f>Tableau1[[#This Row],[Index HC_x000D_
kWh]]-$R$5</f>
        <v>4382</v>
      </c>
      <c r="X196" s="43">
        <f>Tableau1[[#This Row],[Différence HC
Cumul]]/(Tableau1[[#This Row],[Diff jour_x000D_
Cumul]]*24)</f>
        <v>0.44678421403227997</v>
      </c>
      <c r="Y196" s="43">
        <f>Tableau1[[#This Row],[Différence HC
Cumul]]/Tableau1[[#This Row],[Diff jour_x000D_
Cumul]]</f>
        <v>10.722821136774719</v>
      </c>
      <c r="Z196" s="43">
        <f>Tableau1[[#This Row],[Conso HC / jour_x000D_
Cumul]]*365</f>
        <v>3913.8297149227724</v>
      </c>
      <c r="AA196" s="38">
        <f>Tableau1[[#This Row],[Différence HP
Instantané]]+Tableau1[[#This Row],[Différence_x000D_ HC
Instantané]]</f>
        <v>57</v>
      </c>
      <c r="AB196" s="41">
        <f>Tableau1[[#This Row],[Conso HP + HC
Instantané]]/(Tableau1[[#This Row],[Diff jour
Instantané]]*24)</f>
        <v>2.2559366754672849</v>
      </c>
      <c r="AC196" s="41">
        <f>IF(ISERROR(Tableau1[[#This Row],[Date]]-A195),"",Tableau1[[#This Row],[Conso HP + HC
Instantané]]/Tableau1[[#This Row],[Diff jour
Instantané]])</f>
        <v>54.142480211214838</v>
      </c>
      <c r="AD196" s="41">
        <f>Tableau1[[#This Row],[Conso HP + HC / jour_x000D_
Instantané]]*365</f>
        <v>19762.005277093416</v>
      </c>
      <c r="AE196" s="38">
        <f>Tableau1[[#This Row],[Différence HP
Cumul]]+Tableau1[[#This Row],[Différence HC
Cumul]]</f>
        <v>15139</v>
      </c>
      <c r="AF196" s="40">
        <f>(Tableau1[[#This Row],[Conso HP + HC
Cumul]]-AE$6)/Tableau1[[#This Row],[Diff jour_x000D_
Cumul
depuis le 24/01]]</f>
        <v>33.914607819621118</v>
      </c>
      <c r="AG196" s="40">
        <f>(Tableau1[[#This Row],[Conso HP + HC
Cumul]]-AE$59)/Tableau1[[#This Row],[Diff jour_x000D_
Cumul
depuis
précédente facture
16/02/2021]]</f>
        <v>31.494720712524813</v>
      </c>
      <c r="AH196" s="41">
        <f>Tableau1[[#This Row],[Conso HP + HC
Cumul]]/(Tableau1[[#This Row],[Diff jour_x000D_
Cumul]]*24)</f>
        <v>1.5435568727144424</v>
      </c>
      <c r="AI196" s="41">
        <f>Tableau1[[#This Row],[Conso HP + HC
Cumul]]/Tableau1[[#This Row],[Diff jour_x000D_
Cumul]]</f>
        <v>37.045364945146616</v>
      </c>
      <c r="AJ196" s="41">
        <f>Tableau1[[#This Row],[Conso HP + HC / jour_x000D_
Cumul]]*365</f>
        <v>13521.558204978515</v>
      </c>
      <c r="AK196" s="44">
        <f>(Tableau1[[#This Row],[Différence HP
Cumul]]*0.1799)+(Tableau1[[#This Row],[Différence HC
Cumul]]*0.1346)</f>
        <v>2525.0015000000003</v>
      </c>
      <c r="AL196" s="44">
        <f>Tableau1[[#This Row],[Montant
Tarif HP/HC]]/Tableau1[[#This Row],[Diff jour_x000D_
Cumul]]</f>
        <v>6.1787173561359818</v>
      </c>
      <c r="AM196" s="44">
        <f>(Tableau1[[#This Row],[Montant
Tarif HP/HC]]-AK$6)/Tableau1[[#This Row],[Diff jour_x000D_
Cumul
depuis le 24/01]]</f>
        <v>5.668380636843386</v>
      </c>
      <c r="AN196" s="44">
        <f>(Tableau1[[#This Row],[Montant
Tarif HP/HC]]-AK$59)/Tableau1[[#This Row],[Diff jour_x000D_
Cumul
depuis
précédente facture
16/02/2021]]</f>
        <v>5.2664680728805999</v>
      </c>
      <c r="AO196" s="44">
        <f>Tableau1[[#This Row],[Conso HP + HC
Cumul]]*0.1599</f>
        <v>2420.7260999999999</v>
      </c>
      <c r="AP196" s="44">
        <f>Tableau1[[#This Row],[Montant
Tarif normal]]/Tableau1[[#This Row],[Diff jour_x000D_
Cumul]]</f>
        <v>5.9235538547289437</v>
      </c>
      <c r="AQ196" s="44">
        <f>(Tableau1[[#This Row],[Conso HP / an
Cumul]]*0.1799)+(Tableau1[[#This Row],[Conso HC / an_x000D_
Cumul]]*0.1346)</f>
        <v>2255.2318349896332</v>
      </c>
      <c r="AR196" s="44">
        <f>Tableau1[[#This Row],[Conso HP + HC / an_x000D_
Cumul]]*0.1599</f>
        <v>2162.0971569760645</v>
      </c>
      <c r="AS196" s="38">
        <f>MONTH(Tableau1[[#This Row],[Date]])</f>
        <v>1</v>
      </c>
      <c r="AT196" s="38">
        <f>YEAR(Tableau1[[#This Row],[Date]])</f>
        <v>2022</v>
      </c>
    </row>
    <row r="197" spans="1:46" x14ac:dyDescent="0.2">
      <c r="A197" s="19">
        <v>44592.310416666667</v>
      </c>
      <c r="B197" s="20">
        <v>7.1</v>
      </c>
      <c r="C197" s="39">
        <f>IF(ISERROR(Tableau1[[#This Row],[Date]]-A196),"",Tableau1[[#This Row],[Date]]-A196)</f>
        <v>0.94097222222626442</v>
      </c>
      <c r="D197" s="40">
        <f>IF(ISERROR(Tableau1[[#This Row],[Date]]-A196),"",Tableau1[[#This Row],[Date]]-A196)</f>
        <v>0.94097222222626442</v>
      </c>
      <c r="E197" s="39">
        <f>Tableau1[[#This Row],[Date]]-$A$5</f>
        <v>409.60208333333139</v>
      </c>
      <c r="F197" s="40">
        <f>Tableau1[[#This Row],[Date]]-$A$5</f>
        <v>409.60208333333139</v>
      </c>
      <c r="G197" s="40">
        <f>Tableau1[[#This Row],[Diff jour_x000D_
Cumul]]-F$6</f>
        <v>371.51875000000291</v>
      </c>
      <c r="H197" s="40">
        <f>Tableau1[[#This Row],[Diff jour_x000D_
Cumul]]-F$59</f>
        <v>348.99930555555329</v>
      </c>
      <c r="I197" s="21">
        <v>190548</v>
      </c>
      <c r="J197" s="38">
        <f>IF(ISERROR(Tableau1[[#This Row],[Index HP
kWh]]-I196),"",Tableau1[[#This Row],[Index HP
kWh]]-I196)</f>
        <v>32</v>
      </c>
      <c r="K197" s="40">
        <f>IF(ISERROR(Tableau1[[#This Row],[Différence HP
Instantané]]/(Tableau1[[#This Row],[Diff jour
Instantané]]*24)),"",Tableau1[[#This Row],[Différence HP
Instantané]]/(Tableau1[[#This Row],[Diff jour
Instantané]]*24))</f>
        <v>1.4169741697356104</v>
      </c>
      <c r="L197" s="40">
        <f>Tableau1[[#This Row],[Différence HP
Instantané]]/Tableau1[[#This Row],[Diff jour
Instantané]]</f>
        <v>34.007380073654652</v>
      </c>
      <c r="M197" s="40">
        <f>Tableau1[[#This Row],[Conso HP / jour
Instantané]]*365</f>
        <v>12412.693726883948</v>
      </c>
      <c r="N197" s="38">
        <f>Tableau1[[#This Row],[Index HP
kWh]]-$I$5</f>
        <v>10789</v>
      </c>
      <c r="O197" s="41">
        <f>Tableau1[[#This Row],[Différence HP
Cumul]]/(Tableau1[[#This Row],[Diff jour_x000D_
Cumul]]*24)</f>
        <v>1.0975082524197826</v>
      </c>
      <c r="P197" s="41">
        <f>Tableau1[[#This Row],[Différence HP
Cumul]]/Tableau1[[#This Row],[Diff jour_x000D_
Cumul]]</f>
        <v>26.34019805807478</v>
      </c>
      <c r="Q197" s="41">
        <f>Tableau1[[#This Row],[Conso HP / jour
Cumul]]*365</f>
        <v>9614.1722911972938</v>
      </c>
      <c r="R197" s="21">
        <v>123831</v>
      </c>
      <c r="S197" s="38">
        <f>Tableau1[[#This Row],[Index HC_x000D_
kWh]]-R196</f>
        <v>17</v>
      </c>
      <c r="T197" s="42">
        <f>Tableau1[[#This Row],[Différence_x000D_ HC
Instantané]]/(Tableau1[[#This Row],[Diff jour
Instantané]]*24)</f>
        <v>0.75276752767204302</v>
      </c>
      <c r="U197" s="42">
        <f>Tableau1[[#This Row],[Différence_x000D_ HC
Instantané]]/Tableau1[[#This Row],[Diff jour
Instantané]]</f>
        <v>18.066420664129033</v>
      </c>
      <c r="V197" s="42">
        <f>Tableau1[[#This Row],[Conso HC / jour_x000D_
Instantané]]*365</f>
        <v>6594.2435424070973</v>
      </c>
      <c r="W197" s="38">
        <f>Tableau1[[#This Row],[Index HC_x000D_
kWh]]-$R$5</f>
        <v>4399</v>
      </c>
      <c r="X197" s="43">
        <f>Tableau1[[#This Row],[Différence HC
Cumul]]/(Tableau1[[#This Row],[Diff jour_x000D_
Cumul]]*24)</f>
        <v>0.44748714453560323</v>
      </c>
      <c r="Y197" s="43">
        <f>Tableau1[[#This Row],[Différence HC
Cumul]]/Tableau1[[#This Row],[Diff jour_x000D_
Cumul]]</f>
        <v>10.739691468854478</v>
      </c>
      <c r="Z197" s="43">
        <f>Tableau1[[#This Row],[Conso HC / jour_x000D_
Cumul]]*365</f>
        <v>3919.9873861318843</v>
      </c>
      <c r="AA197" s="38">
        <f>Tableau1[[#This Row],[Différence HP
Instantané]]+Tableau1[[#This Row],[Différence_x000D_ HC
Instantané]]</f>
        <v>49</v>
      </c>
      <c r="AB197" s="41">
        <f>Tableau1[[#This Row],[Conso HP + HC
Instantané]]/(Tableau1[[#This Row],[Diff jour
Instantané]]*24)</f>
        <v>2.1697416974076535</v>
      </c>
      <c r="AC197" s="41">
        <f>IF(ISERROR(Tableau1[[#This Row],[Date]]-A196),"",Tableau1[[#This Row],[Conso HP + HC
Instantané]]/Tableau1[[#This Row],[Diff jour
Instantané]])</f>
        <v>52.073800737783685</v>
      </c>
      <c r="AD197" s="41">
        <f>Tableau1[[#This Row],[Conso HP + HC / jour_x000D_
Instantané]]*365</f>
        <v>19006.937269291044</v>
      </c>
      <c r="AE197" s="38">
        <f>Tableau1[[#This Row],[Différence HP
Cumul]]+Tableau1[[#This Row],[Différence HC
Cumul]]</f>
        <v>15188</v>
      </c>
      <c r="AF197" s="40">
        <f>(Tableau1[[#This Row],[Conso HP + HC
Cumul]]-AE$6)/Tableau1[[#This Row],[Diff jour_x000D_
Cumul
depuis le 24/01]]</f>
        <v>33.960600911797592</v>
      </c>
      <c r="AG197" s="40">
        <f>(Tableau1[[#This Row],[Conso HP + HC
Cumul]]-AE$59)/Tableau1[[#This Row],[Diff jour_x000D_
Cumul
depuis
précédente facture
16/02/2021]]</f>
        <v>31.550206045459543</v>
      </c>
      <c r="AH197" s="41">
        <f>Tableau1[[#This Row],[Conso HP + HC
Cumul]]/(Tableau1[[#This Row],[Diff jour_x000D_
Cumul]]*24)</f>
        <v>1.5449953969553858</v>
      </c>
      <c r="AI197" s="41">
        <f>Tableau1[[#This Row],[Conso HP + HC
Cumul]]/Tableau1[[#This Row],[Diff jour_x000D_
Cumul]]</f>
        <v>37.079889526929257</v>
      </c>
      <c r="AJ197" s="41">
        <f>Tableau1[[#This Row],[Conso HP + HC / jour_x000D_
Cumul]]*365</f>
        <v>13534.159677329179</v>
      </c>
      <c r="AK197" s="44">
        <f>(Tableau1[[#This Row],[Différence HP
Cumul]]*0.1799)+(Tableau1[[#This Row],[Différence HC
Cumul]]*0.1346)</f>
        <v>2533.0464999999999</v>
      </c>
      <c r="AL197" s="44">
        <f>Tableau1[[#This Row],[Montant
Tarif HP/HC]]/Tableau1[[#This Row],[Diff jour_x000D_
Cumul]]</f>
        <v>6.1841641023554654</v>
      </c>
      <c r="AM197" s="44">
        <f>(Tableau1[[#This Row],[Montant
Tarif HP/HC]]-AK$6)/Tableau1[[#This Row],[Diff jour_x000D_
Cumul
depuis le 24/01]]</f>
        <v>5.675678280032928</v>
      </c>
      <c r="AN197" s="44">
        <f>(Tableau1[[#This Row],[Montant
Tarif HP/HC]]-AK$59)/Tableau1[[#This Row],[Diff jour_x000D_
Cumul
depuis
précédente facture
16/02/2021]]</f>
        <v>5.2753202390167466</v>
      </c>
      <c r="AO197" s="44">
        <f>Tableau1[[#This Row],[Conso HP + HC
Cumul]]*0.1599</f>
        <v>2428.5611999999996</v>
      </c>
      <c r="AP197" s="44">
        <f>Tableau1[[#This Row],[Montant
Tarif normal]]/Tableau1[[#This Row],[Diff jour_x000D_
Cumul]]</f>
        <v>5.9290743353559874</v>
      </c>
      <c r="AQ197" s="44">
        <f>(Tableau1[[#This Row],[Conso HP / an
Cumul]]*0.1799)+(Tableau1[[#This Row],[Conso HC / an_x000D_
Cumul]]*0.1346)</f>
        <v>2257.2198973597447</v>
      </c>
      <c r="AR197" s="44">
        <f>Tableau1[[#This Row],[Conso HP + HC / an_x000D_
Cumul]]*0.1599</f>
        <v>2164.1121324049354</v>
      </c>
      <c r="AS197" s="38">
        <f>MONTH(Tableau1[[#This Row],[Date]])</f>
        <v>1</v>
      </c>
      <c r="AT197" s="38">
        <f>YEAR(Tableau1[[#This Row],[Date]])</f>
        <v>2022</v>
      </c>
    </row>
    <row r="198" spans="1:46" x14ac:dyDescent="0.2">
      <c r="A198" s="19">
        <v>44593.308333333334</v>
      </c>
      <c r="B198" s="20">
        <v>4</v>
      </c>
      <c r="C198" s="39">
        <f>IF(ISERROR(Tableau1[[#This Row],[Date]]-A197),"",Tableau1[[#This Row],[Date]]-A197)</f>
        <v>0.99791666666715173</v>
      </c>
      <c r="D198" s="40">
        <f>IF(ISERROR(Tableau1[[#This Row],[Date]]-A197),"",Tableau1[[#This Row],[Date]]-A197)</f>
        <v>0.99791666666715173</v>
      </c>
      <c r="E198" s="39">
        <f>Tableau1[[#This Row],[Date]]-$A$5</f>
        <v>410.59999999999854</v>
      </c>
      <c r="F198" s="40">
        <f>Tableau1[[#This Row],[Date]]-$A$5</f>
        <v>410.59999999999854</v>
      </c>
      <c r="G198" s="40">
        <f>Tableau1[[#This Row],[Diff jour_x000D_
Cumul]]-F$6</f>
        <v>372.51666666667006</v>
      </c>
      <c r="H198" s="40">
        <f>Tableau1[[#This Row],[Diff jour_x000D_
Cumul]]-F$59</f>
        <v>349.99722222222044</v>
      </c>
      <c r="I198" s="21">
        <v>190589</v>
      </c>
      <c r="J198" s="38">
        <f>IF(ISERROR(Tableau1[[#This Row],[Index HP
kWh]]-I197),"",Tableau1[[#This Row],[Index HP
kWh]]-I197)</f>
        <v>41</v>
      </c>
      <c r="K198" s="40">
        <f>IF(ISERROR(Tableau1[[#This Row],[Différence HP
Instantané]]/(Tableau1[[#This Row],[Diff jour
Instantané]]*24)),"",Tableau1[[#This Row],[Différence HP
Instantané]]/(Tableau1[[#This Row],[Diff jour
Instantané]]*24))</f>
        <v>1.7118997912309006</v>
      </c>
      <c r="L198" s="40">
        <f>Tableau1[[#This Row],[Différence HP
Instantané]]/Tableau1[[#This Row],[Diff jour
Instantané]]</f>
        <v>41.085594989541619</v>
      </c>
      <c r="M198" s="40">
        <f>Tableau1[[#This Row],[Conso HP / jour
Instantané]]*365</f>
        <v>14996.24217118269</v>
      </c>
      <c r="N198" s="38">
        <f>Tableau1[[#This Row],[Index HP
kWh]]-$I$5</f>
        <v>10830</v>
      </c>
      <c r="O198" s="41">
        <f>Tableau1[[#This Row],[Différence HP
Cumul]]/(Tableau1[[#This Row],[Diff jour_x000D_
Cumul]]*24)</f>
        <v>1.0990014612761851</v>
      </c>
      <c r="P198" s="41">
        <f>Tableau1[[#This Row],[Différence HP
Cumul]]/Tableau1[[#This Row],[Diff jour_x000D_
Cumul]]</f>
        <v>26.376035070628443</v>
      </c>
      <c r="Q198" s="41">
        <f>Tableau1[[#This Row],[Conso HP / jour
Cumul]]*365</f>
        <v>9627.2528007793826</v>
      </c>
      <c r="R198" s="21">
        <v>123851</v>
      </c>
      <c r="S198" s="38">
        <f>Tableau1[[#This Row],[Index HC_x000D_
kWh]]-R197</f>
        <v>20</v>
      </c>
      <c r="T198" s="42">
        <f>Tableau1[[#This Row],[Différence_x000D_ HC
Instantané]]/(Tableau1[[#This Row],[Diff jour
Instantané]]*24)</f>
        <v>0.83507306889312227</v>
      </c>
      <c r="U198" s="42">
        <f>Tableau1[[#This Row],[Différence_x000D_ HC
Instantané]]/Tableau1[[#This Row],[Diff jour
Instantané]]</f>
        <v>20.041753653434935</v>
      </c>
      <c r="V198" s="42">
        <f>Tableau1[[#This Row],[Conso HC / jour_x000D_
Instantané]]*365</f>
        <v>7315.2400835037515</v>
      </c>
      <c r="W198" s="38">
        <f>Tableau1[[#This Row],[Index HC_x000D_
kWh]]-$R$5</f>
        <v>4419</v>
      </c>
      <c r="X198" s="43">
        <f>Tableau1[[#This Row],[Différence HC
Cumul]]/(Tableau1[[#This Row],[Diff jour_x000D_
Cumul]]*24)</f>
        <v>0.44842912810521346</v>
      </c>
      <c r="Y198" s="43">
        <f>Tableau1[[#This Row],[Différence HC
Cumul]]/Tableau1[[#This Row],[Diff jour_x000D_
Cumul]]</f>
        <v>10.762299074525123</v>
      </c>
      <c r="Z198" s="43">
        <f>Tableau1[[#This Row],[Conso HC / jour_x000D_
Cumul]]*365</f>
        <v>3928.2391622016698</v>
      </c>
      <c r="AA198" s="38">
        <f>Tableau1[[#This Row],[Différence HP
Instantané]]+Tableau1[[#This Row],[Différence_x000D_ HC
Instantané]]</f>
        <v>61</v>
      </c>
      <c r="AB198" s="41">
        <f>Tableau1[[#This Row],[Conso HP + HC
Instantané]]/(Tableau1[[#This Row],[Diff jour
Instantané]]*24)</f>
        <v>2.5469728601240229</v>
      </c>
      <c r="AC198" s="41">
        <f>IF(ISERROR(Tableau1[[#This Row],[Date]]-A197),"",Tableau1[[#This Row],[Conso HP + HC
Instantané]]/Tableau1[[#This Row],[Diff jour
Instantané]])</f>
        <v>61.12734864297655</v>
      </c>
      <c r="AD198" s="41">
        <f>Tableau1[[#This Row],[Conso HP + HC / jour_x000D_
Instantané]]*365</f>
        <v>22311.482254686442</v>
      </c>
      <c r="AE198" s="38">
        <f>Tableau1[[#This Row],[Différence HP
Cumul]]+Tableau1[[#This Row],[Différence HC
Cumul]]</f>
        <v>15249</v>
      </c>
      <c r="AF198" s="40">
        <f>(Tableau1[[#This Row],[Conso HP + HC
Cumul]]-AE$6)/Tableau1[[#This Row],[Diff jour_x000D_
Cumul
depuis le 24/01]]</f>
        <v>34.033376582702921</v>
      </c>
      <c r="AG198" s="40">
        <f>(Tableau1[[#This Row],[Conso HP + HC
Cumul]]-AE$59)/Tableau1[[#This Row],[Diff jour_x000D_
Cumul
depuis
précédente facture
16/02/2021]]</f>
        <v>31.634536782038115</v>
      </c>
      <c r="AH198" s="41">
        <f>Tableau1[[#This Row],[Conso HP + HC
Cumul]]/(Tableau1[[#This Row],[Diff jour_x000D_
Cumul]]*24)</f>
        <v>1.5474305893813987</v>
      </c>
      <c r="AI198" s="41">
        <f>Tableau1[[#This Row],[Conso HP + HC
Cumul]]/Tableau1[[#This Row],[Diff jour_x000D_
Cumul]]</f>
        <v>37.138334145153564</v>
      </c>
      <c r="AJ198" s="41">
        <f>Tableau1[[#This Row],[Conso HP + HC / jour_x000D_
Cumul]]*365</f>
        <v>13555.49196298105</v>
      </c>
      <c r="AK198" s="44">
        <f>(Tableau1[[#This Row],[Différence HP
Cumul]]*0.1799)+(Tableau1[[#This Row],[Différence HC
Cumul]]*0.1346)</f>
        <v>2543.1143999999999</v>
      </c>
      <c r="AL198" s="44">
        <f>Tableau1[[#This Row],[Montant
Tarif HP/HC]]/Tableau1[[#This Row],[Diff jour_x000D_
Cumul]]</f>
        <v>6.1936541646371381</v>
      </c>
      <c r="AM198" s="44">
        <f>(Tableau1[[#This Row],[Montant
Tarif HP/HC]]-AK$6)/Tableau1[[#This Row],[Diff jour_x000D_
Cumul
depuis le 24/01]]</f>
        <v>5.6875006934812236</v>
      </c>
      <c r="AN198" s="44">
        <f>(Tableau1[[#This Row],[Montant
Tarif HP/HC]]-AK$59)/Tableau1[[#This Row],[Diff jour_x000D_
Cumul
depuis
précédente facture
16/02/2021]]</f>
        <v>5.2890448336891831</v>
      </c>
      <c r="AO198" s="44">
        <f>Tableau1[[#This Row],[Conso HP + HC
Cumul]]*0.1599</f>
        <v>2438.3150999999998</v>
      </c>
      <c r="AP198" s="44">
        <f>Tableau1[[#This Row],[Montant
Tarif normal]]/Tableau1[[#This Row],[Diff jour_x000D_
Cumul]]</f>
        <v>5.9384196298100544</v>
      </c>
      <c r="AQ198" s="44">
        <f>(Tableau1[[#This Row],[Conso HP / an
Cumul]]*0.1799)+(Tableau1[[#This Row],[Conso HC / an_x000D_
Cumul]]*0.1346)</f>
        <v>2260.6837700925557</v>
      </c>
      <c r="AR198" s="44">
        <f>Tableau1[[#This Row],[Conso HP + HC / an_x000D_
Cumul]]*0.1599</f>
        <v>2167.5231648806698</v>
      </c>
      <c r="AS198" s="38">
        <f>MONTH(Tableau1[[#This Row],[Date]])</f>
        <v>2</v>
      </c>
      <c r="AT198" s="38">
        <f>YEAR(Tableau1[[#This Row],[Date]])</f>
        <v>2022</v>
      </c>
    </row>
    <row r="199" spans="1:46" x14ac:dyDescent="0.2">
      <c r="A199" s="19">
        <v>44594.327777777777</v>
      </c>
      <c r="B199" s="20">
        <v>7.6</v>
      </c>
      <c r="C199" s="39">
        <f>IF(ISERROR(Tableau1[[#This Row],[Date]]-A198),"",Tableau1[[#This Row],[Date]]-A198)</f>
        <v>1.0194444444423425</v>
      </c>
      <c r="D199" s="40">
        <f>IF(ISERROR(Tableau1[[#This Row],[Date]]-A198),"",Tableau1[[#This Row],[Date]]-A198)</f>
        <v>1.0194444444423425</v>
      </c>
      <c r="E199" s="39">
        <f>Tableau1[[#This Row],[Date]]-$A$5</f>
        <v>411.61944444444089</v>
      </c>
      <c r="F199" s="40">
        <f>Tableau1[[#This Row],[Date]]-$A$5</f>
        <v>411.61944444444089</v>
      </c>
      <c r="G199" s="40">
        <f>Tableau1[[#This Row],[Diff jour_x000D_
Cumul]]-F$6</f>
        <v>373.5361111111124</v>
      </c>
      <c r="H199" s="40">
        <f>Tableau1[[#This Row],[Diff jour_x000D_
Cumul]]-F$59</f>
        <v>351.01666666666279</v>
      </c>
      <c r="I199" s="21">
        <v>190628</v>
      </c>
      <c r="J199" s="38">
        <f>IF(ISERROR(Tableau1[[#This Row],[Index HP
kWh]]-I198),"",Tableau1[[#This Row],[Index HP
kWh]]-I198)</f>
        <v>39</v>
      </c>
      <c r="K199" s="40">
        <f>IF(ISERROR(Tableau1[[#This Row],[Différence HP
Instantané]]/(Tableau1[[#This Row],[Diff jour
Instantané]]*24)),"",Tableau1[[#This Row],[Différence HP
Instantané]]/(Tableau1[[#This Row],[Diff jour
Instantané]]*24))</f>
        <v>1.5940054495945672</v>
      </c>
      <c r="L199" s="40">
        <f>Tableau1[[#This Row],[Différence HP
Instantané]]/Tableau1[[#This Row],[Diff jour
Instantané]]</f>
        <v>38.256130790269616</v>
      </c>
      <c r="M199" s="40">
        <f>Tableau1[[#This Row],[Conso HP / jour
Instantané]]*365</f>
        <v>13963.48773844841</v>
      </c>
      <c r="N199" s="38">
        <f>Tableau1[[#This Row],[Index HP
kWh]]-$I$5</f>
        <v>10869</v>
      </c>
      <c r="O199" s="41">
        <f>Tableau1[[#This Row],[Différence HP
Cumul]]/(Tableau1[[#This Row],[Diff jour_x000D_
Cumul]]*24)</f>
        <v>1.1002274214991019</v>
      </c>
      <c r="P199" s="41">
        <f>Tableau1[[#This Row],[Différence HP
Cumul]]/Tableau1[[#This Row],[Diff jour_x000D_
Cumul]]</f>
        <v>26.405458115978444</v>
      </c>
      <c r="Q199" s="41">
        <f>Tableau1[[#This Row],[Conso HP / jour
Cumul]]*365</f>
        <v>9637.9922123321321</v>
      </c>
      <c r="R199" s="21">
        <v>123866</v>
      </c>
      <c r="S199" s="38">
        <f>Tableau1[[#This Row],[Index HC_x000D_
kWh]]-R198</f>
        <v>15</v>
      </c>
      <c r="T199" s="42">
        <f>Tableau1[[#This Row],[Différence_x000D_ HC
Instantané]]/(Tableau1[[#This Row],[Diff jour
Instantané]]*24)</f>
        <v>0.61307901907483353</v>
      </c>
      <c r="U199" s="42">
        <f>Tableau1[[#This Row],[Différence_x000D_ HC
Instantané]]/Tableau1[[#This Row],[Diff jour
Instantané]]</f>
        <v>14.713896457796006</v>
      </c>
      <c r="V199" s="42">
        <f>Tableau1[[#This Row],[Conso HC / jour_x000D_
Instantané]]*365</f>
        <v>5370.5722070955417</v>
      </c>
      <c r="W199" s="38">
        <f>Tableau1[[#This Row],[Index HC_x000D_
kWh]]-$R$5</f>
        <v>4434</v>
      </c>
      <c r="X199" s="43">
        <f>Tableau1[[#This Row],[Différence HC
Cumul]]/(Tableau1[[#This Row],[Diff jour_x000D_
Cumul]]*24)</f>
        <v>0.44883691111666368</v>
      </c>
      <c r="Y199" s="43">
        <f>Tableau1[[#This Row],[Différence HC
Cumul]]/Tableau1[[#This Row],[Diff jour_x000D_
Cumul]]</f>
        <v>10.772085866799928</v>
      </c>
      <c r="Z199" s="43">
        <f>Tableau1[[#This Row],[Conso HC / jour_x000D_
Cumul]]*365</f>
        <v>3931.8113413819738</v>
      </c>
      <c r="AA199" s="38">
        <f>Tableau1[[#This Row],[Différence HP
Instantané]]+Tableau1[[#This Row],[Différence_x000D_ HC
Instantané]]</f>
        <v>54</v>
      </c>
      <c r="AB199" s="41">
        <f>Tableau1[[#This Row],[Conso HP + HC
Instantané]]/(Tableau1[[#This Row],[Diff jour
Instantané]]*24)</f>
        <v>2.2070844686694007</v>
      </c>
      <c r="AC199" s="41">
        <f>IF(ISERROR(Tableau1[[#This Row],[Date]]-A198),"",Tableau1[[#This Row],[Conso HP + HC
Instantané]]/Tableau1[[#This Row],[Diff jour
Instantané]])</f>
        <v>52.97002724806562</v>
      </c>
      <c r="AD199" s="41">
        <f>Tableau1[[#This Row],[Conso HP + HC / jour_x000D_
Instantané]]*365</f>
        <v>19334.059945543951</v>
      </c>
      <c r="AE199" s="38">
        <f>Tableau1[[#This Row],[Différence HP
Cumul]]+Tableau1[[#This Row],[Différence HC
Cumul]]</f>
        <v>15303</v>
      </c>
      <c r="AF199" s="40">
        <f>(Tableau1[[#This Row],[Conso HP + HC
Cumul]]-AE$6)/Tableau1[[#This Row],[Diff jour_x000D_
Cumul
depuis le 24/01]]</f>
        <v>34.085057967026721</v>
      </c>
      <c r="AG199" s="40">
        <f>(Tableau1[[#This Row],[Conso HP + HC
Cumul]]-AE$59)/Tableau1[[#This Row],[Diff jour_x000D_
Cumul
depuis
précédente facture
16/02/2021]]</f>
        <v>31.696500640995556</v>
      </c>
      <c r="AH199" s="41">
        <f>Tableau1[[#This Row],[Conso HP + HC
Cumul]]/(Tableau1[[#This Row],[Diff jour_x000D_
Cumul]]*24)</f>
        <v>1.5490643326157656</v>
      </c>
      <c r="AI199" s="41">
        <f>Tableau1[[#This Row],[Conso HP + HC
Cumul]]/Tableau1[[#This Row],[Diff jour_x000D_
Cumul]]</f>
        <v>37.177543982778374</v>
      </c>
      <c r="AJ199" s="41">
        <f>Tableau1[[#This Row],[Conso HP + HC / jour_x000D_
Cumul]]*365</f>
        <v>13569.803553714106</v>
      </c>
      <c r="AK199" s="44">
        <f>(Tableau1[[#This Row],[Différence HP
Cumul]]*0.1799)+(Tableau1[[#This Row],[Différence HC
Cumul]]*0.1346)</f>
        <v>2552.1495</v>
      </c>
      <c r="AL199" s="44">
        <f>Tableau1[[#This Row],[Montant
Tarif HP/HC]]/Tableau1[[#This Row],[Diff jour_x000D_
Cumul]]</f>
        <v>6.2002646727357922</v>
      </c>
      <c r="AM199" s="44">
        <f>(Tableau1[[#This Row],[Montant
Tarif HP/HC]]-AK$6)/Tableau1[[#This Row],[Diff jour_x000D_
Cumul
depuis le 24/01]]</f>
        <v>5.6961665464442479</v>
      </c>
      <c r="AN199" s="44">
        <f>(Tableau1[[#This Row],[Montant
Tarif HP/HC]]-AK$59)/Tableau1[[#This Row],[Diff jour_x000D_
Cumul
depuis
précédente facture
16/02/2021]]</f>
        <v>5.2994238640141127</v>
      </c>
      <c r="AO199" s="44">
        <f>Tableau1[[#This Row],[Conso HP + HC
Cumul]]*0.1599</f>
        <v>2446.9496999999997</v>
      </c>
      <c r="AP199" s="44">
        <f>Tableau1[[#This Row],[Montant
Tarif normal]]/Tableau1[[#This Row],[Diff jour_x000D_
Cumul]]</f>
        <v>5.9446892828462614</v>
      </c>
      <c r="AQ199" s="44">
        <f>(Tableau1[[#This Row],[Conso HP / an
Cumul]]*0.1799)+(Tableau1[[#This Row],[Conso HC / an_x000D_
Cumul]]*0.1346)</f>
        <v>2263.0966055485642</v>
      </c>
      <c r="AR199" s="44">
        <f>Tableau1[[#This Row],[Conso HP + HC / an_x000D_
Cumul]]*0.1599</f>
        <v>2169.8115882388852</v>
      </c>
      <c r="AS199" s="38">
        <f>MONTH(Tableau1[[#This Row],[Date]])</f>
        <v>2</v>
      </c>
      <c r="AT199" s="38">
        <f>YEAR(Tableau1[[#This Row],[Date]])</f>
        <v>2022</v>
      </c>
    </row>
    <row r="200" spans="1:46" x14ac:dyDescent="0.2">
      <c r="A200" s="19">
        <v>44595.347222222219</v>
      </c>
      <c r="B200" s="20">
        <v>3.7</v>
      </c>
      <c r="C200" s="39">
        <f>IF(ISERROR(Tableau1[[#This Row],[Date]]-A199),"",Tableau1[[#This Row],[Date]]-A199)</f>
        <v>1.0194444444423425</v>
      </c>
      <c r="D200" s="40">
        <f>IF(ISERROR(Tableau1[[#This Row],[Date]]-A199),"",Tableau1[[#This Row],[Date]]-A199)</f>
        <v>1.0194444444423425</v>
      </c>
      <c r="E200" s="39">
        <f>Tableau1[[#This Row],[Date]]-$A$5</f>
        <v>412.63888888888323</v>
      </c>
      <c r="F200" s="40">
        <f>Tableau1[[#This Row],[Date]]-$A$5</f>
        <v>412.63888888888323</v>
      </c>
      <c r="G200" s="40">
        <f>Tableau1[[#This Row],[Diff jour_x000D_
Cumul]]-F$6</f>
        <v>374.55555555555475</v>
      </c>
      <c r="H200" s="40">
        <f>Tableau1[[#This Row],[Diff jour_x000D_
Cumul]]-F$59</f>
        <v>352.03611111110513</v>
      </c>
      <c r="I200" s="21">
        <v>190665</v>
      </c>
      <c r="J200" s="38">
        <f>IF(ISERROR(Tableau1[[#This Row],[Index HP
kWh]]-I199),"",Tableau1[[#This Row],[Index HP
kWh]]-I199)</f>
        <v>37</v>
      </c>
      <c r="K200" s="40">
        <f>IF(ISERROR(Tableau1[[#This Row],[Différence HP
Instantané]]/(Tableau1[[#This Row],[Diff jour
Instantané]]*24)),"",Tableau1[[#This Row],[Différence HP
Instantané]]/(Tableau1[[#This Row],[Diff jour
Instantané]]*24))</f>
        <v>1.5122615803845894</v>
      </c>
      <c r="L200" s="40">
        <f>Tableau1[[#This Row],[Différence HP
Instantané]]/Tableau1[[#This Row],[Diff jour
Instantané]]</f>
        <v>36.294277929230148</v>
      </c>
      <c r="M200" s="40">
        <f>Tableau1[[#This Row],[Conso HP / jour
Instantané]]*365</f>
        <v>13247.411444169004</v>
      </c>
      <c r="N200" s="38">
        <f>Tableau1[[#This Row],[Index HP
kWh]]-$I$5</f>
        <v>10906</v>
      </c>
      <c r="O200" s="41">
        <f>Tableau1[[#This Row],[Différence HP
Cumul]]/(Tableau1[[#This Row],[Diff jour_x000D_
Cumul]]*24)</f>
        <v>1.1012453719286586</v>
      </c>
      <c r="P200" s="41">
        <f>Tableau1[[#This Row],[Différence HP
Cumul]]/Tableau1[[#This Row],[Diff jour_x000D_
Cumul]]</f>
        <v>26.429888926287809</v>
      </c>
      <c r="Q200" s="41">
        <f>Tableau1[[#This Row],[Conso HP / jour
Cumul]]*365</f>
        <v>9646.9094580950496</v>
      </c>
      <c r="R200" s="21">
        <v>123883</v>
      </c>
      <c r="S200" s="38">
        <f>Tableau1[[#This Row],[Index HC_x000D_
kWh]]-R199</f>
        <v>17</v>
      </c>
      <c r="T200" s="42">
        <f>Tableau1[[#This Row],[Différence_x000D_ HC
Instantané]]/(Tableau1[[#This Row],[Diff jour
Instantané]]*24)</f>
        <v>0.69482288828481131</v>
      </c>
      <c r="U200" s="42">
        <f>Tableau1[[#This Row],[Différence_x000D_ HC
Instantané]]/Tableau1[[#This Row],[Diff jour
Instantané]]</f>
        <v>16.675749318835472</v>
      </c>
      <c r="V200" s="42">
        <f>Tableau1[[#This Row],[Conso HC / jour_x000D_
Instantané]]*365</f>
        <v>6086.648501374947</v>
      </c>
      <c r="W200" s="38">
        <f>Tableau1[[#This Row],[Index HC_x000D_
kWh]]-$R$5</f>
        <v>4451</v>
      </c>
      <c r="X200" s="43">
        <f>Tableau1[[#This Row],[Différence HC
Cumul]]/(Tableau1[[#This Row],[Diff jour_x000D_
Cumul]]*24)</f>
        <v>0.44944463143723268</v>
      </c>
      <c r="Y200" s="43">
        <f>Tableau1[[#This Row],[Différence HC
Cumul]]/Tableau1[[#This Row],[Diff jour_x000D_
Cumul]]</f>
        <v>10.786671154493584</v>
      </c>
      <c r="Z200" s="43">
        <f>Tableau1[[#This Row],[Conso HC / jour_x000D_
Cumul]]*365</f>
        <v>3937.1349713901582</v>
      </c>
      <c r="AA200" s="38">
        <f>Tableau1[[#This Row],[Différence HP
Instantané]]+Tableau1[[#This Row],[Différence_x000D_ HC
Instantané]]</f>
        <v>54</v>
      </c>
      <c r="AB200" s="41">
        <f>Tableau1[[#This Row],[Conso HP + HC
Instantané]]/(Tableau1[[#This Row],[Diff jour
Instantané]]*24)</f>
        <v>2.2070844686694007</v>
      </c>
      <c r="AC200" s="41">
        <f>IF(ISERROR(Tableau1[[#This Row],[Date]]-A199),"",Tableau1[[#This Row],[Conso HP + HC
Instantané]]/Tableau1[[#This Row],[Diff jour
Instantané]])</f>
        <v>52.97002724806562</v>
      </c>
      <c r="AD200" s="41">
        <f>Tableau1[[#This Row],[Conso HP + HC / jour_x000D_
Instantané]]*365</f>
        <v>19334.059945543951</v>
      </c>
      <c r="AE200" s="38">
        <f>Tableau1[[#This Row],[Différence HP
Cumul]]+Tableau1[[#This Row],[Différence HC
Cumul]]</f>
        <v>15357</v>
      </c>
      <c r="AF200" s="40">
        <f>(Tableau1[[#This Row],[Conso HP + HC
Cumul]]-AE$6)/Tableau1[[#This Row],[Diff jour_x000D_
Cumul
depuis le 24/01]]</f>
        <v>34.136458024325201</v>
      </c>
      <c r="AG200" s="40">
        <f>(Tableau1[[#This Row],[Conso HP + HC
Cumul]]-AE$59)/Tableau1[[#This Row],[Diff jour_x000D_
Cumul
depuis
précédente facture
16/02/2021]]</f>
        <v>31.758105623634478</v>
      </c>
      <c r="AH200" s="41">
        <f>Tableau1[[#This Row],[Conso HP + HC
Cumul]]/(Tableau1[[#This Row],[Diff jour_x000D_
Cumul]]*24)</f>
        <v>1.5506900033658912</v>
      </c>
      <c r="AI200" s="41">
        <f>Tableau1[[#This Row],[Conso HP + HC
Cumul]]/Tableau1[[#This Row],[Diff jour_x000D_
Cumul]]</f>
        <v>37.216560080781392</v>
      </c>
      <c r="AJ200" s="41">
        <f>Tableau1[[#This Row],[Conso HP + HC / jour_x000D_
Cumul]]*365</f>
        <v>13584.044429485208</v>
      </c>
      <c r="AK200" s="44">
        <f>(Tableau1[[#This Row],[Différence HP
Cumul]]*0.1799)+(Tableau1[[#This Row],[Différence HC
Cumul]]*0.1346)</f>
        <v>2561.0940000000001</v>
      </c>
      <c r="AL200" s="44">
        <f>Tableau1[[#This Row],[Montant
Tarif HP/HC]]/Tableau1[[#This Row],[Diff jour_x000D_
Cumul]]</f>
        <v>6.2066229552340131</v>
      </c>
      <c r="AM200" s="44">
        <f>(Tableau1[[#This Row],[Montant
Tarif HP/HC]]-AK$6)/Tableau1[[#This Row],[Diff jour_x000D_
Cumul
depuis le 24/01]]</f>
        <v>5.7045433402551291</v>
      </c>
      <c r="AN200" s="44">
        <f>(Tableau1[[#This Row],[Montant
Tarif HP/HC]]-AK$59)/Tableau1[[#This Row],[Diff jour_x000D_
Cumul
depuis
précédente facture
16/02/2021]]</f>
        <v>5.3094854221079864</v>
      </c>
      <c r="AO200" s="44">
        <f>Tableau1[[#This Row],[Conso HP + HC
Cumul]]*0.1599</f>
        <v>2455.5843</v>
      </c>
      <c r="AP200" s="44">
        <f>Tableau1[[#This Row],[Montant
Tarif normal]]/Tableau1[[#This Row],[Diff jour_x000D_
Cumul]]</f>
        <v>5.9509279569169449</v>
      </c>
      <c r="AQ200" s="44">
        <f>(Tableau1[[#This Row],[Conso HP / an
Cumul]]*0.1799)+(Tableau1[[#This Row],[Conso HC / an_x000D_
Cumul]]*0.1346)</f>
        <v>2265.4173786604147</v>
      </c>
      <c r="AR200" s="44">
        <f>Tableau1[[#This Row],[Conso HP + HC / an_x000D_
Cumul]]*0.1599</f>
        <v>2172.0887042746845</v>
      </c>
      <c r="AS200" s="38">
        <f>MONTH(Tableau1[[#This Row],[Date]])</f>
        <v>2</v>
      </c>
      <c r="AT200" s="38">
        <f>YEAR(Tableau1[[#This Row],[Date]])</f>
        <v>2022</v>
      </c>
    </row>
    <row r="201" spans="1:46" x14ac:dyDescent="0.2">
      <c r="A201" s="19">
        <v>44596.349305555559</v>
      </c>
      <c r="B201" s="20">
        <v>7.3</v>
      </c>
      <c r="C201" s="39">
        <f>IF(ISERROR(Tableau1[[#This Row],[Date]]-A200),"",Tableau1[[#This Row],[Date]]-A200)</f>
        <v>1.0020833333401242</v>
      </c>
      <c r="D201" s="40">
        <f>IF(ISERROR(Tableau1[[#This Row],[Date]]-A200),"",Tableau1[[#This Row],[Date]]-A200)</f>
        <v>1.0020833333401242</v>
      </c>
      <c r="E201" s="39">
        <f>Tableau1[[#This Row],[Date]]-$A$5</f>
        <v>413.64097222222335</v>
      </c>
      <c r="F201" s="40">
        <f>Tableau1[[#This Row],[Date]]-$A$5</f>
        <v>413.64097222222335</v>
      </c>
      <c r="G201" s="40">
        <f>Tableau1[[#This Row],[Diff jour_x000D_
Cumul]]-F$6</f>
        <v>375.55763888889487</v>
      </c>
      <c r="H201" s="40">
        <f>Tableau1[[#This Row],[Diff jour_x000D_
Cumul]]-F$59</f>
        <v>353.03819444444525</v>
      </c>
      <c r="I201" s="21">
        <v>190705</v>
      </c>
      <c r="J201" s="38">
        <f>IF(ISERROR(Tableau1[[#This Row],[Index HP
kWh]]-I200),"",Tableau1[[#This Row],[Index HP
kWh]]-I200)</f>
        <v>40</v>
      </c>
      <c r="K201" s="40">
        <f>IF(ISERROR(Tableau1[[#This Row],[Différence HP
Instantané]]/(Tableau1[[#This Row],[Diff jour
Instantané]]*24)),"",Tableau1[[#This Row],[Différence HP
Instantané]]/(Tableau1[[#This Row],[Diff jour
Instantané]]*24))</f>
        <v>1.6632016631903921</v>
      </c>
      <c r="L201" s="40">
        <f>Tableau1[[#This Row],[Différence HP
Instantané]]/Tableau1[[#This Row],[Diff jour
Instantané]]</f>
        <v>39.916839916569408</v>
      </c>
      <c r="M201" s="40">
        <f>Tableau1[[#This Row],[Conso HP / jour
Instantané]]*365</f>
        <v>14569.646569547835</v>
      </c>
      <c r="N201" s="38">
        <f>Tableau1[[#This Row],[Index HP
kWh]]-$I$5</f>
        <v>10946</v>
      </c>
      <c r="O201" s="41">
        <f>Tableau1[[#This Row],[Différence HP
Cumul]]/(Tableau1[[#This Row],[Diff jour_x000D_
Cumul]]*24)</f>
        <v>1.1026067627756864</v>
      </c>
      <c r="P201" s="41">
        <f>Tableau1[[#This Row],[Différence HP
Cumul]]/Tableau1[[#This Row],[Diff jour_x000D_
Cumul]]</f>
        <v>26.462562306616476</v>
      </c>
      <c r="Q201" s="41">
        <f>Tableau1[[#This Row],[Conso HP / jour
Cumul]]*365</f>
        <v>9658.8352419150142</v>
      </c>
      <c r="R201" s="21">
        <v>123899</v>
      </c>
      <c r="S201" s="38">
        <f>Tableau1[[#This Row],[Index HC_x000D_
kWh]]-R200</f>
        <v>16</v>
      </c>
      <c r="T201" s="42">
        <f>Tableau1[[#This Row],[Différence_x000D_ HC
Instantané]]/(Tableau1[[#This Row],[Diff jour
Instantané]]*24)</f>
        <v>0.66528066527615681</v>
      </c>
      <c r="U201" s="42">
        <f>Tableau1[[#This Row],[Différence_x000D_ HC
Instantané]]/Tableau1[[#This Row],[Diff jour
Instantané]]</f>
        <v>15.966735966627764</v>
      </c>
      <c r="V201" s="42">
        <f>Tableau1[[#This Row],[Conso HC / jour_x000D_
Instantané]]*365</f>
        <v>5827.8586278191342</v>
      </c>
      <c r="W201" s="38">
        <f>Tableau1[[#This Row],[Index HC_x000D_
kWh]]-$R$5</f>
        <v>4467</v>
      </c>
      <c r="X201" s="43">
        <f>Tableau1[[#This Row],[Différence HC
Cumul]]/(Tableau1[[#This Row],[Diff jour_x000D_
Cumul]]*24)</f>
        <v>0.44996751409820862</v>
      </c>
      <c r="Y201" s="43">
        <f>Tableau1[[#This Row],[Différence HC
Cumul]]/Tableau1[[#This Row],[Diff jour_x000D_
Cumul]]</f>
        <v>10.799220338357006</v>
      </c>
      <c r="Z201" s="43">
        <f>Tableau1[[#This Row],[Conso HC / jour_x000D_
Cumul]]*365</f>
        <v>3941.7154235003072</v>
      </c>
      <c r="AA201" s="38">
        <f>Tableau1[[#This Row],[Différence HP
Instantané]]+Tableau1[[#This Row],[Différence_x000D_ HC
Instantané]]</f>
        <v>56</v>
      </c>
      <c r="AB201" s="41">
        <f>Tableau1[[#This Row],[Conso HP + HC
Instantané]]/(Tableau1[[#This Row],[Diff jour
Instantané]]*24)</f>
        <v>2.3284823284665488</v>
      </c>
      <c r="AC201" s="41">
        <f>IF(ISERROR(Tableau1[[#This Row],[Date]]-A200),"",Tableau1[[#This Row],[Conso HP + HC
Instantané]]/Tableau1[[#This Row],[Diff jour
Instantané]])</f>
        <v>55.883575883197175</v>
      </c>
      <c r="AD201" s="41">
        <f>Tableau1[[#This Row],[Conso HP + HC / jour_x000D_
Instantané]]*365</f>
        <v>20397.505197366969</v>
      </c>
      <c r="AE201" s="38">
        <f>Tableau1[[#This Row],[Différence HP
Cumul]]+Tableau1[[#This Row],[Différence HC
Cumul]]</f>
        <v>15413</v>
      </c>
      <c r="AF201" s="40">
        <f>(Tableau1[[#This Row],[Conso HP + HC
Cumul]]-AE$6)/Tableau1[[#This Row],[Diff jour_x000D_
Cumul
depuis le 24/01]]</f>
        <v>34.194484867871857</v>
      </c>
      <c r="AG201" s="40">
        <f>(Tableau1[[#This Row],[Conso HP + HC
Cumul]]-AE$59)/Tableau1[[#This Row],[Diff jour_x000D_
Cumul
depuis
précédente facture
16/02/2021]]</f>
        <v>31.826584706171552</v>
      </c>
      <c r="AH201" s="41">
        <f>Tableau1[[#This Row],[Conso HP + HC
Cumul]]/(Tableau1[[#This Row],[Diff jour_x000D_
Cumul]]*24)</f>
        <v>1.552574276873895</v>
      </c>
      <c r="AI201" s="41">
        <f>Tableau1[[#This Row],[Conso HP + HC
Cumul]]/Tableau1[[#This Row],[Diff jour_x000D_
Cumul]]</f>
        <v>37.261782644973479</v>
      </c>
      <c r="AJ201" s="41">
        <f>Tableau1[[#This Row],[Conso HP + HC / jour_x000D_
Cumul]]*365</f>
        <v>13600.55066541532</v>
      </c>
      <c r="AK201" s="44">
        <f>(Tableau1[[#This Row],[Différence HP
Cumul]]*0.1799)+(Tableau1[[#This Row],[Différence HC
Cumul]]*0.1346)</f>
        <v>2570.4436000000001</v>
      </c>
      <c r="AL201" s="44">
        <f>Tableau1[[#This Row],[Montant
Tarif HP/HC]]/Tableau1[[#This Row],[Diff jour_x000D_
Cumul]]</f>
        <v>6.2141900165031574</v>
      </c>
      <c r="AM201" s="44">
        <f>(Tableau1[[#This Row],[Montant
Tarif HP/HC]]-AK$6)/Tableau1[[#This Row],[Diff jour_x000D_
Cumul
depuis le 24/01]]</f>
        <v>5.7142174137346702</v>
      </c>
      <c r="AN201" s="44">
        <f>(Tableau1[[#This Row],[Montant
Tarif HP/HC]]-AK$59)/Tableau1[[#This Row],[Diff jour_x000D_
Cumul
depuis
précédente facture
16/02/2021]]</f>
        <v>5.3208979355790387</v>
      </c>
      <c r="AO201" s="44">
        <f>Tableau1[[#This Row],[Conso HP + HC
Cumul]]*0.1599</f>
        <v>2464.5386999999996</v>
      </c>
      <c r="AP201" s="44">
        <f>Tableau1[[#This Row],[Montant
Tarif normal]]/Tableau1[[#This Row],[Diff jour_x000D_
Cumul]]</f>
        <v>5.9581590449312589</v>
      </c>
      <c r="AQ201" s="44">
        <f>(Tableau1[[#This Row],[Conso HP / an
Cumul]]*0.1799)+(Tableau1[[#This Row],[Conso HC / an_x000D_
Cumul]]*0.1346)</f>
        <v>2268.1793560236524</v>
      </c>
      <c r="AR201" s="44">
        <f>Tableau1[[#This Row],[Conso HP + HC / an_x000D_
Cumul]]*0.1599</f>
        <v>2174.7280513999094</v>
      </c>
      <c r="AS201" s="38">
        <f>MONTH(Tableau1[[#This Row],[Date]])</f>
        <v>2</v>
      </c>
      <c r="AT201" s="38">
        <f>YEAR(Tableau1[[#This Row],[Date]])</f>
        <v>2022</v>
      </c>
    </row>
    <row r="202" spans="1:46" x14ac:dyDescent="0.2">
      <c r="A202" s="19">
        <v>44597.365972222222</v>
      </c>
      <c r="B202" s="20">
        <v>-0.7</v>
      </c>
      <c r="C202" s="39">
        <f>IF(ISERROR(Tableau1[[#This Row],[Date]]-A201),"",Tableau1[[#This Row],[Date]]-A201)</f>
        <v>1.0166666666627862</v>
      </c>
      <c r="D202" s="40">
        <f>IF(ISERROR(Tableau1[[#This Row],[Date]]-A201),"",Tableau1[[#This Row],[Date]]-A201)</f>
        <v>1.0166666666627862</v>
      </c>
      <c r="E202" s="39">
        <f>Tableau1[[#This Row],[Date]]-$A$5</f>
        <v>414.65763888888614</v>
      </c>
      <c r="F202" s="40">
        <f>Tableau1[[#This Row],[Date]]-$A$5</f>
        <v>414.65763888888614</v>
      </c>
      <c r="G202" s="40">
        <f>Tableau1[[#This Row],[Diff jour_x000D_
Cumul]]-F$6</f>
        <v>376.57430555555766</v>
      </c>
      <c r="H202" s="40">
        <f>Tableau1[[#This Row],[Diff jour_x000D_
Cumul]]-F$59</f>
        <v>354.05486111110804</v>
      </c>
      <c r="I202" s="21">
        <v>190743</v>
      </c>
      <c r="J202" s="38">
        <f>IF(ISERROR(Tableau1[[#This Row],[Index HP
kWh]]-I201),"",Tableau1[[#This Row],[Index HP
kWh]]-I201)</f>
        <v>38</v>
      </c>
      <c r="K202" s="40">
        <f>IF(ISERROR(Tableau1[[#This Row],[Différence HP
Instantané]]/(Tableau1[[#This Row],[Diff jour
Instantané]]*24)),"",Tableau1[[#This Row],[Différence HP
Instantané]]/(Tableau1[[#This Row],[Diff jour
Instantané]]*24))</f>
        <v>1.5573770491862722</v>
      </c>
      <c r="L202" s="40">
        <f>Tableau1[[#This Row],[Différence HP
Instantané]]/Tableau1[[#This Row],[Diff jour
Instantané]]</f>
        <v>37.377049180470536</v>
      </c>
      <c r="M202" s="40">
        <f>Tableau1[[#This Row],[Conso HP / jour
Instantané]]*365</f>
        <v>13642.622950871746</v>
      </c>
      <c r="N202" s="38">
        <f>Tableau1[[#This Row],[Index HP
kWh]]-$I$5</f>
        <v>10984</v>
      </c>
      <c r="O202" s="41">
        <f>Tableau1[[#This Row],[Différence HP
Cumul]]/(Tableau1[[#This Row],[Diff jour_x000D_
Cumul]]*24)</f>
        <v>1.1037217785087168</v>
      </c>
      <c r="P202" s="41">
        <f>Tableau1[[#This Row],[Différence HP
Cumul]]/Tableau1[[#This Row],[Diff jour_x000D_
Cumul]]</f>
        <v>26.489322684209203</v>
      </c>
      <c r="Q202" s="41">
        <f>Tableau1[[#This Row],[Conso HP / jour
Cumul]]*365</f>
        <v>9668.6027797363586</v>
      </c>
      <c r="R202" s="21">
        <v>123919</v>
      </c>
      <c r="S202" s="38">
        <f>Tableau1[[#This Row],[Index HC_x000D_
kWh]]-R201</f>
        <v>20</v>
      </c>
      <c r="T202" s="42">
        <f>Tableau1[[#This Row],[Différence_x000D_ HC
Instantané]]/(Tableau1[[#This Row],[Diff jour
Instantané]]*24)</f>
        <v>0.81967213115066961</v>
      </c>
      <c r="U202" s="42">
        <f>Tableau1[[#This Row],[Différence_x000D_ HC
Instantané]]/Tableau1[[#This Row],[Diff jour
Instantané]]</f>
        <v>19.672131147616071</v>
      </c>
      <c r="V202" s="42">
        <f>Tableau1[[#This Row],[Conso HC / jour_x000D_
Instantané]]*365</f>
        <v>7180.3278688798655</v>
      </c>
      <c r="W202" s="38">
        <f>Tableau1[[#This Row],[Index HC_x000D_
kWh]]-$R$5</f>
        <v>4487</v>
      </c>
      <c r="X202" s="43">
        <f>Tableau1[[#This Row],[Différence HC
Cumul]]/(Tableau1[[#This Row],[Diff jour_x000D_
Cumul]]*24)</f>
        <v>0.4508739639629108</v>
      </c>
      <c r="Y202" s="43">
        <f>Tableau1[[#This Row],[Différence HC
Cumul]]/Tableau1[[#This Row],[Diff jour_x000D_
Cumul]]</f>
        <v>10.82097513510986</v>
      </c>
      <c r="Z202" s="43">
        <f>Tableau1[[#This Row],[Conso HC / jour_x000D_
Cumul]]*365</f>
        <v>3949.6559243150987</v>
      </c>
      <c r="AA202" s="38">
        <f>Tableau1[[#This Row],[Différence HP
Instantané]]+Tableau1[[#This Row],[Différence_x000D_ HC
Instantané]]</f>
        <v>58</v>
      </c>
      <c r="AB202" s="41">
        <f>Tableau1[[#This Row],[Conso HP + HC
Instantané]]/(Tableau1[[#This Row],[Diff jour
Instantané]]*24)</f>
        <v>2.3770491803369418</v>
      </c>
      <c r="AC202" s="41">
        <f>IF(ISERROR(Tableau1[[#This Row],[Date]]-A201),"",Tableau1[[#This Row],[Conso HP + HC
Instantané]]/Tableau1[[#This Row],[Diff jour
Instantané]])</f>
        <v>57.049180328086607</v>
      </c>
      <c r="AD202" s="41">
        <f>Tableau1[[#This Row],[Conso HP + HC / jour_x000D_
Instantané]]*365</f>
        <v>20822.950819751612</v>
      </c>
      <c r="AE202" s="38">
        <f>Tableau1[[#This Row],[Différence HP
Cumul]]+Tableau1[[#This Row],[Différence HC
Cumul]]</f>
        <v>15471</v>
      </c>
      <c r="AF202" s="40">
        <f>(Tableau1[[#This Row],[Conso HP + HC
Cumul]]-AE$6)/Tableau1[[#This Row],[Diff jour_x000D_
Cumul
depuis le 24/01]]</f>
        <v>34.256187450093584</v>
      </c>
      <c r="AG202" s="40">
        <f>(Tableau1[[#This Row],[Conso HP + HC
Cumul]]-AE$59)/Tableau1[[#This Row],[Diff jour_x000D_
Cumul
depuis
précédente facture
16/02/2021]]</f>
        <v>31.899011256494973</v>
      </c>
      <c r="AH202" s="41">
        <f>Tableau1[[#This Row],[Conso HP + HC
Cumul]]/(Tableau1[[#This Row],[Diff jour_x000D_
Cumul]]*24)</f>
        <v>1.5545957424716277</v>
      </c>
      <c r="AI202" s="41">
        <f>Tableau1[[#This Row],[Conso HP + HC
Cumul]]/Tableau1[[#This Row],[Diff jour_x000D_
Cumul]]</f>
        <v>37.310297819319061</v>
      </c>
      <c r="AJ202" s="41">
        <f>Tableau1[[#This Row],[Conso HP + HC / jour_x000D_
Cumul]]*365</f>
        <v>13618.258704051457</v>
      </c>
      <c r="AK202" s="44">
        <f>(Tableau1[[#This Row],[Différence HP
Cumul]]*0.1799)+(Tableau1[[#This Row],[Différence HC
Cumul]]*0.1346)</f>
        <v>2579.9718000000003</v>
      </c>
      <c r="AL202" s="44">
        <f>Tableau1[[#This Row],[Montant
Tarif HP/HC]]/Tableau1[[#This Row],[Diff jour_x000D_
Cumul]]</f>
        <v>6.221932404075023</v>
      </c>
      <c r="AM202" s="44">
        <f>(Tableau1[[#This Row],[Montant
Tarif HP/HC]]-AK$6)/Tableau1[[#This Row],[Diff jour_x000D_
Cumul
depuis le 24/01]]</f>
        <v>5.7240926112044122</v>
      </c>
      <c r="AN202" s="44">
        <f>(Tableau1[[#This Row],[Montant
Tarif HP/HC]]-AK$59)/Tableau1[[#This Row],[Diff jour_x000D_
Cumul
depuis
précédente facture
16/02/2021]]</f>
        <v>5.3325306537946764</v>
      </c>
      <c r="AO202" s="44">
        <f>Tableau1[[#This Row],[Conso HP + HC
Cumul]]*0.1599</f>
        <v>2473.8128999999999</v>
      </c>
      <c r="AP202" s="44">
        <f>Tableau1[[#This Row],[Montant
Tarif normal]]/Tableau1[[#This Row],[Diff jour_x000D_
Cumul]]</f>
        <v>5.9659166213091179</v>
      </c>
      <c r="AQ202" s="44">
        <f>(Tableau1[[#This Row],[Conso HP / an
Cumul]]*0.1799)+(Tableau1[[#This Row],[Conso HC / an_x000D_
Cumul]]*0.1346)</f>
        <v>2271.0053274873831</v>
      </c>
      <c r="AR202" s="44">
        <f>Tableau1[[#This Row],[Conso HP + HC / an_x000D_
Cumul]]*0.1599</f>
        <v>2177.559566777828</v>
      </c>
      <c r="AS202" s="38">
        <f>MONTH(Tableau1[[#This Row],[Date]])</f>
        <v>2</v>
      </c>
      <c r="AT202" s="38">
        <f>YEAR(Tableau1[[#This Row],[Date]])</f>
        <v>2022</v>
      </c>
    </row>
    <row r="203" spans="1:46" x14ac:dyDescent="0.2">
      <c r="A203" s="19">
        <v>44598.431944444441</v>
      </c>
      <c r="B203" s="20">
        <v>8.3000000000000007</v>
      </c>
      <c r="C203" s="39">
        <f>IF(ISERROR(Tableau1[[#This Row],[Date]]-A202),"",Tableau1[[#This Row],[Date]]-A202)</f>
        <v>1.0659722222189885</v>
      </c>
      <c r="D203" s="40">
        <f>IF(ISERROR(Tableau1[[#This Row],[Date]]-A202),"",Tableau1[[#This Row],[Date]]-A202)</f>
        <v>1.0659722222189885</v>
      </c>
      <c r="E203" s="39">
        <f>Tableau1[[#This Row],[Date]]-$A$5</f>
        <v>415.72361111110513</v>
      </c>
      <c r="F203" s="40">
        <f>Tableau1[[#This Row],[Date]]-$A$5</f>
        <v>415.72361111110513</v>
      </c>
      <c r="G203" s="40">
        <f>Tableau1[[#This Row],[Diff jour_x000D_
Cumul]]-F$6</f>
        <v>377.64027777777665</v>
      </c>
      <c r="H203" s="40">
        <f>Tableau1[[#This Row],[Diff jour_x000D_
Cumul]]-F$59</f>
        <v>355.12083333332703</v>
      </c>
      <c r="I203" s="21">
        <v>190784</v>
      </c>
      <c r="J203" s="38">
        <f>IF(ISERROR(Tableau1[[#This Row],[Index HP
kWh]]-I202),"",Tableau1[[#This Row],[Index HP
kWh]]-I202)</f>
        <v>41</v>
      </c>
      <c r="K203" s="40">
        <f>IF(ISERROR(Tableau1[[#This Row],[Différence HP
Instantané]]/(Tableau1[[#This Row],[Diff jour
Instantané]]*24)),"",Tableau1[[#This Row],[Différence HP
Instantané]]/(Tableau1[[#This Row],[Diff jour
Instantané]]*24))</f>
        <v>1.6026058631970441</v>
      </c>
      <c r="L203" s="40">
        <f>Tableau1[[#This Row],[Différence HP
Instantané]]/Tableau1[[#This Row],[Diff jour
Instantané]]</f>
        <v>38.462540716729059</v>
      </c>
      <c r="M203" s="40">
        <f>Tableau1[[#This Row],[Conso HP / jour
Instantané]]*365</f>
        <v>14038.827361606107</v>
      </c>
      <c r="N203" s="38">
        <f>Tableau1[[#This Row],[Index HP
kWh]]-$I$5</f>
        <v>11025</v>
      </c>
      <c r="O203" s="41">
        <f>Tableau1[[#This Row],[Différence HP
Cumul]]/(Tableau1[[#This Row],[Diff jour_x000D_
Cumul]]*24)</f>
        <v>1.1050009855640091</v>
      </c>
      <c r="P203" s="41">
        <f>Tableau1[[#This Row],[Différence HP
Cumul]]/Tableau1[[#This Row],[Diff jour_x000D_
Cumul]]</f>
        <v>26.520023653536217</v>
      </c>
      <c r="Q203" s="41">
        <f>Tableau1[[#This Row],[Conso HP / jour
Cumul]]*365</f>
        <v>9679.8086335407188</v>
      </c>
      <c r="R203" s="21">
        <v>123938</v>
      </c>
      <c r="S203" s="38">
        <f>Tableau1[[#This Row],[Index HC_x000D_
kWh]]-R202</f>
        <v>19</v>
      </c>
      <c r="T203" s="42">
        <f>Tableau1[[#This Row],[Différence_x000D_ HC
Instantané]]/(Tableau1[[#This Row],[Diff jour
Instantané]]*24)</f>
        <v>0.74267100977423994</v>
      </c>
      <c r="U203" s="42">
        <f>Tableau1[[#This Row],[Différence_x000D_ HC
Instantané]]/Tableau1[[#This Row],[Diff jour
Instantané]]</f>
        <v>17.82410423458176</v>
      </c>
      <c r="V203" s="42">
        <f>Tableau1[[#This Row],[Conso HC / jour_x000D_
Instantané]]*365</f>
        <v>6505.7980456223422</v>
      </c>
      <c r="W203" s="38">
        <f>Tableau1[[#This Row],[Index HC_x000D_
kWh]]-$R$5</f>
        <v>4506</v>
      </c>
      <c r="X203" s="43">
        <f>Tableau1[[#This Row],[Différence HC
Cumul]]/(Tableau1[[#This Row],[Diff jour_x000D_
Cumul]]*24)</f>
        <v>0.45162217151486844</v>
      </c>
      <c r="Y203" s="43">
        <f>Tableau1[[#This Row],[Différence HC
Cumul]]/Tableau1[[#This Row],[Diff jour_x000D_
Cumul]]</f>
        <v>10.838932116356844</v>
      </c>
      <c r="Z203" s="43">
        <f>Tableau1[[#This Row],[Conso HC / jour_x000D_
Cumul]]*365</f>
        <v>3956.210222470248</v>
      </c>
      <c r="AA203" s="38">
        <f>Tableau1[[#This Row],[Différence HP
Instantané]]+Tableau1[[#This Row],[Différence_x000D_ HC
Instantané]]</f>
        <v>60</v>
      </c>
      <c r="AB203" s="41">
        <f>Tableau1[[#This Row],[Conso HP + HC
Instantané]]/(Tableau1[[#This Row],[Diff jour
Instantané]]*24)</f>
        <v>2.3452768729712843</v>
      </c>
      <c r="AC203" s="41">
        <f>IF(ISERROR(Tableau1[[#This Row],[Date]]-A202),"",Tableau1[[#This Row],[Conso HP + HC
Instantané]]/Tableau1[[#This Row],[Diff jour
Instantané]])</f>
        <v>56.286644951310819</v>
      </c>
      <c r="AD203" s="41">
        <f>Tableau1[[#This Row],[Conso HP + HC / jour_x000D_
Instantané]]*365</f>
        <v>20544.62540722845</v>
      </c>
      <c r="AE203" s="38">
        <f>Tableau1[[#This Row],[Différence HP
Cumul]]+Tableau1[[#This Row],[Différence HC
Cumul]]</f>
        <v>15531</v>
      </c>
      <c r="AF203" s="40">
        <f>(Tableau1[[#This Row],[Conso HP + HC
Cumul]]-AE$6)/Tableau1[[#This Row],[Diff jour_x000D_
Cumul
depuis le 24/01]]</f>
        <v>34.318373231433604</v>
      </c>
      <c r="AG203" s="40">
        <f>(Tableau1[[#This Row],[Conso HP + HC
Cumul]]-AE$59)/Tableau1[[#This Row],[Diff jour_x000D_
Cumul
depuis
précédente facture
16/02/2021]]</f>
        <v>31.9722160297557</v>
      </c>
      <c r="AH203" s="41">
        <f>Tableau1[[#This Row],[Conso HP + HC
Cumul]]/(Tableau1[[#This Row],[Diff jour_x000D_
Cumul]]*24)</f>
        <v>1.5566231570788776</v>
      </c>
      <c r="AI203" s="41">
        <f>Tableau1[[#This Row],[Conso HP + HC
Cumul]]/Tableau1[[#This Row],[Diff jour_x000D_
Cumul]]</f>
        <v>37.358955769893058</v>
      </c>
      <c r="AJ203" s="41">
        <f>Tableau1[[#This Row],[Conso HP + HC / jour_x000D_
Cumul]]*365</f>
        <v>13636.018856010965</v>
      </c>
      <c r="AK203" s="44">
        <f>(Tableau1[[#This Row],[Différence HP
Cumul]]*0.1799)+(Tableau1[[#This Row],[Différence HC
Cumul]]*0.1346)</f>
        <v>2589.9050999999999</v>
      </c>
      <c r="AL203" s="44">
        <f>Tableau1[[#This Row],[Montant
Tarif HP/HC]]/Tableau1[[#This Row],[Diff jour_x000D_
Cumul]]</f>
        <v>6.2298725181327965</v>
      </c>
      <c r="AM203" s="44">
        <f>(Tableau1[[#This Row],[Montant
Tarif HP/HC]]-AK$6)/Tableau1[[#This Row],[Diff jour_x000D_
Cumul
depuis le 24/01]]</f>
        <v>5.7342387118841218</v>
      </c>
      <c r="AN203" s="44">
        <f>(Tableau1[[#This Row],[Montant
Tarif HP/HC]]-AK$59)/Tableau1[[#This Row],[Diff jour_x000D_
Cumul
depuis
précédente facture
16/02/2021]]</f>
        <v>5.3444955120910498</v>
      </c>
      <c r="AO203" s="44">
        <f>Tableau1[[#This Row],[Conso HP + HC
Cumul]]*0.1599</f>
        <v>2483.4069</v>
      </c>
      <c r="AP203" s="44">
        <f>Tableau1[[#This Row],[Montant
Tarif normal]]/Tableau1[[#This Row],[Diff jour_x000D_
Cumul]]</f>
        <v>5.9736970276059003</v>
      </c>
      <c r="AQ203" s="44">
        <f>(Tableau1[[#This Row],[Conso HP / an
Cumul]]*0.1799)+(Tableau1[[#This Row],[Conso HC / an_x000D_
Cumul]]*0.1346)</f>
        <v>2273.9034691184706</v>
      </c>
      <c r="AR203" s="44">
        <f>Tableau1[[#This Row],[Conso HP + HC / an_x000D_
Cumul]]*0.1599</f>
        <v>2180.3994150761532</v>
      </c>
      <c r="AS203" s="38">
        <f>MONTH(Tableau1[[#This Row],[Date]])</f>
        <v>2</v>
      </c>
      <c r="AT203" s="38">
        <f>YEAR(Tableau1[[#This Row],[Date]])</f>
        <v>2022</v>
      </c>
    </row>
    <row r="204" spans="1:46" x14ac:dyDescent="0.2">
      <c r="A204" s="19">
        <v>44599.319444444445</v>
      </c>
      <c r="B204" s="20">
        <v>7.6</v>
      </c>
      <c r="C204" s="39">
        <f>IF(ISERROR(Tableau1[[#This Row],[Date]]-A203),"",Tableau1[[#This Row],[Date]]-A203)</f>
        <v>0.88750000000436557</v>
      </c>
      <c r="D204" s="40">
        <f>IF(ISERROR(Tableau1[[#This Row],[Date]]-A203),"",Tableau1[[#This Row],[Date]]-A203)</f>
        <v>0.88750000000436557</v>
      </c>
      <c r="E204" s="39">
        <f>Tableau1[[#This Row],[Date]]-$A$5</f>
        <v>416.61111111110949</v>
      </c>
      <c r="F204" s="40">
        <f>Tableau1[[#This Row],[Date]]-$A$5</f>
        <v>416.61111111110949</v>
      </c>
      <c r="G204" s="40">
        <f>Tableau1[[#This Row],[Diff jour_x000D_
Cumul]]-F$6</f>
        <v>378.52777777778101</v>
      </c>
      <c r="H204" s="40">
        <f>Tableau1[[#This Row],[Diff jour_x000D_
Cumul]]-F$59</f>
        <v>356.00833333333139</v>
      </c>
      <c r="I204" s="21">
        <v>190816</v>
      </c>
      <c r="J204" s="38">
        <f>IF(ISERROR(Tableau1[[#This Row],[Index HP
kWh]]-I203),"",Tableau1[[#This Row],[Index HP
kWh]]-I203)</f>
        <v>32</v>
      </c>
      <c r="K204" s="40">
        <f>IF(ISERROR(Tableau1[[#This Row],[Différence HP
Instantané]]/(Tableau1[[#This Row],[Diff jour
Instantané]]*24)),"",Tableau1[[#This Row],[Différence HP
Instantané]]/(Tableau1[[#This Row],[Diff jour
Instantané]]*24))</f>
        <v>1.5023474178329856</v>
      </c>
      <c r="L204" s="40">
        <f>Tableau1[[#This Row],[Différence HP
Instantané]]/Tableau1[[#This Row],[Diff jour
Instantané]]</f>
        <v>36.056338027991657</v>
      </c>
      <c r="M204" s="40">
        <f>Tableau1[[#This Row],[Conso HP / jour
Instantané]]*365</f>
        <v>13160.563380216954</v>
      </c>
      <c r="N204" s="38">
        <f>Tableau1[[#This Row],[Index HP
kWh]]-$I$5</f>
        <v>11057</v>
      </c>
      <c r="O204" s="41">
        <f>Tableau1[[#This Row],[Différence HP
Cumul]]/(Tableau1[[#This Row],[Diff jour_x000D_
Cumul]]*24)</f>
        <v>1.1058474463261811</v>
      </c>
      <c r="P204" s="41">
        <f>Tableau1[[#This Row],[Différence HP
Cumul]]/Tableau1[[#This Row],[Diff jour_x000D_
Cumul]]</f>
        <v>26.540338711828348</v>
      </c>
      <c r="Q204" s="41">
        <f>Tableau1[[#This Row],[Conso HP / jour
Cumul]]*365</f>
        <v>9687.2236298173466</v>
      </c>
      <c r="R204" s="21">
        <v>123952</v>
      </c>
      <c r="S204" s="38">
        <f>Tableau1[[#This Row],[Index HC_x000D_
kWh]]-R203</f>
        <v>14</v>
      </c>
      <c r="T204" s="42">
        <f>Tableau1[[#This Row],[Différence_x000D_ HC
Instantané]]/(Tableau1[[#This Row],[Diff jour
Instantané]]*24)</f>
        <v>0.65727699530193118</v>
      </c>
      <c r="U204" s="42">
        <f>Tableau1[[#This Row],[Différence_x000D_ HC
Instantané]]/Tableau1[[#This Row],[Diff jour
Instantané]]</f>
        <v>15.774647887246349</v>
      </c>
      <c r="V204" s="42">
        <f>Tableau1[[#This Row],[Conso HC / jour_x000D_
Instantané]]*365</f>
        <v>5757.7464788449179</v>
      </c>
      <c r="W204" s="38">
        <f>Tableau1[[#This Row],[Index HC_x000D_
kWh]]-$R$5</f>
        <v>4520</v>
      </c>
      <c r="X204" s="43">
        <f>Tableau1[[#This Row],[Différence HC
Cumul]]/(Tableau1[[#This Row],[Diff jour_x000D_
Cumul]]*24)</f>
        <v>0.45206027470329552</v>
      </c>
      <c r="Y204" s="43">
        <f>Tableau1[[#This Row],[Différence HC
Cumul]]/Tableau1[[#This Row],[Diff jour_x000D_
Cumul]]</f>
        <v>10.849446592879092</v>
      </c>
      <c r="Z204" s="43">
        <f>Tableau1[[#This Row],[Conso HC / jour_x000D_
Cumul]]*365</f>
        <v>3960.0480064008684</v>
      </c>
      <c r="AA204" s="38">
        <f>Tableau1[[#This Row],[Différence HP
Instantané]]+Tableau1[[#This Row],[Différence_x000D_ HC
Instantané]]</f>
        <v>46</v>
      </c>
      <c r="AB204" s="41">
        <f>Tableau1[[#This Row],[Conso HP + HC
Instantané]]/(Tableau1[[#This Row],[Diff jour
Instantané]]*24)</f>
        <v>2.1596244131349169</v>
      </c>
      <c r="AC204" s="41">
        <f>IF(ISERROR(Tableau1[[#This Row],[Date]]-A203),"",Tableau1[[#This Row],[Conso HP + HC
Instantané]]/Tableau1[[#This Row],[Diff jour
Instantané]])</f>
        <v>51.830985915238003</v>
      </c>
      <c r="AD204" s="41">
        <f>Tableau1[[#This Row],[Conso HP + HC / jour_x000D_
Instantané]]*365</f>
        <v>18918.309859061872</v>
      </c>
      <c r="AE204" s="38">
        <f>Tableau1[[#This Row],[Différence HP
Cumul]]+Tableau1[[#This Row],[Différence HC
Cumul]]</f>
        <v>15577</v>
      </c>
      <c r="AF204" s="40">
        <f>(Tableau1[[#This Row],[Conso HP + HC
Cumul]]-AE$6)/Tableau1[[#This Row],[Diff jour_x000D_
Cumul
depuis le 24/01]]</f>
        <v>34.359433477654363</v>
      </c>
      <c r="AG204" s="40">
        <f>(Tableau1[[#This Row],[Conso HP + HC
Cumul]]-AE$59)/Tableau1[[#This Row],[Diff jour_x000D_
Cumul
depuis
précédente facture
16/02/2021]]</f>
        <v>32.021722337960426</v>
      </c>
      <c r="AH204" s="41">
        <f>Tableau1[[#This Row],[Conso HP + HC
Cumul]]/(Tableau1[[#This Row],[Diff jour_x000D_
Cumul]]*24)</f>
        <v>1.5579077210294767</v>
      </c>
      <c r="AI204" s="41">
        <f>Tableau1[[#This Row],[Conso HP + HC
Cumul]]/Tableau1[[#This Row],[Diff jour_x000D_
Cumul]]</f>
        <v>37.389785304707438</v>
      </c>
      <c r="AJ204" s="41">
        <f>Tableau1[[#This Row],[Conso HP + HC / jour_x000D_
Cumul]]*365</f>
        <v>13647.271636218215</v>
      </c>
      <c r="AK204" s="44">
        <f>(Tableau1[[#This Row],[Différence HP
Cumul]]*0.1799)+(Tableau1[[#This Row],[Différence HC
Cumul]]*0.1346)</f>
        <v>2597.5463</v>
      </c>
      <c r="AL204" s="44">
        <f>Tableau1[[#This Row],[Montant
Tarif HP/HC]]/Tableau1[[#This Row],[Diff jour_x000D_
Cumul]]</f>
        <v>6.2349424456594456</v>
      </c>
      <c r="AM204" s="44">
        <f>(Tableau1[[#This Row],[Montant
Tarif HP/HC]]-AK$6)/Tableau1[[#This Row],[Diff jour_x000D_
Cumul
depuis le 24/01]]</f>
        <v>5.7409807881411412</v>
      </c>
      <c r="AN204" s="44">
        <f>(Tableau1[[#This Row],[Montant
Tarif HP/HC]]-AK$59)/Tableau1[[#This Row],[Diff jour_x000D_
Cumul
depuis
précédente facture
16/02/2021]]</f>
        <v>5.3526356592776674</v>
      </c>
      <c r="AO204" s="44">
        <f>Tableau1[[#This Row],[Conso HP + HC
Cumul]]*0.1599</f>
        <v>2490.7622999999999</v>
      </c>
      <c r="AP204" s="44">
        <f>Tableau1[[#This Row],[Montant
Tarif normal]]/Tableau1[[#This Row],[Diff jour_x000D_
Cumul]]</f>
        <v>5.9786266702227193</v>
      </c>
      <c r="AQ204" s="44">
        <f>(Tableau1[[#This Row],[Conso HP / an
Cumul]]*0.1799)+(Tableau1[[#This Row],[Conso HC / an_x000D_
Cumul]]*0.1346)</f>
        <v>2275.7539926656973</v>
      </c>
      <c r="AR204" s="44">
        <f>Tableau1[[#This Row],[Conso HP + HC / an_x000D_
Cumul]]*0.1599</f>
        <v>2182.1987346312922</v>
      </c>
      <c r="AS204" s="38">
        <f>MONTH(Tableau1[[#This Row],[Date]])</f>
        <v>2</v>
      </c>
      <c r="AT204" s="38">
        <f>YEAR(Tableau1[[#This Row],[Date]])</f>
        <v>2022</v>
      </c>
    </row>
    <row r="205" spans="1:46" x14ac:dyDescent="0.2">
      <c r="A205" s="19">
        <v>44600.311111111114</v>
      </c>
      <c r="B205" s="20">
        <v>-0.3</v>
      </c>
      <c r="C205" s="39">
        <f>IF(ISERROR(Tableau1[[#This Row],[Date]]-A204),"",Tableau1[[#This Row],[Date]]-A204)</f>
        <v>0.99166666666860692</v>
      </c>
      <c r="D205" s="40">
        <f>IF(ISERROR(Tableau1[[#This Row],[Date]]-A204),"",Tableau1[[#This Row],[Date]]-A204)</f>
        <v>0.99166666666860692</v>
      </c>
      <c r="E205" s="39">
        <f>Tableau1[[#This Row],[Date]]-$A$5</f>
        <v>417.6027777777781</v>
      </c>
      <c r="F205" s="40">
        <f>Tableau1[[#This Row],[Date]]-$A$5</f>
        <v>417.6027777777781</v>
      </c>
      <c r="G205" s="40">
        <f>Tableau1[[#This Row],[Diff jour_x000D_
Cumul]]-F$6</f>
        <v>379.51944444444962</v>
      </c>
      <c r="H205" s="40">
        <f>Tableau1[[#This Row],[Diff jour_x000D_
Cumul]]-F$59</f>
        <v>357</v>
      </c>
      <c r="I205" s="21">
        <v>190847</v>
      </c>
      <c r="J205" s="38">
        <f>IF(ISERROR(Tableau1[[#This Row],[Index HP
kWh]]-I204),"",Tableau1[[#This Row],[Index HP
kWh]]-I204)</f>
        <v>31</v>
      </c>
      <c r="K205" s="40">
        <f>IF(ISERROR(Tableau1[[#This Row],[Différence HP
Instantané]]/(Tableau1[[#This Row],[Diff jour
Instantané]]*24)),"",Tableau1[[#This Row],[Différence HP
Instantané]]/(Tableau1[[#This Row],[Diff jour
Instantané]]*24))</f>
        <v>1.302521008400813</v>
      </c>
      <c r="L205" s="40">
        <f>Tableau1[[#This Row],[Différence HP
Instantané]]/Tableau1[[#This Row],[Diff jour
Instantané]]</f>
        <v>31.260504201619508</v>
      </c>
      <c r="M205" s="40">
        <f>Tableau1[[#This Row],[Conso HP / jour
Instantané]]*365</f>
        <v>11410.08403359112</v>
      </c>
      <c r="N205" s="38">
        <f>Tableau1[[#This Row],[Index HP
kWh]]-$I$5</f>
        <v>11088</v>
      </c>
      <c r="O205" s="41">
        <f>Tableau1[[#This Row],[Différence HP
Cumul]]/(Tableau1[[#This Row],[Diff jour_x000D_
Cumul]]*24)</f>
        <v>1.1063144801346301</v>
      </c>
      <c r="P205" s="41">
        <f>Tableau1[[#This Row],[Différence HP
Cumul]]/Tableau1[[#This Row],[Diff jour_x000D_
Cumul]]</f>
        <v>26.551547523231122</v>
      </c>
      <c r="Q205" s="41">
        <f>Tableau1[[#This Row],[Conso HP / jour
Cumul]]*365</f>
        <v>9691.3148459793592</v>
      </c>
      <c r="R205" s="21">
        <v>123970</v>
      </c>
      <c r="S205" s="38">
        <f>Tableau1[[#This Row],[Index HC_x000D_
kWh]]-R204</f>
        <v>18</v>
      </c>
      <c r="T205" s="42">
        <f>Tableau1[[#This Row],[Différence_x000D_ HC
Instantané]]/(Tableau1[[#This Row],[Diff jour
Instantané]]*24)</f>
        <v>0.75630252100692363</v>
      </c>
      <c r="U205" s="42">
        <f>Tableau1[[#This Row],[Différence_x000D_ HC
Instantané]]/Tableau1[[#This Row],[Diff jour
Instantané]]</f>
        <v>18.151260504166167</v>
      </c>
      <c r="V205" s="42">
        <f>Tableau1[[#This Row],[Conso HC / jour_x000D_
Instantané]]*365</f>
        <v>6625.2100840206513</v>
      </c>
      <c r="W205" s="38">
        <f>Tableau1[[#This Row],[Index HC_x000D_
kWh]]-$R$5</f>
        <v>4538</v>
      </c>
      <c r="X205" s="43">
        <f>Tableau1[[#This Row],[Différence HC
Cumul]]/(Tableau1[[#This Row],[Diff jour_x000D_
Cumul]]*24)</f>
        <v>0.45278274809261826</v>
      </c>
      <c r="Y205" s="43">
        <f>Tableau1[[#This Row],[Différence HC
Cumul]]/Tableau1[[#This Row],[Diff jour_x000D_
Cumul]]</f>
        <v>10.866785954222838</v>
      </c>
      <c r="Z205" s="43">
        <f>Tableau1[[#This Row],[Conso HC / jour_x000D_
Cumul]]*365</f>
        <v>3966.3768732913359</v>
      </c>
      <c r="AA205" s="38">
        <f>Tableau1[[#This Row],[Différence HP
Instantané]]+Tableau1[[#This Row],[Différence_x000D_ HC
Instantané]]</f>
        <v>49</v>
      </c>
      <c r="AB205" s="41">
        <f>Tableau1[[#This Row],[Conso HP + HC
Instantané]]/(Tableau1[[#This Row],[Diff jour
Instantané]]*24)</f>
        <v>2.0588235294077366</v>
      </c>
      <c r="AC205" s="41">
        <f>IF(ISERROR(Tableau1[[#This Row],[Date]]-A204),"",Tableau1[[#This Row],[Conso HP + HC
Instantané]]/Tableau1[[#This Row],[Diff jour
Instantané]])</f>
        <v>49.411764705785679</v>
      </c>
      <c r="AD205" s="41">
        <f>Tableau1[[#This Row],[Conso HP + HC / jour_x000D_
Instantané]]*365</f>
        <v>18035.294117611771</v>
      </c>
      <c r="AE205" s="38">
        <f>Tableau1[[#This Row],[Différence HP
Cumul]]+Tableau1[[#This Row],[Différence HC
Cumul]]</f>
        <v>15626</v>
      </c>
      <c r="AF205" s="40">
        <f>(Tableau1[[#This Row],[Conso HP + HC
Cumul]]-AE$6)/Tableau1[[#This Row],[Diff jour_x000D_
Cumul
depuis le 24/01]]</f>
        <v>34.398764519457615</v>
      </c>
      <c r="AG205" s="40">
        <f>(Tableau1[[#This Row],[Conso HP + HC
Cumul]]-AE$59)/Tableau1[[#This Row],[Diff jour_x000D_
Cumul
depuis
précédente facture
16/02/2021]]</f>
        <v>32.070028011204485</v>
      </c>
      <c r="AH205" s="41">
        <f>Tableau1[[#This Row],[Conso HP + HC
Cumul]]/(Tableau1[[#This Row],[Diff jour_x000D_
Cumul]]*24)</f>
        <v>1.5590972282272482</v>
      </c>
      <c r="AI205" s="41">
        <f>Tableau1[[#This Row],[Conso HP + HC
Cumul]]/Tableau1[[#This Row],[Diff jour_x000D_
Cumul]]</f>
        <v>37.418333477453956</v>
      </c>
      <c r="AJ205" s="41">
        <f>Tableau1[[#This Row],[Conso HP + HC / jour_x000D_
Cumul]]*365</f>
        <v>13657.691719270693</v>
      </c>
      <c r="AK205" s="44">
        <f>(Tableau1[[#This Row],[Différence HP
Cumul]]*0.1799)+(Tableau1[[#This Row],[Différence HC
Cumul]]*0.1346)</f>
        <v>2605.5459999999998</v>
      </c>
      <c r="AL205" s="44">
        <f>Tableau1[[#This Row],[Montant
Tarif HP/HC]]/Tableau1[[#This Row],[Diff jour_x000D_
Cumul]]</f>
        <v>6.2392927888676724</v>
      </c>
      <c r="AM205" s="44">
        <f>(Tableau1[[#This Row],[Montant
Tarif HP/HC]]-AK$6)/Tableau1[[#This Row],[Diff jour_x000D_
Cumul
depuis le 24/01]]</f>
        <v>5.7470583706001683</v>
      </c>
      <c r="AN205" s="44">
        <f>(Tableau1[[#This Row],[Montant
Tarif HP/HC]]-AK$59)/Tableau1[[#This Row],[Diff jour_x000D_
Cumul
depuis
précédente facture
16/02/2021]]</f>
        <v>5.3601753501400555</v>
      </c>
      <c r="AO205" s="44">
        <f>Tableau1[[#This Row],[Conso HP + HC
Cumul]]*0.1599</f>
        <v>2498.5973999999997</v>
      </c>
      <c r="AP205" s="44">
        <f>Tableau1[[#This Row],[Montant
Tarif normal]]/Tableau1[[#This Row],[Diff jour_x000D_
Cumul]]</f>
        <v>5.9831915230448871</v>
      </c>
      <c r="AQ205" s="44">
        <f>(Tableau1[[#This Row],[Conso HP / an
Cumul]]*0.1799)+(Tableau1[[#This Row],[Conso HC / an_x000D_
Cumul]]*0.1346)</f>
        <v>2277.3418679367005</v>
      </c>
      <c r="AR205" s="44">
        <f>Tableau1[[#This Row],[Conso HP + HC / an_x000D_
Cumul]]*0.1599</f>
        <v>2183.8649059113836</v>
      </c>
      <c r="AS205" s="38">
        <f>MONTH(Tableau1[[#This Row],[Date]])</f>
        <v>2</v>
      </c>
      <c r="AT205" s="38">
        <f>YEAR(Tableau1[[#This Row],[Date]])</f>
        <v>2022</v>
      </c>
    </row>
    <row r="206" spans="1:46" x14ac:dyDescent="0.2">
      <c r="A206" s="19">
        <v>44601.356249999997</v>
      </c>
      <c r="B206" s="20">
        <v>0.1</v>
      </c>
      <c r="C206" s="39">
        <f>IF(ISERROR(Tableau1[[#This Row],[Date]]-A205),"",Tableau1[[#This Row],[Date]]-A205)</f>
        <v>1.0451388888832298</v>
      </c>
      <c r="D206" s="40">
        <f>IF(ISERROR(Tableau1[[#This Row],[Date]]-A205),"",Tableau1[[#This Row],[Date]]-A205)</f>
        <v>1.0451388888832298</v>
      </c>
      <c r="E206" s="39">
        <f>Tableau1[[#This Row],[Date]]-$A$5</f>
        <v>418.64791666666133</v>
      </c>
      <c r="F206" s="40">
        <f>Tableau1[[#This Row],[Date]]-$A$5</f>
        <v>418.64791666666133</v>
      </c>
      <c r="G206" s="40">
        <f>Tableau1[[#This Row],[Diff jour_x000D_
Cumul]]-F$6</f>
        <v>380.56458333333285</v>
      </c>
      <c r="H206" s="40">
        <f>Tableau1[[#This Row],[Diff jour_x000D_
Cumul]]-F$59</f>
        <v>358.04513888888323</v>
      </c>
      <c r="I206" s="21">
        <v>190879</v>
      </c>
      <c r="J206" s="38">
        <f>IF(ISERROR(Tableau1[[#This Row],[Index HP
kWh]]-I205),"",Tableau1[[#This Row],[Index HP
kWh]]-I205)</f>
        <v>32</v>
      </c>
      <c r="K206" s="40">
        <f>IF(ISERROR(Tableau1[[#This Row],[Différence HP
Instantané]]/(Tableau1[[#This Row],[Diff jour
Instantané]]*24)),"",Tableau1[[#This Row],[Différence HP
Instantané]]/(Tableau1[[#This Row],[Diff jour
Instantané]]*24))</f>
        <v>1.2757475083125556</v>
      </c>
      <c r="L206" s="40">
        <f>Tableau1[[#This Row],[Différence HP
Instantané]]/Tableau1[[#This Row],[Diff jour
Instantané]]</f>
        <v>30.617940199501334</v>
      </c>
      <c r="M206" s="40">
        <f>Tableau1[[#This Row],[Conso HP / jour
Instantané]]*365</f>
        <v>11175.548172817988</v>
      </c>
      <c r="N206" s="38">
        <f>Tableau1[[#This Row],[Index HP
kWh]]-$I$5</f>
        <v>11120</v>
      </c>
      <c r="O206" s="41">
        <f>Tableau1[[#This Row],[Différence HP
Cumul]]/(Tableau1[[#This Row],[Diff jour_x000D_
Cumul]]*24)</f>
        <v>1.1067374633617291</v>
      </c>
      <c r="P206" s="41">
        <f>Tableau1[[#This Row],[Différence HP
Cumul]]/Tableau1[[#This Row],[Diff jour_x000D_
Cumul]]</f>
        <v>26.561699120681499</v>
      </c>
      <c r="Q206" s="41">
        <f>Tableau1[[#This Row],[Conso HP / jour
Cumul]]*365</f>
        <v>9695.0201790487481</v>
      </c>
      <c r="R206" s="21">
        <v>123990</v>
      </c>
      <c r="S206" s="38">
        <f>Tableau1[[#This Row],[Index HC_x000D_
kWh]]-R205</f>
        <v>20</v>
      </c>
      <c r="T206" s="42">
        <f>Tableau1[[#This Row],[Différence_x000D_ HC
Instantané]]/(Tableau1[[#This Row],[Diff jour
Instantané]]*24)</f>
        <v>0.79734219269534723</v>
      </c>
      <c r="U206" s="42">
        <f>Tableau1[[#This Row],[Différence_x000D_ HC
Instantané]]/Tableau1[[#This Row],[Diff jour
Instantané]]</f>
        <v>19.136212624688334</v>
      </c>
      <c r="V206" s="42">
        <f>Tableau1[[#This Row],[Conso HC / jour_x000D_
Instantané]]*365</f>
        <v>6984.7176080112413</v>
      </c>
      <c r="W206" s="38">
        <f>Tableau1[[#This Row],[Index HC_x000D_
kWh]]-$R$5</f>
        <v>4558</v>
      </c>
      <c r="X206" s="43">
        <f>Tableau1[[#This Row],[Différence HC
Cumul]]/(Tableau1[[#This Row],[Diff jour_x000D_
Cumul]]*24)</f>
        <v>0.45364292787794619</v>
      </c>
      <c r="Y206" s="43">
        <f>Tableau1[[#This Row],[Différence HC
Cumul]]/Tableau1[[#This Row],[Diff jour_x000D_
Cumul]]</f>
        <v>10.887430269070709</v>
      </c>
      <c r="Z206" s="43">
        <f>Tableau1[[#This Row],[Conso HC / jour_x000D_
Cumul]]*365</f>
        <v>3973.9120482108087</v>
      </c>
      <c r="AA206" s="38">
        <f>Tableau1[[#This Row],[Différence HP
Instantané]]+Tableau1[[#This Row],[Différence_x000D_ HC
Instantané]]</f>
        <v>52</v>
      </c>
      <c r="AB206" s="41">
        <f>Tableau1[[#This Row],[Conso HP + HC
Instantané]]/(Tableau1[[#This Row],[Diff jour
Instantané]]*24)</f>
        <v>2.0730897010079028</v>
      </c>
      <c r="AC206" s="41">
        <f>IF(ISERROR(Tableau1[[#This Row],[Date]]-A205),"",Tableau1[[#This Row],[Conso HP + HC
Instantané]]/Tableau1[[#This Row],[Diff jour
Instantané]])</f>
        <v>49.754152824189667</v>
      </c>
      <c r="AD206" s="41">
        <f>Tableau1[[#This Row],[Conso HP + HC / jour_x000D_
Instantané]]*365</f>
        <v>18160.265780829228</v>
      </c>
      <c r="AE206" s="38">
        <f>Tableau1[[#This Row],[Différence HP
Cumul]]+Tableau1[[#This Row],[Différence HC
Cumul]]</f>
        <v>15678</v>
      </c>
      <c r="AF206" s="40">
        <f>(Tableau1[[#This Row],[Conso HP + HC
Cumul]]-AE$6)/Tableau1[[#This Row],[Diff jour_x000D_
Cumul
depuis le 24/01]]</f>
        <v>34.440934795342493</v>
      </c>
      <c r="AG206" s="40">
        <f>(Tableau1[[#This Row],[Conso HP + HC
Cumul]]-AE$59)/Tableau1[[#This Row],[Diff jour_x000D_
Cumul
depuis
précédente facture
16/02/2021]]</f>
        <v>32.121648224832498</v>
      </c>
      <c r="AH206" s="41">
        <f>Tableau1[[#This Row],[Conso HP + HC
Cumul]]/(Tableau1[[#This Row],[Diff jour_x000D_
Cumul]]*24)</f>
        <v>1.5603803912396754</v>
      </c>
      <c r="AI206" s="41">
        <f>Tableau1[[#This Row],[Conso HP + HC
Cumul]]/Tableau1[[#This Row],[Diff jour_x000D_
Cumul]]</f>
        <v>37.449129389752208</v>
      </c>
      <c r="AJ206" s="41">
        <f>Tableau1[[#This Row],[Conso HP + HC / jour_x000D_
Cumul]]*365</f>
        <v>13668.932227259556</v>
      </c>
      <c r="AK206" s="44">
        <f>(Tableau1[[#This Row],[Différence HP
Cumul]]*0.1799)+(Tableau1[[#This Row],[Différence HC
Cumul]]*0.1346)</f>
        <v>2613.9947999999999</v>
      </c>
      <c r="AL206" s="44">
        <f>Tableau1[[#This Row],[Montant
Tarif HP/HC]]/Tableau1[[#This Row],[Diff jour_x000D_
Cumul]]</f>
        <v>6.2438977860275191</v>
      </c>
      <c r="AM206" s="44">
        <f>(Tableau1[[#This Row],[Montant
Tarif HP/HC]]-AK$6)/Tableau1[[#This Row],[Diff jour_x000D_
Cumul
depuis le 24/01]]</f>
        <v>5.7534760087808205</v>
      </c>
      <c r="AN206" s="44">
        <f>(Tableau1[[#This Row],[Montant
Tarif HP/HC]]-AK$59)/Tableau1[[#This Row],[Diff jour_x000D_
Cumul
depuis
précédente facture
16/02/2021]]</f>
        <v>5.3681259462553088</v>
      </c>
      <c r="AO206" s="44">
        <f>Tableau1[[#This Row],[Conso HP + HC
Cumul]]*0.1599</f>
        <v>2506.9121999999998</v>
      </c>
      <c r="AP206" s="44">
        <f>Tableau1[[#This Row],[Montant
Tarif normal]]/Tableau1[[#This Row],[Diff jour_x000D_
Cumul]]</f>
        <v>5.9881157894213777</v>
      </c>
      <c r="AQ206" s="44">
        <f>(Tableau1[[#This Row],[Conso HP / an
Cumul]]*0.1799)+(Tableau1[[#This Row],[Conso HC / an_x000D_
Cumul]]*0.1346)</f>
        <v>2279.0226919000447</v>
      </c>
      <c r="AR206" s="44">
        <f>Tableau1[[#This Row],[Conso HP + HC / an_x000D_
Cumul]]*0.1599</f>
        <v>2185.6622631388027</v>
      </c>
      <c r="AS206" s="38">
        <f>MONTH(Tableau1[[#This Row],[Date]])</f>
        <v>2</v>
      </c>
      <c r="AT206" s="38">
        <f>YEAR(Tableau1[[#This Row],[Date]])</f>
        <v>2022</v>
      </c>
    </row>
    <row r="207" spans="1:46" x14ac:dyDescent="0.2">
      <c r="A207" s="19">
        <v>44602.35833333333</v>
      </c>
      <c r="B207" s="20">
        <v>5.6</v>
      </c>
      <c r="C207" s="39">
        <f>IF(ISERROR(Tableau1[[#This Row],[Date]]-A206),"",Tableau1[[#This Row],[Date]]-A206)</f>
        <v>1.0020833333328483</v>
      </c>
      <c r="D207" s="40">
        <f>IF(ISERROR(Tableau1[[#This Row],[Date]]-A206),"",Tableau1[[#This Row],[Date]]-A206)</f>
        <v>1.0020833333328483</v>
      </c>
      <c r="E207" s="39">
        <f>Tableau1[[#This Row],[Date]]-$A$5</f>
        <v>419.64999999999418</v>
      </c>
      <c r="F207" s="40">
        <f>Tableau1[[#This Row],[Date]]-$A$5</f>
        <v>419.64999999999418</v>
      </c>
      <c r="G207" s="40">
        <f>Tableau1[[#This Row],[Diff jour_x000D_
Cumul]]-F$6</f>
        <v>381.5666666666657</v>
      </c>
      <c r="H207" s="40">
        <f>Tableau1[[#This Row],[Diff jour_x000D_
Cumul]]-F$59</f>
        <v>359.04722222221608</v>
      </c>
      <c r="I207" s="21">
        <v>190916</v>
      </c>
      <c r="J207" s="38">
        <f>IF(ISERROR(Tableau1[[#This Row],[Index HP
kWh]]-I206),"",Tableau1[[#This Row],[Index HP
kWh]]-I206)</f>
        <v>37</v>
      </c>
      <c r="K207" s="40">
        <f>IF(ISERROR(Tableau1[[#This Row],[Différence HP
Instantané]]/(Tableau1[[#This Row],[Diff jour
Instantané]]*24)),"",Tableau1[[#This Row],[Différence HP
Instantané]]/(Tableau1[[#This Row],[Diff jour
Instantané]]*24))</f>
        <v>1.5384615384622831</v>
      </c>
      <c r="L207" s="40">
        <f>Tableau1[[#This Row],[Différence HP
Instantané]]/Tableau1[[#This Row],[Diff jour
Instantané]]</f>
        <v>36.923076923094797</v>
      </c>
      <c r="M207" s="40">
        <f>Tableau1[[#This Row],[Conso HP / jour
Instantané]]*365</f>
        <v>13476.923076929601</v>
      </c>
      <c r="N207" s="38">
        <f>Tableau1[[#This Row],[Index HP
kWh]]-$I$5</f>
        <v>11157</v>
      </c>
      <c r="O207" s="41">
        <f>Tableau1[[#This Row],[Différence HP
Cumul]]/(Tableau1[[#This Row],[Diff jour_x000D_
Cumul]]*24)</f>
        <v>1.1077683784105956</v>
      </c>
      <c r="P207" s="41">
        <f>Tableau1[[#This Row],[Différence HP
Cumul]]/Tableau1[[#This Row],[Diff jour_x000D_
Cumul]]</f>
        <v>26.586441081854293</v>
      </c>
      <c r="Q207" s="41">
        <f>Tableau1[[#This Row],[Conso HP / jour
Cumul]]*365</f>
        <v>9704.0509948768176</v>
      </c>
      <c r="R207" s="21">
        <v>124008</v>
      </c>
      <c r="S207" s="38">
        <f>Tableau1[[#This Row],[Index HC_x000D_
kWh]]-R206</f>
        <v>18</v>
      </c>
      <c r="T207" s="42">
        <f>Tableau1[[#This Row],[Différence_x000D_ HC
Instantané]]/(Tableau1[[#This Row],[Diff jour
Instantané]]*24)</f>
        <v>0.74844074844111075</v>
      </c>
      <c r="U207" s="42">
        <f>Tableau1[[#This Row],[Différence_x000D_ HC
Instantané]]/Tableau1[[#This Row],[Diff jour
Instantané]]</f>
        <v>17.962577962586657</v>
      </c>
      <c r="V207" s="42">
        <f>Tableau1[[#This Row],[Conso HC / jour_x000D_
Instantané]]*365</f>
        <v>6556.3409563441301</v>
      </c>
      <c r="W207" s="38">
        <f>Tableau1[[#This Row],[Index HC_x000D_
kWh]]-$R$5</f>
        <v>4576</v>
      </c>
      <c r="X207" s="43">
        <f>Tableau1[[#This Row],[Différence HC
Cumul]]/(Tableau1[[#This Row],[Diff jour_x000D_
Cumul]]*24)</f>
        <v>0.4543468763652313</v>
      </c>
      <c r="Y207" s="43">
        <f>Tableau1[[#This Row],[Différence HC
Cumul]]/Tableau1[[#This Row],[Diff jour_x000D_
Cumul]]</f>
        <v>10.90432503276555</v>
      </c>
      <c r="Z207" s="43">
        <f>Tableau1[[#This Row],[Conso HC / jour_x000D_
Cumul]]*365</f>
        <v>3980.0786369594257</v>
      </c>
      <c r="AA207" s="38">
        <f>Tableau1[[#This Row],[Différence HP
Instantané]]+Tableau1[[#This Row],[Différence_x000D_ HC
Instantané]]</f>
        <v>55</v>
      </c>
      <c r="AB207" s="41">
        <f>Tableau1[[#This Row],[Conso HP + HC
Instantané]]/(Tableau1[[#This Row],[Diff jour
Instantané]]*24)</f>
        <v>2.2869022869033939</v>
      </c>
      <c r="AC207" s="41">
        <f>IF(ISERROR(Tableau1[[#This Row],[Date]]-A206),"",Tableau1[[#This Row],[Conso HP + HC
Instantané]]/Tableau1[[#This Row],[Diff jour
Instantané]])</f>
        <v>54.885654885681454</v>
      </c>
      <c r="AD207" s="41">
        <f>Tableau1[[#This Row],[Conso HP + HC / jour_x000D_
Instantané]]*365</f>
        <v>20033.264033273732</v>
      </c>
      <c r="AE207" s="38">
        <f>Tableau1[[#This Row],[Différence HP
Cumul]]+Tableau1[[#This Row],[Différence HC
Cumul]]</f>
        <v>15733</v>
      </c>
      <c r="AF207" s="40">
        <f>(Tableau1[[#This Row],[Conso HP + HC
Cumul]]-AE$6)/Tableau1[[#This Row],[Diff jour_x000D_
Cumul
depuis le 24/01]]</f>
        <v>34.494627413296151</v>
      </c>
      <c r="AG207" s="40">
        <f>(Tableau1[[#This Row],[Conso HP + HC
Cumul]]-AE$59)/Tableau1[[#This Row],[Diff jour_x000D_
Cumul
depuis
précédente facture
16/02/2021]]</f>
        <v>32.185181460192261</v>
      </c>
      <c r="AH207" s="41">
        <f>Tableau1[[#This Row],[Conso HP + HC
Cumul]]/(Tableau1[[#This Row],[Diff jour_x000D_
Cumul]]*24)</f>
        <v>1.5621152547758268</v>
      </c>
      <c r="AI207" s="41">
        <f>Tableau1[[#This Row],[Conso HP + HC
Cumul]]/Tableau1[[#This Row],[Diff jour_x000D_
Cumul]]</f>
        <v>37.490766114619845</v>
      </c>
      <c r="AJ207" s="41">
        <f>Tableau1[[#This Row],[Conso HP + HC / jour_x000D_
Cumul]]*365</f>
        <v>13684.129631836244</v>
      </c>
      <c r="AK207" s="44">
        <f>(Tableau1[[#This Row],[Différence HP
Cumul]]*0.1799)+(Tableau1[[#This Row],[Différence HC
Cumul]]*0.1346)</f>
        <v>2623.0739000000003</v>
      </c>
      <c r="AL207" s="44">
        <f>Tableau1[[#This Row],[Montant
Tarif HP/HC]]/Tableau1[[#This Row],[Diff jour_x000D_
Cumul]]</f>
        <v>6.2506229000358315</v>
      </c>
      <c r="AM207" s="44">
        <f>(Tableau1[[#This Row],[Montant
Tarif HP/HC]]-AK$6)/Tableau1[[#This Row],[Diff jour_x000D_
Cumul
depuis le 24/01]]</f>
        <v>5.7621603040097993</v>
      </c>
      <c r="AN207" s="44">
        <f>(Tableau1[[#This Row],[Montant
Tarif HP/HC]]-AK$59)/Tableau1[[#This Row],[Diff jour_x000D_
Cumul
depuis
précédente facture
16/02/2021]]</f>
        <v>5.37843041382681</v>
      </c>
      <c r="AO207" s="44">
        <f>Tableau1[[#This Row],[Conso HP + HC
Cumul]]*0.1599</f>
        <v>2515.7066999999997</v>
      </c>
      <c r="AP207" s="44">
        <f>Tableau1[[#This Row],[Montant
Tarif normal]]/Tableau1[[#This Row],[Diff jour_x000D_
Cumul]]</f>
        <v>5.9947735017277131</v>
      </c>
      <c r="AQ207" s="44">
        <f>(Tableau1[[#This Row],[Conso HP / an
Cumul]]*0.1799)+(Tableau1[[#This Row],[Conso HC / an_x000D_
Cumul]]*0.1346)</f>
        <v>2281.4773585130783</v>
      </c>
      <c r="AR207" s="44">
        <f>Tableau1[[#This Row],[Conso HP + HC / an_x000D_
Cumul]]*0.1599</f>
        <v>2188.092328130615</v>
      </c>
      <c r="AS207" s="38">
        <f>MONTH(Tableau1[[#This Row],[Date]])</f>
        <v>2</v>
      </c>
      <c r="AT207" s="38">
        <f>YEAR(Tableau1[[#This Row],[Date]])</f>
        <v>2022</v>
      </c>
    </row>
    <row r="208" spans="1:46" x14ac:dyDescent="0.2">
      <c r="A208" s="19">
        <v>44603.345138888886</v>
      </c>
      <c r="B208" s="20">
        <v>0.1</v>
      </c>
      <c r="C208" s="39">
        <f>IF(ISERROR(Tableau1[[#This Row],[Date]]-A207),"",Tableau1[[#This Row],[Date]]-A207)</f>
        <v>0.98680555555620231</v>
      </c>
      <c r="D208" s="40">
        <f>IF(ISERROR(Tableau1[[#This Row],[Date]]-A207),"",Tableau1[[#This Row],[Date]]-A207)</f>
        <v>0.98680555555620231</v>
      </c>
      <c r="E208" s="39">
        <f>Tableau1[[#This Row],[Date]]-$A$5</f>
        <v>420.63680555555038</v>
      </c>
      <c r="F208" s="40">
        <f>Tableau1[[#This Row],[Date]]-$A$5</f>
        <v>420.63680555555038</v>
      </c>
      <c r="G208" s="40">
        <f>Tableau1[[#This Row],[Diff jour_x000D_
Cumul]]-F$6</f>
        <v>382.5534722222219</v>
      </c>
      <c r="H208" s="40">
        <f>Tableau1[[#This Row],[Diff jour_x000D_
Cumul]]-F$59</f>
        <v>360.03402777777228</v>
      </c>
      <c r="I208" s="21">
        <v>190953</v>
      </c>
      <c r="J208" s="38">
        <f>IF(ISERROR(Tableau1[[#This Row],[Index HP
kWh]]-I207),"",Tableau1[[#This Row],[Index HP
kWh]]-I207)</f>
        <v>37</v>
      </c>
      <c r="K208" s="40">
        <f>IF(ISERROR(Tableau1[[#This Row],[Différence HP
Instantané]]/(Tableau1[[#This Row],[Diff jour
Instantané]]*24)),"",Tableau1[[#This Row],[Différence HP
Instantané]]/(Tableau1[[#This Row],[Diff jour
Instantané]]*24))</f>
        <v>1.5622800844465483</v>
      </c>
      <c r="L208" s="40">
        <f>Tableau1[[#This Row],[Différence HP
Instantané]]/Tableau1[[#This Row],[Diff jour
Instantané]]</f>
        <v>37.494722026717156</v>
      </c>
      <c r="M208" s="40">
        <f>Tableau1[[#This Row],[Conso HP / jour
Instantané]]*365</f>
        <v>13685.573539751762</v>
      </c>
      <c r="N208" s="38">
        <f>Tableau1[[#This Row],[Index HP
kWh]]-$I$5</f>
        <v>11194</v>
      </c>
      <c r="O208" s="41">
        <f>Tableau1[[#This Row],[Différence HP
Cumul]]/(Tableau1[[#This Row],[Diff jour_x000D_
Cumul]]*24)</f>
        <v>1.1088346538069895</v>
      </c>
      <c r="P208" s="41">
        <f>Tableau1[[#This Row],[Différence HP
Cumul]]/Tableau1[[#This Row],[Diff jour_x000D_
Cumul]]</f>
        <v>26.612031691367747</v>
      </c>
      <c r="Q208" s="41">
        <f>Tableau1[[#This Row],[Conso HP / jour
Cumul]]*365</f>
        <v>9713.3915673492284</v>
      </c>
      <c r="R208" s="21">
        <v>124028</v>
      </c>
      <c r="S208" s="38">
        <f>Tableau1[[#This Row],[Index HC_x000D_
kWh]]-R207</f>
        <v>20</v>
      </c>
      <c r="T208" s="42">
        <f>Tableau1[[#This Row],[Différence_x000D_ HC
Instantané]]/(Tableau1[[#This Row],[Diff jour
Instantané]]*24)</f>
        <v>0.84447572132245852</v>
      </c>
      <c r="U208" s="42">
        <f>Tableau1[[#This Row],[Différence_x000D_ HC
Instantané]]/Tableau1[[#This Row],[Diff jour
Instantané]]</f>
        <v>20.267417311739003</v>
      </c>
      <c r="V208" s="42">
        <f>Tableau1[[#This Row],[Conso HC / jour_x000D_
Instantané]]*365</f>
        <v>7397.607318784736</v>
      </c>
      <c r="W208" s="38">
        <f>Tableau1[[#This Row],[Index HC_x000D_
kWh]]-$R$5</f>
        <v>4596</v>
      </c>
      <c r="X208" s="43">
        <f>Tableau1[[#This Row],[Différence HC
Cumul]]/(Tableau1[[#This Row],[Diff jour_x000D_
Cumul]]*24)</f>
        <v>0.45526211085375412</v>
      </c>
      <c r="Y208" s="43">
        <f>Tableau1[[#This Row],[Différence HC
Cumul]]/Tableau1[[#This Row],[Diff jour_x000D_
Cumul]]</f>
        <v>10.9262906604901</v>
      </c>
      <c r="Z208" s="43">
        <f>Tableau1[[#This Row],[Conso HC / jour_x000D_
Cumul]]*365</f>
        <v>3988.0960910788863</v>
      </c>
      <c r="AA208" s="38">
        <f>Tableau1[[#This Row],[Différence HP
Instantané]]+Tableau1[[#This Row],[Différence_x000D_ HC
Instantané]]</f>
        <v>57</v>
      </c>
      <c r="AB208" s="41">
        <f>Tableau1[[#This Row],[Conso HP + HC
Instantané]]/(Tableau1[[#This Row],[Diff jour
Instantané]]*24)</f>
        <v>2.4067558057690066</v>
      </c>
      <c r="AC208" s="41">
        <f>IF(ISERROR(Tableau1[[#This Row],[Date]]-A207),"",Tableau1[[#This Row],[Conso HP + HC
Instantané]]/Tableau1[[#This Row],[Diff jour
Instantané]])</f>
        <v>57.762139338456159</v>
      </c>
      <c r="AD208" s="41">
        <f>Tableau1[[#This Row],[Conso HP + HC / jour_x000D_
Instantané]]*365</f>
        <v>21083.180858536496</v>
      </c>
      <c r="AE208" s="38">
        <f>Tableau1[[#This Row],[Différence HP
Cumul]]+Tableau1[[#This Row],[Différence HC
Cumul]]</f>
        <v>15790</v>
      </c>
      <c r="AF208" s="40">
        <f>(Tableau1[[#This Row],[Conso HP + HC
Cumul]]-AE$6)/Tableau1[[#This Row],[Diff jour_x000D_
Cumul
depuis le 24/01]]</f>
        <v>34.554646500035425</v>
      </c>
      <c r="AG208" s="40">
        <f>(Tableau1[[#This Row],[Conso HP + HC
Cumul]]-AE$59)/Tableau1[[#This Row],[Diff jour_x000D_
Cumul
depuis
précédente facture
16/02/2021]]</f>
        <v>32.255284512074006</v>
      </c>
      <c r="AH208" s="41">
        <f>Tableau1[[#This Row],[Conso HP + HC
Cumul]]/(Tableau1[[#This Row],[Diff jour_x000D_
Cumul]]*24)</f>
        <v>1.5640967646607435</v>
      </c>
      <c r="AI208" s="41">
        <f>Tableau1[[#This Row],[Conso HP + HC
Cumul]]/Tableau1[[#This Row],[Diff jour_x000D_
Cumul]]</f>
        <v>37.53832235185785</v>
      </c>
      <c r="AJ208" s="41">
        <f>Tableau1[[#This Row],[Conso HP + HC / jour_x000D_
Cumul]]*365</f>
        <v>13701.487658428116</v>
      </c>
      <c r="AK208" s="44">
        <f>(Tableau1[[#This Row],[Différence HP
Cumul]]*0.1799)+(Tableau1[[#This Row],[Différence HC
Cumul]]*0.1346)</f>
        <v>2632.4222</v>
      </c>
      <c r="AL208" s="44">
        <f>Tableau1[[#This Row],[Montant
Tarif HP/HC]]/Tableau1[[#This Row],[Diff jour_x000D_
Cumul]]</f>
        <v>6.2581832241790254</v>
      </c>
      <c r="AM208" s="44">
        <f>(Tableau1[[#This Row],[Montant
Tarif HP/HC]]-AK$6)/Tableau1[[#This Row],[Diff jour_x000D_
Cumul
depuis le 24/01]]</f>
        <v>5.7717332616900006</v>
      </c>
      <c r="AN208" s="44">
        <f>(Tableau1[[#This Row],[Montant
Tarif HP/HC]]-AK$59)/Tableau1[[#This Row],[Diff jour_x000D_
Cumul
depuis
précédente facture
16/02/2021]]</f>
        <v>5.3896538945972363</v>
      </c>
      <c r="AO208" s="44">
        <f>Tableau1[[#This Row],[Conso HP + HC
Cumul]]*0.1599</f>
        <v>2524.8209999999999</v>
      </c>
      <c r="AP208" s="44">
        <f>Tableau1[[#This Row],[Montant
Tarif normal]]/Tableau1[[#This Row],[Diff jour_x000D_
Cumul]]</f>
        <v>6.0023777440620698</v>
      </c>
      <c r="AQ208" s="44">
        <f>(Tableau1[[#This Row],[Conso HP / an
Cumul]]*0.1799)+(Tableau1[[#This Row],[Conso HC / an_x000D_
Cumul]]*0.1346)</f>
        <v>2284.2368768253441</v>
      </c>
      <c r="AR208" s="44">
        <f>Tableau1[[#This Row],[Conso HP + HC / an_x000D_
Cumul]]*0.1599</f>
        <v>2190.8678765826553</v>
      </c>
      <c r="AS208" s="38">
        <f>MONTH(Tableau1[[#This Row],[Date]])</f>
        <v>2</v>
      </c>
      <c r="AT208" s="38">
        <f>YEAR(Tableau1[[#This Row],[Date]])</f>
        <v>2022</v>
      </c>
    </row>
    <row r="209" spans="1:46" x14ac:dyDescent="0.2">
      <c r="A209" s="19">
        <v>44604.306944444441</v>
      </c>
      <c r="B209" s="20">
        <v>-0.9</v>
      </c>
      <c r="C209" s="39">
        <f>IF(ISERROR(Tableau1[[#This Row],[Date]]-A208),"",Tableau1[[#This Row],[Date]]-A208)</f>
        <v>0.96180555555474712</v>
      </c>
      <c r="D209" s="40">
        <f>IF(ISERROR(Tableau1[[#This Row],[Date]]-A208),"",Tableau1[[#This Row],[Date]]-A208)</f>
        <v>0.96180555555474712</v>
      </c>
      <c r="E209" s="39">
        <f>Tableau1[[#This Row],[Date]]-$A$5</f>
        <v>421.59861111110513</v>
      </c>
      <c r="F209" s="40">
        <f>Tableau1[[#This Row],[Date]]-$A$5</f>
        <v>421.59861111110513</v>
      </c>
      <c r="G209" s="40">
        <f>Tableau1[[#This Row],[Diff jour_x000D_
Cumul]]-F$6</f>
        <v>383.51527777777665</v>
      </c>
      <c r="H209" s="40">
        <f>Tableau1[[#This Row],[Diff jour_x000D_
Cumul]]-F$59</f>
        <v>360.99583333332703</v>
      </c>
      <c r="I209" s="21">
        <v>190988</v>
      </c>
      <c r="J209" s="38">
        <f>IF(ISERROR(Tableau1[[#This Row],[Index HP
kWh]]-I208),"",Tableau1[[#This Row],[Index HP
kWh]]-I208)</f>
        <v>35</v>
      </c>
      <c r="K209" s="40">
        <f>IF(ISERROR(Tableau1[[#This Row],[Différence HP
Instantané]]/(Tableau1[[#This Row],[Diff jour
Instantané]]*24)),"",Tableau1[[#This Row],[Différence HP
Instantané]]/(Tableau1[[#This Row],[Diff jour
Instantané]]*24))</f>
        <v>1.5162454873658955</v>
      </c>
      <c r="L209" s="40">
        <f>Tableau1[[#This Row],[Différence HP
Instantané]]/Tableau1[[#This Row],[Diff jour
Instantané]]</f>
        <v>36.38989169678149</v>
      </c>
      <c r="M209" s="40">
        <f>Tableau1[[#This Row],[Conso HP / jour
Instantané]]*365</f>
        <v>13282.310469325244</v>
      </c>
      <c r="N209" s="38">
        <f>Tableau1[[#This Row],[Index HP
kWh]]-$I$5</f>
        <v>11229</v>
      </c>
      <c r="O209" s="41">
        <f>Tableau1[[#This Row],[Différence HP
Cumul]]/(Tableau1[[#This Row],[Diff jour_x000D_
Cumul]]*24)</f>
        <v>1.1097640923601133</v>
      </c>
      <c r="P209" s="41">
        <f>Tableau1[[#This Row],[Différence HP
Cumul]]/Tableau1[[#This Row],[Diff jour_x000D_
Cumul]]</f>
        <v>26.634338216642721</v>
      </c>
      <c r="Q209" s="41">
        <f>Tableau1[[#This Row],[Conso HP / jour
Cumul]]*365</f>
        <v>9721.5334490745936</v>
      </c>
      <c r="R209" s="21">
        <v>124049</v>
      </c>
      <c r="S209" s="38">
        <f>Tableau1[[#This Row],[Index HC_x000D_
kWh]]-R208</f>
        <v>21</v>
      </c>
      <c r="T209" s="42">
        <f>Tableau1[[#This Row],[Différence_x000D_ HC
Instantané]]/(Tableau1[[#This Row],[Diff jour
Instantané]]*24)</f>
        <v>0.90974729241953722</v>
      </c>
      <c r="U209" s="42">
        <f>Tableau1[[#This Row],[Différence_x000D_ HC
Instantané]]/Tableau1[[#This Row],[Diff jour
Instantané]]</f>
        <v>21.833935018068892</v>
      </c>
      <c r="V209" s="42">
        <f>Tableau1[[#This Row],[Conso HC / jour_x000D_
Instantané]]*365</f>
        <v>7969.3862815951461</v>
      </c>
      <c r="W209" s="38">
        <f>Tableau1[[#This Row],[Index HC_x000D_
kWh]]-$R$5</f>
        <v>4617</v>
      </c>
      <c r="X209" s="43">
        <f>Tableau1[[#This Row],[Différence HC
Cumul]]/(Tableau1[[#This Row],[Diff jour_x000D_
Cumul]]*24)</f>
        <v>0.45629894152877759</v>
      </c>
      <c r="Y209" s="43">
        <f>Tableau1[[#This Row],[Différence HC
Cumul]]/Tableau1[[#This Row],[Diff jour_x000D_
Cumul]]</f>
        <v>10.951174596690661</v>
      </c>
      <c r="Z209" s="43">
        <f>Tableau1[[#This Row],[Conso HC / jour_x000D_
Cumul]]*365</f>
        <v>3997.1787277920912</v>
      </c>
      <c r="AA209" s="38">
        <f>Tableau1[[#This Row],[Différence HP
Instantané]]+Tableau1[[#This Row],[Différence_x000D_ HC
Instantané]]</f>
        <v>56</v>
      </c>
      <c r="AB209" s="41">
        <f>Tableau1[[#This Row],[Conso HP + HC
Instantané]]/(Tableau1[[#This Row],[Diff jour
Instantané]]*24)</f>
        <v>2.4259927797854326</v>
      </c>
      <c r="AC209" s="41">
        <f>IF(ISERROR(Tableau1[[#This Row],[Date]]-A208),"",Tableau1[[#This Row],[Conso HP + HC
Instantané]]/Tableau1[[#This Row],[Diff jour
Instantané]])</f>
        <v>58.223826714850382</v>
      </c>
      <c r="AD209" s="41">
        <f>Tableau1[[#This Row],[Conso HP + HC / jour_x000D_
Instantané]]*365</f>
        <v>21251.69675092039</v>
      </c>
      <c r="AE209" s="38">
        <f>Tableau1[[#This Row],[Différence HP
Cumul]]+Tableau1[[#This Row],[Différence HC
Cumul]]</f>
        <v>15846</v>
      </c>
      <c r="AF209" s="40">
        <f>(Tableau1[[#This Row],[Conso HP + HC
Cumul]]-AE$6)/Tableau1[[#This Row],[Diff jour_x000D_
Cumul
depuis le 24/01]]</f>
        <v>34.614005671221371</v>
      </c>
      <c r="AG209" s="40">
        <f>(Tableau1[[#This Row],[Conso HP + HC
Cumul]]-AE$59)/Tableau1[[#This Row],[Diff jour_x000D_
Cumul
depuis
précédente facture
16/02/2021]]</f>
        <v>32.324472812475314</v>
      </c>
      <c r="AH209" s="41">
        <f>Tableau1[[#This Row],[Conso HP + HC
Cumul]]/(Tableau1[[#This Row],[Diff jour_x000D_
Cumul]]*24)</f>
        <v>1.566063033888891</v>
      </c>
      <c r="AI209" s="41">
        <f>Tableau1[[#This Row],[Conso HP + HC
Cumul]]/Tableau1[[#This Row],[Diff jour_x000D_
Cumul]]</f>
        <v>37.585512813333381</v>
      </c>
      <c r="AJ209" s="41">
        <f>Tableau1[[#This Row],[Conso HP + HC / jour_x000D_
Cumul]]*365</f>
        <v>13718.712176866684</v>
      </c>
      <c r="AK209" s="44">
        <f>(Tableau1[[#This Row],[Différence HP
Cumul]]*0.1799)+(Tableau1[[#This Row],[Différence HC
Cumul]]*0.1346)</f>
        <v>2641.5452999999998</v>
      </c>
      <c r="AL209" s="44">
        <f>Tableau1[[#This Row],[Montant
Tarif HP/HC]]/Tableau1[[#This Row],[Diff jour_x000D_
Cumul]]</f>
        <v>6.265545545888588</v>
      </c>
      <c r="AM209" s="44">
        <f>(Tableau1[[#This Row],[Montant
Tarif HP/HC]]-AK$6)/Tableau1[[#This Row],[Diff jour_x000D_
Cumul
depuis le 24/01]]</f>
        <v>5.7810466191771459</v>
      </c>
      <c r="AN209" s="44">
        <f>(Tableau1[[#This Row],[Montant
Tarif HP/HC]]-AK$59)/Tableau1[[#This Row],[Diff jour_x000D_
Cumul
depuis
précédente facture
16/02/2021]]</f>
        <v>5.4005662115214639</v>
      </c>
      <c r="AO209" s="44">
        <f>Tableau1[[#This Row],[Conso HP + HC
Cumul]]*0.1599</f>
        <v>2533.7754</v>
      </c>
      <c r="AP209" s="44">
        <f>Tableau1[[#This Row],[Montant
Tarif normal]]/Tableau1[[#This Row],[Diff jour_x000D_
Cumul]]</f>
        <v>6.0099234988520083</v>
      </c>
      <c r="AQ209" s="44">
        <f>(Tableau1[[#This Row],[Conso HP / an
Cumul]]*0.1799)+(Tableau1[[#This Row],[Conso HC / an_x000D_
Cumul]]*0.1346)</f>
        <v>2286.9241242493349</v>
      </c>
      <c r="AR209" s="44">
        <f>Tableau1[[#This Row],[Conso HP + HC / an_x000D_
Cumul]]*0.1599</f>
        <v>2193.6220770809828</v>
      </c>
      <c r="AS209" s="38">
        <f>MONTH(Tableau1[[#This Row],[Date]])</f>
        <v>2</v>
      </c>
      <c r="AT209" s="38">
        <f>YEAR(Tableau1[[#This Row],[Date]])</f>
        <v>2022</v>
      </c>
    </row>
    <row r="210" spans="1:46" x14ac:dyDescent="0.2">
      <c r="A210" s="19">
        <v>44606.317361111112</v>
      </c>
      <c r="B210" s="20">
        <v>5.5</v>
      </c>
      <c r="C210" s="39">
        <f>IF(ISERROR(Tableau1[[#This Row],[Date]]-A209),"",Tableau1[[#This Row],[Date]]-A209)</f>
        <v>2.0104166666715173</v>
      </c>
      <c r="D210" s="40">
        <f>IF(ISERROR(Tableau1[[#This Row],[Date]]-A209),"",Tableau1[[#This Row],[Date]]-A209)</f>
        <v>2.0104166666715173</v>
      </c>
      <c r="E210" s="39">
        <f>Tableau1[[#This Row],[Date]]-$A$5</f>
        <v>423.60902777777665</v>
      </c>
      <c r="F210" s="40">
        <f>Tableau1[[#This Row],[Date]]-$A$5</f>
        <v>423.60902777777665</v>
      </c>
      <c r="G210" s="40">
        <f>Tableau1[[#This Row],[Diff jour_x000D_
Cumul]]-F$6</f>
        <v>385.52569444444816</v>
      </c>
      <c r="H210" s="40">
        <f>Tableau1[[#This Row],[Diff jour_x000D_
Cumul]]-F$59</f>
        <v>363.00624999999854</v>
      </c>
      <c r="I210" s="21">
        <v>191066</v>
      </c>
      <c r="J210" s="38">
        <f>IF(ISERROR(Tableau1[[#This Row],[Index HP
kWh]]-I209),"",Tableau1[[#This Row],[Index HP
kWh]]-I209)</f>
        <v>78</v>
      </c>
      <c r="K210" s="40">
        <f>IF(ISERROR(Tableau1[[#This Row],[Différence HP
Instantané]]/(Tableau1[[#This Row],[Diff jour
Instantané]]*24)),"",Tableau1[[#This Row],[Différence HP
Instantané]]/(Tableau1[[#This Row],[Diff jour
Instantané]]*24))</f>
        <v>1.6165803108769286</v>
      </c>
      <c r="L210" s="40">
        <f>Tableau1[[#This Row],[Différence HP
Instantané]]/Tableau1[[#This Row],[Diff jour
Instantané]]</f>
        <v>38.797927461046285</v>
      </c>
      <c r="M210" s="40">
        <f>Tableau1[[#This Row],[Conso HP / jour
Instantané]]*365</f>
        <v>14161.243523281893</v>
      </c>
      <c r="N210" s="38">
        <f>Tableau1[[#This Row],[Index HP
kWh]]-$I$5</f>
        <v>11307</v>
      </c>
      <c r="O210" s="41">
        <f>Tableau1[[#This Row],[Différence HP
Cumul]]/(Tableau1[[#This Row],[Diff jour_x000D_
Cumul]]*24)</f>
        <v>1.1121694041118264</v>
      </c>
      <c r="P210" s="41">
        <f>Tableau1[[#This Row],[Différence HP
Cumul]]/Tableau1[[#This Row],[Diff jour_x000D_
Cumul]]</f>
        <v>26.692065698683834</v>
      </c>
      <c r="Q210" s="41">
        <f>Tableau1[[#This Row],[Conso HP / jour
Cumul]]*365</f>
        <v>9742.6039800195995</v>
      </c>
      <c r="R210" s="21">
        <v>124087</v>
      </c>
      <c r="S210" s="38">
        <f>Tableau1[[#This Row],[Index HC_x000D_
kWh]]-R209</f>
        <v>38</v>
      </c>
      <c r="T210" s="42">
        <f>Tableau1[[#This Row],[Différence_x000D_ HC
Instantané]]/(Tableau1[[#This Row],[Diff jour
Instantané]]*24)</f>
        <v>0.787564766837478</v>
      </c>
      <c r="U210" s="42">
        <f>Tableau1[[#This Row],[Différence_x000D_ HC
Instantané]]/Tableau1[[#This Row],[Diff jour
Instantané]]</f>
        <v>18.901554404099471</v>
      </c>
      <c r="V210" s="42">
        <f>Tableau1[[#This Row],[Conso HC / jour_x000D_
Instantané]]*365</f>
        <v>6899.0673574963066</v>
      </c>
      <c r="W210" s="38">
        <f>Tableau1[[#This Row],[Index HC_x000D_
kWh]]-$R$5</f>
        <v>4655</v>
      </c>
      <c r="X210" s="43">
        <f>Tableau1[[#This Row],[Différence HC
Cumul]]/(Tableau1[[#This Row],[Diff jour_x000D_
Cumul]]*24)</f>
        <v>0.45787110428412064</v>
      </c>
      <c r="Y210" s="43">
        <f>Tableau1[[#This Row],[Différence HC
Cumul]]/Tableau1[[#This Row],[Diff jour_x000D_
Cumul]]</f>
        <v>10.988906502818896</v>
      </c>
      <c r="Z210" s="43">
        <f>Tableau1[[#This Row],[Conso HC / jour_x000D_
Cumul]]*365</f>
        <v>4010.9508735288969</v>
      </c>
      <c r="AA210" s="38">
        <f>Tableau1[[#This Row],[Différence HP
Instantané]]+Tableau1[[#This Row],[Différence_x000D_ HC
Instantané]]</f>
        <v>116</v>
      </c>
      <c r="AB210" s="41">
        <f>Tableau1[[#This Row],[Conso HP + HC
Instantané]]/(Tableau1[[#This Row],[Diff jour
Instantané]]*24)</f>
        <v>2.4041450777144067</v>
      </c>
      <c r="AC210" s="41">
        <f>IF(ISERROR(Tableau1[[#This Row],[Date]]-A209),"",Tableau1[[#This Row],[Conso HP + HC
Instantané]]/Tableau1[[#This Row],[Diff jour
Instantané]])</f>
        <v>57.699481865145756</v>
      </c>
      <c r="AD210" s="41">
        <f>Tableau1[[#This Row],[Conso HP + HC / jour_x000D_
Instantané]]*365</f>
        <v>21060.310880778201</v>
      </c>
      <c r="AE210" s="38">
        <f>Tableau1[[#This Row],[Différence HP
Cumul]]+Tableau1[[#This Row],[Différence HC
Cumul]]</f>
        <v>15962</v>
      </c>
      <c r="AF210" s="40">
        <f>(Tableau1[[#This Row],[Conso HP + HC
Cumul]]-AE$6)/Tableau1[[#This Row],[Diff jour_x000D_
Cumul
depuis le 24/01]]</f>
        <v>34.734390451709722</v>
      </c>
      <c r="AG210" s="40">
        <f>(Tableau1[[#This Row],[Conso HP + HC
Cumul]]-AE$59)/Tableau1[[#This Row],[Diff jour_x000D_
Cumul
depuis
précédente facture
16/02/2021]]</f>
        <v>32.465005767807156</v>
      </c>
      <c r="AH210" s="41">
        <f>Tableau1[[#This Row],[Conso HP + HC
Cumul]]/(Tableau1[[#This Row],[Diff jour_x000D_
Cumul]]*24)</f>
        <v>1.5700405083959472</v>
      </c>
      <c r="AI210" s="41">
        <f>Tableau1[[#This Row],[Conso HP + HC
Cumul]]/Tableau1[[#This Row],[Diff jour_x000D_
Cumul]]</f>
        <v>37.680972201502733</v>
      </c>
      <c r="AJ210" s="41">
        <f>Tableau1[[#This Row],[Conso HP + HC / jour_x000D_
Cumul]]*365</f>
        <v>13753.554853548498</v>
      </c>
      <c r="AK210" s="44">
        <f>(Tableau1[[#This Row],[Différence HP
Cumul]]*0.1799)+(Tableau1[[#This Row],[Différence HC
Cumul]]*0.1346)</f>
        <v>2660.6923000000002</v>
      </c>
      <c r="AL210" s="44">
        <f>Tableau1[[#This Row],[Montant
Tarif HP/HC]]/Tableau1[[#This Row],[Diff jour_x000D_
Cumul]]</f>
        <v>6.2810094344726455</v>
      </c>
      <c r="AM210" s="44">
        <f>(Tableau1[[#This Row],[Montant
Tarif HP/HC]]-AK$6)/Tableau1[[#This Row],[Diff jour_x000D_
Cumul
depuis le 24/01]]</f>
        <v>5.8005646114522005</v>
      </c>
      <c r="AN210" s="44">
        <f>(Tableau1[[#This Row],[Montant
Tarif HP/HC]]-AK$59)/Tableau1[[#This Row],[Diff jour_x000D_
Cumul
depuis
précédente facture
16/02/2021]]</f>
        <v>5.4234022141492275</v>
      </c>
      <c r="AO210" s="44">
        <f>Tableau1[[#This Row],[Conso HP + HC
Cumul]]*0.1599</f>
        <v>2552.3237999999997</v>
      </c>
      <c r="AP210" s="44">
        <f>Tableau1[[#This Row],[Montant
Tarif normal]]/Tableau1[[#This Row],[Diff jour_x000D_
Cumul]]</f>
        <v>6.0251874550202862</v>
      </c>
      <c r="AQ210" s="44">
        <f>(Tableau1[[#This Row],[Conso HP / an
Cumul]]*0.1799)+(Tableau1[[#This Row],[Conso HC / an_x000D_
Cumul]]*0.1346)</f>
        <v>2292.5684435825156</v>
      </c>
      <c r="AR210" s="44">
        <f>Tableau1[[#This Row],[Conso HP + HC / an_x000D_
Cumul]]*0.1599</f>
        <v>2199.1934210824047</v>
      </c>
      <c r="AS210" s="38">
        <f>MONTH(Tableau1[[#This Row],[Date]])</f>
        <v>2</v>
      </c>
      <c r="AT210" s="38">
        <f>YEAR(Tableau1[[#This Row],[Date]])</f>
        <v>2022</v>
      </c>
    </row>
    <row r="211" spans="1:46" x14ac:dyDescent="0.2">
      <c r="A211" s="19">
        <v>44607.304861111108</v>
      </c>
      <c r="B211" s="20">
        <v>2.6</v>
      </c>
      <c r="C211" s="39">
        <f>IF(ISERROR(Tableau1[[#This Row],[Date]]-A210),"",Tableau1[[#This Row],[Date]]-A210)</f>
        <v>0.98749999999563443</v>
      </c>
      <c r="D211" s="40">
        <f>IF(ISERROR(Tableau1[[#This Row],[Date]]-A210),"",Tableau1[[#This Row],[Date]]-A210)</f>
        <v>0.98749999999563443</v>
      </c>
      <c r="E211" s="39">
        <f>Tableau1[[#This Row],[Date]]-$A$5</f>
        <v>424.59652777777228</v>
      </c>
      <c r="F211" s="40">
        <f>Tableau1[[#This Row],[Date]]-$A$5</f>
        <v>424.59652777777228</v>
      </c>
      <c r="G211" s="40">
        <f>Tableau1[[#This Row],[Diff jour_x000D_
Cumul]]-F$6</f>
        <v>386.5131944444438</v>
      </c>
      <c r="H211" s="40">
        <f>Tableau1[[#This Row],[Diff jour_x000D_
Cumul]]-F$59</f>
        <v>363.99374999999418</v>
      </c>
      <c r="I211" s="21">
        <v>191102</v>
      </c>
      <c r="J211" s="38">
        <f>IF(ISERROR(Tableau1[[#This Row],[Index HP
kWh]]-I210),"",Tableau1[[#This Row],[Index HP
kWh]]-I210)</f>
        <v>36</v>
      </c>
      <c r="K211" s="40">
        <f>IF(ISERROR(Tableau1[[#This Row],[Différence HP
Instantané]]/(Tableau1[[#This Row],[Diff jour
Instantané]]*24)),"",Tableau1[[#This Row],[Différence HP
Instantané]]/(Tableau1[[#This Row],[Diff jour
Instantané]]*24))</f>
        <v>1.5189873417788671</v>
      </c>
      <c r="L211" s="40">
        <f>Tableau1[[#This Row],[Différence HP
Instantané]]/Tableau1[[#This Row],[Diff jour
Instantané]]</f>
        <v>36.455696202692813</v>
      </c>
      <c r="M211" s="40">
        <f>Tableau1[[#This Row],[Conso HP / jour
Instantané]]*365</f>
        <v>13306.329113982876</v>
      </c>
      <c r="N211" s="38">
        <f>Tableau1[[#This Row],[Index HP
kWh]]-$I$5</f>
        <v>11343</v>
      </c>
      <c r="O211" s="41">
        <f>Tableau1[[#This Row],[Différence HP
Cumul]]/(Tableau1[[#This Row],[Diff jour_x000D_
Cumul]]*24)</f>
        <v>1.1131155557809109</v>
      </c>
      <c r="P211" s="41">
        <f>Tableau1[[#This Row],[Différence HP
Cumul]]/Tableau1[[#This Row],[Diff jour_x000D_
Cumul]]</f>
        <v>26.714773338741864</v>
      </c>
      <c r="Q211" s="41">
        <f>Tableau1[[#This Row],[Conso HP / jour
Cumul]]*365</f>
        <v>9750.8922686407805</v>
      </c>
      <c r="R211" s="21">
        <v>124107</v>
      </c>
      <c r="S211" s="38">
        <f>Tableau1[[#This Row],[Index HC_x000D_
kWh]]-R210</f>
        <v>20</v>
      </c>
      <c r="T211" s="42">
        <f>Tableau1[[#This Row],[Différence_x000D_ HC
Instantané]]/(Tableau1[[#This Row],[Diff jour
Instantané]]*24)</f>
        <v>0.84388185654381509</v>
      </c>
      <c r="U211" s="42">
        <f>Tableau1[[#This Row],[Différence_x000D_ HC
Instantané]]/Tableau1[[#This Row],[Diff jour
Instantané]]</f>
        <v>20.253164557051562</v>
      </c>
      <c r="V211" s="42">
        <f>Tableau1[[#This Row],[Conso HC / jour_x000D_
Instantané]]*365</f>
        <v>7392.4050633238203</v>
      </c>
      <c r="W211" s="38">
        <f>Tableau1[[#This Row],[Index HC_x000D_
kWh]]-$R$5</f>
        <v>4675</v>
      </c>
      <c r="X211" s="43">
        <f>Tableau1[[#This Row],[Différence HC
Cumul]]/(Tableau1[[#This Row],[Diff jour_x000D_
Cumul]]*24)</f>
        <v>0.45876886390511845</v>
      </c>
      <c r="Y211" s="43">
        <f>Tableau1[[#This Row],[Différence HC
Cumul]]/Tableau1[[#This Row],[Diff jour_x000D_
Cumul]]</f>
        <v>11.010452733722843</v>
      </c>
      <c r="Z211" s="43">
        <f>Tableau1[[#This Row],[Conso HC / jour_x000D_
Cumul]]*365</f>
        <v>4018.8152478088377</v>
      </c>
      <c r="AA211" s="38">
        <f>Tableau1[[#This Row],[Différence HP
Instantané]]+Tableau1[[#This Row],[Différence_x000D_ HC
Instantané]]</f>
        <v>56</v>
      </c>
      <c r="AB211" s="41">
        <f>Tableau1[[#This Row],[Conso HP + HC
Instantané]]/(Tableau1[[#This Row],[Diff jour
Instantané]]*24)</f>
        <v>2.3628691983226822</v>
      </c>
      <c r="AC211" s="41">
        <f>IF(ISERROR(Tableau1[[#This Row],[Date]]-A210),"",Tableau1[[#This Row],[Conso HP + HC
Instantané]]/Tableau1[[#This Row],[Diff jour
Instantané]])</f>
        <v>56.708860759744368</v>
      </c>
      <c r="AD211" s="41">
        <f>Tableau1[[#This Row],[Conso HP + HC / jour_x000D_
Instantané]]*365</f>
        <v>20698.734177306695</v>
      </c>
      <c r="AE211" s="38">
        <f>Tableau1[[#This Row],[Différence HP
Cumul]]+Tableau1[[#This Row],[Différence HC
Cumul]]</f>
        <v>16018</v>
      </c>
      <c r="AF211" s="40">
        <f>(Tableau1[[#This Row],[Conso HP + HC
Cumul]]-AE$6)/Tableau1[[#This Row],[Diff jour_x000D_
Cumul
depuis le 24/01]]</f>
        <v>34.790532880327916</v>
      </c>
      <c r="AG211" s="40">
        <f>(Tableau1[[#This Row],[Conso HP + HC
Cumul]]-AE$59)/Tableau1[[#This Row],[Diff jour_x000D_
Cumul
depuis
précédente facture
16/02/2021]]</f>
        <v>32.530778344408908</v>
      </c>
      <c r="AH211" s="41">
        <f>Tableau1[[#This Row],[Conso HP + HC
Cumul]]/(Tableau1[[#This Row],[Diff jour_x000D_
Cumul]]*24)</f>
        <v>1.5718844196860295</v>
      </c>
      <c r="AI211" s="41">
        <f>Tableau1[[#This Row],[Conso HP + HC
Cumul]]/Tableau1[[#This Row],[Diff jour_x000D_
Cumul]]</f>
        <v>37.725226072464707</v>
      </c>
      <c r="AJ211" s="41">
        <f>Tableau1[[#This Row],[Conso HP + HC / jour_x000D_
Cumul]]*365</f>
        <v>13769.707516449618</v>
      </c>
      <c r="AK211" s="44">
        <f>(Tableau1[[#This Row],[Différence HP
Cumul]]*0.1799)+(Tableau1[[#This Row],[Différence HC
Cumul]]*0.1346)</f>
        <v>2669.8607000000002</v>
      </c>
      <c r="AL211" s="44">
        <f>Tableau1[[#This Row],[Montant
Tarif HP/HC]]/Tableau1[[#This Row],[Diff jour_x000D_
Cumul]]</f>
        <v>6.2879946615987565</v>
      </c>
      <c r="AM211" s="44">
        <f>(Tableau1[[#This Row],[Montant
Tarif HP/HC]]-AK$6)/Tableau1[[#This Row],[Diff jour_x000D_
Cumul
depuis le 24/01]]</f>
        <v>5.8094655817053926</v>
      </c>
      <c r="AN211" s="44">
        <f>(Tableau1[[#This Row],[Montant
Tarif HP/HC]]-AK$59)/Tableau1[[#This Row],[Diff jour_x000D_
Cumul
depuis
précédente facture
16/02/2021]]</f>
        <v>5.4338770926699471</v>
      </c>
      <c r="AO211" s="44">
        <f>Tableau1[[#This Row],[Conso HP + HC
Cumul]]*0.1599</f>
        <v>2561.2781999999997</v>
      </c>
      <c r="AP211" s="44">
        <f>Tableau1[[#This Row],[Montant
Tarif normal]]/Tableau1[[#This Row],[Diff jour_x000D_
Cumul]]</f>
        <v>6.0322636489871062</v>
      </c>
      <c r="AQ211" s="44">
        <f>(Tableau1[[#This Row],[Conso HP / an
Cumul]]*0.1799)+(Tableau1[[#This Row],[Conso HC / an_x000D_
Cumul]]*0.1346)</f>
        <v>2295.118051483546</v>
      </c>
      <c r="AR211" s="44">
        <f>Tableau1[[#This Row],[Conso HP + HC / an_x000D_
Cumul]]*0.1599</f>
        <v>2201.7762318802938</v>
      </c>
      <c r="AS211" s="38">
        <f>MONTH(Tableau1[[#This Row],[Date]])</f>
        <v>2</v>
      </c>
      <c r="AT211" s="38">
        <f>YEAR(Tableau1[[#This Row],[Date]])</f>
        <v>2022</v>
      </c>
    </row>
    <row r="212" spans="1:46" x14ac:dyDescent="0.2">
      <c r="A212" s="19">
        <v>44608.324999999997</v>
      </c>
      <c r="B212" s="20">
        <v>11.2</v>
      </c>
      <c r="C212" s="39">
        <f>IF(ISERROR(Tableau1[[#This Row],[Date]]-A211),"",Tableau1[[#This Row],[Date]]-A211)</f>
        <v>1.0201388888890506</v>
      </c>
      <c r="D212" s="40">
        <f>IF(ISERROR(Tableau1[[#This Row],[Date]]-A211),"",Tableau1[[#This Row],[Date]]-A211)</f>
        <v>1.0201388888890506</v>
      </c>
      <c r="E212" s="39">
        <f>Tableau1[[#This Row],[Date]]-$A$5</f>
        <v>425.61666666666133</v>
      </c>
      <c r="F212" s="40">
        <f>Tableau1[[#This Row],[Date]]-$A$5</f>
        <v>425.61666666666133</v>
      </c>
      <c r="G212" s="40">
        <f>Tableau1[[#This Row],[Diff jour_x000D_
Cumul]]-F$6</f>
        <v>387.53333333333285</v>
      </c>
      <c r="H212" s="40">
        <f>Tableau1[[#This Row],[Diff jour_x000D_
Cumul]]-F$59</f>
        <v>365.01388888888323</v>
      </c>
      <c r="I212" s="21">
        <v>191138</v>
      </c>
      <c r="J212" s="38">
        <f>IF(ISERROR(Tableau1[[#This Row],[Index HP
kWh]]-I211),"",Tableau1[[#This Row],[Index HP
kWh]]-I211)</f>
        <v>36</v>
      </c>
      <c r="K212" s="40">
        <f>IF(ISERROR(Tableau1[[#This Row],[Différence HP
Instantané]]/(Tableau1[[#This Row],[Diff jour
Instantané]]*24)),"",Tableau1[[#This Row],[Différence HP
Instantané]]/(Tableau1[[#This Row],[Diff jour
Instantané]]*24))</f>
        <v>1.4703880190603524</v>
      </c>
      <c r="L212" s="40">
        <f>Tableau1[[#This Row],[Différence HP
Instantané]]/Tableau1[[#This Row],[Diff jour
Instantané]]</f>
        <v>35.28931245744846</v>
      </c>
      <c r="M212" s="40">
        <f>Tableau1[[#This Row],[Conso HP / jour
Instantané]]*365</f>
        <v>12880.599046968688</v>
      </c>
      <c r="N212" s="38">
        <f>Tableau1[[#This Row],[Index HP
kWh]]-$I$5</f>
        <v>11379</v>
      </c>
      <c r="O212" s="41">
        <f>Tableau1[[#This Row],[Différence HP
Cumul]]/(Tableau1[[#This Row],[Diff jour_x000D_
Cumul]]*24)</f>
        <v>1.1139718839331305</v>
      </c>
      <c r="P212" s="41">
        <f>Tableau1[[#This Row],[Différence HP
Cumul]]/Tableau1[[#This Row],[Diff jour_x000D_
Cumul]]</f>
        <v>26.735325214395136</v>
      </c>
      <c r="Q212" s="41">
        <f>Tableau1[[#This Row],[Conso HP / jour
Cumul]]*365</f>
        <v>9758.3937032542253</v>
      </c>
      <c r="R212" s="21">
        <v>124123</v>
      </c>
      <c r="S212" s="38">
        <f>Tableau1[[#This Row],[Index HC_x000D_
kWh]]-R211</f>
        <v>16</v>
      </c>
      <c r="T212" s="42">
        <f>Tableau1[[#This Row],[Différence_x000D_ HC
Instantané]]/(Tableau1[[#This Row],[Diff jour
Instantané]]*24)</f>
        <v>0.65350578624904554</v>
      </c>
      <c r="U212" s="42">
        <f>Tableau1[[#This Row],[Différence_x000D_ HC
Instantané]]/Tableau1[[#This Row],[Diff jour
Instantané]]</f>
        <v>15.684138869977092</v>
      </c>
      <c r="V212" s="42">
        <f>Tableau1[[#This Row],[Conso HC / jour_x000D_
Instantané]]*365</f>
        <v>5724.7106875416384</v>
      </c>
      <c r="W212" s="38">
        <f>Tableau1[[#This Row],[Index HC_x000D_
kWh]]-$R$5</f>
        <v>4691</v>
      </c>
      <c r="X212" s="43">
        <f>Tableau1[[#This Row],[Différence HC
Cumul]]/(Tableau1[[#This Row],[Diff jour_x000D_
Cumul]]*24)</f>
        <v>0.45923561890590697</v>
      </c>
      <c r="Y212" s="43">
        <f>Tableau1[[#This Row],[Différence HC
Cumul]]/Tableau1[[#This Row],[Diff jour_x000D_
Cumul]]</f>
        <v>11.021654853741769</v>
      </c>
      <c r="Z212" s="43">
        <f>Tableau1[[#This Row],[Conso HC / jour_x000D_
Cumul]]*365</f>
        <v>4022.9040216157455</v>
      </c>
      <c r="AA212" s="38">
        <f>Tableau1[[#This Row],[Différence HP
Instantané]]+Tableau1[[#This Row],[Différence_x000D_ HC
Instantané]]</f>
        <v>52</v>
      </c>
      <c r="AB212" s="41">
        <f>Tableau1[[#This Row],[Conso HP + HC
Instantané]]/(Tableau1[[#This Row],[Diff jour
Instantané]]*24)</f>
        <v>2.1238938053093981</v>
      </c>
      <c r="AC212" s="41">
        <f>IF(ISERROR(Tableau1[[#This Row],[Date]]-A211),"",Tableau1[[#This Row],[Conso HP + HC
Instantané]]/Tableau1[[#This Row],[Diff jour
Instantané]])</f>
        <v>50.973451327425551</v>
      </c>
      <c r="AD212" s="41">
        <f>Tableau1[[#This Row],[Conso HP + HC / jour_x000D_
Instantané]]*365</f>
        <v>18605.309734510327</v>
      </c>
      <c r="AE212" s="38">
        <f>Tableau1[[#This Row],[Différence HP
Cumul]]+Tableau1[[#This Row],[Différence HC
Cumul]]</f>
        <v>16070</v>
      </c>
      <c r="AF212" s="40">
        <f>(Tableau1[[#This Row],[Conso HP + HC
Cumul]]-AE$6)/Tableau1[[#This Row],[Diff jour_x000D_
Cumul
depuis le 24/01]]</f>
        <v>34.83313263375198</v>
      </c>
      <c r="AG212" s="40">
        <f>(Tableau1[[#This Row],[Conso HP + HC
Cumul]]-AE$59)/Tableau1[[#This Row],[Diff jour_x000D_
Cumul
depuis
précédente facture
16/02/2021]]</f>
        <v>32.582321829459048</v>
      </c>
      <c r="AH212" s="41">
        <f>Tableau1[[#This Row],[Conso HP + HC
Cumul]]/(Tableau1[[#This Row],[Diff jour_x000D_
Cumul]]*24)</f>
        <v>1.5732075028390375</v>
      </c>
      <c r="AI212" s="41">
        <f>Tableau1[[#This Row],[Conso HP + HC
Cumul]]/Tableau1[[#This Row],[Diff jour_x000D_
Cumul]]</f>
        <v>37.756980068136905</v>
      </c>
      <c r="AJ212" s="41">
        <f>Tableau1[[#This Row],[Conso HP + HC / jour_x000D_
Cumul]]*365</f>
        <v>13781.29772486997</v>
      </c>
      <c r="AK212" s="44">
        <f>(Tableau1[[#This Row],[Différence HP
Cumul]]*0.1799)+(Tableau1[[#This Row],[Différence HC
Cumul]]*0.1346)</f>
        <v>2678.4907000000003</v>
      </c>
      <c r="AL212" s="44">
        <f>Tableau1[[#This Row],[Montant
Tarif HP/HC]]/Tableau1[[#This Row],[Diff jour_x000D_
Cumul]]</f>
        <v>6.2931997493833274</v>
      </c>
      <c r="AM212" s="44">
        <f>(Tableau1[[#This Row],[Montant
Tarif HP/HC]]-AK$6)/Tableau1[[#This Row],[Diff jour_x000D_
Cumul
depuis le 24/01]]</f>
        <v>5.8164418544641396</v>
      </c>
      <c r="AN212" s="44">
        <f>(Tableau1[[#This Row],[Montant
Tarif HP/HC]]-AK$59)/Tableau1[[#This Row],[Diff jour_x000D_
Cumul
depuis
précédente facture
16/02/2021]]</f>
        <v>5.4423334576310731</v>
      </c>
      <c r="AO212" s="44">
        <f>Tableau1[[#This Row],[Conso HP + HC
Cumul]]*0.1599</f>
        <v>2569.5929999999998</v>
      </c>
      <c r="AP212" s="44">
        <f>Tableau1[[#This Row],[Montant
Tarif normal]]/Tableau1[[#This Row],[Diff jour_x000D_
Cumul]]</f>
        <v>6.0373411128950902</v>
      </c>
      <c r="AQ212" s="44">
        <f>(Tableau1[[#This Row],[Conso HP / an
Cumul]]*0.1799)+(Tableau1[[#This Row],[Conso HC / an_x000D_
Cumul]]*0.1346)</f>
        <v>2297.0179085249147</v>
      </c>
      <c r="AR212" s="44">
        <f>Tableau1[[#This Row],[Conso HP + HC / an_x000D_
Cumul]]*0.1599</f>
        <v>2203.6295062067079</v>
      </c>
      <c r="AS212" s="38">
        <f>MONTH(Tableau1[[#This Row],[Date]])</f>
        <v>2</v>
      </c>
      <c r="AT212" s="38">
        <f>YEAR(Tableau1[[#This Row],[Date]])</f>
        <v>2022</v>
      </c>
    </row>
    <row r="213" spans="1:46" x14ac:dyDescent="0.2">
      <c r="A213" s="19">
        <v>44609.369444444441</v>
      </c>
      <c r="B213" s="20">
        <v>10.9</v>
      </c>
      <c r="C213" s="39">
        <f>IF(ISERROR(Tableau1[[#This Row],[Date]]-A212),"",Tableau1[[#This Row],[Date]]-A212)</f>
        <v>1.0444444444437977</v>
      </c>
      <c r="D213" s="40">
        <f>IF(ISERROR(Tableau1[[#This Row],[Date]]-A212),"",Tableau1[[#This Row],[Date]]-A212)</f>
        <v>1.0444444444437977</v>
      </c>
      <c r="E213" s="39">
        <f>Tableau1[[#This Row],[Date]]-$A$5</f>
        <v>426.66111111110513</v>
      </c>
      <c r="F213" s="40">
        <f>Tableau1[[#This Row],[Date]]-$A$5</f>
        <v>426.66111111110513</v>
      </c>
      <c r="G213" s="40">
        <f>Tableau1[[#This Row],[Diff jour_x000D_
Cumul]]-F$6</f>
        <v>388.57777777777665</v>
      </c>
      <c r="H213" s="40">
        <f>Tableau1[[#This Row],[Diff jour_x000D_
Cumul]]-F$59</f>
        <v>366.05833333332703</v>
      </c>
      <c r="I213" s="21">
        <v>191171</v>
      </c>
      <c r="J213" s="38">
        <f>IF(ISERROR(Tableau1[[#This Row],[Index HP
kWh]]-I212),"",Tableau1[[#This Row],[Index HP
kWh]]-I212)</f>
        <v>33</v>
      </c>
      <c r="K213" s="40">
        <f>IF(ISERROR(Tableau1[[#This Row],[Différence HP
Instantané]]/(Tableau1[[#This Row],[Diff jour
Instantané]]*24)),"",Tableau1[[#This Row],[Différence HP
Instantané]]/(Tableau1[[#This Row],[Diff jour
Instantané]]*24))</f>
        <v>1.316489361702943</v>
      </c>
      <c r="L213" s="40">
        <f>Tableau1[[#This Row],[Différence HP
Instantané]]/Tableau1[[#This Row],[Diff jour
Instantané]]</f>
        <v>31.595744680870627</v>
      </c>
      <c r="M213" s="40">
        <f>Tableau1[[#This Row],[Conso HP / jour
Instantané]]*365</f>
        <v>11532.44680851778</v>
      </c>
      <c r="N213" s="38">
        <f>Tableau1[[#This Row],[Index HP
kWh]]-$I$5</f>
        <v>11412</v>
      </c>
      <c r="O213" s="41">
        <f>Tableau1[[#This Row],[Différence HP
Cumul]]/(Tableau1[[#This Row],[Diff jour_x000D_
Cumul]]*24)</f>
        <v>1.1144676362973633</v>
      </c>
      <c r="P213" s="41">
        <f>Tableau1[[#This Row],[Différence HP
Cumul]]/Tableau1[[#This Row],[Diff jour_x000D_
Cumul]]</f>
        <v>26.747223271136718</v>
      </c>
      <c r="Q213" s="41">
        <f>Tableau1[[#This Row],[Conso HP / jour
Cumul]]*365</f>
        <v>9762.7364939649015</v>
      </c>
      <c r="R213" s="21">
        <v>124137</v>
      </c>
      <c r="S213" s="38">
        <f>Tableau1[[#This Row],[Index HC_x000D_
kWh]]-R212</f>
        <v>14</v>
      </c>
      <c r="T213" s="42">
        <f>Tableau1[[#This Row],[Différence_x000D_ HC
Instantané]]/(Tableau1[[#This Row],[Diff jour
Instantané]]*24)</f>
        <v>0.55851063829821823</v>
      </c>
      <c r="U213" s="42">
        <f>Tableau1[[#This Row],[Différence_x000D_ HC
Instantané]]/Tableau1[[#This Row],[Diff jour
Instantané]]</f>
        <v>13.404255319157237</v>
      </c>
      <c r="V213" s="42">
        <f>Tableau1[[#This Row],[Conso HC / jour_x000D_
Instantané]]*365</f>
        <v>4892.5531914923913</v>
      </c>
      <c r="W213" s="38">
        <f>Tableau1[[#This Row],[Index HC_x000D_
kWh]]-$R$5</f>
        <v>4705</v>
      </c>
      <c r="X213" s="43">
        <f>Tableau1[[#This Row],[Différence HC
Cumul]]/(Tableau1[[#This Row],[Diff jour_x000D_
Cumul]]*24)</f>
        <v>0.4594786390447857</v>
      </c>
      <c r="Y213" s="43">
        <f>Tableau1[[#This Row],[Différence HC
Cumul]]/Tableau1[[#This Row],[Diff jour_x000D_
Cumul]]</f>
        <v>11.027487337074856</v>
      </c>
      <c r="Z213" s="43">
        <f>Tableau1[[#This Row],[Conso HC / jour_x000D_
Cumul]]*365</f>
        <v>4025.0328780323225</v>
      </c>
      <c r="AA213" s="38">
        <f>Tableau1[[#This Row],[Différence HP
Instantané]]+Tableau1[[#This Row],[Différence_x000D_ HC
Instantané]]</f>
        <v>47</v>
      </c>
      <c r="AB213" s="41">
        <f>Tableau1[[#This Row],[Conso HP + HC
Instantané]]/(Tableau1[[#This Row],[Diff jour
Instantané]]*24)</f>
        <v>1.8750000000011611</v>
      </c>
      <c r="AC213" s="41">
        <f>IF(ISERROR(Tableau1[[#This Row],[Date]]-A212),"",Tableau1[[#This Row],[Conso HP + HC
Instantané]]/Tableau1[[#This Row],[Diff jour
Instantané]])</f>
        <v>45.000000000027867</v>
      </c>
      <c r="AD213" s="41">
        <f>Tableau1[[#This Row],[Conso HP + HC / jour_x000D_
Instantané]]*365</f>
        <v>16425.000000010172</v>
      </c>
      <c r="AE213" s="38">
        <f>Tableau1[[#This Row],[Différence HP
Cumul]]+Tableau1[[#This Row],[Différence HC
Cumul]]</f>
        <v>16117</v>
      </c>
      <c r="AF213" s="40">
        <f>(Tableau1[[#This Row],[Conso HP + HC
Cumul]]-AE$6)/Tableau1[[#This Row],[Diff jour_x000D_
Cumul
depuis le 24/01]]</f>
        <v>34.860459796408655</v>
      </c>
      <c r="AG213" s="40">
        <f>(Tableau1[[#This Row],[Conso HP + HC
Cumul]]-AE$59)/Tableau1[[#This Row],[Diff jour_x000D_
Cumul
depuis
précédente facture
16/02/2021]]</f>
        <v>32.617752179753332</v>
      </c>
      <c r="AH213" s="41">
        <f>Tableau1[[#This Row],[Conso HP + HC
Cumul]]/(Tableau1[[#This Row],[Diff jour_x000D_
Cumul]]*24)</f>
        <v>1.5739462753421489</v>
      </c>
      <c r="AI213" s="41">
        <f>Tableau1[[#This Row],[Conso HP + HC
Cumul]]/Tableau1[[#This Row],[Diff jour_x000D_
Cumul]]</f>
        <v>37.774710608211571</v>
      </c>
      <c r="AJ213" s="41">
        <f>Tableau1[[#This Row],[Conso HP + HC / jour_x000D_
Cumul]]*365</f>
        <v>13787.769371997223</v>
      </c>
      <c r="AK213" s="44">
        <f>(Tableau1[[#This Row],[Différence HP
Cumul]]*0.1799)+(Tableau1[[#This Row],[Différence HC
Cumul]]*0.1346)</f>
        <v>2686.3117999999999</v>
      </c>
      <c r="AL213" s="44">
        <f>Tableau1[[#This Row],[Montant
Tarif HP/HC]]/Tableau1[[#This Row],[Diff jour_x000D_
Cumul]]</f>
        <v>6.296125262047771</v>
      </c>
      <c r="AM213" s="44">
        <f>(Tableau1[[#This Row],[Montant
Tarif HP/HC]]-AK$6)/Tableau1[[#This Row],[Diff jour_x000D_
Cumul
depuis le 24/01]]</f>
        <v>5.8209355484387677</v>
      </c>
      <c r="AN213" s="44">
        <f>(Tableau1[[#This Row],[Montant
Tarif HP/HC]]-AK$59)/Tableau1[[#This Row],[Diff jour_x000D_
Cumul
depuis
précédente facture
16/02/2021]]</f>
        <v>5.4481710109956092</v>
      </c>
      <c r="AO213" s="44">
        <f>Tableau1[[#This Row],[Conso HP + HC
Cumul]]*0.1599</f>
        <v>2577.1082999999999</v>
      </c>
      <c r="AP213" s="44">
        <f>Tableau1[[#This Row],[Montant
Tarif normal]]/Tableau1[[#This Row],[Diff jour_x000D_
Cumul]]</f>
        <v>6.0401762262530303</v>
      </c>
      <c r="AQ213" s="44">
        <f>(Tableau1[[#This Row],[Conso HP / an
Cumul]]*0.1799)+(Tableau1[[#This Row],[Conso HC / an_x000D_
Cumul]]*0.1346)</f>
        <v>2298.0857206474366</v>
      </c>
      <c r="AR213" s="44">
        <f>Tableau1[[#This Row],[Conso HP + HC / an_x000D_
Cumul]]*0.1599</f>
        <v>2204.6643225823559</v>
      </c>
      <c r="AS213" s="38">
        <f>MONTH(Tableau1[[#This Row],[Date]])</f>
        <v>2</v>
      </c>
      <c r="AT213" s="38">
        <f>YEAR(Tableau1[[#This Row],[Date]])</f>
        <v>2022</v>
      </c>
    </row>
    <row r="214" spans="1:46" x14ac:dyDescent="0.2">
      <c r="A214" s="19">
        <v>44612.501388888886</v>
      </c>
      <c r="B214" s="20">
        <v>11.2</v>
      </c>
      <c r="C214" s="39">
        <f>IF(ISERROR(Tableau1[[#This Row],[Date]]-A213),"",Tableau1[[#This Row],[Date]]-A213)</f>
        <v>3.1319444444452529</v>
      </c>
      <c r="D214" s="40">
        <f>IF(ISERROR(Tableau1[[#This Row],[Date]]-A213),"",Tableau1[[#This Row],[Date]]-A213)</f>
        <v>3.1319444444452529</v>
      </c>
      <c r="E214" s="39">
        <f>Tableau1[[#This Row],[Date]]-$A$5</f>
        <v>429.79305555555038</v>
      </c>
      <c r="F214" s="40">
        <f>Tableau1[[#This Row],[Date]]-$A$5</f>
        <v>429.79305555555038</v>
      </c>
      <c r="G214" s="40">
        <f>Tableau1[[#This Row],[Diff jour_x000D_
Cumul]]-F$6</f>
        <v>391.7097222222219</v>
      </c>
      <c r="H214" s="40">
        <f>Tableau1[[#This Row],[Diff jour_x000D_
Cumul]]-F$59</f>
        <v>369.19027777777228</v>
      </c>
      <c r="I214" s="21">
        <v>191274</v>
      </c>
      <c r="J214" s="38">
        <f>IF(ISERROR(Tableau1[[#This Row],[Index HP
kWh]]-I213),"",Tableau1[[#This Row],[Index HP
kWh]]-I213)</f>
        <v>103</v>
      </c>
      <c r="K214" s="40">
        <f>IF(ISERROR(Tableau1[[#This Row],[Différence HP
Instantané]]/(Tableau1[[#This Row],[Diff jour
Instantané]]*24)),"",Tableau1[[#This Row],[Différence HP
Instantané]]/(Tableau1[[#This Row],[Diff jour
Instantané]]*24))</f>
        <v>1.3702882483366752</v>
      </c>
      <c r="L214" s="40">
        <f>Tableau1[[#This Row],[Différence HP
Instantané]]/Tableau1[[#This Row],[Diff jour
Instantané]]</f>
        <v>32.886917960080204</v>
      </c>
      <c r="M214" s="40">
        <f>Tableau1[[#This Row],[Conso HP / jour
Instantané]]*365</f>
        <v>12003.725055429275</v>
      </c>
      <c r="N214" s="38">
        <f>Tableau1[[#This Row],[Index HP
kWh]]-$I$5</f>
        <v>11515</v>
      </c>
      <c r="O214" s="41">
        <f>Tableau1[[#This Row],[Différence HP
Cumul]]/(Tableau1[[#This Row],[Diff jour_x000D_
Cumul]]*24)</f>
        <v>1.1163318263634765</v>
      </c>
      <c r="P214" s="41">
        <f>Tableau1[[#This Row],[Différence HP
Cumul]]/Tableau1[[#This Row],[Diff jour_x000D_
Cumul]]</f>
        <v>26.791963832723436</v>
      </c>
      <c r="Q214" s="41">
        <f>Tableau1[[#This Row],[Conso HP / jour
Cumul]]*365</f>
        <v>9779.0667989440535</v>
      </c>
      <c r="R214" s="21">
        <v>124188</v>
      </c>
      <c r="S214" s="38">
        <f>Tableau1[[#This Row],[Index HC_x000D_
kWh]]-R213</f>
        <v>51</v>
      </c>
      <c r="T214" s="42">
        <f>Tableau1[[#This Row],[Différence_x000D_ HC
Instantané]]/(Tableau1[[#This Row],[Diff jour
Instantané]]*24)</f>
        <v>0.67849223946767412</v>
      </c>
      <c r="U214" s="42">
        <f>Tableau1[[#This Row],[Différence_x000D_ HC
Instantané]]/Tableau1[[#This Row],[Diff jour
Instantané]]</f>
        <v>16.28381374722418</v>
      </c>
      <c r="V214" s="42">
        <f>Tableau1[[#This Row],[Conso HC / jour_x000D_
Instantané]]*365</f>
        <v>5943.5920177368253</v>
      </c>
      <c r="W214" s="38">
        <f>Tableau1[[#This Row],[Index HC_x000D_
kWh]]-$R$5</f>
        <v>4756</v>
      </c>
      <c r="X214" s="43">
        <f>Tableau1[[#This Row],[Différence HC
Cumul]]/(Tableau1[[#This Row],[Diff jour_x000D_
Cumul]]*24)</f>
        <v>0.46107461278199691</v>
      </c>
      <c r="Y214" s="43">
        <f>Tableau1[[#This Row],[Différence HC
Cumul]]/Tableau1[[#This Row],[Diff jour_x000D_
Cumul]]</f>
        <v>11.065790706767926</v>
      </c>
      <c r="Z214" s="43">
        <f>Tableau1[[#This Row],[Conso HC / jour_x000D_
Cumul]]*365</f>
        <v>4039.0136079702929</v>
      </c>
      <c r="AA214" s="38">
        <f>Tableau1[[#This Row],[Différence HP
Instantané]]+Tableau1[[#This Row],[Différence_x000D_ HC
Instantané]]</f>
        <v>154</v>
      </c>
      <c r="AB214" s="41">
        <f>Tableau1[[#This Row],[Conso HP + HC
Instantané]]/(Tableau1[[#This Row],[Diff jour
Instantané]]*24)</f>
        <v>2.0487804878043492</v>
      </c>
      <c r="AC214" s="41">
        <f>IF(ISERROR(Tableau1[[#This Row],[Date]]-A213),"",Tableau1[[#This Row],[Conso HP + HC
Instantané]]/Tableau1[[#This Row],[Diff jour
Instantané]])</f>
        <v>49.170731707304384</v>
      </c>
      <c r="AD214" s="41">
        <f>Tableau1[[#This Row],[Conso HP + HC / jour_x000D_
Instantané]]*365</f>
        <v>17947.317073166101</v>
      </c>
      <c r="AE214" s="38">
        <f>Tableau1[[#This Row],[Différence HP
Cumul]]+Tableau1[[#This Row],[Différence HC
Cumul]]</f>
        <v>16271</v>
      </c>
      <c r="AF214" s="40">
        <f>(Tableau1[[#This Row],[Conso HP + HC
Cumul]]-AE$6)/Tableau1[[#This Row],[Diff jour_x000D_
Cumul
depuis le 24/01]]</f>
        <v>34.974878648091902</v>
      </c>
      <c r="AG214" s="40">
        <f>(Tableau1[[#This Row],[Conso HP + HC
Cumul]]-AE$59)/Tableau1[[#This Row],[Diff jour_x000D_
Cumul
depuis
précédente facture
16/02/2021]]</f>
        <v>32.758175737443914</v>
      </c>
      <c r="AH214" s="41">
        <f>Tableau1[[#This Row],[Conso HP + HC
Cumul]]/(Tableau1[[#This Row],[Diff jour_x000D_
Cumul]]*24)</f>
        <v>1.5774064391454734</v>
      </c>
      <c r="AI214" s="41">
        <f>Tableau1[[#This Row],[Conso HP + HC
Cumul]]/Tableau1[[#This Row],[Diff jour_x000D_
Cumul]]</f>
        <v>37.85775453949136</v>
      </c>
      <c r="AJ214" s="41">
        <f>Tableau1[[#This Row],[Conso HP + HC / jour_x000D_
Cumul]]*365</f>
        <v>13818.080406914347</v>
      </c>
      <c r="AK214" s="44">
        <f>(Tableau1[[#This Row],[Différence HP
Cumul]]*0.1799)+(Tableau1[[#This Row],[Différence HC
Cumul]]*0.1346)</f>
        <v>2711.7060999999999</v>
      </c>
      <c r="AL214" s="44">
        <f>Tableau1[[#This Row],[Montant
Tarif HP/HC]]/Tableau1[[#This Row],[Diff jour_x000D_
Cumul]]</f>
        <v>6.3093297226379086</v>
      </c>
      <c r="AM214" s="44">
        <f>(Tableau1[[#This Row],[Montant
Tarif HP/HC]]-AK$6)/Tableau1[[#This Row],[Diff jour_x000D_
Cumul
depuis le 24/01]]</f>
        <v>5.839223205959633</v>
      </c>
      <c r="AN214" s="44">
        <f>(Tableau1[[#This Row],[Montant
Tarif HP/HC]]-AK$59)/Tableau1[[#This Row],[Diff jour_x000D_
Cumul
depuis
précédente facture
16/02/2021]]</f>
        <v>5.4707364239308305</v>
      </c>
      <c r="AO214" s="44">
        <f>Tableau1[[#This Row],[Conso HP + HC
Cumul]]*0.1599</f>
        <v>2601.7329</v>
      </c>
      <c r="AP214" s="44">
        <f>Tableau1[[#This Row],[Montant
Tarif normal]]/Tableau1[[#This Row],[Diff jour_x000D_
Cumul]]</f>
        <v>6.0534549508646682</v>
      </c>
      <c r="AQ214" s="44">
        <f>(Tableau1[[#This Row],[Conso HP / an
Cumul]]*0.1799)+(Tableau1[[#This Row],[Conso HC / an_x000D_
Cumul]]*0.1346)</f>
        <v>2302.9053487628366</v>
      </c>
      <c r="AR214" s="44">
        <f>Tableau1[[#This Row],[Conso HP + HC / an_x000D_
Cumul]]*0.1599</f>
        <v>2209.5110570656038</v>
      </c>
      <c r="AS214" s="38">
        <f>MONTH(Tableau1[[#This Row],[Date]])</f>
        <v>2</v>
      </c>
      <c r="AT214" s="38">
        <f>YEAR(Tableau1[[#This Row],[Date]])</f>
        <v>2022</v>
      </c>
    </row>
    <row r="215" spans="1:46" x14ac:dyDescent="0.2">
      <c r="A215" s="19">
        <v>44613.348611111112</v>
      </c>
      <c r="B215" s="20">
        <v>6</v>
      </c>
      <c r="C215" s="39">
        <f>IF(ISERROR(Tableau1[[#This Row],[Date]]-A214),"",Tableau1[[#This Row],[Date]]-A214)</f>
        <v>0.84722222222626442</v>
      </c>
      <c r="D215" s="40">
        <f>IF(ISERROR(Tableau1[[#This Row],[Date]]-A214),"",Tableau1[[#This Row],[Date]]-A214)</f>
        <v>0.84722222222626442</v>
      </c>
      <c r="E215" s="39">
        <f>Tableau1[[#This Row],[Date]]-$A$5</f>
        <v>430.64027777777665</v>
      </c>
      <c r="F215" s="40">
        <f>Tableau1[[#This Row],[Date]]-$A$5</f>
        <v>430.64027777777665</v>
      </c>
      <c r="G215" s="40">
        <f>Tableau1[[#This Row],[Diff jour_x000D_
Cumul]]-F$6</f>
        <v>392.55694444444816</v>
      </c>
      <c r="H215" s="40">
        <f>Tableau1[[#This Row],[Diff jour_x000D_
Cumul]]-F$59</f>
        <v>370.03749999999854</v>
      </c>
      <c r="I215" s="21">
        <v>191298</v>
      </c>
      <c r="J215" s="38">
        <f>IF(ISERROR(Tableau1[[#This Row],[Index HP
kWh]]-I214),"",Tableau1[[#This Row],[Index HP
kWh]]-I214)</f>
        <v>24</v>
      </c>
      <c r="K215" s="40">
        <f>IF(ISERROR(Tableau1[[#This Row],[Différence HP
Instantané]]/(Tableau1[[#This Row],[Diff jour
Instantané]]*24)),"",Tableau1[[#This Row],[Différence HP
Instantané]]/(Tableau1[[#This Row],[Diff jour
Instantané]]*24))</f>
        <v>1.1803278688468275</v>
      </c>
      <c r="L215" s="40">
        <f>Tableau1[[#This Row],[Différence HP
Instantané]]/Tableau1[[#This Row],[Diff jour
Instantané]]</f>
        <v>28.32786885232386</v>
      </c>
      <c r="M215" s="40">
        <f>Tableau1[[#This Row],[Conso HP / jour
Instantané]]*365</f>
        <v>10339.672131098208</v>
      </c>
      <c r="N215" s="38">
        <f>Tableau1[[#This Row],[Index HP
kWh]]-$I$5</f>
        <v>11539</v>
      </c>
      <c r="O215" s="41">
        <f>Tableau1[[#This Row],[Différence HP
Cumul]]/(Tableau1[[#This Row],[Diff jour_x000D_
Cumul]]*24)</f>
        <v>1.1164577292855307</v>
      </c>
      <c r="P215" s="41">
        <f>Tableau1[[#This Row],[Différence HP
Cumul]]/Tableau1[[#This Row],[Diff jour_x000D_
Cumul]]</f>
        <v>26.794985502852736</v>
      </c>
      <c r="Q215" s="41">
        <f>Tableau1[[#This Row],[Conso HP / jour
Cumul]]*365</f>
        <v>9780.1697085412488</v>
      </c>
      <c r="R215" s="21">
        <v>124203</v>
      </c>
      <c r="S215" s="38">
        <f>Tableau1[[#This Row],[Index HC_x000D_
kWh]]-R214</f>
        <v>15</v>
      </c>
      <c r="T215" s="42">
        <f>Tableau1[[#This Row],[Différence_x000D_ HC
Instantané]]/(Tableau1[[#This Row],[Diff jour
Instantané]]*24)</f>
        <v>0.73770491802926719</v>
      </c>
      <c r="U215" s="42">
        <f>Tableau1[[#This Row],[Différence_x000D_ HC
Instantané]]/Tableau1[[#This Row],[Diff jour
Instantané]]</f>
        <v>17.704918032702412</v>
      </c>
      <c r="V215" s="42">
        <f>Tableau1[[#This Row],[Conso HC / jour_x000D_
Instantané]]*365</f>
        <v>6462.2950819363805</v>
      </c>
      <c r="W215" s="38">
        <f>Tableau1[[#This Row],[Index HC_x000D_
kWh]]-$R$5</f>
        <v>4771</v>
      </c>
      <c r="X215" s="43">
        <f>Tableau1[[#This Row],[Différence HC
Cumul]]/(Tableau1[[#This Row],[Diff jour_x000D_
Cumul]]*24)</f>
        <v>0.4616188427438484</v>
      </c>
      <c r="Y215" s="43">
        <f>Tableau1[[#This Row],[Différence HC
Cumul]]/Tableau1[[#This Row],[Diff jour_x000D_
Cumul]]</f>
        <v>11.078852225852362</v>
      </c>
      <c r="Z215" s="43">
        <f>Tableau1[[#This Row],[Conso HC / jour_x000D_
Cumul]]*365</f>
        <v>4043.7810624361123</v>
      </c>
      <c r="AA215" s="38">
        <f>Tableau1[[#This Row],[Différence HP
Instantané]]+Tableau1[[#This Row],[Différence_x000D_ HC
Instantané]]</f>
        <v>39</v>
      </c>
      <c r="AB215" s="41">
        <f>Tableau1[[#This Row],[Conso HP + HC
Instantané]]/(Tableau1[[#This Row],[Diff jour
Instantané]]*24)</f>
        <v>1.9180327868760947</v>
      </c>
      <c r="AC215" s="41">
        <f>IF(ISERROR(Tableau1[[#This Row],[Date]]-A214),"",Tableau1[[#This Row],[Conso HP + HC
Instantané]]/Tableau1[[#This Row],[Diff jour
Instantané]])</f>
        <v>46.032786885026276</v>
      </c>
      <c r="AD215" s="41">
        <f>Tableau1[[#This Row],[Conso HP + HC / jour_x000D_
Instantané]]*365</f>
        <v>16801.96721303459</v>
      </c>
      <c r="AE215" s="38">
        <f>Tableau1[[#This Row],[Différence HP
Cumul]]+Tableau1[[#This Row],[Différence HC
Cumul]]</f>
        <v>16310</v>
      </c>
      <c r="AF215" s="40">
        <f>(Tableau1[[#This Row],[Conso HP + HC
Cumul]]-AE$6)/Tableau1[[#This Row],[Diff jour_x000D_
Cumul
depuis le 24/01]]</f>
        <v>34.998743989725149</v>
      </c>
      <c r="AG215" s="40">
        <f>(Tableau1[[#This Row],[Conso HP + HC
Cumul]]-AE$59)/Tableau1[[#This Row],[Diff jour_x000D_
Cumul
depuis
précédente facture
16/02/2021]]</f>
        <v>32.788568726142749</v>
      </c>
      <c r="AH215" s="41">
        <f>Tableau1[[#This Row],[Conso HP + HC
Cumul]]/(Tableau1[[#This Row],[Diff jour_x000D_
Cumul]]*24)</f>
        <v>1.578076572029379</v>
      </c>
      <c r="AI215" s="41">
        <f>Tableau1[[#This Row],[Conso HP + HC
Cumul]]/Tableau1[[#This Row],[Diff jour_x000D_
Cumul]]</f>
        <v>37.873837728705098</v>
      </c>
      <c r="AJ215" s="41">
        <f>Tableau1[[#This Row],[Conso HP + HC / jour_x000D_
Cumul]]*365</f>
        <v>13823.950770977361</v>
      </c>
      <c r="AK215" s="44">
        <f>(Tableau1[[#This Row],[Différence HP
Cumul]]*0.1799)+(Tableau1[[#This Row],[Différence HC
Cumul]]*0.1346)</f>
        <v>2718.0427</v>
      </c>
      <c r="AL215" s="44">
        <f>Tableau1[[#This Row],[Montant
Tarif HP/HC]]/Tableau1[[#This Row],[Diff jour_x000D_
Cumul]]</f>
        <v>6.3116314015629351</v>
      </c>
      <c r="AM215" s="44">
        <f>(Tableau1[[#This Row],[Montant
Tarif HP/HC]]-AK$6)/Tableau1[[#This Row],[Diff jour_x000D_
Cumul
depuis le 24/01]]</f>
        <v>5.8427627697325732</v>
      </c>
      <c r="AN215" s="44">
        <f>(Tableau1[[#This Row],[Montant
Tarif HP/HC]]-AK$59)/Tableau1[[#This Row],[Diff jour_x000D_
Cumul
depuis
précédente facture
16/02/2021]]</f>
        <v>5.4753350673918399</v>
      </c>
      <c r="AO215" s="44">
        <f>Tableau1[[#This Row],[Conso HP + HC
Cumul]]*0.1599</f>
        <v>2607.9689999999996</v>
      </c>
      <c r="AP215" s="44">
        <f>Tableau1[[#This Row],[Montant
Tarif normal]]/Tableau1[[#This Row],[Diff jour_x000D_
Cumul]]</f>
        <v>6.056026652819944</v>
      </c>
      <c r="AQ215" s="44">
        <f>(Tableau1[[#This Row],[Conso HP / an
Cumul]]*0.1799)+(Tableau1[[#This Row],[Conso HC / an_x000D_
Cumul]]*0.1346)</f>
        <v>2303.7454615704714</v>
      </c>
      <c r="AR215" s="44">
        <f>Tableau1[[#This Row],[Conso HP + HC / an_x000D_
Cumul]]*0.1599</f>
        <v>2210.44972827928</v>
      </c>
      <c r="AS215" s="38">
        <f>MONTH(Tableau1[[#This Row],[Date]])</f>
        <v>2</v>
      </c>
      <c r="AT215" s="38">
        <f>YEAR(Tableau1[[#This Row],[Date]])</f>
        <v>2022</v>
      </c>
    </row>
    <row r="216" spans="1:46" x14ac:dyDescent="0.2">
      <c r="A216" s="19">
        <v>44614.397916666669</v>
      </c>
      <c r="B216" s="20">
        <v>8.3000000000000007</v>
      </c>
      <c r="C216" s="39">
        <f>IF(ISERROR(Tableau1[[#This Row],[Date]]-A215),"",Tableau1[[#This Row],[Date]]-A215)</f>
        <v>1.0493055555562023</v>
      </c>
      <c r="D216" s="40">
        <f>IF(ISERROR(Tableau1[[#This Row],[Date]]-A215),"",Tableau1[[#This Row],[Date]]-A215)</f>
        <v>1.0493055555562023</v>
      </c>
      <c r="E216" s="39">
        <f>Tableau1[[#This Row],[Date]]-$A$5</f>
        <v>431.68958333333285</v>
      </c>
      <c r="F216" s="40">
        <f>Tableau1[[#This Row],[Date]]-$A$5</f>
        <v>431.68958333333285</v>
      </c>
      <c r="G216" s="40">
        <f>Tableau1[[#This Row],[Diff jour_x000D_
Cumul]]-F$6</f>
        <v>393.60625000000437</v>
      </c>
      <c r="H216" s="40">
        <f>Tableau1[[#This Row],[Diff jour_x000D_
Cumul]]-F$59</f>
        <v>371.08680555555475</v>
      </c>
      <c r="I216" s="21">
        <v>191335</v>
      </c>
      <c r="J216" s="38">
        <f>IF(ISERROR(Tableau1[[#This Row],[Index HP
kWh]]-I215),"",Tableau1[[#This Row],[Index HP
kWh]]-I215)</f>
        <v>37</v>
      </c>
      <c r="K216" s="40">
        <f>IF(ISERROR(Tableau1[[#This Row],[Différence HP
Instantané]]/(Tableau1[[#This Row],[Diff jour
Instantané]]*24)),"",Tableau1[[#This Row],[Différence HP
Instantané]]/(Tableau1[[#This Row],[Diff jour
Instantané]]*24))</f>
        <v>1.4692256783577973</v>
      </c>
      <c r="L216" s="40">
        <f>Tableau1[[#This Row],[Différence HP
Instantané]]/Tableau1[[#This Row],[Diff jour
Instantané]]</f>
        <v>35.261416280587135</v>
      </c>
      <c r="M216" s="40">
        <f>Tableau1[[#This Row],[Conso HP / jour
Instantané]]*365</f>
        <v>12870.416942414304</v>
      </c>
      <c r="N216" s="38">
        <f>Tableau1[[#This Row],[Index HP
kWh]]-$I$5</f>
        <v>11576</v>
      </c>
      <c r="O216" s="41">
        <f>Tableau1[[#This Row],[Différence HP
Cumul]]/(Tableau1[[#This Row],[Diff jour_x000D_
Cumul]]*24)</f>
        <v>1.1173152004478539</v>
      </c>
      <c r="P216" s="41">
        <f>Tableau1[[#This Row],[Différence HP
Cumul]]/Tableau1[[#This Row],[Diff jour_x000D_
Cumul]]</f>
        <v>26.815564810748494</v>
      </c>
      <c r="Q216" s="41">
        <f>Tableau1[[#This Row],[Conso HP / jour
Cumul]]*365</f>
        <v>9787.681155923201</v>
      </c>
      <c r="R216" s="21">
        <v>124222</v>
      </c>
      <c r="S216" s="38">
        <f>Tableau1[[#This Row],[Index HC_x000D_
kWh]]-R215</f>
        <v>19</v>
      </c>
      <c r="T216" s="42">
        <f>Tableau1[[#This Row],[Différence_x000D_ HC
Instantané]]/(Tableau1[[#This Row],[Diff jour
Instantané]]*24)</f>
        <v>0.75446724023778777</v>
      </c>
      <c r="U216" s="42">
        <f>Tableau1[[#This Row],[Différence_x000D_ HC
Instantané]]/Tableau1[[#This Row],[Diff jour
Instantané]]</f>
        <v>18.107213765706906</v>
      </c>
      <c r="V216" s="42">
        <f>Tableau1[[#This Row],[Conso HC / jour_x000D_
Instantané]]*365</f>
        <v>6609.1330244830206</v>
      </c>
      <c r="W216" s="38">
        <f>Tableau1[[#This Row],[Index HC_x000D_
kWh]]-$R$5</f>
        <v>4790</v>
      </c>
      <c r="X216" s="43">
        <f>Tableau1[[#This Row],[Différence HC
Cumul]]/(Tableau1[[#This Row],[Diff jour_x000D_
Cumul]]*24)</f>
        <v>0.46233066777342952</v>
      </c>
      <c r="Y216" s="43">
        <f>Tableau1[[#This Row],[Différence HC
Cumul]]/Tableau1[[#This Row],[Diff jour_x000D_
Cumul]]</f>
        <v>11.09593602656231</v>
      </c>
      <c r="Z216" s="43">
        <f>Tableau1[[#This Row],[Conso HC / jour_x000D_
Cumul]]*365</f>
        <v>4050.0166496952429</v>
      </c>
      <c r="AA216" s="38">
        <f>Tableau1[[#This Row],[Différence HP
Instantané]]+Tableau1[[#This Row],[Différence_x000D_ HC
Instantané]]</f>
        <v>56</v>
      </c>
      <c r="AB216" s="41">
        <f>Tableau1[[#This Row],[Conso HP + HC
Instantané]]/(Tableau1[[#This Row],[Diff jour
Instantané]]*24)</f>
        <v>2.2236929185955852</v>
      </c>
      <c r="AC216" s="41">
        <f>IF(ISERROR(Tableau1[[#This Row],[Date]]-A215),"",Tableau1[[#This Row],[Conso HP + HC
Instantané]]/Tableau1[[#This Row],[Diff jour
Instantané]])</f>
        <v>53.368630046294044</v>
      </c>
      <c r="AD216" s="41">
        <f>Tableau1[[#This Row],[Conso HP + HC / jour_x000D_
Instantané]]*365</f>
        <v>19479.549966897324</v>
      </c>
      <c r="AE216" s="38">
        <f>Tableau1[[#This Row],[Différence HP
Cumul]]+Tableau1[[#This Row],[Différence HC
Cumul]]</f>
        <v>16366</v>
      </c>
      <c r="AF216" s="40">
        <f>(Tableau1[[#This Row],[Conso HP + HC
Cumul]]-AE$6)/Tableau1[[#This Row],[Diff jour_x000D_
Cumul
depuis le 24/01]]</f>
        <v>35.047715832763956</v>
      </c>
      <c r="AG216" s="40">
        <f>(Tableau1[[#This Row],[Conso HP + HC
Cumul]]-AE$59)/Tableau1[[#This Row],[Diff jour_x000D_
Cumul
depuis
précédente facture
16/02/2021]]</f>
        <v>32.846762044669916</v>
      </c>
      <c r="AH216" s="41">
        <f>Tableau1[[#This Row],[Conso HP + HC
Cumul]]/(Tableau1[[#This Row],[Diff jour_x000D_
Cumul]]*24)</f>
        <v>1.5796458682212835</v>
      </c>
      <c r="AI216" s="41">
        <f>Tableau1[[#This Row],[Conso HP + HC
Cumul]]/Tableau1[[#This Row],[Diff jour_x000D_
Cumul]]</f>
        <v>37.911500837310804</v>
      </c>
      <c r="AJ216" s="41">
        <f>Tableau1[[#This Row],[Conso HP + HC / jour_x000D_
Cumul]]*365</f>
        <v>13837.697805618443</v>
      </c>
      <c r="AK216" s="44">
        <f>(Tableau1[[#This Row],[Différence HP
Cumul]]*0.1799)+(Tableau1[[#This Row],[Différence HC
Cumul]]*0.1346)</f>
        <v>2727.2563999999998</v>
      </c>
      <c r="AL216" s="44">
        <f>Tableau1[[#This Row],[Montant
Tarif HP/HC]]/Tableau1[[#This Row],[Diff jour_x000D_
Cumul]]</f>
        <v>6.3176330986289404</v>
      </c>
      <c r="AM216" s="44">
        <f>(Tableau1[[#This Row],[Montant
Tarif HP/HC]]-AK$6)/Tableau1[[#This Row],[Diff jour_x000D_
Cumul
depuis le 24/01]]</f>
        <v>5.8505951061497985</v>
      </c>
      <c r="AN216" s="44">
        <f>(Tableau1[[#This Row],[Montant
Tarif HP/HC]]-AK$59)/Tableau1[[#This Row],[Diff jour_x000D_
Cumul
depuis
précédente facture
16/02/2021]]</f>
        <v>5.484681668896739</v>
      </c>
      <c r="AO216" s="44">
        <f>Tableau1[[#This Row],[Conso HP + HC
Cumul]]*0.1599</f>
        <v>2616.9233999999997</v>
      </c>
      <c r="AP216" s="44">
        <f>Tableau1[[#This Row],[Montant
Tarif normal]]/Tableau1[[#This Row],[Diff jour_x000D_
Cumul]]</f>
        <v>6.0620489838859966</v>
      </c>
      <c r="AQ216" s="44">
        <f>(Tableau1[[#This Row],[Conso HP / an
Cumul]]*0.1799)+(Tableau1[[#This Row],[Conso HC / an_x000D_
Cumul]]*0.1346)</f>
        <v>2305.9360809995637</v>
      </c>
      <c r="AR216" s="44">
        <f>Tableau1[[#This Row],[Conso HP + HC / an_x000D_
Cumul]]*0.1599</f>
        <v>2212.647879118389</v>
      </c>
      <c r="AS216" s="38">
        <f>MONTH(Tableau1[[#This Row],[Date]])</f>
        <v>2</v>
      </c>
      <c r="AT216" s="38">
        <f>YEAR(Tableau1[[#This Row],[Date]])</f>
        <v>2022</v>
      </c>
    </row>
    <row r="217" spans="1:46" x14ac:dyDescent="0.2">
      <c r="A217" s="74">
        <v>44616.357638888891</v>
      </c>
      <c r="B217" s="75">
        <v>4.2</v>
      </c>
      <c r="C217" s="76">
        <f>IF(ISERROR(Tableau1[[#This Row],[Date]]-A216),"",Tableau1[[#This Row],[Date]]-A216)</f>
        <v>1.9597222222218988</v>
      </c>
      <c r="D217" s="77">
        <f>IF(ISERROR(Tableau1[[#This Row],[Date]]-A216),"",Tableau1[[#This Row],[Date]]-A216)</f>
        <v>1.9597222222218988</v>
      </c>
      <c r="E217" s="76">
        <f>Tableau1[[#This Row],[Date]]-$A$5</f>
        <v>433.64930555555475</v>
      </c>
      <c r="F217" s="77">
        <f>Tableau1[[#This Row],[Date]]-$A$5</f>
        <v>433.64930555555475</v>
      </c>
      <c r="G217" s="77">
        <f>Tableau1[[#This Row],[Diff jour_x000D_
Cumul]]-F$6</f>
        <v>395.56597222222626</v>
      </c>
      <c r="H217" s="77">
        <f>Tableau1[[#This Row],[Diff jour_x000D_
Cumul]]-F$59</f>
        <v>373.04652777777665</v>
      </c>
      <c r="I217" s="78">
        <v>191391</v>
      </c>
      <c r="J217" s="79">
        <f>IF(ISERROR(Tableau1[[#This Row],[Index HP
kWh]]-I216),"",Tableau1[[#This Row],[Index HP
kWh]]-I216)</f>
        <v>56</v>
      </c>
      <c r="K217" s="77">
        <f>IF(ISERROR(Tableau1[[#This Row],[Différence HP
Instantané]]/(Tableau1[[#This Row],[Diff jour
Instantané]]*24)),"",Tableau1[[#This Row],[Différence HP
Instantané]]/(Tableau1[[#This Row],[Diff jour
Instantané]]*24))</f>
        <v>1.1906449326720603</v>
      </c>
      <c r="L217" s="77">
        <f>Tableau1[[#This Row],[Différence HP
Instantané]]/Tableau1[[#This Row],[Diff jour
Instantané]]</f>
        <v>28.57547838412945</v>
      </c>
      <c r="M217" s="77">
        <f>Tableau1[[#This Row],[Conso HP / jour
Instantané]]*365</f>
        <v>10430.04961020725</v>
      </c>
      <c r="N217" s="79">
        <f>Tableau1[[#This Row],[Index HP
kWh]]-$I$5</f>
        <v>11632</v>
      </c>
      <c r="O217" s="80">
        <f>Tableau1[[#This Row],[Différence HP
Cumul]]/(Tableau1[[#This Row],[Diff jour_x000D_
Cumul]]*24)</f>
        <v>1.1176465878245851</v>
      </c>
      <c r="P217" s="80">
        <f>Tableau1[[#This Row],[Différence HP
Cumul]]/Tableau1[[#This Row],[Diff jour_x000D_
Cumul]]</f>
        <v>26.823518107790044</v>
      </c>
      <c r="Q217" s="80">
        <f>Tableau1[[#This Row],[Conso HP / jour
Cumul]]*365</f>
        <v>9790.5841093433664</v>
      </c>
      <c r="R217" s="78">
        <v>124252</v>
      </c>
      <c r="S217" s="79">
        <f>Tableau1[[#This Row],[Index HC_x000D_
kWh]]-R216</f>
        <v>30</v>
      </c>
      <c r="T217" s="81">
        <f>Tableau1[[#This Row],[Différence_x000D_ HC
Instantané]]/(Tableau1[[#This Row],[Diff jour
Instantané]]*24)</f>
        <v>0.63784549964574666</v>
      </c>
      <c r="U217" s="81">
        <f>Tableau1[[#This Row],[Différence_x000D_ HC
Instantané]]/Tableau1[[#This Row],[Diff jour
Instantané]]</f>
        <v>15.308291991497919</v>
      </c>
      <c r="V217" s="81">
        <f>Tableau1[[#This Row],[Conso HC / jour_x000D_
Instantané]]*365</f>
        <v>5587.5265768967402</v>
      </c>
      <c r="W217" s="79">
        <f>Tableau1[[#This Row],[Index HC_x000D_
kWh]]-$R$5</f>
        <v>4820</v>
      </c>
      <c r="X217" s="82">
        <f>Tableau1[[#This Row],[Différence HC
Cumul]]/(Tableau1[[#This Row],[Diff jour_x000D_
Cumul]]*24)</f>
        <v>0.46312384399196188</v>
      </c>
      <c r="Y217" s="82">
        <f>Tableau1[[#This Row],[Différence HC
Cumul]]/Tableau1[[#This Row],[Diff jour_x000D_
Cumul]]</f>
        <v>11.114972255807084</v>
      </c>
      <c r="Z217" s="82">
        <f>Tableau1[[#This Row],[Conso HC / jour_x000D_
Cumul]]*365</f>
        <v>4056.9648733695858</v>
      </c>
      <c r="AA217" s="79">
        <f>Tableau1[[#This Row],[Différence HP
Instantané]]+Tableau1[[#This Row],[Différence_x000D_ HC
Instantané]]</f>
        <v>86</v>
      </c>
      <c r="AB217" s="80">
        <f>Tableau1[[#This Row],[Conso HP + HC
Instantané]]/(Tableau1[[#This Row],[Diff jour
Instantané]]*24)</f>
        <v>1.8284904323178071</v>
      </c>
      <c r="AC217" s="80">
        <f>IF(ISERROR(Tableau1[[#This Row],[Date]]-A216),"",Tableau1[[#This Row],[Conso HP + HC
Instantané]]/Tableau1[[#This Row],[Diff jour
Instantané]])</f>
        <v>43.883770375627371</v>
      </c>
      <c r="AD217" s="80">
        <f>Tableau1[[#This Row],[Conso HP + HC / jour_x000D_
Instantané]]*365</f>
        <v>16017.57618710399</v>
      </c>
      <c r="AE217" s="79">
        <f>Tableau1[[#This Row],[Différence HP
Cumul]]+Tableau1[[#This Row],[Différence HC
Cumul]]</f>
        <v>16452</v>
      </c>
      <c r="AF217" s="77">
        <f>(Tableau1[[#This Row],[Conso HP + HC
Cumul]]-AE$6)/Tableau1[[#This Row],[Diff jour_x000D_
Cumul
depuis le 24/01]]</f>
        <v>35.091491621533486</v>
      </c>
      <c r="AG217" s="77">
        <f>(Tableau1[[#This Row],[Conso HP + HC
Cumul]]-AE$59)/Tableau1[[#This Row],[Diff jour_x000D_
Cumul
depuis
précédente facture
16/02/2021]]</f>
        <v>32.904742668754182</v>
      </c>
      <c r="AH217" s="80">
        <f>Tableau1[[#This Row],[Conso HP + HC
Cumul]]/(Tableau1[[#This Row],[Diff jour_x000D_
Cumul]]*24)</f>
        <v>1.580770431816547</v>
      </c>
      <c r="AI217" s="80">
        <f>Tableau1[[#This Row],[Conso HP + HC
Cumul]]/Tableau1[[#This Row],[Diff jour_x000D_
Cumul]]</f>
        <v>37.938490363597126</v>
      </c>
      <c r="AJ217" s="80">
        <f>Tableau1[[#This Row],[Conso HP + HC / jour_x000D_
Cumul]]*365</f>
        <v>13847.548982712951</v>
      </c>
      <c r="AK217" s="83">
        <f>(Tableau1[[#This Row],[Différence HP
Cumul]]*0.1799)+(Tableau1[[#This Row],[Différence HC
Cumul]]*0.1346)</f>
        <v>2741.3688000000002</v>
      </c>
      <c r="AL217" s="83">
        <f>Tableau1[[#This Row],[Montant
Tarif HP/HC]]/Tableau1[[#This Row],[Diff jour_x000D_
Cumul]]</f>
        <v>6.3216261732230628</v>
      </c>
      <c r="AM217" s="83">
        <f>(Tableau1[[#This Row],[Montant
Tarif HP/HC]]-AK$6)/Tableau1[[#This Row],[Diff jour_x000D_
Cumul
depuis le 24/01]]</f>
        <v>5.8572864267969873</v>
      </c>
      <c r="AN217" s="83">
        <f>(Tableau1[[#This Row],[Montant
Tarif HP/HC]]-AK$59)/Tableau1[[#This Row],[Diff jour_x000D_
Cumul
depuis
précédente facture
16/02/2021]]</f>
        <v>5.4936991699352538</v>
      </c>
      <c r="AO217" s="83">
        <f>Tableau1[[#This Row],[Conso HP + HC
Cumul]]*0.1599</f>
        <v>2630.6747999999998</v>
      </c>
      <c r="AP217" s="83">
        <f>Tableau1[[#This Row],[Montant
Tarif normal]]/Tableau1[[#This Row],[Diff jour_x000D_
Cumul]]</f>
        <v>6.0663646091391801</v>
      </c>
      <c r="AQ217" s="83">
        <f>(Tableau1[[#This Row],[Conso HP / an
Cumul]]*0.1799)+(Tableau1[[#This Row],[Conso HC / an_x000D_
Cumul]]*0.1346)</f>
        <v>2307.3935532264177</v>
      </c>
      <c r="AR217" s="83">
        <f>Tableau1[[#This Row],[Conso HP + HC / an_x000D_
Cumul]]*0.1599</f>
        <v>2214.2230823358009</v>
      </c>
      <c r="AS217" s="79">
        <f>MONTH(Tableau1[[#This Row],[Date]])</f>
        <v>2</v>
      </c>
      <c r="AT217" s="79">
        <f>YEAR(Tableau1[[#This Row],[Date]])</f>
        <v>2022</v>
      </c>
    </row>
    <row r="218" spans="1:46" x14ac:dyDescent="0.2">
      <c r="A218" s="74">
        <v>44617.413194444445</v>
      </c>
      <c r="B218" s="75">
        <v>6.3</v>
      </c>
      <c r="C218" s="76">
        <f>IF(ISERROR(Tableau1[[#This Row],[Date]]-A217),"",Tableau1[[#This Row],[Date]]-A217)</f>
        <v>1.0555555555547471</v>
      </c>
      <c r="D218" s="77">
        <f>IF(ISERROR(Tableau1[[#This Row],[Date]]-A217),"",Tableau1[[#This Row],[Date]]-A217)</f>
        <v>1.0555555555547471</v>
      </c>
      <c r="E218" s="76">
        <f>Tableau1[[#This Row],[Date]]-$A$5</f>
        <v>434.70486111110949</v>
      </c>
      <c r="F218" s="77">
        <f>Tableau1[[#This Row],[Date]]-$A$5</f>
        <v>434.70486111110949</v>
      </c>
      <c r="G218" s="77">
        <f>Tableau1[[#This Row],[Diff jour_x000D_
Cumul]]-F$6</f>
        <v>396.62152777778101</v>
      </c>
      <c r="H218" s="77">
        <f>Tableau1[[#This Row],[Diff jour_x000D_
Cumul]]-F$59</f>
        <v>374.10208333333139</v>
      </c>
      <c r="I218" s="78">
        <v>191430</v>
      </c>
      <c r="J218" s="79">
        <f>IF(ISERROR(Tableau1[[#This Row],[Index HP
kWh]]-I217),"",Tableau1[[#This Row],[Index HP
kWh]]-I217)</f>
        <v>39</v>
      </c>
      <c r="K218" s="77">
        <f>IF(ISERROR(Tableau1[[#This Row],[Différence HP
Instantané]]/(Tableau1[[#This Row],[Diff jour
Instantané]]*24)),"",Tableau1[[#This Row],[Différence HP
Instantané]]/(Tableau1[[#This Row],[Diff jour
Instantané]]*24))</f>
        <v>1.5394736842117054</v>
      </c>
      <c r="L218" s="77">
        <f>Tableau1[[#This Row],[Différence HP
Instantané]]/Tableau1[[#This Row],[Diff jour
Instantané]]</f>
        <v>36.947368421080931</v>
      </c>
      <c r="M218" s="77">
        <f>Tableau1[[#This Row],[Conso HP / jour
Instantané]]*365</f>
        <v>13485.78947369454</v>
      </c>
      <c r="N218" s="79">
        <f>Tableau1[[#This Row],[Index HP
kWh]]-$I$5</f>
        <v>11671</v>
      </c>
      <c r="O218" s="80">
        <f>Tableau1[[#This Row],[Différence HP
Cumul]]/(Tableau1[[#This Row],[Diff jour_x000D_
Cumul]]*24)</f>
        <v>1.1186708734374418</v>
      </c>
      <c r="P218" s="80">
        <f>Tableau1[[#This Row],[Différence HP
Cumul]]/Tableau1[[#This Row],[Diff jour_x000D_
Cumul]]</f>
        <v>26.848100962498602</v>
      </c>
      <c r="Q218" s="80">
        <f>Tableau1[[#This Row],[Conso HP / jour
Cumul]]*365</f>
        <v>9799.5568513119906</v>
      </c>
      <c r="R218" s="78">
        <v>124275</v>
      </c>
      <c r="S218" s="79">
        <f>Tableau1[[#This Row],[Index HC_x000D_
kWh]]-R217</f>
        <v>23</v>
      </c>
      <c r="T218" s="81">
        <f>Tableau1[[#This Row],[Différence_x000D_ HC
Instantané]]/(Tableau1[[#This Row],[Diff jour
Instantané]]*24)</f>
        <v>0.90789473684280064</v>
      </c>
      <c r="U218" s="81">
        <f>Tableau1[[#This Row],[Différence_x000D_ HC
Instantané]]/Tableau1[[#This Row],[Diff jour
Instantané]]</f>
        <v>21.789473684227215</v>
      </c>
      <c r="V218" s="81">
        <f>Tableau1[[#This Row],[Conso HC / jour_x000D_
Instantané]]*365</f>
        <v>7953.1578947429334</v>
      </c>
      <c r="W218" s="79">
        <f>Tableau1[[#This Row],[Index HC_x000D_
kWh]]-$R$5</f>
        <v>4843</v>
      </c>
      <c r="X218" s="82">
        <f>Tableau1[[#This Row],[Différence HC
Cumul]]/(Tableau1[[#This Row],[Diff jour_x000D_
Cumul]]*24)</f>
        <v>0.46420384200647163</v>
      </c>
      <c r="Y218" s="82">
        <f>Tableau1[[#This Row],[Différence HC
Cumul]]/Tableau1[[#This Row],[Diff jour_x000D_
Cumul]]</f>
        <v>11.14089220815532</v>
      </c>
      <c r="Z218" s="82">
        <f>Tableau1[[#This Row],[Conso HC / jour_x000D_
Cumul]]*365</f>
        <v>4066.4256559766918</v>
      </c>
      <c r="AA218" s="79">
        <f>Tableau1[[#This Row],[Différence HP
Instantané]]+Tableau1[[#This Row],[Différence_x000D_ HC
Instantané]]</f>
        <v>62</v>
      </c>
      <c r="AB218" s="80">
        <f>Tableau1[[#This Row],[Conso HP + HC
Instantané]]/(Tableau1[[#This Row],[Diff jour
Instantané]]*24)</f>
        <v>2.4473684210545059</v>
      </c>
      <c r="AC218" s="80">
        <f>IF(ISERROR(Tableau1[[#This Row],[Date]]-A217),"",Tableau1[[#This Row],[Conso HP + HC
Instantané]]/Tableau1[[#This Row],[Diff jour
Instantané]])</f>
        <v>58.736842105308142</v>
      </c>
      <c r="AD218" s="80">
        <f>Tableau1[[#This Row],[Conso HP + HC / jour_x000D_
Instantané]]*365</f>
        <v>21438.947368437472</v>
      </c>
      <c r="AE218" s="79">
        <f>Tableau1[[#This Row],[Différence HP
Cumul]]+Tableau1[[#This Row],[Différence HC
Cumul]]</f>
        <v>16514</v>
      </c>
      <c r="AF218" s="77">
        <f>(Tableau1[[#This Row],[Conso HP + HC
Cumul]]-AE$6)/Tableau1[[#This Row],[Diff jour_x000D_
Cumul
depuis le 24/01]]</f>
        <v>35.154420583574527</v>
      </c>
      <c r="AG218" s="77">
        <f>(Tableau1[[#This Row],[Conso HP + HC
Cumul]]-AE$59)/Tableau1[[#This Row],[Diff jour_x000D_
Cumul
depuis
précédente facture
16/02/2021]]</f>
        <v>32.977629769058304</v>
      </c>
      <c r="AH218" s="80">
        <f>Tableau1[[#This Row],[Conso HP + HC
Cumul]]/(Tableau1[[#This Row],[Diff jour_x000D_
Cumul]]*24)</f>
        <v>1.5828747154439133</v>
      </c>
      <c r="AI218" s="80">
        <f>Tableau1[[#This Row],[Conso HP + HC
Cumul]]/Tableau1[[#This Row],[Diff jour_x000D_
Cumul]]</f>
        <v>37.98899317065392</v>
      </c>
      <c r="AJ218" s="80">
        <f>Tableau1[[#This Row],[Conso HP + HC / jour_x000D_
Cumul]]*365</f>
        <v>13865.982507288682</v>
      </c>
      <c r="AK218" s="83">
        <f>(Tableau1[[#This Row],[Différence HP
Cumul]]*0.1799)+(Tableau1[[#This Row],[Différence HC
Cumul]]*0.1346)</f>
        <v>2751.4807000000001</v>
      </c>
      <c r="AL218" s="83">
        <f>Tableau1[[#This Row],[Montant
Tarif HP/HC]]/Tableau1[[#This Row],[Diff jour_x000D_
Cumul]]</f>
        <v>6.3295374543712049</v>
      </c>
      <c r="AM218" s="83">
        <f>(Tableau1[[#This Row],[Montant
Tarif HP/HC]]-AK$6)/Tableau1[[#This Row],[Diff jour_x000D_
Cumul
depuis le 24/01]]</f>
        <v>5.8671931224666194</v>
      </c>
      <c r="AN218" s="83">
        <f>(Tableau1[[#This Row],[Montant
Tarif HP/HC]]-AK$59)/Tableau1[[#This Row],[Diff jour_x000D_
Cumul
depuis
précédente facture
16/02/2021]]</f>
        <v>5.50522809616362</v>
      </c>
      <c r="AO218" s="83">
        <f>Tableau1[[#This Row],[Conso HP + HC
Cumul]]*0.1599</f>
        <v>2640.5885999999996</v>
      </c>
      <c r="AP218" s="83">
        <f>Tableau1[[#This Row],[Montant
Tarif normal]]/Tableau1[[#This Row],[Diff jour_x000D_
Cumul]]</f>
        <v>6.0744400079875609</v>
      </c>
      <c r="AQ218" s="83">
        <f>(Tableau1[[#This Row],[Conso HP / an
Cumul]]*0.1799)+(Tableau1[[#This Row],[Conso HC / an_x000D_
Cumul]]*0.1346)</f>
        <v>2310.2811708454897</v>
      </c>
      <c r="AR218" s="83">
        <f>Tableau1[[#This Row],[Conso HP + HC / an_x000D_
Cumul]]*0.1599</f>
        <v>2217.1706029154598</v>
      </c>
      <c r="AS218" s="79">
        <f>MONTH(Tableau1[[#This Row],[Date]])</f>
        <v>2</v>
      </c>
      <c r="AT218" s="79">
        <f>YEAR(Tableau1[[#This Row],[Date]])</f>
        <v>2022</v>
      </c>
    </row>
    <row r="219" spans="1:46" x14ac:dyDescent="0.2">
      <c r="A219" s="74">
        <v>44620.315972222219</v>
      </c>
      <c r="B219" s="75">
        <v>0.2</v>
      </c>
      <c r="C219" s="76">
        <f>IF(ISERROR(Tableau1[[#This Row],[Date]]-A218),"",Tableau1[[#This Row],[Date]]-A218)</f>
        <v>2.9027777777737356</v>
      </c>
      <c r="D219" s="77">
        <f>IF(ISERROR(Tableau1[[#This Row],[Date]]-A218),"",Tableau1[[#This Row],[Date]]-A218)</f>
        <v>2.9027777777737356</v>
      </c>
      <c r="E219" s="76">
        <f>Tableau1[[#This Row],[Date]]-$A$5</f>
        <v>437.60763888888323</v>
      </c>
      <c r="F219" s="77">
        <f>Tableau1[[#This Row],[Date]]-$A$5</f>
        <v>437.60763888888323</v>
      </c>
      <c r="G219" s="77">
        <f>Tableau1[[#This Row],[Diff jour_x000D_
Cumul]]-F$6</f>
        <v>399.52430555555475</v>
      </c>
      <c r="H219" s="77">
        <f>Tableau1[[#This Row],[Diff jour_x000D_
Cumul]]-F$59</f>
        <v>377.00486111110513</v>
      </c>
      <c r="I219" s="78">
        <v>191530</v>
      </c>
      <c r="J219" s="79">
        <f>IF(ISERROR(Tableau1[[#This Row],[Index HP
kWh]]-I218),"",Tableau1[[#This Row],[Index HP
kWh]]-I218)</f>
        <v>100</v>
      </c>
      <c r="K219" s="77">
        <f>IF(ISERROR(Tableau1[[#This Row],[Différence HP
Instantané]]/(Tableau1[[#This Row],[Diff jour
Instantané]]*24)),"",Tableau1[[#This Row],[Différence HP
Instantané]]/(Tableau1[[#This Row],[Diff jour
Instantané]]*24))</f>
        <v>1.4354066985665921</v>
      </c>
      <c r="L219" s="77">
        <f>Tableau1[[#This Row],[Différence HP
Instantané]]/Tableau1[[#This Row],[Diff jour
Instantané]]</f>
        <v>34.449760765598214</v>
      </c>
      <c r="M219" s="77">
        <f>Tableau1[[#This Row],[Conso HP / jour
Instantané]]*365</f>
        <v>12574.162679443349</v>
      </c>
      <c r="N219" s="79">
        <f>Tableau1[[#This Row],[Index HP
kWh]]-$I$5</f>
        <v>11771</v>
      </c>
      <c r="O219" s="80">
        <f>Tableau1[[#This Row],[Différence HP
Cumul]]/(Tableau1[[#This Row],[Diff jour_x000D_
Cumul]]*24)</f>
        <v>1.1207718735866719</v>
      </c>
      <c r="P219" s="80">
        <f>Tableau1[[#This Row],[Différence HP
Cumul]]/Tableau1[[#This Row],[Diff jour_x000D_
Cumul]]</f>
        <v>26.898524966080121</v>
      </c>
      <c r="Q219" s="80">
        <f>Tableau1[[#This Row],[Conso HP / jour
Cumul]]*365</f>
        <v>9817.961612619245</v>
      </c>
      <c r="R219" s="78">
        <v>124345</v>
      </c>
      <c r="S219" s="79">
        <f>Tableau1[[#This Row],[Index HC_x000D_
kWh]]-R218</f>
        <v>70</v>
      </c>
      <c r="T219" s="81">
        <f>Tableau1[[#This Row],[Différence_x000D_ HC
Instantané]]/(Tableau1[[#This Row],[Diff jour
Instantané]]*24)</f>
        <v>1.0047846889966146</v>
      </c>
      <c r="U219" s="81">
        <f>Tableau1[[#This Row],[Différence_x000D_ HC
Instantané]]/Tableau1[[#This Row],[Diff jour
Instantané]]</f>
        <v>24.114832535918747</v>
      </c>
      <c r="V219" s="81">
        <f>Tableau1[[#This Row],[Conso HC / jour_x000D_
Instantané]]*365</f>
        <v>8801.9138756103421</v>
      </c>
      <c r="W219" s="79">
        <f>Tableau1[[#This Row],[Index HC_x000D_
kWh]]-$R$5</f>
        <v>4913</v>
      </c>
      <c r="X219" s="82">
        <f>Tableau1[[#This Row],[Différence HC
Cumul]]/(Tableau1[[#This Row],[Diff jour_x000D_
Cumul]]*24)</f>
        <v>0.46778967079528655</v>
      </c>
      <c r="Y219" s="82">
        <f>Tableau1[[#This Row],[Différence HC
Cumul]]/Tableau1[[#This Row],[Diff jour_x000D_
Cumul]]</f>
        <v>11.226952099086878</v>
      </c>
      <c r="Z219" s="82">
        <f>Tableau1[[#This Row],[Conso HC / jour_x000D_
Cumul]]*365</f>
        <v>4097.8375161667109</v>
      </c>
      <c r="AA219" s="79">
        <f>Tableau1[[#This Row],[Différence HP
Instantané]]+Tableau1[[#This Row],[Différence_x000D_ HC
Instantané]]</f>
        <v>170</v>
      </c>
      <c r="AB219" s="80">
        <f>Tableau1[[#This Row],[Conso HP + HC
Instantané]]/(Tableau1[[#This Row],[Diff jour
Instantané]]*24)</f>
        <v>2.4401913875632069</v>
      </c>
      <c r="AC219" s="80">
        <f>IF(ISERROR(Tableau1[[#This Row],[Date]]-A218),"",Tableau1[[#This Row],[Conso HP + HC
Instantané]]/Tableau1[[#This Row],[Diff jour
Instantané]])</f>
        <v>58.564593301516958</v>
      </c>
      <c r="AD219" s="80">
        <f>Tableau1[[#This Row],[Conso HP + HC / jour_x000D_
Instantané]]*365</f>
        <v>21376.076555053689</v>
      </c>
      <c r="AE219" s="79">
        <f>Tableau1[[#This Row],[Différence HP
Cumul]]+Tableau1[[#This Row],[Différence HC
Cumul]]</f>
        <v>16684</v>
      </c>
      <c r="AF219" s="77">
        <f>(Tableau1[[#This Row],[Conso HP + HC
Cumul]]-AE$6)/Tableau1[[#This Row],[Diff jour_x000D_
Cumul
depuis le 24/01]]</f>
        <v>35.324509181926494</v>
      </c>
      <c r="AG219" s="77">
        <f>(Tableau1[[#This Row],[Conso HP + HC
Cumul]]-AE$59)/Tableau1[[#This Row],[Diff jour_x000D_
Cumul
depuis
précédente facture
16/02/2021]]</f>
        <v>33.174638552774859</v>
      </c>
      <c r="AH219" s="80">
        <f>Tableau1[[#This Row],[Conso HP + HC
Cumul]]/(Tableau1[[#This Row],[Diff jour_x000D_
Cumul]]*24)</f>
        <v>1.5885615443819583</v>
      </c>
      <c r="AI219" s="80">
        <f>Tableau1[[#This Row],[Conso HP + HC
Cumul]]/Tableau1[[#This Row],[Diff jour_x000D_
Cumul]]</f>
        <v>38.125477065166997</v>
      </c>
      <c r="AJ219" s="80">
        <f>Tableau1[[#This Row],[Conso HP + HC / jour_x000D_
Cumul]]*365</f>
        <v>13915.799128785953</v>
      </c>
      <c r="AK219" s="83">
        <f>(Tableau1[[#This Row],[Différence HP
Cumul]]*0.1799)+(Tableau1[[#This Row],[Différence HC
Cumul]]*0.1346)</f>
        <v>2778.8926999999999</v>
      </c>
      <c r="AL219" s="83">
        <f>Tableau1[[#This Row],[Montant
Tarif HP/HC]]/Tableau1[[#This Row],[Diff jour_x000D_
Cumul]]</f>
        <v>6.3501923939349076</v>
      </c>
      <c r="AM219" s="83">
        <f>(Tableau1[[#This Row],[Montant
Tarif HP/HC]]-AK$6)/Tableau1[[#This Row],[Diff jour_x000D_
Cumul
depuis le 24/01]]</f>
        <v>5.8931761278604009</v>
      </c>
      <c r="AN219" s="83">
        <f>(Tableau1[[#This Row],[Montant
Tarif HP/HC]]-AK$59)/Tableau1[[#This Row],[Diff jour_x000D_
Cumul
depuis
précédente facture
16/02/2021]]</f>
        <v>5.5355501089546211</v>
      </c>
      <c r="AO219" s="83">
        <f>Tableau1[[#This Row],[Conso HP + HC
Cumul]]*0.1599</f>
        <v>2667.7715999999996</v>
      </c>
      <c r="AP219" s="83">
        <f>Tableau1[[#This Row],[Montant
Tarif normal]]/Tableau1[[#This Row],[Diff jour_x000D_
Cumul]]</f>
        <v>6.096263782720202</v>
      </c>
      <c r="AQ219" s="83">
        <f>(Tableau1[[#This Row],[Conso HP / an
Cumul]]*0.1799)+(Tableau1[[#This Row],[Conso HC / an_x000D_
Cumul]]*0.1346)</f>
        <v>2317.8202237862415</v>
      </c>
      <c r="AR219" s="83">
        <f>Tableau1[[#This Row],[Conso HP + HC / an_x000D_
Cumul]]*0.1599</f>
        <v>2225.1362806928737</v>
      </c>
      <c r="AS219" s="79">
        <f>MONTH(Tableau1[[#This Row],[Date]])</f>
        <v>2</v>
      </c>
      <c r="AT219" s="79">
        <f>YEAR(Tableau1[[#This Row],[Date]])</f>
        <v>2022</v>
      </c>
    </row>
    <row r="220" spans="1:46" x14ac:dyDescent="0.2">
      <c r="A220" s="74">
        <v>44621.313888888886</v>
      </c>
      <c r="B220" s="75">
        <v>8.1</v>
      </c>
      <c r="C220" s="76">
        <f>IF(ISERROR(Tableau1[[#This Row],[Date]]-A219),"",Tableau1[[#This Row],[Date]]-A219)</f>
        <v>0.99791666666715173</v>
      </c>
      <c r="D220" s="77">
        <f>IF(ISERROR(Tableau1[[#This Row],[Date]]-A219),"",Tableau1[[#This Row],[Date]]-A219)</f>
        <v>0.99791666666715173</v>
      </c>
      <c r="E220" s="76">
        <f>Tableau1[[#This Row],[Date]]-$A$5</f>
        <v>438.60555555555038</v>
      </c>
      <c r="F220" s="77">
        <f>Tableau1[[#This Row],[Date]]-$A$5</f>
        <v>438.60555555555038</v>
      </c>
      <c r="G220" s="77">
        <f>Tableau1[[#This Row],[Diff jour_x000D_
Cumul]]-F$6</f>
        <v>400.5222222222219</v>
      </c>
      <c r="H220" s="77">
        <f>Tableau1[[#This Row],[Diff jour_x000D_
Cumul]]-F$59</f>
        <v>378.00277777777228</v>
      </c>
      <c r="I220" s="78">
        <v>191555</v>
      </c>
      <c r="J220" s="79">
        <f>IF(ISERROR(Tableau1[[#This Row],[Index HP
kWh]]-I219),"",Tableau1[[#This Row],[Index HP
kWh]]-I219)</f>
        <v>25</v>
      </c>
      <c r="K220" s="77">
        <f>IF(ISERROR(Tableau1[[#This Row],[Différence HP
Instantané]]/(Tableau1[[#This Row],[Diff jour
Instantané]]*24)),"",Tableau1[[#This Row],[Différence HP
Instantané]]/(Tableau1[[#This Row],[Diff jour
Instantané]]*24))</f>
        <v>1.043841336116403</v>
      </c>
      <c r="L220" s="77">
        <f>Tableau1[[#This Row],[Différence HP
Instantané]]/Tableau1[[#This Row],[Diff jour
Instantané]]</f>
        <v>25.052192066793669</v>
      </c>
      <c r="M220" s="77">
        <f>Tableau1[[#This Row],[Conso HP / jour
Instantané]]*365</f>
        <v>9144.0501043796885</v>
      </c>
      <c r="N220" s="79">
        <f>Tableau1[[#This Row],[Index HP
kWh]]-$I$5</f>
        <v>11796</v>
      </c>
      <c r="O220" s="80">
        <f>Tableau1[[#This Row],[Différence HP
Cumul]]/(Tableau1[[#This Row],[Diff jour_x000D_
Cumul]]*24)</f>
        <v>1.1205968409986327</v>
      </c>
      <c r="P220" s="80">
        <f>Tableau1[[#This Row],[Différence HP
Cumul]]/Tableau1[[#This Row],[Diff jour_x000D_
Cumul]]</f>
        <v>26.894324183967182</v>
      </c>
      <c r="Q220" s="80">
        <f>Tableau1[[#This Row],[Conso HP / jour
Cumul]]*365</f>
        <v>9816.4283271480217</v>
      </c>
      <c r="R220" s="78">
        <v>124359</v>
      </c>
      <c r="S220" s="79">
        <f>Tableau1[[#This Row],[Index HC_x000D_
kWh]]-R219</f>
        <v>14</v>
      </c>
      <c r="T220" s="81">
        <f>Tableau1[[#This Row],[Différence_x000D_ HC
Instantané]]/(Tableau1[[#This Row],[Diff jour
Instantané]]*24)</f>
        <v>0.58455114822518561</v>
      </c>
      <c r="U220" s="81">
        <f>Tableau1[[#This Row],[Différence_x000D_ HC
Instantané]]/Tableau1[[#This Row],[Diff jour
Instantané]]</f>
        <v>14.029227557404454</v>
      </c>
      <c r="V220" s="81">
        <f>Tableau1[[#This Row],[Conso HC / jour_x000D_
Instantané]]*365</f>
        <v>5120.6680584526257</v>
      </c>
      <c r="W220" s="79">
        <f>Tableau1[[#This Row],[Index HC_x000D_
kWh]]-$R$5</f>
        <v>4927</v>
      </c>
      <c r="X220" s="82">
        <f>Tableau1[[#This Row],[Différence HC
Cumul]]/(Tableau1[[#This Row],[Diff jour_x000D_
Cumul]]*24)</f>
        <v>0.4680553268565838</v>
      </c>
      <c r="Y220" s="82">
        <f>Tableau1[[#This Row],[Différence HC
Cumul]]/Tableau1[[#This Row],[Diff jour_x000D_
Cumul]]</f>
        <v>11.233327844558012</v>
      </c>
      <c r="Z220" s="82">
        <f>Tableau1[[#This Row],[Conso HC / jour_x000D_
Cumul]]*365</f>
        <v>4100.1646632636748</v>
      </c>
      <c r="AA220" s="79">
        <f>Tableau1[[#This Row],[Différence HP
Instantané]]+Tableau1[[#This Row],[Différence_x000D_ HC
Instantané]]</f>
        <v>39</v>
      </c>
      <c r="AB220" s="80">
        <f>Tableau1[[#This Row],[Conso HP + HC
Instantané]]/(Tableau1[[#This Row],[Diff jour
Instantané]]*24)</f>
        <v>1.6283924843415885</v>
      </c>
      <c r="AC220" s="80">
        <f>IF(ISERROR(Tableau1[[#This Row],[Date]]-A219),"",Tableau1[[#This Row],[Conso HP + HC
Instantané]]/Tableau1[[#This Row],[Diff jour
Instantané]])</f>
        <v>39.081419624198119</v>
      </c>
      <c r="AD220" s="80">
        <f>Tableau1[[#This Row],[Conso HP + HC / jour_x000D_
Instantané]]*365</f>
        <v>14264.718162832314</v>
      </c>
      <c r="AE220" s="79">
        <f>Tableau1[[#This Row],[Différence HP
Cumul]]+Tableau1[[#This Row],[Différence HC
Cumul]]</f>
        <v>16723</v>
      </c>
      <c r="AF220" s="77">
        <f>(Tableau1[[#This Row],[Conso HP + HC
Cumul]]-AE$6)/Tableau1[[#This Row],[Diff jour_x000D_
Cumul
depuis le 24/01]]</f>
        <v>35.333869670152886</v>
      </c>
      <c r="AG220" s="77">
        <f>(Tableau1[[#This Row],[Conso HP + HC
Cumul]]-AE$59)/Tableau1[[#This Row],[Diff jour_x000D_
Cumul
depuis
précédente facture
16/02/2021]]</f>
        <v>33.190232288122999</v>
      </c>
      <c r="AH220" s="80">
        <f>Tableau1[[#This Row],[Conso HP + HC
Cumul]]/(Tableau1[[#This Row],[Diff jour_x000D_
Cumul]]*24)</f>
        <v>1.5886521678552163</v>
      </c>
      <c r="AI220" s="80">
        <f>Tableau1[[#This Row],[Conso HP + HC
Cumul]]/Tableau1[[#This Row],[Diff jour_x000D_
Cumul]]</f>
        <v>38.127652028525191</v>
      </c>
      <c r="AJ220" s="80">
        <f>Tableau1[[#This Row],[Conso HP + HC / jour_x000D_
Cumul]]*365</f>
        <v>13916.592990411695</v>
      </c>
      <c r="AK220" s="83">
        <f>(Tableau1[[#This Row],[Différence HP
Cumul]]*0.1799)+(Tableau1[[#This Row],[Différence HC
Cumul]]*0.1346)</f>
        <v>2785.2746000000002</v>
      </c>
      <c r="AL220" s="83">
        <f>Tableau1[[#This Row],[Montant
Tarif HP/HC]]/Tableau1[[#This Row],[Diff jour_x000D_
Cumul]]</f>
        <v>6.3502948485732045</v>
      </c>
      <c r="AM220" s="83">
        <f>(Tableau1[[#This Row],[Montant
Tarif HP/HC]]-AK$6)/Tableau1[[#This Row],[Diff jour_x000D_
Cumul
depuis le 24/01]]</f>
        <v>5.8944269980858373</v>
      </c>
      <c r="AN220" s="83">
        <f>(Tableau1[[#This Row],[Montant
Tarif HP/HC]]-AK$59)/Tableau1[[#This Row],[Diff jour_x000D_
Cumul
depuis
précédente facture
16/02/2021]]</f>
        <v>5.5378196221368965</v>
      </c>
      <c r="AO220" s="83">
        <f>Tableau1[[#This Row],[Conso HP + HC
Cumul]]*0.1599</f>
        <v>2674.0076999999997</v>
      </c>
      <c r="AP220" s="83">
        <f>Tableau1[[#This Row],[Montant
Tarif normal]]/Tableau1[[#This Row],[Diff jour_x000D_
Cumul]]</f>
        <v>6.096611559361178</v>
      </c>
      <c r="AQ220" s="83">
        <f>(Tableau1[[#This Row],[Conso HP / an
Cumul]]*0.1799)+(Tableau1[[#This Row],[Conso HC / an_x000D_
Cumul]]*0.1346)</f>
        <v>2317.8576197292196</v>
      </c>
      <c r="AR220" s="83">
        <f>Tableau1[[#This Row],[Conso HP + HC / an_x000D_
Cumul]]*0.1599</f>
        <v>2225.2632191668299</v>
      </c>
      <c r="AS220" s="79">
        <f>MONTH(Tableau1[[#This Row],[Date]])</f>
        <v>3</v>
      </c>
      <c r="AT220" s="79">
        <f>YEAR(Tableau1[[#This Row],[Date]])</f>
        <v>2022</v>
      </c>
    </row>
    <row r="221" spans="1:46" x14ac:dyDescent="0.2">
      <c r="A221" s="74">
        <v>44622.354166666664</v>
      </c>
      <c r="B221" s="75">
        <v>7.8</v>
      </c>
      <c r="C221" s="76">
        <f>IF(ISERROR(Tableau1[[#This Row],[Date]]-A220),"",Tableau1[[#This Row],[Date]]-A220)</f>
        <v>1.0402777777781012</v>
      </c>
      <c r="D221" s="77">
        <f>IF(ISERROR(Tableau1[[#This Row],[Date]]-A220),"",Tableau1[[#This Row],[Date]]-A220)</f>
        <v>1.0402777777781012</v>
      </c>
      <c r="E221" s="76">
        <f>Tableau1[[#This Row],[Date]]-$A$5</f>
        <v>439.64583333332848</v>
      </c>
      <c r="F221" s="77">
        <f>Tableau1[[#This Row],[Date]]-$A$5</f>
        <v>439.64583333332848</v>
      </c>
      <c r="G221" s="77">
        <f>Tableau1[[#This Row],[Diff jour_x000D_
Cumul]]-F$6</f>
        <v>401.5625</v>
      </c>
      <c r="H221" s="77">
        <f>Tableau1[[#This Row],[Diff jour_x000D_
Cumul]]-F$59</f>
        <v>379.04305555555038</v>
      </c>
      <c r="I221" s="78">
        <v>191577</v>
      </c>
      <c r="J221" s="79">
        <f>IF(ISERROR(Tableau1[[#This Row],[Index HP
kWh]]-I220),"",Tableau1[[#This Row],[Index HP
kWh]]-I220)</f>
        <v>22</v>
      </c>
      <c r="K221" s="77">
        <f>IF(ISERROR(Tableau1[[#This Row],[Différence HP
Instantané]]/(Tableau1[[#This Row],[Diff jour
Instantané]]*24)),"",Tableau1[[#This Row],[Différence HP
Instantané]]/(Tableau1[[#This Row],[Diff jour
Instantané]]*24))</f>
        <v>0.88117489986621478</v>
      </c>
      <c r="L221" s="77">
        <f>Tableau1[[#This Row],[Différence HP
Instantané]]/Tableau1[[#This Row],[Diff jour
Instantané]]</f>
        <v>21.148197596789153</v>
      </c>
      <c r="M221" s="77">
        <f>Tableau1[[#This Row],[Conso HP / jour
Instantané]]*365</f>
        <v>7719.0921228280404</v>
      </c>
      <c r="N221" s="79">
        <f>Tableau1[[#This Row],[Index HP
kWh]]-$I$5</f>
        <v>11818</v>
      </c>
      <c r="O221" s="80">
        <f>Tableau1[[#This Row],[Différence HP
Cumul]]/(Tableau1[[#This Row],[Diff jour_x000D_
Cumul]]*24)</f>
        <v>1.1200303274416084</v>
      </c>
      <c r="P221" s="80">
        <f>Tableau1[[#This Row],[Différence HP
Cumul]]/Tableau1[[#This Row],[Diff jour_x000D_
Cumul]]</f>
        <v>26.8807278585986</v>
      </c>
      <c r="Q221" s="80">
        <f>Tableau1[[#This Row],[Conso HP / jour
Cumul]]*365</f>
        <v>9811.4656683884896</v>
      </c>
      <c r="R221" s="78">
        <v>124373</v>
      </c>
      <c r="S221" s="79">
        <f>Tableau1[[#This Row],[Index HC_x000D_
kWh]]-R220</f>
        <v>14</v>
      </c>
      <c r="T221" s="81">
        <f>Tableau1[[#This Row],[Différence_x000D_ HC
Instantané]]/(Tableau1[[#This Row],[Diff jour
Instantané]]*24)</f>
        <v>0.56074766355122752</v>
      </c>
      <c r="U221" s="81">
        <f>Tableau1[[#This Row],[Différence_x000D_ HC
Instantané]]/Tableau1[[#This Row],[Diff jour
Instantané]]</f>
        <v>13.457943925229461</v>
      </c>
      <c r="V221" s="81">
        <f>Tableau1[[#This Row],[Conso HC / jour_x000D_
Instantané]]*365</f>
        <v>4912.1495327087532</v>
      </c>
      <c r="W221" s="79">
        <f>Tableau1[[#This Row],[Index HC_x000D_
kWh]]-$R$5</f>
        <v>4941</v>
      </c>
      <c r="X221" s="82">
        <f>Tableau1[[#This Row],[Différence HC
Cumul]]/(Tableau1[[#This Row],[Diff jour_x000D_
Cumul]]*24)</f>
        <v>0.46827465289295878</v>
      </c>
      <c r="Y221" s="82">
        <f>Tableau1[[#This Row],[Différence HC
Cumul]]/Tableau1[[#This Row],[Diff jour_x000D_
Cumul]]</f>
        <v>11.23859166943101</v>
      </c>
      <c r="Z221" s="82">
        <f>Tableau1[[#This Row],[Conso HC / jour_x000D_
Cumul]]*365</f>
        <v>4102.0859593423183</v>
      </c>
      <c r="AA221" s="79">
        <f>Tableau1[[#This Row],[Différence HP
Instantané]]+Tableau1[[#This Row],[Différence_x000D_ HC
Instantané]]</f>
        <v>36</v>
      </c>
      <c r="AB221" s="80">
        <f>Tableau1[[#This Row],[Conso HP + HC
Instantané]]/(Tableau1[[#This Row],[Diff jour
Instantané]]*24)</f>
        <v>1.4419225634174422</v>
      </c>
      <c r="AC221" s="80">
        <f>IF(ISERROR(Tableau1[[#This Row],[Date]]-A220),"",Tableau1[[#This Row],[Conso HP + HC
Instantané]]/Tableau1[[#This Row],[Diff jour
Instantané]])</f>
        <v>34.606141522018618</v>
      </c>
      <c r="AD221" s="80">
        <f>Tableau1[[#This Row],[Conso HP + HC / jour_x000D_
Instantané]]*365</f>
        <v>12631.241655536796</v>
      </c>
      <c r="AE221" s="79">
        <f>Tableau1[[#This Row],[Différence HP
Cumul]]+Tableau1[[#This Row],[Différence HC
Cumul]]</f>
        <v>16759</v>
      </c>
      <c r="AF221" s="77">
        <f>(Tableau1[[#This Row],[Conso HP + HC
Cumul]]-AE$6)/Tableau1[[#This Row],[Diff jour_x000D_
Cumul
depuis le 24/01]]</f>
        <v>35.331984435797665</v>
      </c>
      <c r="AG221" s="77">
        <f>(Tableau1[[#This Row],[Conso HP + HC
Cumul]]-AE$59)/Tableau1[[#This Row],[Diff jour_x000D_
Cumul
depuis
précédente facture
16/02/2021]]</f>
        <v>33.19411822902017</v>
      </c>
      <c r="AH221" s="80">
        <f>Tableau1[[#This Row],[Conso HP + HC
Cumul]]/(Tableau1[[#This Row],[Diff jour_x000D_
Cumul]]*24)</f>
        <v>1.588304980334567</v>
      </c>
      <c r="AI221" s="80">
        <f>Tableau1[[#This Row],[Conso HP + HC
Cumul]]/Tableau1[[#This Row],[Diff jour_x000D_
Cumul]]</f>
        <v>38.119319528029614</v>
      </c>
      <c r="AJ221" s="80">
        <f>Tableau1[[#This Row],[Conso HP + HC / jour_x000D_
Cumul]]*365</f>
        <v>13913.551627730809</v>
      </c>
      <c r="AK221" s="83">
        <f>(Tableau1[[#This Row],[Différence HP
Cumul]]*0.1799)+(Tableau1[[#This Row],[Différence HC
Cumul]]*0.1346)</f>
        <v>2791.1167999999998</v>
      </c>
      <c r="AL221" s="83">
        <f>Tableau1[[#This Row],[Montant
Tarif HP/HC]]/Tableau1[[#This Row],[Diff jour_x000D_
Cumul]]</f>
        <v>6.3485573804673017</v>
      </c>
      <c r="AM221" s="83">
        <f>(Tableau1[[#This Row],[Montant
Tarif HP/HC]]-AK$6)/Tableau1[[#This Row],[Diff jour_x000D_
Cumul
depuis le 24/01]]</f>
        <v>5.893705712062256</v>
      </c>
      <c r="AN221" s="83">
        <f>(Tableau1[[#This Row],[Montant
Tarif HP/HC]]-AK$59)/Tableau1[[#This Row],[Diff jour_x000D_
Cumul
depuis
précédente facture
16/02/2021]]</f>
        <v>5.5380341869694529</v>
      </c>
      <c r="AO221" s="83">
        <f>Tableau1[[#This Row],[Conso HP + HC
Cumul]]*0.1599</f>
        <v>2679.7640999999999</v>
      </c>
      <c r="AP221" s="83">
        <f>Tableau1[[#This Row],[Montant
Tarif normal]]/Tableau1[[#This Row],[Diff jour_x000D_
Cumul]]</f>
        <v>6.0952791925319341</v>
      </c>
      <c r="AQ221" s="83">
        <f>(Tableau1[[#This Row],[Conso HP / an
Cumul]]*0.1799)+(Tableau1[[#This Row],[Conso HC / an_x000D_
Cumul]]*0.1346)</f>
        <v>2317.2234438705655</v>
      </c>
      <c r="AR221" s="83">
        <f>Tableau1[[#This Row],[Conso HP + HC / an_x000D_
Cumul]]*0.1599</f>
        <v>2224.776905274156</v>
      </c>
      <c r="AS221" s="79">
        <f>MONTH(Tableau1[[#This Row],[Date]])</f>
        <v>3</v>
      </c>
      <c r="AT221" s="79">
        <f>YEAR(Tableau1[[#This Row],[Date]])</f>
        <v>2022</v>
      </c>
    </row>
    <row r="222" spans="1:46" x14ac:dyDescent="0.2">
      <c r="A222" s="74">
        <v>44623.352083333331</v>
      </c>
      <c r="B222" s="75">
        <v>8.4</v>
      </c>
      <c r="C222" s="76">
        <f>IF(ISERROR(Tableau1[[#This Row],[Date]]-A221),"",Tableau1[[#This Row],[Date]]-A221)</f>
        <v>0.99791666666715173</v>
      </c>
      <c r="D222" s="77">
        <f>IF(ISERROR(Tableau1[[#This Row],[Date]]-A221),"",Tableau1[[#This Row],[Date]]-A221)</f>
        <v>0.99791666666715173</v>
      </c>
      <c r="E222" s="76">
        <f>Tableau1[[#This Row],[Date]]-$A$5</f>
        <v>440.64374999999563</v>
      </c>
      <c r="F222" s="77">
        <f>Tableau1[[#This Row],[Date]]-$A$5</f>
        <v>440.64374999999563</v>
      </c>
      <c r="G222" s="77">
        <f>Tableau1[[#This Row],[Diff jour_x000D_
Cumul]]-F$6</f>
        <v>402.56041666666715</v>
      </c>
      <c r="H222" s="77">
        <f>Tableau1[[#This Row],[Diff jour_x000D_
Cumul]]-F$59</f>
        <v>380.04097222221753</v>
      </c>
      <c r="I222" s="78">
        <v>191605</v>
      </c>
      <c r="J222" s="79">
        <f>IF(ISERROR(Tableau1[[#This Row],[Index HP
kWh]]-I221),"",Tableau1[[#This Row],[Index HP
kWh]]-I221)</f>
        <v>28</v>
      </c>
      <c r="K222" s="77">
        <f>IF(ISERROR(Tableau1[[#This Row],[Différence HP
Instantané]]/(Tableau1[[#This Row],[Diff jour
Instantané]]*24)),"",Tableau1[[#This Row],[Différence HP
Instantané]]/(Tableau1[[#This Row],[Diff jour
Instantané]]*24))</f>
        <v>1.1691022964503712</v>
      </c>
      <c r="L222" s="77">
        <f>Tableau1[[#This Row],[Différence HP
Instantané]]/Tableau1[[#This Row],[Diff jour
Instantané]]</f>
        <v>28.058455114808908</v>
      </c>
      <c r="M222" s="77">
        <f>Tableau1[[#This Row],[Conso HP / jour
Instantané]]*365</f>
        <v>10241.336116905251</v>
      </c>
      <c r="N222" s="79">
        <f>Tableau1[[#This Row],[Index HP
kWh]]-$I$5</f>
        <v>11846</v>
      </c>
      <c r="O222" s="80">
        <f>Tableau1[[#This Row],[Différence HP
Cumul]]/(Tableau1[[#This Row],[Diff jour_x000D_
Cumul]]*24)</f>
        <v>1.1201414597014896</v>
      </c>
      <c r="P222" s="80">
        <f>Tableau1[[#This Row],[Différence HP
Cumul]]/Tableau1[[#This Row],[Diff jour_x000D_
Cumul]]</f>
        <v>26.88339503283575</v>
      </c>
      <c r="Q222" s="80">
        <f>Tableau1[[#This Row],[Conso HP / jour
Cumul]]*365</f>
        <v>9812.4391869850497</v>
      </c>
      <c r="R222" s="78">
        <v>124388</v>
      </c>
      <c r="S222" s="79">
        <f>Tableau1[[#This Row],[Index HC_x000D_
kWh]]-R221</f>
        <v>15</v>
      </c>
      <c r="T222" s="81">
        <f>Tableau1[[#This Row],[Différence_x000D_ HC
Instantané]]/(Tableau1[[#This Row],[Diff jour
Instantané]]*24)</f>
        <v>0.6263048016698417</v>
      </c>
      <c r="U222" s="81">
        <f>Tableau1[[#This Row],[Différence_x000D_ HC
Instantané]]/Tableau1[[#This Row],[Diff jour
Instantané]]</f>
        <v>15.031315240076202</v>
      </c>
      <c r="V222" s="81">
        <f>Tableau1[[#This Row],[Conso HC / jour_x000D_
Instantané]]*365</f>
        <v>5486.4300626278136</v>
      </c>
      <c r="W222" s="79">
        <f>Tableau1[[#This Row],[Index HC_x000D_
kWh]]-$R$5</f>
        <v>4956</v>
      </c>
      <c r="X222" s="82">
        <f>Tableau1[[#This Row],[Différence HC
Cumul]]/(Tableau1[[#This Row],[Diff jour_x000D_
Cumul]]*24)</f>
        <v>0.46863254045927588</v>
      </c>
      <c r="Y222" s="82">
        <f>Tableau1[[#This Row],[Différence HC
Cumul]]/Tableau1[[#This Row],[Diff jour_x000D_
Cumul]]</f>
        <v>11.247180971022621</v>
      </c>
      <c r="Z222" s="82">
        <f>Tableau1[[#This Row],[Conso HC / jour_x000D_
Cumul]]*365</f>
        <v>4105.2210544232566</v>
      </c>
      <c r="AA222" s="79">
        <f>Tableau1[[#This Row],[Différence HP
Instantané]]+Tableau1[[#This Row],[Différence_x000D_ HC
Instantané]]</f>
        <v>43</v>
      </c>
      <c r="AB222" s="80">
        <f>Tableau1[[#This Row],[Conso HP + HC
Instantané]]/(Tableau1[[#This Row],[Diff jour
Instantané]]*24)</f>
        <v>1.7954070981202128</v>
      </c>
      <c r="AC222" s="80">
        <f>IF(ISERROR(Tableau1[[#This Row],[Date]]-A221),"",Tableau1[[#This Row],[Conso HP + HC
Instantané]]/Tableau1[[#This Row],[Diff jour
Instantané]])</f>
        <v>43.089770354885111</v>
      </c>
      <c r="AD222" s="80">
        <f>Tableau1[[#This Row],[Conso HP + HC / jour_x000D_
Instantané]]*365</f>
        <v>15727.766179533066</v>
      </c>
      <c r="AE222" s="79">
        <f>Tableau1[[#This Row],[Différence HP
Cumul]]+Tableau1[[#This Row],[Différence HC
Cumul]]</f>
        <v>16802</v>
      </c>
      <c r="AF222" s="77">
        <f>(Tableau1[[#This Row],[Conso HP + HC
Cumul]]-AE$6)/Tableau1[[#This Row],[Diff jour_x000D_
Cumul
depuis le 24/01]]</f>
        <v>35.351215397274693</v>
      </c>
      <c r="AG222" s="77">
        <f>(Tableau1[[#This Row],[Conso HP + HC
Cumul]]-AE$59)/Tableau1[[#This Row],[Diff jour_x000D_
Cumul
depuis
précédente facture
16/02/2021]]</f>
        <v>33.220102364694277</v>
      </c>
      <c r="AH222" s="80">
        <f>Tableau1[[#This Row],[Conso HP + HC
Cumul]]/(Tableau1[[#This Row],[Diff jour_x000D_
Cumul]]*24)</f>
        <v>1.5887740001607653</v>
      </c>
      <c r="AI222" s="80">
        <f>Tableau1[[#This Row],[Conso HP + HC
Cumul]]/Tableau1[[#This Row],[Diff jour_x000D_
Cumul]]</f>
        <v>38.130576003858373</v>
      </c>
      <c r="AJ222" s="80">
        <f>Tableau1[[#This Row],[Conso HP + HC / jour_x000D_
Cumul]]*365</f>
        <v>13917.660241408306</v>
      </c>
      <c r="AK222" s="83">
        <f>(Tableau1[[#This Row],[Différence HP
Cumul]]*0.1799)+(Tableau1[[#This Row],[Différence HC
Cumul]]*0.1346)</f>
        <v>2798.1730000000002</v>
      </c>
      <c r="AL222" s="83">
        <f>Tableau1[[#This Row],[Montant
Tarif HP/HC]]/Tableau1[[#This Row],[Diff jour_x000D_
Cumul]]</f>
        <v>6.3501933251067966</v>
      </c>
      <c r="AM222" s="83">
        <f>(Tableau1[[#This Row],[Montant
Tarif HP/HC]]-AK$6)/Tableau1[[#This Row],[Diff jour_x000D_
Cumul
depuis le 24/01]]</f>
        <v>5.8966239643117682</v>
      </c>
      <c r="AN222" s="83">
        <f>(Tableau1[[#This Row],[Montant
Tarif HP/HC]]-AK$59)/Tableau1[[#This Row],[Diff jour_x000D_
Cumul
depuis
précédente facture
16/02/2021]]</f>
        <v>5.5420592881981614</v>
      </c>
      <c r="AO222" s="83">
        <f>Tableau1[[#This Row],[Conso HP + HC
Cumul]]*0.1599</f>
        <v>2686.6397999999999</v>
      </c>
      <c r="AP222" s="83">
        <f>Tableau1[[#This Row],[Montant
Tarif normal]]/Tableau1[[#This Row],[Diff jour_x000D_
Cumul]]</f>
        <v>6.0970791030169531</v>
      </c>
      <c r="AQ222" s="83">
        <f>(Tableau1[[#This Row],[Conso HP / an
Cumul]]*0.1799)+(Tableau1[[#This Row],[Conso HC / an_x000D_
Cumul]]*0.1346)</f>
        <v>2317.8205636639805</v>
      </c>
      <c r="AR222" s="83">
        <f>Tableau1[[#This Row],[Conso HP + HC / an_x000D_
Cumul]]*0.1599</f>
        <v>2225.4338726011879</v>
      </c>
      <c r="AS222" s="79">
        <f>MONTH(Tableau1[[#This Row],[Date]])</f>
        <v>3</v>
      </c>
      <c r="AT222" s="79">
        <f>YEAR(Tableau1[[#This Row],[Date]])</f>
        <v>2022</v>
      </c>
    </row>
    <row r="223" spans="1:46" x14ac:dyDescent="0.2">
      <c r="A223" s="74">
        <v>44624.350694444445</v>
      </c>
      <c r="B223" s="75">
        <v>7</v>
      </c>
      <c r="C223" s="76">
        <f>IF(ISERROR(Tableau1[[#This Row],[Date]]-A222),"",Tableau1[[#This Row],[Date]]-A222)</f>
        <v>0.99861111111385981</v>
      </c>
      <c r="D223" s="77">
        <f>IF(ISERROR(Tableau1[[#This Row],[Date]]-A222),"",Tableau1[[#This Row],[Date]]-A222)</f>
        <v>0.99861111111385981</v>
      </c>
      <c r="E223" s="76">
        <f>Tableau1[[#This Row],[Date]]-$A$5</f>
        <v>441.64236111110949</v>
      </c>
      <c r="F223" s="77">
        <f>Tableau1[[#This Row],[Date]]-$A$5</f>
        <v>441.64236111110949</v>
      </c>
      <c r="G223" s="77">
        <f>Tableau1[[#This Row],[Diff jour_x000D_
Cumul]]-F$6</f>
        <v>403.55902777778101</v>
      </c>
      <c r="H223" s="77">
        <f>Tableau1[[#This Row],[Diff jour_x000D_
Cumul]]-F$59</f>
        <v>381.03958333333139</v>
      </c>
      <c r="I223" s="78">
        <v>191630</v>
      </c>
      <c r="J223" s="79">
        <f>IF(ISERROR(Tableau1[[#This Row],[Index HP
kWh]]-I222),"",Tableau1[[#This Row],[Index HP
kWh]]-I222)</f>
        <v>25</v>
      </c>
      <c r="K223" s="77">
        <f>IF(ISERROR(Tableau1[[#This Row],[Différence HP
Instantané]]/(Tableau1[[#This Row],[Diff jour
Instantané]]*24)),"",Tableau1[[#This Row],[Différence HP
Instantané]]/(Tableau1[[#This Row],[Diff jour
Instantané]]*24))</f>
        <v>1.0431154381056129</v>
      </c>
      <c r="L223" s="77">
        <f>Tableau1[[#This Row],[Différence HP
Instantané]]/Tableau1[[#This Row],[Diff jour
Instantané]]</f>
        <v>25.034770514534706</v>
      </c>
      <c r="M223" s="77">
        <f>Tableau1[[#This Row],[Conso HP / jour
Instantané]]*365</f>
        <v>9137.6912378051675</v>
      </c>
      <c r="N223" s="79">
        <f>Tableau1[[#This Row],[Index HP
kWh]]-$I$5</f>
        <v>11871</v>
      </c>
      <c r="O223" s="80">
        <f>Tableau1[[#This Row],[Différence HP
Cumul]]/(Tableau1[[#This Row],[Diff jour_x000D_
Cumul]]*24)</f>
        <v>1.1199672937976188</v>
      </c>
      <c r="P223" s="80">
        <f>Tableau1[[#This Row],[Différence HP
Cumul]]/Tableau1[[#This Row],[Diff jour_x000D_
Cumul]]</f>
        <v>26.87921505114285</v>
      </c>
      <c r="Q223" s="80">
        <f>Tableau1[[#This Row],[Conso HP / jour
Cumul]]*365</f>
        <v>9810.9134936671398</v>
      </c>
      <c r="R223" s="78">
        <v>124403</v>
      </c>
      <c r="S223" s="79">
        <f>Tableau1[[#This Row],[Index HC_x000D_
kWh]]-R222</f>
        <v>15</v>
      </c>
      <c r="T223" s="81">
        <f>Tableau1[[#This Row],[Différence_x000D_ HC
Instantané]]/(Tableau1[[#This Row],[Diff jour
Instantané]]*24)</f>
        <v>0.62586926286336764</v>
      </c>
      <c r="U223" s="81">
        <f>Tableau1[[#This Row],[Différence_x000D_ HC
Instantané]]/Tableau1[[#This Row],[Diff jour
Instantané]]</f>
        <v>15.020862308720824</v>
      </c>
      <c r="V223" s="81">
        <f>Tableau1[[#This Row],[Conso HC / jour_x000D_
Instantané]]*365</f>
        <v>5482.6147426831012</v>
      </c>
      <c r="W223" s="79">
        <f>Tableau1[[#This Row],[Index HC_x000D_
kWh]]-$R$5</f>
        <v>4971</v>
      </c>
      <c r="X223" s="82">
        <f>Tableau1[[#This Row],[Différence HC
Cumul]]/(Tableau1[[#This Row],[Diff jour_x000D_
Cumul]]*24)</f>
        <v>0.4689880732430261</v>
      </c>
      <c r="Y223" s="82">
        <f>Tableau1[[#This Row],[Différence HC
Cumul]]/Tableau1[[#This Row],[Diff jour_x000D_
Cumul]]</f>
        <v>11.255713757832627</v>
      </c>
      <c r="Z223" s="82">
        <f>Tableau1[[#This Row],[Conso HC / jour_x000D_
Cumul]]*365</f>
        <v>4108.3355216089085</v>
      </c>
      <c r="AA223" s="79">
        <f>Tableau1[[#This Row],[Différence HP
Instantané]]+Tableau1[[#This Row],[Différence_x000D_ HC
Instantané]]</f>
        <v>40</v>
      </c>
      <c r="AB223" s="80">
        <f>Tableau1[[#This Row],[Conso HP + HC
Instantané]]/(Tableau1[[#This Row],[Diff jour
Instantané]]*24)</f>
        <v>1.6689847009689804</v>
      </c>
      <c r="AC223" s="80">
        <f>IF(ISERROR(Tableau1[[#This Row],[Date]]-A222),"",Tableau1[[#This Row],[Conso HP + HC
Instantané]]/Tableau1[[#This Row],[Diff jour
Instantané]])</f>
        <v>40.055632823255529</v>
      </c>
      <c r="AD223" s="80">
        <f>Tableau1[[#This Row],[Conso HP + HC / jour_x000D_
Instantané]]*365</f>
        <v>14620.305980488269</v>
      </c>
      <c r="AE223" s="79">
        <f>Tableau1[[#This Row],[Différence HP
Cumul]]+Tableau1[[#This Row],[Différence HC
Cumul]]</f>
        <v>16842</v>
      </c>
      <c r="AF223" s="77">
        <f>(Tableau1[[#This Row],[Conso HP + HC
Cumul]]-AE$6)/Tableau1[[#This Row],[Diff jour_x000D_
Cumul
depuis le 24/01]]</f>
        <v>35.36285652828537</v>
      </c>
      <c r="AG223" s="77">
        <f>(Tableau1[[#This Row],[Conso HP + HC
Cumul]]-AE$59)/Tableau1[[#This Row],[Diff jour_x000D_
Cumul
depuis
précédente facture
16/02/2021]]</f>
        <v>33.23801661026048</v>
      </c>
      <c r="AH223" s="80">
        <f>Tableau1[[#This Row],[Conso HP + HC
Cumul]]/(Tableau1[[#This Row],[Diff jour_x000D_
Cumul]]*24)</f>
        <v>1.5889553670406449</v>
      </c>
      <c r="AI223" s="80">
        <f>Tableau1[[#This Row],[Conso HP + HC
Cumul]]/Tableau1[[#This Row],[Diff jour_x000D_
Cumul]]</f>
        <v>38.134928808975474</v>
      </c>
      <c r="AJ223" s="80">
        <f>Tableau1[[#This Row],[Conso HP + HC / jour_x000D_
Cumul]]*365</f>
        <v>13919.249015276047</v>
      </c>
      <c r="AK223" s="83">
        <f>(Tableau1[[#This Row],[Différence HP
Cumul]]*0.1799)+(Tableau1[[#This Row],[Différence HC
Cumul]]*0.1346)</f>
        <v>2804.6895</v>
      </c>
      <c r="AL223" s="83">
        <f>Tableau1[[#This Row],[Montant
Tarif HP/HC]]/Tableau1[[#This Row],[Diff jour_x000D_
Cumul]]</f>
        <v>6.3505898595048702</v>
      </c>
      <c r="AM223" s="83">
        <f>(Tableau1[[#This Row],[Montant
Tarif HP/HC]]-AK$6)/Tableau1[[#This Row],[Diff jour_x000D_
Cumul
depuis le 24/01]]</f>
        <v>5.8981802813507809</v>
      </c>
      <c r="AN223" s="83">
        <f>(Tableau1[[#This Row],[Montant
Tarif HP/HC]]-AK$59)/Tableau1[[#This Row],[Diff jour_x000D_
Cumul
depuis
précédente facture
16/02/2021]]</f>
        <v>5.5446368104801289</v>
      </c>
      <c r="AO223" s="83">
        <f>Tableau1[[#This Row],[Conso HP + HC
Cumul]]*0.1599</f>
        <v>2693.0357999999997</v>
      </c>
      <c r="AP223" s="83">
        <f>Tableau1[[#This Row],[Montant
Tarif normal]]/Tableau1[[#This Row],[Diff jour_x000D_
Cumul]]</f>
        <v>6.0977751165551775</v>
      </c>
      <c r="AQ223" s="83">
        <f>(Tableau1[[#This Row],[Conso HP / an
Cumul]]*0.1799)+(Tableau1[[#This Row],[Conso HC / an_x000D_
Cumul]]*0.1346)</f>
        <v>2317.9652987192776</v>
      </c>
      <c r="AR223" s="83">
        <f>Tableau1[[#This Row],[Conso HP + HC / an_x000D_
Cumul]]*0.1599</f>
        <v>2225.6879175426398</v>
      </c>
      <c r="AS223" s="79">
        <f>MONTH(Tableau1[[#This Row],[Date]])</f>
        <v>3</v>
      </c>
      <c r="AT223" s="79">
        <f>YEAR(Tableau1[[#This Row],[Date]])</f>
        <v>2022</v>
      </c>
    </row>
    <row r="224" spans="1:46" x14ac:dyDescent="0.2">
      <c r="A224" s="74">
        <v>44625.352777777778</v>
      </c>
      <c r="B224" s="75">
        <v>2.8</v>
      </c>
      <c r="C224" s="76">
        <f>IF(ISERROR(Tableau1[[#This Row],[Date]]-A223),"",Tableau1[[#This Row],[Date]]-A223)</f>
        <v>1.0020833333328483</v>
      </c>
      <c r="D224" s="77">
        <f>IF(ISERROR(Tableau1[[#This Row],[Date]]-A223),"",Tableau1[[#This Row],[Date]]-A223)</f>
        <v>1.0020833333328483</v>
      </c>
      <c r="E224" s="76">
        <f>Tableau1[[#This Row],[Date]]-$A$5</f>
        <v>442.64444444444234</v>
      </c>
      <c r="F224" s="77">
        <f>Tableau1[[#This Row],[Date]]-$A$5</f>
        <v>442.64444444444234</v>
      </c>
      <c r="G224" s="77">
        <f>Tableau1[[#This Row],[Diff jour_x000D_
Cumul]]-F$6</f>
        <v>404.56111111111386</v>
      </c>
      <c r="H224" s="77">
        <f>Tableau1[[#This Row],[Diff jour_x000D_
Cumul]]-F$59</f>
        <v>382.04166666666424</v>
      </c>
      <c r="I224" s="78">
        <v>191664</v>
      </c>
      <c r="J224" s="79">
        <f>IF(ISERROR(Tableau1[[#This Row],[Index HP
kWh]]-I223),"",Tableau1[[#This Row],[Index HP
kWh]]-I223)</f>
        <v>34</v>
      </c>
      <c r="K224" s="77">
        <f>IF(ISERROR(Tableau1[[#This Row],[Différence HP
Instantané]]/(Tableau1[[#This Row],[Diff jour
Instantané]]*24)),"",Tableau1[[#This Row],[Différence HP
Instantané]]/(Tableau1[[#This Row],[Diff jour
Instantané]]*24))</f>
        <v>1.4137214137220981</v>
      </c>
      <c r="L224" s="77">
        <f>Tableau1[[#This Row],[Différence HP
Instantané]]/Tableau1[[#This Row],[Diff jour
Instantané]]</f>
        <v>33.929313929330355</v>
      </c>
      <c r="M224" s="77">
        <f>Tableau1[[#This Row],[Conso HP / jour
Instantané]]*365</f>
        <v>12384.19958420558</v>
      </c>
      <c r="N224" s="79">
        <f>Tableau1[[#This Row],[Index HP
kWh]]-$I$5</f>
        <v>11905</v>
      </c>
      <c r="O224" s="80">
        <f>Tableau1[[#This Row],[Différence HP
Cumul]]/(Tableau1[[#This Row],[Diff jour_x000D_
Cumul]]*24)</f>
        <v>1.1206323108589842</v>
      </c>
      <c r="P224" s="80">
        <f>Tableau1[[#This Row],[Différence HP
Cumul]]/Tableau1[[#This Row],[Diff jour_x000D_
Cumul]]</f>
        <v>26.895175460615622</v>
      </c>
      <c r="Q224" s="80">
        <f>Tableau1[[#This Row],[Conso HP / jour
Cumul]]*365</f>
        <v>9816.7390431247022</v>
      </c>
      <c r="R224" s="78">
        <v>124424</v>
      </c>
      <c r="S224" s="79">
        <f>Tableau1[[#This Row],[Index HC_x000D_
kWh]]-R223</f>
        <v>21</v>
      </c>
      <c r="T224" s="81">
        <f>Tableau1[[#This Row],[Différence_x000D_ HC
Instantané]]/(Tableau1[[#This Row],[Diff jour
Instantané]]*24)</f>
        <v>0.87318087318129589</v>
      </c>
      <c r="U224" s="81">
        <f>Tableau1[[#This Row],[Différence_x000D_ HC
Instantané]]/Tableau1[[#This Row],[Diff jour
Instantané]]</f>
        <v>20.956340956351099</v>
      </c>
      <c r="V224" s="81">
        <f>Tableau1[[#This Row],[Conso HC / jour_x000D_
Instantané]]*365</f>
        <v>7649.0644490681507</v>
      </c>
      <c r="W224" s="79">
        <f>Tableau1[[#This Row],[Index HC_x000D_
kWh]]-$R$5</f>
        <v>4992</v>
      </c>
      <c r="X224" s="82">
        <f>Tableau1[[#This Row],[Différence HC
Cumul]]/(Tableau1[[#This Row],[Diff jour_x000D_
Cumul]]*24)</f>
        <v>0.4699031075857244</v>
      </c>
      <c r="Y224" s="82">
        <f>Tableau1[[#This Row],[Différence HC
Cumul]]/Tableau1[[#This Row],[Diff jour_x000D_
Cumul]]</f>
        <v>11.277674582057386</v>
      </c>
      <c r="Z224" s="82">
        <f>Tableau1[[#This Row],[Conso HC / jour_x000D_
Cumul]]*365</f>
        <v>4116.3512224509459</v>
      </c>
      <c r="AA224" s="79">
        <f>Tableau1[[#This Row],[Différence HP
Instantané]]+Tableau1[[#This Row],[Différence_x000D_ HC
Instantané]]</f>
        <v>55</v>
      </c>
      <c r="AB224" s="80">
        <f>Tableau1[[#This Row],[Conso HP + HC
Instantané]]/(Tableau1[[#This Row],[Diff jour
Instantané]]*24)</f>
        <v>2.2869022869033939</v>
      </c>
      <c r="AC224" s="80">
        <f>IF(ISERROR(Tableau1[[#This Row],[Date]]-A223),"",Tableau1[[#This Row],[Conso HP + HC
Instantané]]/Tableau1[[#This Row],[Diff jour
Instantané]])</f>
        <v>54.885654885681454</v>
      </c>
      <c r="AD224" s="80">
        <f>Tableau1[[#This Row],[Conso HP + HC / jour_x000D_
Instantané]]*365</f>
        <v>20033.264033273732</v>
      </c>
      <c r="AE224" s="79">
        <f>Tableau1[[#This Row],[Différence HP
Cumul]]+Tableau1[[#This Row],[Différence HC
Cumul]]</f>
        <v>16897</v>
      </c>
      <c r="AF224" s="77">
        <f>(Tableau1[[#This Row],[Conso HP + HC
Cumul]]-AE$6)/Tableau1[[#This Row],[Diff jour_x000D_
Cumul
depuis le 24/01]]</f>
        <v>35.411213798217304</v>
      </c>
      <c r="AG224" s="77">
        <f>(Tableau1[[#This Row],[Conso HP + HC
Cumul]]-AE$59)/Tableau1[[#This Row],[Diff jour_x000D_
Cumul
depuis
précédente facture
16/02/2021]]</f>
        <v>33.294797687861482</v>
      </c>
      <c r="AH224" s="80">
        <f>Tableau1[[#This Row],[Conso HP + HC
Cumul]]/(Tableau1[[#This Row],[Diff jour_x000D_
Cumul]]*24)</f>
        <v>1.5905354184447087</v>
      </c>
      <c r="AI224" s="80">
        <f>Tableau1[[#This Row],[Conso HP + HC
Cumul]]/Tableau1[[#This Row],[Diff jour_x000D_
Cumul]]</f>
        <v>38.172850042673005</v>
      </c>
      <c r="AJ224" s="80">
        <f>Tableau1[[#This Row],[Conso HP + HC / jour_x000D_
Cumul]]*365</f>
        <v>13933.090265575647</v>
      </c>
      <c r="AK224" s="83">
        <f>(Tableau1[[#This Row],[Différence HP
Cumul]]*0.1799)+(Tableau1[[#This Row],[Différence HC
Cumul]]*0.1346)</f>
        <v>2813.6327000000001</v>
      </c>
      <c r="AL224" s="83">
        <f>Tableau1[[#This Row],[Montant
Tarif HP/HC]]/Tableau1[[#This Row],[Diff jour_x000D_
Cumul]]</f>
        <v>6.3564170641096744</v>
      </c>
      <c r="AM224" s="83">
        <f>(Tableau1[[#This Row],[Montant
Tarif HP/HC]]-AK$6)/Tableau1[[#This Row],[Diff jour_x000D_
Cumul
depuis le 24/01]]</f>
        <v>5.9056766317408043</v>
      </c>
      <c r="AN224" s="83">
        <f>(Tableau1[[#This Row],[Montant
Tarif HP/HC]]-AK$59)/Tableau1[[#This Row],[Diff jour_x000D_
Cumul
depuis
précédente facture
16/02/2021]]</f>
        <v>5.5535023666703376</v>
      </c>
      <c r="AO224" s="83">
        <f>Tableau1[[#This Row],[Conso HP + HC
Cumul]]*0.1599</f>
        <v>2701.8302999999996</v>
      </c>
      <c r="AP224" s="83">
        <f>Tableau1[[#This Row],[Montant
Tarif normal]]/Tableau1[[#This Row],[Diff jour_x000D_
Cumul]]</f>
        <v>6.1038387218234131</v>
      </c>
      <c r="AQ224" s="83">
        <f>(Tableau1[[#This Row],[Conso HP / an
Cumul]]*0.1799)+(Tableau1[[#This Row],[Conso HC / an_x000D_
Cumul]]*0.1346)</f>
        <v>2320.0922284000312</v>
      </c>
      <c r="AR224" s="83">
        <f>Tableau1[[#This Row],[Conso HP + HC / an_x000D_
Cumul]]*0.1599</f>
        <v>2227.9011334655456</v>
      </c>
      <c r="AS224" s="79">
        <f>MONTH(Tableau1[[#This Row],[Date]])</f>
        <v>3</v>
      </c>
      <c r="AT224" s="79">
        <f>YEAR(Tableau1[[#This Row],[Date]])</f>
        <v>2022</v>
      </c>
    </row>
    <row r="225" spans="1:46" x14ac:dyDescent="0.2">
      <c r="A225" s="74">
        <v>44627.323611111111</v>
      </c>
      <c r="B225" s="75">
        <v>-3</v>
      </c>
      <c r="C225" s="76">
        <f>IF(ISERROR(Tableau1[[#This Row],[Date]]-A224),"",Tableau1[[#This Row],[Date]]-A224)</f>
        <v>1.9708333333328483</v>
      </c>
      <c r="D225" s="77">
        <f>IF(ISERROR(Tableau1[[#This Row],[Date]]-A224),"",Tableau1[[#This Row],[Date]]-A224)</f>
        <v>1.9708333333328483</v>
      </c>
      <c r="E225" s="76">
        <f>Tableau1[[#This Row],[Date]]-$A$5</f>
        <v>444.61527777777519</v>
      </c>
      <c r="F225" s="77">
        <f>Tableau1[[#This Row],[Date]]-$A$5</f>
        <v>444.61527777777519</v>
      </c>
      <c r="G225" s="77">
        <f>Tableau1[[#This Row],[Diff jour_x000D_
Cumul]]-F$6</f>
        <v>406.53194444444671</v>
      </c>
      <c r="H225" s="77">
        <f>Tableau1[[#This Row],[Diff jour_x000D_
Cumul]]-F$59</f>
        <v>384.01249999999709</v>
      </c>
      <c r="I225" s="78">
        <v>191729</v>
      </c>
      <c r="J225" s="79">
        <f>IF(ISERROR(Tableau1[[#This Row],[Index HP
kWh]]-I224),"",Tableau1[[#This Row],[Index HP
kWh]]-I224)</f>
        <v>65</v>
      </c>
      <c r="K225" s="77">
        <f>IF(ISERROR(Tableau1[[#This Row],[Différence HP
Instantané]]/(Tableau1[[#This Row],[Diff jour
Instantané]]*24)),"",Tableau1[[#This Row],[Différence HP
Instantané]]/(Tableau1[[#This Row],[Diff jour
Instantané]]*24))</f>
        <v>1.3742071881610147</v>
      </c>
      <c r="L225" s="77">
        <f>Tableau1[[#This Row],[Différence HP
Instantané]]/Tableau1[[#This Row],[Diff jour
Instantané]]</f>
        <v>32.980972515864352</v>
      </c>
      <c r="M225" s="77">
        <f>Tableau1[[#This Row],[Conso HP / jour
Instantané]]*365</f>
        <v>12038.054968290488</v>
      </c>
      <c r="N225" s="79">
        <f>Tableau1[[#This Row],[Index HP
kWh]]-$I$5</f>
        <v>11970</v>
      </c>
      <c r="O225" s="80">
        <f>Tableau1[[#This Row],[Différence HP
Cumul]]/(Tableau1[[#This Row],[Diff jour_x000D_
Cumul]]*24)</f>
        <v>1.1217563249126183</v>
      </c>
      <c r="P225" s="80">
        <f>Tableau1[[#This Row],[Différence HP
Cumul]]/Tableau1[[#This Row],[Diff jour_x000D_
Cumul]]</f>
        <v>26.922151797902838</v>
      </c>
      <c r="Q225" s="80">
        <f>Tableau1[[#This Row],[Conso HP / jour
Cumul]]*365</f>
        <v>9826.5854062345352</v>
      </c>
      <c r="R225" s="78">
        <v>124463</v>
      </c>
      <c r="S225" s="79">
        <f>Tableau1[[#This Row],[Index HC_x000D_
kWh]]-R224</f>
        <v>39</v>
      </c>
      <c r="T225" s="81">
        <f>Tableau1[[#This Row],[Différence_x000D_ HC
Instantané]]/(Tableau1[[#This Row],[Diff jour
Instantané]]*24)</f>
        <v>0.82452431289660888</v>
      </c>
      <c r="U225" s="81">
        <f>Tableau1[[#This Row],[Différence_x000D_ HC
Instantané]]/Tableau1[[#This Row],[Diff jour
Instantané]]</f>
        <v>19.788583509518613</v>
      </c>
      <c r="V225" s="81">
        <f>Tableau1[[#This Row],[Conso HC / jour_x000D_
Instantané]]*365</f>
        <v>7222.8329809742936</v>
      </c>
      <c r="W225" s="79">
        <f>Tableau1[[#This Row],[Index HC_x000D_
kWh]]-$R$5</f>
        <v>5031</v>
      </c>
      <c r="X225" s="82">
        <f>Tableau1[[#This Row],[Différence HC
Cumul]]/(Tableau1[[#This Row],[Diff jour_x000D_
Cumul]]*24)</f>
        <v>0.47147502678658165</v>
      </c>
      <c r="Y225" s="82">
        <f>Tableau1[[#This Row],[Différence HC
Cumul]]/Tableau1[[#This Row],[Diff jour_x000D_
Cumul]]</f>
        <v>11.315400642877959</v>
      </c>
      <c r="Z225" s="82">
        <f>Tableau1[[#This Row],[Conso HC / jour_x000D_
Cumul]]*365</f>
        <v>4130.1212346504553</v>
      </c>
      <c r="AA225" s="79">
        <f>Tableau1[[#This Row],[Différence HP
Instantané]]+Tableau1[[#This Row],[Différence_x000D_ HC
Instantané]]</f>
        <v>104</v>
      </c>
      <c r="AB225" s="80">
        <f>Tableau1[[#This Row],[Conso HP + HC
Instantané]]/(Tableau1[[#This Row],[Diff jour
Instantané]]*24)</f>
        <v>2.1987315010576238</v>
      </c>
      <c r="AC225" s="80">
        <f>IF(ISERROR(Tableau1[[#This Row],[Date]]-A224),"",Tableau1[[#This Row],[Conso HP + HC
Instantané]]/Tableau1[[#This Row],[Diff jour
Instantané]])</f>
        <v>52.769556025382968</v>
      </c>
      <c r="AD225" s="80">
        <f>Tableau1[[#This Row],[Conso HP + HC / jour_x000D_
Instantané]]*365</f>
        <v>19260.887949264783</v>
      </c>
      <c r="AE225" s="79">
        <f>Tableau1[[#This Row],[Différence HP
Cumul]]+Tableau1[[#This Row],[Différence HC
Cumul]]</f>
        <v>17001</v>
      </c>
      <c r="AF225" s="77">
        <f>(Tableau1[[#This Row],[Conso HP + HC
Cumul]]-AE$6)/Tableau1[[#This Row],[Diff jour_x000D_
Cumul
depuis le 24/01]]</f>
        <v>35.495365609508418</v>
      </c>
      <c r="AG225" s="77">
        <f>(Tableau1[[#This Row],[Conso HP + HC
Cumul]]-AE$59)/Tableau1[[#This Row],[Diff jour_x000D_
Cumul
depuis
précédente facture
16/02/2021]]</f>
        <v>33.394746264770284</v>
      </c>
      <c r="AH225" s="80">
        <f>Tableau1[[#This Row],[Conso HP + HC
Cumul]]/(Tableau1[[#This Row],[Diff jour_x000D_
Cumul]]*24)</f>
        <v>1.5932313516991998</v>
      </c>
      <c r="AI225" s="80">
        <f>Tableau1[[#This Row],[Conso HP + HC
Cumul]]/Tableau1[[#This Row],[Diff jour_x000D_
Cumul]]</f>
        <v>38.237552440780796</v>
      </c>
      <c r="AJ225" s="80">
        <f>Tableau1[[#This Row],[Conso HP + HC / jour_x000D_
Cumul]]*365</f>
        <v>13956.70664088499</v>
      </c>
      <c r="AK225" s="83">
        <f>(Tableau1[[#This Row],[Différence HP
Cumul]]*0.1799)+(Tableau1[[#This Row],[Différence HC
Cumul]]*0.1346)</f>
        <v>2830.5756000000001</v>
      </c>
      <c r="AL225" s="83">
        <f>Tableau1[[#This Row],[Montant
Tarif HP/HC]]/Tableau1[[#This Row],[Diff jour_x000D_
Cumul]]</f>
        <v>6.3663480349740942</v>
      </c>
      <c r="AM225" s="83">
        <f>(Tableau1[[#This Row],[Montant
Tarif HP/HC]]-AK$6)/Tableau1[[#This Row],[Diff jour_x000D_
Cumul
depuis le 24/01]]</f>
        <v>5.9187230742424584</v>
      </c>
      <c r="AN225" s="83">
        <f>(Tableau1[[#This Row],[Montant
Tarif HP/HC]]-AK$59)/Tableau1[[#This Row],[Diff jour_x000D_
Cumul
depuis
précédente facture
16/02/2021]]</f>
        <v>5.5691213176654832</v>
      </c>
      <c r="AO225" s="83">
        <f>Tableau1[[#This Row],[Conso HP + HC
Cumul]]*0.1599</f>
        <v>2718.4598999999998</v>
      </c>
      <c r="AP225" s="83">
        <f>Tableau1[[#This Row],[Montant
Tarif normal]]/Tableau1[[#This Row],[Diff jour_x000D_
Cumul]]</f>
        <v>6.1141846352808491</v>
      </c>
      <c r="AQ225" s="83">
        <f>(Tableau1[[#This Row],[Conso HP / an
Cumul]]*0.1799)+(Tableau1[[#This Row],[Conso HC / an_x000D_
Cumul]]*0.1346)</f>
        <v>2323.717032765544</v>
      </c>
      <c r="AR225" s="83">
        <f>Tableau1[[#This Row],[Conso HP + HC / an_x000D_
Cumul]]*0.1599</f>
        <v>2231.6773918775098</v>
      </c>
      <c r="AS225" s="79">
        <f>MONTH(Tableau1[[#This Row],[Date]])</f>
        <v>3</v>
      </c>
      <c r="AT225" s="79">
        <f>YEAR(Tableau1[[#This Row],[Date]])</f>
        <v>2022</v>
      </c>
    </row>
    <row r="226" spans="1:46" x14ac:dyDescent="0.2">
      <c r="A226" s="74">
        <v>44628.318749999999</v>
      </c>
      <c r="B226" s="75">
        <v>6.5</v>
      </c>
      <c r="C226" s="76">
        <f>IF(ISERROR(Tableau1[[#This Row],[Date]]-A225),"",Tableau1[[#This Row],[Date]]-A225)</f>
        <v>0.99513888888759539</v>
      </c>
      <c r="D226" s="77">
        <f>IF(ISERROR(Tableau1[[#This Row],[Date]]-A225),"",Tableau1[[#This Row],[Date]]-A225)</f>
        <v>0.99513888888759539</v>
      </c>
      <c r="E226" s="76">
        <f>Tableau1[[#This Row],[Date]]-$A$5</f>
        <v>445.61041666666279</v>
      </c>
      <c r="F226" s="77">
        <f>Tableau1[[#This Row],[Date]]-$A$5</f>
        <v>445.61041666666279</v>
      </c>
      <c r="G226" s="77">
        <f>Tableau1[[#This Row],[Diff jour_x000D_
Cumul]]-F$6</f>
        <v>407.5270833333343</v>
      </c>
      <c r="H226" s="77">
        <f>Tableau1[[#This Row],[Diff jour_x000D_
Cumul]]-F$59</f>
        <v>385.00763888888469</v>
      </c>
      <c r="I226" s="78">
        <v>191766</v>
      </c>
      <c r="J226" s="79">
        <f>IF(ISERROR(Tableau1[[#This Row],[Index HP
kWh]]-I225),"",Tableau1[[#This Row],[Index HP
kWh]]-I225)</f>
        <v>37</v>
      </c>
      <c r="K226" s="77">
        <f>IF(ISERROR(Tableau1[[#This Row],[Différence HP
Instantané]]/(Tableau1[[#This Row],[Diff jour
Instantané]]*24)),"",Tableau1[[#This Row],[Différence HP
Instantané]]/(Tableau1[[#This Row],[Diff jour
Instantané]]*24))</f>
        <v>1.5491974877898713</v>
      </c>
      <c r="L226" s="77">
        <f>Tableau1[[#This Row],[Différence HP
Instantané]]/Tableau1[[#This Row],[Diff jour
Instantané]]</f>
        <v>37.180739706956913</v>
      </c>
      <c r="M226" s="77">
        <f>Tableau1[[#This Row],[Conso HP / jour
Instantané]]*365</f>
        <v>13570.969993039273</v>
      </c>
      <c r="N226" s="79">
        <f>Tableau1[[#This Row],[Index HP
kWh]]-$I$5</f>
        <v>12007</v>
      </c>
      <c r="O226" s="80">
        <f>Tableau1[[#This Row],[Différence HP
Cumul]]/(Tableau1[[#This Row],[Diff jour_x000D_
Cumul]]*24)</f>
        <v>1.1227108881543673</v>
      </c>
      <c r="P226" s="80">
        <f>Tableau1[[#This Row],[Différence HP
Cumul]]/Tableau1[[#This Row],[Diff jour_x000D_
Cumul]]</f>
        <v>26.945061315704816</v>
      </c>
      <c r="Q226" s="80">
        <f>Tableau1[[#This Row],[Conso HP / jour
Cumul]]*365</f>
        <v>9834.9473802322573</v>
      </c>
      <c r="R226" s="78">
        <v>124483</v>
      </c>
      <c r="S226" s="79">
        <f>Tableau1[[#This Row],[Index HC_x000D_
kWh]]-R225</f>
        <v>20</v>
      </c>
      <c r="T226" s="81">
        <f>Tableau1[[#This Row],[Différence_x000D_ HC
Instantané]]/(Tableau1[[#This Row],[Diff jour
Instantané]]*24)</f>
        <v>0.83740404745398445</v>
      </c>
      <c r="U226" s="81">
        <f>Tableau1[[#This Row],[Différence_x000D_ HC
Instantané]]/Tableau1[[#This Row],[Diff jour
Instantané]]</f>
        <v>20.097697138895629</v>
      </c>
      <c r="V226" s="81">
        <f>Tableau1[[#This Row],[Conso HC / jour_x000D_
Instantané]]*365</f>
        <v>7335.6594556969048</v>
      </c>
      <c r="W226" s="79">
        <f>Tableau1[[#This Row],[Index HC_x000D_
kWh]]-$R$5</f>
        <v>5051</v>
      </c>
      <c r="X226" s="82">
        <f>Tableau1[[#This Row],[Différence HC
Cumul]]/(Tableau1[[#This Row],[Diff jour_x000D_
Cumul]]*24)</f>
        <v>0.47229222087679767</v>
      </c>
      <c r="Y226" s="82">
        <f>Tableau1[[#This Row],[Différence HC
Cumul]]/Tableau1[[#This Row],[Diff jour_x000D_
Cumul]]</f>
        <v>11.335013301043144</v>
      </c>
      <c r="Z226" s="82">
        <f>Tableau1[[#This Row],[Conso HC / jour_x000D_
Cumul]]*365</f>
        <v>4137.2798548807477</v>
      </c>
      <c r="AA226" s="79">
        <f>Tableau1[[#This Row],[Différence HP
Instantané]]+Tableau1[[#This Row],[Différence_x000D_ HC
Instantané]]</f>
        <v>57</v>
      </c>
      <c r="AB226" s="80">
        <f>Tableau1[[#This Row],[Conso HP + HC
Instantané]]/(Tableau1[[#This Row],[Diff jour
Instantané]]*24)</f>
        <v>2.3866015352438557</v>
      </c>
      <c r="AC226" s="80">
        <f>IF(ISERROR(Tableau1[[#This Row],[Date]]-A225),"",Tableau1[[#This Row],[Conso HP + HC
Instantané]]/Tableau1[[#This Row],[Diff jour
Instantané]])</f>
        <v>57.278436845852539</v>
      </c>
      <c r="AD226" s="80">
        <f>Tableau1[[#This Row],[Conso HP + HC / jour_x000D_
Instantané]]*365</f>
        <v>20906.629448736177</v>
      </c>
      <c r="AE226" s="79">
        <f>Tableau1[[#This Row],[Différence HP
Cumul]]+Tableau1[[#This Row],[Différence HC
Cumul]]</f>
        <v>17058</v>
      </c>
      <c r="AF226" s="77">
        <f>(Tableau1[[#This Row],[Conso HP + HC
Cumul]]-AE$6)/Tableau1[[#This Row],[Diff jour_x000D_
Cumul
depuis le 24/01]]</f>
        <v>35.548557611201623</v>
      </c>
      <c r="AG226" s="77">
        <f>(Tableau1[[#This Row],[Conso HP + HC
Cumul]]-AE$59)/Tableau1[[#This Row],[Diff jour_x000D_
Cumul
depuis
précédente facture
16/02/2021]]</f>
        <v>33.456479038114686</v>
      </c>
      <c r="AH226" s="80">
        <f>Tableau1[[#This Row],[Conso HP + HC
Cumul]]/(Tableau1[[#This Row],[Diff jour_x000D_
Cumul]]*24)</f>
        <v>1.5950031090311649</v>
      </c>
      <c r="AI226" s="80">
        <f>Tableau1[[#This Row],[Conso HP + HC
Cumul]]/Tableau1[[#This Row],[Diff jour_x000D_
Cumul]]</f>
        <v>38.28007461674796</v>
      </c>
      <c r="AJ226" s="80">
        <f>Tableau1[[#This Row],[Conso HP + HC / jour_x000D_
Cumul]]*365</f>
        <v>13972.227235113005</v>
      </c>
      <c r="AK226" s="83">
        <f>(Tableau1[[#This Row],[Différence HP
Cumul]]*0.1799)+(Tableau1[[#This Row],[Différence HC
Cumul]]*0.1346)</f>
        <v>2839.9238999999998</v>
      </c>
      <c r="AL226" s="83">
        <f>Tableau1[[#This Row],[Montant
Tarif HP/HC]]/Tableau1[[#This Row],[Diff jour_x000D_
Cumul]]</f>
        <v>6.3731093210157033</v>
      </c>
      <c r="AM226" s="83">
        <f>(Tableau1[[#This Row],[Montant
Tarif HP/HC]]-AK$6)/Tableau1[[#This Row],[Diff jour_x000D_
Cumul
depuis le 24/01]]</f>
        <v>5.9272092550085995</v>
      </c>
      <c r="AN226" s="83">
        <f>(Tableau1[[#This Row],[Montant
Tarif HP/HC]]-AK$59)/Tableau1[[#This Row],[Diff jour_x000D_
Cumul
depuis
précédente facture
16/02/2021]]</f>
        <v>5.5790074872252413</v>
      </c>
      <c r="AO226" s="83">
        <f>Tableau1[[#This Row],[Conso HP + HC
Cumul]]*0.1599</f>
        <v>2727.5741999999996</v>
      </c>
      <c r="AP226" s="83">
        <f>Tableau1[[#This Row],[Montant
Tarif normal]]/Tableau1[[#This Row],[Diff jour_x000D_
Cumul]]</f>
        <v>6.1209839312179977</v>
      </c>
      <c r="AQ226" s="83">
        <f>(Tableau1[[#This Row],[Conso HP / an
Cumul]]*0.1799)+(Tableau1[[#This Row],[Conso HC / an_x000D_
Cumul]]*0.1346)</f>
        <v>2326.1849021707317</v>
      </c>
      <c r="AR226" s="83">
        <f>Tableau1[[#This Row],[Conso HP + HC / an_x000D_
Cumul]]*0.1599</f>
        <v>2234.1591348945694</v>
      </c>
      <c r="AS226" s="79">
        <f>MONTH(Tableau1[[#This Row],[Date]])</f>
        <v>3</v>
      </c>
      <c r="AT226" s="79">
        <f>YEAR(Tableau1[[#This Row],[Date]])</f>
        <v>2022</v>
      </c>
    </row>
    <row r="227" spans="1:46" x14ac:dyDescent="0.2">
      <c r="A227" s="74">
        <v>44629.32708333333</v>
      </c>
      <c r="B227" s="75">
        <v>8.3000000000000007</v>
      </c>
      <c r="C227" s="76">
        <f>IF(ISERROR(Tableau1[[#This Row],[Date]]-A226),"",Tableau1[[#This Row],[Date]]-A226)</f>
        <v>1.0083333333313931</v>
      </c>
      <c r="D227" s="77">
        <f>IF(ISERROR(Tableau1[[#This Row],[Date]]-A226),"",Tableau1[[#This Row],[Date]]-A226)</f>
        <v>1.0083333333313931</v>
      </c>
      <c r="E227" s="76">
        <f>Tableau1[[#This Row],[Date]]-$A$5</f>
        <v>446.61874999999418</v>
      </c>
      <c r="F227" s="77">
        <f>Tableau1[[#This Row],[Date]]-$A$5</f>
        <v>446.61874999999418</v>
      </c>
      <c r="G227" s="77">
        <f>Tableau1[[#This Row],[Diff jour_x000D_
Cumul]]-F$6</f>
        <v>408.5354166666657</v>
      </c>
      <c r="H227" s="77">
        <f>Tableau1[[#This Row],[Diff jour_x000D_
Cumul]]-F$59</f>
        <v>386.01597222221608</v>
      </c>
      <c r="I227" s="78">
        <v>191799</v>
      </c>
      <c r="J227" s="79">
        <f>IF(ISERROR(Tableau1[[#This Row],[Index HP
kWh]]-I226),"",Tableau1[[#This Row],[Index HP
kWh]]-I226)</f>
        <v>33</v>
      </c>
      <c r="K227" s="77">
        <f>IF(ISERROR(Tableau1[[#This Row],[Différence HP
Instantané]]/(Tableau1[[#This Row],[Diff jour
Instantané]]*24)),"",Tableau1[[#This Row],[Différence HP
Instantané]]/(Tableau1[[#This Row],[Diff jour
Instantané]]*24))</f>
        <v>1.3636363636389877</v>
      </c>
      <c r="L227" s="77">
        <f>Tableau1[[#This Row],[Différence HP
Instantané]]/Tableau1[[#This Row],[Diff jour
Instantané]]</f>
        <v>32.727272727335702</v>
      </c>
      <c r="M227" s="77">
        <f>Tableau1[[#This Row],[Conso HP / jour
Instantané]]*365</f>
        <v>11945.454545477531</v>
      </c>
      <c r="N227" s="79">
        <f>Tableau1[[#This Row],[Index HP
kWh]]-$I$5</f>
        <v>12040</v>
      </c>
      <c r="O227" s="80">
        <f>Tableau1[[#This Row],[Différence HP
Cumul]]/(Tableau1[[#This Row],[Diff jour_x000D_
Cumul]]*24)</f>
        <v>1.1232548267771409</v>
      </c>
      <c r="P227" s="80">
        <f>Tableau1[[#This Row],[Différence HP
Cumul]]/Tableau1[[#This Row],[Diff jour_x000D_
Cumul]]</f>
        <v>26.958115842651381</v>
      </c>
      <c r="Q227" s="80">
        <f>Tableau1[[#This Row],[Conso HP / jour
Cumul]]*365</f>
        <v>9839.7122825677543</v>
      </c>
      <c r="R227" s="78">
        <v>124498</v>
      </c>
      <c r="S227" s="79">
        <f>Tableau1[[#This Row],[Index HC_x000D_
kWh]]-R226</f>
        <v>15</v>
      </c>
      <c r="T227" s="81">
        <f>Tableau1[[#This Row],[Différence_x000D_ HC
Instantané]]/(Tableau1[[#This Row],[Diff jour
Instantané]]*24)</f>
        <v>0.6198347107449943</v>
      </c>
      <c r="U227" s="81">
        <f>Tableau1[[#This Row],[Différence_x000D_ HC
Instantané]]/Tableau1[[#This Row],[Diff jour
Instantané]]</f>
        <v>14.876033057879864</v>
      </c>
      <c r="V227" s="81">
        <f>Tableau1[[#This Row],[Conso HC / jour_x000D_
Instantané]]*365</f>
        <v>5429.7520661261506</v>
      </c>
      <c r="W227" s="79">
        <f>Tableau1[[#This Row],[Index HC_x000D_
kWh]]-$R$5</f>
        <v>5066</v>
      </c>
      <c r="X227" s="82">
        <f>Tableau1[[#This Row],[Différence HC
Cumul]]/(Tableau1[[#This Row],[Diff jour_x000D_
Cumul]]*24)</f>
        <v>0.47262532827682691</v>
      </c>
      <c r="Y227" s="82">
        <f>Tableau1[[#This Row],[Différence HC
Cumul]]/Tableau1[[#This Row],[Diff jour_x000D_
Cumul]]</f>
        <v>11.343007878643846</v>
      </c>
      <c r="Z227" s="82">
        <f>Tableau1[[#This Row],[Conso HC / jour_x000D_
Cumul]]*365</f>
        <v>4140.1978757050038</v>
      </c>
      <c r="AA227" s="79">
        <f>Tableau1[[#This Row],[Différence HP
Instantané]]+Tableau1[[#This Row],[Différence_x000D_ HC
Instantané]]</f>
        <v>48</v>
      </c>
      <c r="AB227" s="80">
        <f>Tableau1[[#This Row],[Conso HP + HC
Instantané]]/(Tableau1[[#This Row],[Diff jour
Instantané]]*24)</f>
        <v>1.9834710743839818</v>
      </c>
      <c r="AC227" s="80">
        <f>IF(ISERROR(Tableau1[[#This Row],[Date]]-A226),"",Tableau1[[#This Row],[Conso HP + HC
Instantané]]/Tableau1[[#This Row],[Diff jour
Instantané]])</f>
        <v>47.603305785215568</v>
      </c>
      <c r="AD227" s="80">
        <f>Tableau1[[#This Row],[Conso HP + HC / jour_x000D_
Instantané]]*365</f>
        <v>17375.206611603684</v>
      </c>
      <c r="AE227" s="79">
        <f>Tableau1[[#This Row],[Différence HP
Cumul]]+Tableau1[[#This Row],[Différence HC
Cumul]]</f>
        <v>17106</v>
      </c>
      <c r="AF227" s="77">
        <f>(Tableau1[[#This Row],[Conso HP + HC
Cumul]]-AE$6)/Tableau1[[#This Row],[Diff jour_x000D_
Cumul
depuis le 24/01]]</f>
        <v>35.578310733973581</v>
      </c>
      <c r="AG227" s="77">
        <f>(Tableau1[[#This Row],[Conso HP + HC
Cumul]]-AE$59)/Tableau1[[#This Row],[Diff jour_x000D_
Cumul
depuis
précédente facture
16/02/2021]]</f>
        <v>33.49343273432536</v>
      </c>
      <c r="AH227" s="80">
        <f>Tableau1[[#This Row],[Conso HP + HC
Cumul]]/(Tableau1[[#This Row],[Diff jour_x000D_
Cumul]]*24)</f>
        <v>1.5958801550539679</v>
      </c>
      <c r="AI227" s="80">
        <f>Tableau1[[#This Row],[Conso HP + HC
Cumul]]/Tableau1[[#This Row],[Diff jour_x000D_
Cumul]]</f>
        <v>38.301123721295227</v>
      </c>
      <c r="AJ227" s="80">
        <f>Tableau1[[#This Row],[Conso HP + HC / jour_x000D_
Cumul]]*365</f>
        <v>13979.910158272758</v>
      </c>
      <c r="AK227" s="83">
        <f>(Tableau1[[#This Row],[Différence HP
Cumul]]*0.1799)+(Tableau1[[#This Row],[Différence HC
Cumul]]*0.1346)</f>
        <v>2847.8796000000002</v>
      </c>
      <c r="AL227" s="83">
        <f>Tableau1[[#This Row],[Montant
Tarif HP/HC]]/Tableau1[[#This Row],[Diff jour_x000D_
Cumul]]</f>
        <v>6.3765339005584458</v>
      </c>
      <c r="AM227" s="83">
        <f>(Tableau1[[#This Row],[Montant
Tarif HP/HC]]-AK$6)/Tableau1[[#This Row],[Diff jour_x000D_
Cumul
depuis le 24/01]]</f>
        <v>5.9320536265215829</v>
      </c>
      <c r="AN227" s="83">
        <f>(Tableau1[[#This Row],[Montant
Tarif HP/HC]]-AK$59)/Tableau1[[#This Row],[Diff jour_x000D_
Cumul
depuis
précédente facture
16/02/2021]]</f>
        <v>5.5850440270355275</v>
      </c>
      <c r="AO227" s="83">
        <f>Tableau1[[#This Row],[Conso HP + HC
Cumul]]*0.1599</f>
        <v>2735.2493999999997</v>
      </c>
      <c r="AP227" s="83">
        <f>Tableau1[[#This Row],[Montant
Tarif normal]]/Tableau1[[#This Row],[Diff jour_x000D_
Cumul]]</f>
        <v>6.1243496830351063</v>
      </c>
      <c r="AQ227" s="83">
        <f>(Tableau1[[#This Row],[Conso HP / an
Cumul]]*0.1799)+(Tableau1[[#This Row],[Conso HC / an_x000D_
Cumul]]*0.1346)</f>
        <v>2327.4348737038326</v>
      </c>
      <c r="AR227" s="83">
        <f>Tableau1[[#This Row],[Conso HP + HC / an_x000D_
Cumul]]*0.1599</f>
        <v>2235.3876343078136</v>
      </c>
      <c r="AS227" s="79">
        <f>MONTH(Tableau1[[#This Row],[Date]])</f>
        <v>3</v>
      </c>
      <c r="AT227" s="79">
        <f>YEAR(Tableau1[[#This Row],[Date]])</f>
        <v>2022</v>
      </c>
    </row>
    <row r="228" spans="1:46" x14ac:dyDescent="0.2">
      <c r="A228" s="74">
        <v>44630.350694444445</v>
      </c>
      <c r="B228" s="75">
        <v>9.1999999999999993</v>
      </c>
      <c r="C228" s="76">
        <f>IF(ISERROR(Tableau1[[#This Row],[Date]]-A227),"",Tableau1[[#This Row],[Date]]-A227)</f>
        <v>1.023611111115315</v>
      </c>
      <c r="D228" s="77">
        <f>IF(ISERROR(Tableau1[[#This Row],[Date]]-A227),"",Tableau1[[#This Row],[Date]]-A227)</f>
        <v>1.023611111115315</v>
      </c>
      <c r="E228" s="76">
        <f>Tableau1[[#This Row],[Date]]-$A$5</f>
        <v>447.64236111110949</v>
      </c>
      <c r="F228" s="77">
        <f>Tableau1[[#This Row],[Date]]-$A$5</f>
        <v>447.64236111110949</v>
      </c>
      <c r="G228" s="77">
        <f>Tableau1[[#This Row],[Diff jour_x000D_
Cumul]]-F$6</f>
        <v>409.55902777778101</v>
      </c>
      <c r="H228" s="77">
        <f>Tableau1[[#This Row],[Diff jour_x000D_
Cumul]]-F$59</f>
        <v>387.03958333333139</v>
      </c>
      <c r="I228" s="78">
        <v>191826</v>
      </c>
      <c r="J228" s="79">
        <f>IF(ISERROR(Tableau1[[#This Row],[Index HP
kWh]]-I227),"",Tableau1[[#This Row],[Index HP
kWh]]-I227)</f>
        <v>27</v>
      </c>
      <c r="K228" s="77">
        <f>IF(ISERROR(Tableau1[[#This Row],[Différence HP
Instantané]]/(Tableau1[[#This Row],[Diff jour
Instantané]]*24)),"",Tableau1[[#This Row],[Différence HP
Instantané]]/(Tableau1[[#This Row],[Diff jour
Instantané]]*24))</f>
        <v>1.0990502035233018</v>
      </c>
      <c r="L228" s="77">
        <f>Tableau1[[#This Row],[Différence HP
Instantané]]/Tableau1[[#This Row],[Diff jour
Instantané]]</f>
        <v>26.377204884559241</v>
      </c>
      <c r="M228" s="77">
        <f>Tableau1[[#This Row],[Conso HP / jour
Instantané]]*365</f>
        <v>9627.6797828641229</v>
      </c>
      <c r="N228" s="79">
        <f>Tableau1[[#This Row],[Index HP
kWh]]-$I$5</f>
        <v>12067</v>
      </c>
      <c r="O228" s="80">
        <f>Tableau1[[#This Row],[Différence HP
Cumul]]/(Tableau1[[#This Row],[Diff jour_x000D_
Cumul]]*24)</f>
        <v>1.1231994787505568</v>
      </c>
      <c r="P228" s="80">
        <f>Tableau1[[#This Row],[Différence HP
Cumul]]/Tableau1[[#This Row],[Diff jour_x000D_
Cumul]]</f>
        <v>26.956787490013362</v>
      </c>
      <c r="Q228" s="80">
        <f>Tableau1[[#This Row],[Conso HP / jour
Cumul]]*365</f>
        <v>9839.2274338548777</v>
      </c>
      <c r="R228" s="78">
        <v>124510</v>
      </c>
      <c r="S228" s="79">
        <f>Tableau1[[#This Row],[Index HC_x000D_
kWh]]-R227</f>
        <v>12</v>
      </c>
      <c r="T228" s="81">
        <f>Tableau1[[#This Row],[Différence_x000D_ HC
Instantané]]/(Tableau1[[#This Row],[Diff jour
Instantané]]*24)</f>
        <v>0.48846675712146742</v>
      </c>
      <c r="U228" s="81">
        <f>Tableau1[[#This Row],[Différence_x000D_ HC
Instantané]]/Tableau1[[#This Row],[Diff jour
Instantané]]</f>
        <v>11.723202170915219</v>
      </c>
      <c r="V228" s="81">
        <f>Tableau1[[#This Row],[Conso HC / jour_x000D_
Instantané]]*365</f>
        <v>4278.9687923840547</v>
      </c>
      <c r="W228" s="79">
        <f>Tableau1[[#This Row],[Index HC_x000D_
kWh]]-$R$5</f>
        <v>5078</v>
      </c>
      <c r="X228" s="82">
        <f>Tableau1[[#This Row],[Différence HC
Cumul]]/(Tableau1[[#This Row],[Diff jour_x000D_
Cumul]]*24)</f>
        <v>0.47266155242357893</v>
      </c>
      <c r="Y228" s="82">
        <f>Tableau1[[#This Row],[Différence HC
Cumul]]/Tableau1[[#This Row],[Diff jour_x000D_
Cumul]]</f>
        <v>11.343877258165895</v>
      </c>
      <c r="Z228" s="82">
        <f>Tableau1[[#This Row],[Conso HC / jour_x000D_
Cumul]]*365</f>
        <v>4140.5151992305518</v>
      </c>
      <c r="AA228" s="79">
        <f>Tableau1[[#This Row],[Différence HP
Instantané]]+Tableau1[[#This Row],[Différence_x000D_ HC
Instantané]]</f>
        <v>39</v>
      </c>
      <c r="AB228" s="80">
        <f>Tableau1[[#This Row],[Conso HP + HC
Instantané]]/(Tableau1[[#This Row],[Diff jour
Instantané]]*24)</f>
        <v>1.5875169606447692</v>
      </c>
      <c r="AC228" s="80">
        <f>IF(ISERROR(Tableau1[[#This Row],[Date]]-A227),"",Tableau1[[#This Row],[Conso HP + HC
Instantané]]/Tableau1[[#This Row],[Diff jour
Instantané]])</f>
        <v>38.100407055474463</v>
      </c>
      <c r="AD228" s="80">
        <f>Tableau1[[#This Row],[Conso HP + HC / jour_x000D_
Instantané]]*365</f>
        <v>13906.648575248179</v>
      </c>
      <c r="AE228" s="79">
        <f>Tableau1[[#This Row],[Différence HP
Cumul]]+Tableau1[[#This Row],[Différence HC
Cumul]]</f>
        <v>17145</v>
      </c>
      <c r="AF228" s="77">
        <f>(Tableau1[[#This Row],[Conso HP + HC
Cumul]]-AE$6)/Tableau1[[#This Row],[Diff jour_x000D_
Cumul
depuis le 24/01]]</f>
        <v>35.584614210744675</v>
      </c>
      <c r="AG228" s="77">
        <f>(Tableau1[[#This Row],[Conso HP + HC
Cumul]]-AE$59)/Tableau1[[#This Row],[Diff jour_x000D_
Cumul
depuis
précédente facture
16/02/2021]]</f>
        <v>33.505616888884269</v>
      </c>
      <c r="AH228" s="80">
        <f>Tableau1[[#This Row],[Conso HP + HC
Cumul]]/(Tableau1[[#This Row],[Diff jour_x000D_
Cumul]]*24)</f>
        <v>1.5958610311741357</v>
      </c>
      <c r="AI228" s="80">
        <f>Tableau1[[#This Row],[Conso HP + HC
Cumul]]/Tableau1[[#This Row],[Diff jour_x000D_
Cumul]]</f>
        <v>38.300664748179258</v>
      </c>
      <c r="AJ228" s="80">
        <f>Tableau1[[#This Row],[Conso HP + HC / jour_x000D_
Cumul]]*365</f>
        <v>13979.742633085429</v>
      </c>
      <c r="AK228" s="83">
        <f>(Tableau1[[#This Row],[Différence HP
Cumul]]*0.1799)+(Tableau1[[#This Row],[Différence HC
Cumul]]*0.1346)</f>
        <v>2854.3521000000001</v>
      </c>
      <c r="AL228" s="83">
        <f>Tableau1[[#This Row],[Montant
Tarif HP/HC]]/Tableau1[[#This Row],[Diff jour_x000D_
Cumul]]</f>
        <v>6.3764119484025334</v>
      </c>
      <c r="AM228" s="83">
        <f>(Tableau1[[#This Row],[Montant
Tarif HP/HC]]-AK$6)/Tableau1[[#This Row],[Diff jour_x000D_
Cumul
depuis le 24/01]]</f>
        <v>5.9330312243011578</v>
      </c>
      <c r="AN228" s="83">
        <f>(Tableau1[[#This Row],[Montant
Tarif HP/HC]]-AK$59)/Tableau1[[#This Row],[Diff jour_x000D_
Cumul
depuis
précédente facture
16/02/2021]]</f>
        <v>5.5869962482304523</v>
      </c>
      <c r="AO228" s="83">
        <f>Tableau1[[#This Row],[Conso HP + HC
Cumul]]*0.1599</f>
        <v>2741.4854999999998</v>
      </c>
      <c r="AP228" s="83">
        <f>Tableau1[[#This Row],[Montant
Tarif normal]]/Tableau1[[#This Row],[Diff jour_x000D_
Cumul]]</f>
        <v>6.1242762932338621</v>
      </c>
      <c r="AQ228" s="83">
        <f>(Tableau1[[#This Row],[Conso HP / an
Cumul]]*0.1799)+(Tableau1[[#This Row],[Conso HC / an_x000D_
Cumul]]*0.1346)</f>
        <v>2327.3903611669248</v>
      </c>
      <c r="AR228" s="83">
        <f>Tableau1[[#This Row],[Conso HP + HC / an_x000D_
Cumul]]*0.1599</f>
        <v>2235.3608470303598</v>
      </c>
      <c r="AS228" s="79">
        <f>MONTH(Tableau1[[#This Row],[Date]])</f>
        <v>3</v>
      </c>
      <c r="AT228" s="79">
        <f>YEAR(Tableau1[[#This Row],[Date]])</f>
        <v>2022</v>
      </c>
    </row>
    <row r="229" spans="1:46" x14ac:dyDescent="0.2">
      <c r="A229" s="74">
        <v>44631.377083333333</v>
      </c>
      <c r="B229" s="75">
        <v>10</v>
      </c>
      <c r="C229" s="76">
        <f>IF(ISERROR(Tableau1[[#This Row],[Date]]-A228),"",Tableau1[[#This Row],[Date]]-A228)</f>
        <v>1.0263888888875954</v>
      </c>
      <c r="D229" s="77">
        <f>IF(ISERROR(Tableau1[[#This Row],[Date]]-A228),"",Tableau1[[#This Row],[Date]]-A228)</f>
        <v>1.0263888888875954</v>
      </c>
      <c r="E229" s="76">
        <f>Tableau1[[#This Row],[Date]]-$A$5</f>
        <v>448.66874999999709</v>
      </c>
      <c r="F229" s="77">
        <f>Tableau1[[#This Row],[Date]]-$A$5</f>
        <v>448.66874999999709</v>
      </c>
      <c r="G229" s="77">
        <f>Tableau1[[#This Row],[Diff jour_x000D_
Cumul]]-F$6</f>
        <v>410.58541666666861</v>
      </c>
      <c r="H229" s="77">
        <f>Tableau1[[#This Row],[Diff jour_x000D_
Cumul]]-F$59</f>
        <v>388.06597222221899</v>
      </c>
      <c r="I229" s="78">
        <v>191853</v>
      </c>
      <c r="J229" s="79">
        <f>IF(ISERROR(Tableau1[[#This Row],[Index HP
kWh]]-I228),"",Tableau1[[#This Row],[Index HP
kWh]]-I228)</f>
        <v>27</v>
      </c>
      <c r="K229" s="77">
        <f>IF(ISERROR(Tableau1[[#This Row],[Différence HP
Instantané]]/(Tableau1[[#This Row],[Diff jour
Instantané]]*24)),"",Tableau1[[#This Row],[Différence HP
Instantané]]/(Tableau1[[#This Row],[Diff jour
Instantané]]*24))</f>
        <v>1.0960757780798658</v>
      </c>
      <c r="L229" s="77">
        <f>Tableau1[[#This Row],[Différence HP
Instantané]]/Tableau1[[#This Row],[Diff jour
Instantané]]</f>
        <v>26.305818673916779</v>
      </c>
      <c r="M229" s="77">
        <f>Tableau1[[#This Row],[Conso HP / jour
Instantané]]*365</f>
        <v>9601.6238159796249</v>
      </c>
      <c r="N229" s="79">
        <f>Tableau1[[#This Row],[Index HP
kWh]]-$I$5</f>
        <v>12094</v>
      </c>
      <c r="O229" s="80">
        <f>Tableau1[[#This Row],[Différence HP
Cumul]]/(Tableau1[[#This Row],[Diff jour_x000D_
Cumul]]*24)</f>
        <v>1.1231374297110506</v>
      </c>
      <c r="P229" s="80">
        <f>Tableau1[[#This Row],[Différence HP
Cumul]]/Tableau1[[#This Row],[Diff jour_x000D_
Cumul]]</f>
        <v>26.955298313065214</v>
      </c>
      <c r="Q229" s="80">
        <f>Tableau1[[#This Row],[Conso HP / jour
Cumul]]*365</f>
        <v>9838.683884268803</v>
      </c>
      <c r="R229" s="78">
        <v>124525</v>
      </c>
      <c r="S229" s="79">
        <f>Tableau1[[#This Row],[Index HC_x000D_
kWh]]-R228</f>
        <v>15</v>
      </c>
      <c r="T229" s="81">
        <f>Tableau1[[#This Row],[Différence_x000D_ HC
Instantané]]/(Tableau1[[#This Row],[Diff jour
Instantané]]*24)</f>
        <v>0.60893098782214761</v>
      </c>
      <c r="U229" s="81">
        <f>Tableau1[[#This Row],[Différence_x000D_ HC
Instantané]]/Tableau1[[#This Row],[Diff jour
Instantané]]</f>
        <v>14.614343707731544</v>
      </c>
      <c r="V229" s="81">
        <f>Tableau1[[#This Row],[Conso HC / jour_x000D_
Instantané]]*365</f>
        <v>5334.2354533220141</v>
      </c>
      <c r="W229" s="79">
        <f>Tableau1[[#This Row],[Index HC_x000D_
kWh]]-$R$5</f>
        <v>5093</v>
      </c>
      <c r="X229" s="82">
        <f>Tableau1[[#This Row],[Différence HC
Cumul]]/(Tableau1[[#This Row],[Diff jour_x000D_
Cumul]]*24)</f>
        <v>0.47297328671393918</v>
      </c>
      <c r="Y229" s="82">
        <f>Tableau1[[#This Row],[Différence HC
Cumul]]/Tableau1[[#This Row],[Diff jour_x000D_
Cumul]]</f>
        <v>11.351358881134541</v>
      </c>
      <c r="Z229" s="82">
        <f>Tableau1[[#This Row],[Conso HC / jour_x000D_
Cumul]]*365</f>
        <v>4143.245991614107</v>
      </c>
      <c r="AA229" s="79">
        <f>Tableau1[[#This Row],[Différence HP
Instantané]]+Tableau1[[#This Row],[Différence_x000D_ HC
Instantané]]</f>
        <v>42</v>
      </c>
      <c r="AB229" s="80">
        <f>Tableau1[[#This Row],[Conso HP + HC
Instantané]]/(Tableau1[[#This Row],[Diff jour
Instantané]]*24)</f>
        <v>1.7050067659020134</v>
      </c>
      <c r="AC229" s="80">
        <f>IF(ISERROR(Tableau1[[#This Row],[Date]]-A228),"",Tableau1[[#This Row],[Conso HP + HC
Instantané]]/Tableau1[[#This Row],[Diff jour
Instantané]])</f>
        <v>40.920162381648325</v>
      </c>
      <c r="AD229" s="80">
        <f>Tableau1[[#This Row],[Conso HP + HC / jour_x000D_
Instantané]]*365</f>
        <v>14935.859269301638</v>
      </c>
      <c r="AE229" s="79">
        <f>Tableau1[[#This Row],[Différence HP
Cumul]]+Tableau1[[#This Row],[Différence HC
Cumul]]</f>
        <v>17187</v>
      </c>
      <c r="AF229" s="77">
        <f>(Tableau1[[#This Row],[Conso HP + HC
Cumul]]-AE$6)/Tableau1[[#This Row],[Diff jour_x000D_
Cumul
depuis le 24/01]]</f>
        <v>35.597952111060764</v>
      </c>
      <c r="AG229" s="77">
        <f>(Tableau1[[#This Row],[Conso HP + HC
Cumul]]-AE$59)/Tableau1[[#This Row],[Diff jour_x000D_
Cumul
depuis
précédente facture
16/02/2021]]</f>
        <v>33.525227490314606</v>
      </c>
      <c r="AH229" s="80">
        <f>Tableau1[[#This Row],[Conso HP + HC
Cumul]]/(Tableau1[[#This Row],[Diff jour_x000D_
Cumul]]*24)</f>
        <v>1.5961107164249899</v>
      </c>
      <c r="AI229" s="80">
        <f>Tableau1[[#This Row],[Conso HP + HC
Cumul]]/Tableau1[[#This Row],[Diff jour_x000D_
Cumul]]</f>
        <v>38.306657194199758</v>
      </c>
      <c r="AJ229" s="80">
        <f>Tableau1[[#This Row],[Conso HP + HC / jour_x000D_
Cumul]]*365</f>
        <v>13981.929875882912</v>
      </c>
      <c r="AK229" s="83">
        <f>(Tableau1[[#This Row],[Différence HP
Cumul]]*0.1799)+(Tableau1[[#This Row],[Différence HC
Cumul]]*0.1346)</f>
        <v>2861.2284</v>
      </c>
      <c r="AL229" s="83">
        <f>Tableau1[[#This Row],[Montant
Tarif HP/HC]]/Tableau1[[#This Row],[Diff jour_x000D_
Cumul]]</f>
        <v>6.3771510719211415</v>
      </c>
      <c r="AM229" s="83">
        <f>(Tableau1[[#This Row],[Montant
Tarif HP/HC]]-AK$6)/Tableau1[[#This Row],[Diff jour_x000D_
Cumul
depuis le 24/01]]</f>
        <v>5.934947275485686</v>
      </c>
      <c r="AN229" s="83">
        <f>(Tableau1[[#This Row],[Montant
Tarif HP/HC]]-AK$59)/Tableau1[[#This Row],[Diff jour_x000D_
Cumul
depuis
précédente facture
16/02/2021]]</f>
        <v>5.5899387095908768</v>
      </c>
      <c r="AO229" s="83">
        <f>Tableau1[[#This Row],[Conso HP + HC
Cumul]]*0.1599</f>
        <v>2748.2012999999997</v>
      </c>
      <c r="AP229" s="83">
        <f>Tableau1[[#This Row],[Montant
Tarif normal]]/Tableau1[[#This Row],[Diff jour_x000D_
Cumul]]</f>
        <v>6.1252344853525402</v>
      </c>
      <c r="AQ229" s="83">
        <f>(Tableau1[[#This Row],[Conso HP / an
Cumul]]*0.1799)+(Tableau1[[#This Row],[Conso HC / an_x000D_
Cumul]]*0.1346)</f>
        <v>2327.6601412512164</v>
      </c>
      <c r="AR229" s="83">
        <f>Tableau1[[#This Row],[Conso HP + HC / an_x000D_
Cumul]]*0.1599</f>
        <v>2235.7105871536774</v>
      </c>
      <c r="AS229" s="79">
        <f>MONTH(Tableau1[[#This Row],[Date]])</f>
        <v>3</v>
      </c>
      <c r="AT229" s="79">
        <f>YEAR(Tableau1[[#This Row],[Date]])</f>
        <v>2022</v>
      </c>
    </row>
    <row r="230" spans="1:46" x14ac:dyDescent="0.2">
      <c r="A230" s="74">
        <v>44632.318055555559</v>
      </c>
      <c r="B230" s="75">
        <v>6.8</v>
      </c>
      <c r="C230" s="76">
        <f>IF(ISERROR(Tableau1[[#This Row],[Date]]-A229),"",Tableau1[[#This Row],[Date]]-A229)</f>
        <v>0.94097222222626442</v>
      </c>
      <c r="D230" s="77">
        <f>IF(ISERROR(Tableau1[[#This Row],[Date]]-A229),"",Tableau1[[#This Row],[Date]]-A229)</f>
        <v>0.94097222222626442</v>
      </c>
      <c r="E230" s="76">
        <f>Tableau1[[#This Row],[Date]]-$A$5</f>
        <v>449.60972222222335</v>
      </c>
      <c r="F230" s="77">
        <f>Tableau1[[#This Row],[Date]]-$A$5</f>
        <v>449.60972222222335</v>
      </c>
      <c r="G230" s="77">
        <f>Tableau1[[#This Row],[Diff jour_x000D_
Cumul]]-F$6</f>
        <v>411.52638888889487</v>
      </c>
      <c r="H230" s="77">
        <f>Tableau1[[#This Row],[Diff jour_x000D_
Cumul]]-F$59</f>
        <v>389.00694444444525</v>
      </c>
      <c r="I230" s="78">
        <v>191879</v>
      </c>
      <c r="J230" s="79">
        <f>IF(ISERROR(Tableau1[[#This Row],[Index HP
kWh]]-I229),"",Tableau1[[#This Row],[Index HP
kWh]]-I229)</f>
        <v>26</v>
      </c>
      <c r="K230" s="77">
        <f>IF(ISERROR(Tableau1[[#This Row],[Différence HP
Instantané]]/(Tableau1[[#This Row],[Diff jour
Instantané]]*24)),"",Tableau1[[#This Row],[Différence HP
Instantané]]/(Tableau1[[#This Row],[Diff jour
Instantané]]*24))</f>
        <v>1.1512915129101835</v>
      </c>
      <c r="L230" s="77">
        <f>Tableau1[[#This Row],[Différence HP
Instantané]]/Tableau1[[#This Row],[Diff jour
Instantané]]</f>
        <v>27.630996309844402</v>
      </c>
      <c r="M230" s="77">
        <f>Tableau1[[#This Row],[Conso HP / jour
Instantané]]*365</f>
        <v>10085.313653093206</v>
      </c>
      <c r="N230" s="79">
        <f>Tableau1[[#This Row],[Index HP
kWh]]-$I$5</f>
        <v>12120</v>
      </c>
      <c r="O230" s="80">
        <f>Tableau1[[#This Row],[Différence HP
Cumul]]/(Tableau1[[#This Row],[Diff jour_x000D_
Cumul]]*24)</f>
        <v>1.123196352392041</v>
      </c>
      <c r="P230" s="80">
        <f>Tableau1[[#This Row],[Différence HP
Cumul]]/Tableau1[[#This Row],[Diff jour_x000D_
Cumul]]</f>
        <v>26.95671245740898</v>
      </c>
      <c r="Q230" s="80">
        <f>Tableau1[[#This Row],[Conso HP / jour
Cumul]]*365</f>
        <v>9839.2000469542782</v>
      </c>
      <c r="R230" s="78">
        <v>124538</v>
      </c>
      <c r="S230" s="79">
        <f>Tableau1[[#This Row],[Index HC_x000D_
kWh]]-R229</f>
        <v>13</v>
      </c>
      <c r="T230" s="81">
        <f>Tableau1[[#This Row],[Différence_x000D_ HC
Instantané]]/(Tableau1[[#This Row],[Diff jour
Instantané]]*24)</f>
        <v>0.57564575645509175</v>
      </c>
      <c r="U230" s="81">
        <f>Tableau1[[#This Row],[Différence_x000D_ HC
Instantané]]/Tableau1[[#This Row],[Diff jour
Instantané]]</f>
        <v>13.815498154922201</v>
      </c>
      <c r="V230" s="81">
        <f>Tableau1[[#This Row],[Conso HC / jour_x000D_
Instantané]]*365</f>
        <v>5042.656826546603</v>
      </c>
      <c r="W230" s="79">
        <f>Tableau1[[#This Row],[Index HC_x000D_
kWh]]-$R$5</f>
        <v>5106</v>
      </c>
      <c r="X230" s="82">
        <f>Tableau1[[#This Row],[Différence HC
Cumul]]/(Tableau1[[#This Row],[Diff jour_x000D_
Cumul]]*24)</f>
        <v>0.47318816628001326</v>
      </c>
      <c r="Y230" s="82">
        <f>Tableau1[[#This Row],[Différence HC
Cumul]]/Tableau1[[#This Row],[Diff jour_x000D_
Cumul]]</f>
        <v>11.356515990720318</v>
      </c>
      <c r="Z230" s="82">
        <f>Tableau1[[#This Row],[Conso HC / jour_x000D_
Cumul]]*365</f>
        <v>4145.1283366129164</v>
      </c>
      <c r="AA230" s="79">
        <f>Tableau1[[#This Row],[Différence HP
Instantané]]+Tableau1[[#This Row],[Différence_x000D_ HC
Instantané]]</f>
        <v>39</v>
      </c>
      <c r="AB230" s="80">
        <f>Tableau1[[#This Row],[Conso HP + HC
Instantané]]/(Tableau1[[#This Row],[Diff jour
Instantané]]*24)</f>
        <v>1.7269372693652751</v>
      </c>
      <c r="AC230" s="80">
        <f>IF(ISERROR(Tableau1[[#This Row],[Date]]-A229),"",Tableau1[[#This Row],[Conso HP + HC
Instantané]]/Tableau1[[#This Row],[Diff jour
Instantané]])</f>
        <v>41.446494464766602</v>
      </c>
      <c r="AD230" s="80">
        <f>Tableau1[[#This Row],[Conso HP + HC / jour_x000D_
Instantané]]*365</f>
        <v>15127.970479639809</v>
      </c>
      <c r="AE230" s="79">
        <f>Tableau1[[#This Row],[Différence HP
Cumul]]+Tableau1[[#This Row],[Différence HC
Cumul]]</f>
        <v>17226</v>
      </c>
      <c r="AF230" s="77">
        <f>(Tableau1[[#This Row],[Conso HP + HC
Cumul]]-AE$6)/Tableau1[[#This Row],[Diff jour_x000D_
Cumul
depuis le 24/01]]</f>
        <v>35.611325046658429</v>
      </c>
      <c r="AG230" s="77">
        <f>(Tableau1[[#This Row],[Conso HP + HC
Cumul]]-AE$59)/Tableau1[[#This Row],[Diff jour_x000D_
Cumul
depuis
précédente facture
16/02/2021]]</f>
        <v>33.544388310691325</v>
      </c>
      <c r="AH230" s="80">
        <f>Tableau1[[#This Row],[Conso HP + HC
Cumul]]/(Tableau1[[#This Row],[Diff jour_x000D_
Cumul]]*24)</f>
        <v>1.5963845186720542</v>
      </c>
      <c r="AI230" s="80">
        <f>Tableau1[[#This Row],[Conso HP + HC
Cumul]]/Tableau1[[#This Row],[Diff jour_x000D_
Cumul]]</f>
        <v>38.313228448129301</v>
      </c>
      <c r="AJ230" s="80">
        <f>Tableau1[[#This Row],[Conso HP + HC / jour_x000D_
Cumul]]*365</f>
        <v>13984.328383567195</v>
      </c>
      <c r="AK230" s="83">
        <f>(Tableau1[[#This Row],[Différence HP
Cumul]]*0.1799)+(Tableau1[[#This Row],[Différence HC
Cumul]]*0.1346)</f>
        <v>2867.6556</v>
      </c>
      <c r="AL230" s="83">
        <f>Tableau1[[#This Row],[Montant
Tarif HP/HC]]/Tableau1[[#This Row],[Diff jour_x000D_
Cumul]]</f>
        <v>6.378099623438831</v>
      </c>
      <c r="AM230" s="83">
        <f>(Tableau1[[#This Row],[Montant
Tarif HP/HC]]-AK$6)/Tableau1[[#This Row],[Diff jour_x000D_
Cumul
depuis le 24/01]]</f>
        <v>5.936994724923049</v>
      </c>
      <c r="AN230" s="83">
        <f>(Tableau1[[#This Row],[Montant
Tarif HP/HC]]-AK$59)/Tableau1[[#This Row],[Diff jour_x000D_
Cumul
depuis
précédente facture
16/02/2021]]</f>
        <v>5.5929392291625639</v>
      </c>
      <c r="AO230" s="83">
        <f>Tableau1[[#This Row],[Conso HP + HC
Cumul]]*0.1599</f>
        <v>2754.4373999999998</v>
      </c>
      <c r="AP230" s="83">
        <f>Tableau1[[#This Row],[Montant
Tarif normal]]/Tableau1[[#This Row],[Diff jour_x000D_
Cumul]]</f>
        <v>6.1262852288558749</v>
      </c>
      <c r="AQ230" s="83">
        <f>(Tableau1[[#This Row],[Conso HP / an
Cumul]]*0.1799)+(Tableau1[[#This Row],[Conso HC / an_x000D_
Cumul]]*0.1346)</f>
        <v>2328.0063625551734</v>
      </c>
      <c r="AR230" s="83">
        <f>Tableau1[[#This Row],[Conso HP + HC / an_x000D_
Cumul]]*0.1599</f>
        <v>2236.0941085323943</v>
      </c>
      <c r="AS230" s="79">
        <f>MONTH(Tableau1[[#This Row],[Date]])</f>
        <v>3</v>
      </c>
      <c r="AT230" s="79">
        <f>YEAR(Tableau1[[#This Row],[Date]])</f>
        <v>2022</v>
      </c>
    </row>
    <row r="231" spans="1:46" x14ac:dyDescent="0.2">
      <c r="A231" s="74">
        <v>44633.4</v>
      </c>
      <c r="B231" s="75"/>
      <c r="C231" s="76">
        <f>IF(ISERROR(Tableau1[[#This Row],[Date]]-A230),"",Tableau1[[#This Row],[Date]]-A230)</f>
        <v>1.0819444444423425</v>
      </c>
      <c r="D231" s="77">
        <f>IF(ISERROR(Tableau1[[#This Row],[Date]]-A230),"",Tableau1[[#This Row],[Date]]-A230)</f>
        <v>1.0819444444423425</v>
      </c>
      <c r="E231" s="76">
        <f>Tableau1[[#This Row],[Date]]-$A$5</f>
        <v>450.6916666666657</v>
      </c>
      <c r="F231" s="77">
        <f>Tableau1[[#This Row],[Date]]-$A$5</f>
        <v>450.6916666666657</v>
      </c>
      <c r="G231" s="77">
        <f>Tableau1[[#This Row],[Diff jour_x000D_
Cumul]]-F$6</f>
        <v>412.60833333333721</v>
      </c>
      <c r="H231" s="77">
        <f>Tableau1[[#This Row],[Diff jour_x000D_
Cumul]]-F$59</f>
        <v>390.0888888888876</v>
      </c>
      <c r="I231" s="78">
        <v>191910</v>
      </c>
      <c r="J231" s="79">
        <f>IF(ISERROR(Tableau1[[#This Row],[Index HP
kWh]]-I230),"",Tableau1[[#This Row],[Index HP
kWh]]-I230)</f>
        <v>31</v>
      </c>
      <c r="K231" s="77">
        <f>IF(ISERROR(Tableau1[[#This Row],[Différence HP
Instantané]]/(Tableau1[[#This Row],[Diff jour
Instantané]]*24)),"",Tableau1[[#This Row],[Différence HP
Instantané]]/(Tableau1[[#This Row],[Diff jour
Instantané]]*24))</f>
        <v>1.1938382541743346</v>
      </c>
      <c r="L231" s="77">
        <f>Tableau1[[#This Row],[Différence HP
Instantané]]/Tableau1[[#This Row],[Diff jour
Instantané]]</f>
        <v>28.652118100184033</v>
      </c>
      <c r="M231" s="77">
        <f>Tableau1[[#This Row],[Conso HP / jour
Instantané]]*365</f>
        <v>10458.023106567172</v>
      </c>
      <c r="N231" s="79">
        <f>Tableau1[[#This Row],[Index HP
kWh]]-$I$5</f>
        <v>12151</v>
      </c>
      <c r="O231" s="80">
        <f>Tableau1[[#This Row],[Différence HP
Cumul]]/(Tableau1[[#This Row],[Diff jour_x000D_
Cumul]]*24)</f>
        <v>1.1233659375404494</v>
      </c>
      <c r="P231" s="80">
        <f>Tableau1[[#This Row],[Différence HP
Cumul]]/Tableau1[[#This Row],[Diff jour_x000D_
Cumul]]</f>
        <v>26.960782500970787</v>
      </c>
      <c r="Q231" s="80">
        <f>Tableau1[[#This Row],[Conso HP / jour
Cumul]]*365</f>
        <v>9840.6856128543368</v>
      </c>
      <c r="R231" s="78">
        <v>124553</v>
      </c>
      <c r="S231" s="79">
        <f>Tableau1[[#This Row],[Index HC_x000D_
kWh]]-R230</f>
        <v>15</v>
      </c>
      <c r="T231" s="81">
        <f>Tableau1[[#This Row],[Différence_x000D_ HC
Instantané]]/(Tableau1[[#This Row],[Diff jour
Instantané]]*24)</f>
        <v>0.57766367137467811</v>
      </c>
      <c r="U231" s="81">
        <f>Tableau1[[#This Row],[Différence_x000D_ HC
Instantané]]/Tableau1[[#This Row],[Diff jour
Instantané]]</f>
        <v>13.863928112992275</v>
      </c>
      <c r="V231" s="81">
        <f>Tableau1[[#This Row],[Conso HC / jour_x000D_
Instantané]]*365</f>
        <v>5060.3337612421801</v>
      </c>
      <c r="W231" s="79">
        <f>Tableau1[[#This Row],[Index HC_x000D_
kWh]]-$R$5</f>
        <v>5121</v>
      </c>
      <c r="X231" s="82">
        <f>Tableau1[[#This Row],[Différence HC
Cumul]]/(Tableau1[[#This Row],[Diff jour_x000D_
Cumul]]*24)</f>
        <v>0.4734389734297294</v>
      </c>
      <c r="Y231" s="82">
        <f>Tableau1[[#This Row],[Différence HC
Cumul]]/Tableau1[[#This Row],[Diff jour_x000D_
Cumul]]</f>
        <v>11.362535362313505</v>
      </c>
      <c r="Z231" s="82">
        <f>Tableau1[[#This Row],[Conso HC / jour_x000D_
Cumul]]*365</f>
        <v>4147.3254072444297</v>
      </c>
      <c r="AA231" s="79">
        <f>Tableau1[[#This Row],[Différence HP
Instantané]]+Tableau1[[#This Row],[Différence_x000D_ HC
Instantané]]</f>
        <v>46</v>
      </c>
      <c r="AB231" s="80">
        <f>Tableau1[[#This Row],[Conso HP + HC
Instantané]]/(Tableau1[[#This Row],[Diff jour
Instantané]]*24)</f>
        <v>1.7715019255490128</v>
      </c>
      <c r="AC231" s="80">
        <f>IF(ISERROR(Tableau1[[#This Row],[Date]]-A230),"",Tableau1[[#This Row],[Conso HP + HC
Instantané]]/Tableau1[[#This Row],[Diff jour
Instantané]])</f>
        <v>42.51604621317631</v>
      </c>
      <c r="AD231" s="80">
        <f>Tableau1[[#This Row],[Conso HP + HC / jour_x000D_
Instantané]]*365</f>
        <v>15518.356867809352</v>
      </c>
      <c r="AE231" s="79">
        <f>Tableau1[[#This Row],[Différence HP
Cumul]]+Tableau1[[#This Row],[Différence HC
Cumul]]</f>
        <v>17272</v>
      </c>
      <c r="AF231" s="77">
        <f>(Tableau1[[#This Row],[Conso HP + HC
Cumul]]-AE$6)/Tableau1[[#This Row],[Diff jour_x000D_
Cumul
depuis le 24/01]]</f>
        <v>35.629430654575231</v>
      </c>
      <c r="AG231" s="77">
        <f>(Tableau1[[#This Row],[Conso HP + HC
Cumul]]-AE$59)/Tableau1[[#This Row],[Diff jour_x000D_
Cumul
depuis
précédente facture
16/02/2021]]</f>
        <v>33.569271960806766</v>
      </c>
      <c r="AH231" s="80">
        <f>Tableau1[[#This Row],[Conso HP + HC
Cumul]]/(Tableau1[[#This Row],[Diff jour_x000D_
Cumul]]*24)</f>
        <v>1.596804910970179</v>
      </c>
      <c r="AI231" s="80">
        <f>Tableau1[[#This Row],[Conso HP + HC
Cumul]]/Tableau1[[#This Row],[Diff jour_x000D_
Cumul]]</f>
        <v>38.323317863284295</v>
      </c>
      <c r="AJ231" s="80">
        <f>Tableau1[[#This Row],[Conso HP + HC / jour_x000D_
Cumul]]*365</f>
        <v>13988.011020098767</v>
      </c>
      <c r="AK231" s="83">
        <f>(Tableau1[[#This Row],[Différence HP
Cumul]]*0.1799)+(Tableau1[[#This Row],[Différence HC
Cumul]]*0.1346)</f>
        <v>2875.2514999999999</v>
      </c>
      <c r="AL231" s="83">
        <f>Tableau1[[#This Row],[Montant
Tarif HP/HC]]/Tableau1[[#This Row],[Diff jour_x000D_
Cumul]]</f>
        <v>6.3796420316920424</v>
      </c>
      <c r="AM231" s="83">
        <f>(Tableau1[[#This Row],[Montant
Tarif HP/HC]]-AK$6)/Tableau1[[#This Row],[Diff jour_x000D_
Cumul
depuis le 24/01]]</f>
        <v>5.9398361642396384</v>
      </c>
      <c r="AN231" s="83">
        <f>(Tableau1[[#This Row],[Montant
Tarif HP/HC]]-AK$59)/Tableau1[[#This Row],[Diff jour_x000D_
Cumul
depuis
précédente facture
16/02/2021]]</f>
        <v>5.5968989688959958</v>
      </c>
      <c r="AO231" s="83">
        <f>Tableau1[[#This Row],[Conso HP + HC
Cumul]]*0.1599</f>
        <v>2761.7927999999997</v>
      </c>
      <c r="AP231" s="83">
        <f>Tableau1[[#This Row],[Montant
Tarif normal]]/Tableau1[[#This Row],[Diff jour_x000D_
Cumul]]</f>
        <v>6.1278985263391581</v>
      </c>
      <c r="AQ231" s="83">
        <f>(Tableau1[[#This Row],[Conso HP / an
Cumul]]*0.1799)+(Tableau1[[#This Row],[Conso HC / an_x000D_
Cumul]]*0.1346)</f>
        <v>2328.5693415675955</v>
      </c>
      <c r="AR231" s="83">
        <f>Tableau1[[#This Row],[Conso HP + HC / an_x000D_
Cumul]]*0.1599</f>
        <v>2236.6829621137927</v>
      </c>
      <c r="AS231" s="79">
        <f>MONTH(Tableau1[[#This Row],[Date]])</f>
        <v>3</v>
      </c>
      <c r="AT231" s="79">
        <f>YEAR(Tableau1[[#This Row],[Date]])</f>
        <v>2022</v>
      </c>
    </row>
    <row r="232" spans="1:46" x14ac:dyDescent="0.2">
      <c r="A232" s="74">
        <v>44634.325694444444</v>
      </c>
      <c r="B232" s="75"/>
      <c r="C232" s="76">
        <f>IF(ISERROR(Tableau1[[#This Row],[Date]]-A231),"",Tableau1[[#This Row],[Date]]-A231)</f>
        <v>0.9256944444423425</v>
      </c>
      <c r="D232" s="77">
        <f>IF(ISERROR(Tableau1[[#This Row],[Date]]-A231),"",Tableau1[[#This Row],[Date]]-A231)</f>
        <v>0.9256944444423425</v>
      </c>
      <c r="E232" s="76">
        <f>Tableau1[[#This Row],[Date]]-$A$5</f>
        <v>451.61736111110804</v>
      </c>
      <c r="F232" s="77">
        <f>Tableau1[[#This Row],[Date]]-$A$5</f>
        <v>451.61736111110804</v>
      </c>
      <c r="G232" s="77">
        <f>Tableau1[[#This Row],[Diff jour_x000D_
Cumul]]-F$6</f>
        <v>413.53402777777956</v>
      </c>
      <c r="H232" s="77">
        <f>Tableau1[[#This Row],[Diff jour_x000D_
Cumul]]-F$59</f>
        <v>391.01458333332994</v>
      </c>
      <c r="I232" s="78">
        <v>191941</v>
      </c>
      <c r="J232" s="79">
        <f>IF(ISERROR(Tableau1[[#This Row],[Index HP
kWh]]-I231),"",Tableau1[[#This Row],[Index HP
kWh]]-I231)</f>
        <v>31</v>
      </c>
      <c r="K232" s="77">
        <f>IF(ISERROR(Tableau1[[#This Row],[Différence HP
Instantané]]/(Tableau1[[#This Row],[Diff jour
Instantané]]*24)),"",Tableau1[[#This Row],[Différence HP
Instantané]]/(Tableau1[[#This Row],[Diff jour
Instantané]]*24))</f>
        <v>1.3953488372124707</v>
      </c>
      <c r="L232" s="77">
        <f>Tableau1[[#This Row],[Différence HP
Instantané]]/Tableau1[[#This Row],[Diff jour
Instantané]]</f>
        <v>33.488372093099294</v>
      </c>
      <c r="M232" s="77">
        <f>Tableau1[[#This Row],[Conso HP / jour
Instantané]]*365</f>
        <v>12223.255813981243</v>
      </c>
      <c r="N232" s="79">
        <f>Tableau1[[#This Row],[Index HP
kWh]]-$I$5</f>
        <v>12182</v>
      </c>
      <c r="O232" s="80">
        <f>Tableau1[[#This Row],[Différence HP
Cumul]]/(Tableau1[[#This Row],[Diff jour_x000D_
Cumul]]*24)</f>
        <v>1.1239234295256786</v>
      </c>
      <c r="P232" s="80">
        <f>Tableau1[[#This Row],[Différence HP
Cumul]]/Tableau1[[#This Row],[Diff jour_x000D_
Cumul]]</f>
        <v>26.974162308616283</v>
      </c>
      <c r="Q232" s="80">
        <f>Tableau1[[#This Row],[Conso HP / jour
Cumul]]*365</f>
        <v>9845.5692426449423</v>
      </c>
      <c r="R232" s="78">
        <v>124573</v>
      </c>
      <c r="S232" s="79">
        <f>Tableau1[[#This Row],[Index HC_x000D_
kWh]]-R231</f>
        <v>20</v>
      </c>
      <c r="T232" s="81">
        <f>Tableau1[[#This Row],[Différence_x000D_ HC
Instantané]]/(Tableau1[[#This Row],[Diff jour
Instantané]]*24)</f>
        <v>0.90022505626611016</v>
      </c>
      <c r="U232" s="81">
        <f>Tableau1[[#This Row],[Différence_x000D_ HC
Instantané]]/Tableau1[[#This Row],[Diff jour
Instantané]]</f>
        <v>21.605401350386643</v>
      </c>
      <c r="V232" s="81">
        <f>Tableau1[[#This Row],[Conso HC / jour_x000D_
Instantané]]*365</f>
        <v>7885.9714928911244</v>
      </c>
      <c r="W232" s="79">
        <f>Tableau1[[#This Row],[Index HC_x000D_
kWh]]-$R$5</f>
        <v>5141</v>
      </c>
      <c r="X232" s="82">
        <f>Tableau1[[#This Row],[Différence HC
Cumul]]/(Tableau1[[#This Row],[Diff jour_x000D_
Cumul]]*24)</f>
        <v>0.47431377041467027</v>
      </c>
      <c r="Y232" s="82">
        <f>Tableau1[[#This Row],[Différence HC
Cumul]]/Tableau1[[#This Row],[Diff jour_x000D_
Cumul]]</f>
        <v>11.383530489952086</v>
      </c>
      <c r="Z232" s="82">
        <f>Tableau1[[#This Row],[Conso HC / jour_x000D_
Cumul]]*365</f>
        <v>4154.9886288325115</v>
      </c>
      <c r="AA232" s="79">
        <f>Tableau1[[#This Row],[Différence HP
Instantané]]+Tableau1[[#This Row],[Différence_x000D_ HC
Instantané]]</f>
        <v>51</v>
      </c>
      <c r="AB232" s="80">
        <f>Tableau1[[#This Row],[Conso HP + HC
Instantané]]/(Tableau1[[#This Row],[Diff jour
Instantané]]*24)</f>
        <v>2.295573893478581</v>
      </c>
      <c r="AC232" s="80">
        <f>IF(ISERROR(Tableau1[[#This Row],[Date]]-A231),"",Tableau1[[#This Row],[Conso HP + HC
Instantané]]/Tableau1[[#This Row],[Diff jour
Instantané]])</f>
        <v>55.093773443485937</v>
      </c>
      <c r="AD232" s="80">
        <f>Tableau1[[#This Row],[Conso HP + HC / jour_x000D_
Instantané]]*365</f>
        <v>20109.227306872366</v>
      </c>
      <c r="AE232" s="79">
        <f>Tableau1[[#This Row],[Différence HP
Cumul]]+Tableau1[[#This Row],[Différence HC
Cumul]]</f>
        <v>17323</v>
      </c>
      <c r="AF232" s="77">
        <f>(Tableau1[[#This Row],[Conso HP + HC
Cumul]]-AE$6)/Tableau1[[#This Row],[Diff jour_x000D_
Cumul
depuis le 24/01]]</f>
        <v>35.673001516400653</v>
      </c>
      <c r="AG232" s="77">
        <f>(Tableau1[[#This Row],[Conso HP + HC
Cumul]]-AE$59)/Tableau1[[#This Row],[Diff jour_x000D_
Cumul
depuis
précédente facture
16/02/2021]]</f>
        <v>33.6202294245209</v>
      </c>
      <c r="AH232" s="80">
        <f>Tableau1[[#This Row],[Conso HP + HC
Cumul]]/(Tableau1[[#This Row],[Diff jour_x000D_
Cumul]]*24)</f>
        <v>1.5982371999403489</v>
      </c>
      <c r="AI232" s="80">
        <f>Tableau1[[#This Row],[Conso HP + HC
Cumul]]/Tableau1[[#This Row],[Diff jour_x000D_
Cumul]]</f>
        <v>38.357692798568372</v>
      </c>
      <c r="AJ232" s="80">
        <f>Tableau1[[#This Row],[Conso HP + HC / jour_x000D_
Cumul]]*365</f>
        <v>14000.557871477457</v>
      </c>
      <c r="AK232" s="83">
        <f>(Tableau1[[#This Row],[Différence HP
Cumul]]*0.1799)+(Tableau1[[#This Row],[Différence HC
Cumul]]*0.1346)</f>
        <v>2883.5203999999999</v>
      </c>
      <c r="AL232" s="83">
        <f>Tableau1[[#This Row],[Montant
Tarif HP/HC]]/Tableau1[[#This Row],[Diff jour_x000D_
Cumul]]</f>
        <v>6.38487500326762</v>
      </c>
      <c r="AM232" s="83">
        <f>(Tableau1[[#This Row],[Montant
Tarif HP/HC]]-AK$6)/Tableau1[[#This Row],[Diff jour_x000D_
Cumul
depuis le 24/01]]</f>
        <v>5.9465355564922016</v>
      </c>
      <c r="AN232" s="83">
        <f>(Tableau1[[#This Row],[Montant
Tarif HP/HC]]-AK$59)/Tableau1[[#This Row],[Diff jour_x000D_
Cumul
depuis
précédente facture
16/02/2021]]</f>
        <v>5.6047960700528492</v>
      </c>
      <c r="AO232" s="83">
        <f>Tableau1[[#This Row],[Conso HP + HC
Cumul]]*0.1599</f>
        <v>2769.9476999999997</v>
      </c>
      <c r="AP232" s="83">
        <f>Tableau1[[#This Row],[Montant
Tarif normal]]/Tableau1[[#This Row],[Diff jour_x000D_
Cumul]]</f>
        <v>6.1333950784910813</v>
      </c>
      <c r="AQ232" s="83">
        <f>(Tableau1[[#This Row],[Conso HP / an
Cumul]]*0.1799)+(Tableau1[[#This Row],[Conso HC / an_x000D_
Cumul]]*0.1346)</f>
        <v>2330.4793761926812</v>
      </c>
      <c r="AR232" s="83">
        <f>Tableau1[[#This Row],[Conso HP + HC / an_x000D_
Cumul]]*0.1599</f>
        <v>2238.689203649245</v>
      </c>
      <c r="AS232" s="79">
        <f>MONTH(Tableau1[[#This Row],[Date]])</f>
        <v>3</v>
      </c>
      <c r="AT232" s="79">
        <f>YEAR(Tableau1[[#This Row],[Date]])</f>
        <v>2022</v>
      </c>
    </row>
    <row r="233" spans="1:46" x14ac:dyDescent="0.2">
      <c r="A233" s="74">
        <v>44635.316666666666</v>
      </c>
      <c r="B233" s="75"/>
      <c r="C233" s="76">
        <f>IF(ISERROR(Tableau1[[#This Row],[Date]]-A232),"",Tableau1[[#This Row],[Date]]-A232)</f>
        <v>0.99097222222189885</v>
      </c>
      <c r="D233" s="77">
        <f>IF(ISERROR(Tableau1[[#This Row],[Date]]-A232),"",Tableau1[[#This Row],[Date]]-A232)</f>
        <v>0.99097222222189885</v>
      </c>
      <c r="E233" s="76">
        <f>Tableau1[[#This Row],[Date]]-$A$5</f>
        <v>452.60833333332994</v>
      </c>
      <c r="F233" s="77">
        <f>Tableau1[[#This Row],[Date]]-$A$5</f>
        <v>452.60833333332994</v>
      </c>
      <c r="G233" s="77">
        <f>Tableau1[[#This Row],[Diff jour_x000D_
Cumul]]-F$6</f>
        <v>414.52500000000146</v>
      </c>
      <c r="H233" s="77">
        <f>Tableau1[[#This Row],[Diff jour_x000D_
Cumul]]-F$59</f>
        <v>392.00555555555184</v>
      </c>
      <c r="I233" s="78">
        <v>191968</v>
      </c>
      <c r="J233" s="79">
        <f>IF(ISERROR(Tableau1[[#This Row],[Index HP
kWh]]-I232),"",Tableau1[[#This Row],[Index HP
kWh]]-I232)</f>
        <v>27</v>
      </c>
      <c r="K233" s="77">
        <f>IF(ISERROR(Tableau1[[#This Row],[Différence HP
Instantané]]/(Tableau1[[#This Row],[Diff jour
Instantané]]*24)),"",Tableau1[[#This Row],[Différence HP
Instantané]]/(Tableau1[[#This Row],[Diff jour
Instantané]]*24))</f>
        <v>1.1352487736513865</v>
      </c>
      <c r="L233" s="77">
        <f>Tableau1[[#This Row],[Différence HP
Instantané]]/Tableau1[[#This Row],[Diff jour
Instantané]]</f>
        <v>27.245970567633279</v>
      </c>
      <c r="M233" s="77">
        <f>Tableau1[[#This Row],[Conso HP / jour
Instantané]]*365</f>
        <v>9944.7792571861464</v>
      </c>
      <c r="N233" s="79">
        <f>Tableau1[[#This Row],[Index HP
kWh]]-$I$5</f>
        <v>12209</v>
      </c>
      <c r="O233" s="80">
        <f>Tableau1[[#This Row],[Différence HP
Cumul]]/(Tableau1[[#This Row],[Diff jour_x000D_
Cumul]]*24)</f>
        <v>1.1239482260232441</v>
      </c>
      <c r="P233" s="80">
        <f>Tableau1[[#This Row],[Différence HP
Cumul]]/Tableau1[[#This Row],[Diff jour_x000D_
Cumul]]</f>
        <v>26.974757424557858</v>
      </c>
      <c r="Q233" s="80">
        <f>Tableau1[[#This Row],[Conso HP / jour
Cumul]]*365</f>
        <v>9845.7864599636177</v>
      </c>
      <c r="R233" s="78">
        <v>124587</v>
      </c>
      <c r="S233" s="79">
        <f>Tableau1[[#This Row],[Index HC_x000D_
kWh]]-R232</f>
        <v>14</v>
      </c>
      <c r="T233" s="81">
        <f>Tableau1[[#This Row],[Différence_x000D_ HC
Instantané]]/(Tableau1[[#This Row],[Diff jour
Instantané]]*24)</f>
        <v>0.58864751226368195</v>
      </c>
      <c r="U233" s="81">
        <f>Tableau1[[#This Row],[Différence_x000D_ HC
Instantané]]/Tableau1[[#This Row],[Diff jour
Instantané]]</f>
        <v>14.127540294328366</v>
      </c>
      <c r="V233" s="81">
        <f>Tableau1[[#This Row],[Conso HC / jour_x000D_
Instantané]]*365</f>
        <v>5156.5522074298533</v>
      </c>
      <c r="W233" s="79">
        <f>Tableau1[[#This Row],[Index HC_x000D_
kWh]]-$R$5</f>
        <v>5155</v>
      </c>
      <c r="X233" s="82">
        <f>Tableau1[[#This Row],[Différence HC
Cumul]]/(Tableau1[[#This Row],[Diff jour_x000D_
Cumul]]*24)</f>
        <v>0.47456410067571658</v>
      </c>
      <c r="Y233" s="82">
        <f>Tableau1[[#This Row],[Différence HC
Cumul]]/Tableau1[[#This Row],[Diff jour_x000D_
Cumul]]</f>
        <v>11.389538416217198</v>
      </c>
      <c r="Z233" s="82">
        <f>Tableau1[[#This Row],[Conso HC / jour_x000D_
Cumul]]*365</f>
        <v>4157.1815219192767</v>
      </c>
      <c r="AA233" s="79">
        <f>Tableau1[[#This Row],[Différence HP
Instantané]]+Tableau1[[#This Row],[Différence_x000D_ HC
Instantané]]</f>
        <v>41</v>
      </c>
      <c r="AB233" s="80">
        <f>Tableau1[[#This Row],[Conso HP + HC
Instantané]]/(Tableau1[[#This Row],[Diff jour
Instantané]]*24)</f>
        <v>1.7238962859150686</v>
      </c>
      <c r="AC233" s="80">
        <f>IF(ISERROR(Tableau1[[#This Row],[Date]]-A232),"",Tableau1[[#This Row],[Conso HP + HC
Instantané]]/Tableau1[[#This Row],[Diff jour
Instantané]])</f>
        <v>41.373510861961641</v>
      </c>
      <c r="AD233" s="80">
        <f>Tableau1[[#This Row],[Conso HP + HC / jour_x000D_
Instantané]]*365</f>
        <v>15101.331464616</v>
      </c>
      <c r="AE233" s="79">
        <f>Tableau1[[#This Row],[Différence HP
Cumul]]+Tableau1[[#This Row],[Différence HC
Cumul]]</f>
        <v>17364</v>
      </c>
      <c r="AF233" s="77">
        <f>(Tableau1[[#This Row],[Conso HP + HC
Cumul]]-AE$6)/Tableau1[[#This Row],[Diff jour_x000D_
Cumul
depuis le 24/01]]</f>
        <v>35.686629274470654</v>
      </c>
      <c r="AG233" s="77">
        <f>(Tableau1[[#This Row],[Conso HP + HC
Cumul]]-AE$59)/Tableau1[[#This Row],[Diff jour_x000D_
Cumul
depuis
précédente facture
16/02/2021]]</f>
        <v>33.639829367497946</v>
      </c>
      <c r="AH233" s="80">
        <f>Tableau1[[#This Row],[Conso HP + HC
Cumul]]/(Tableau1[[#This Row],[Diff jour_x000D_
Cumul]]*24)</f>
        <v>1.5985123266989607</v>
      </c>
      <c r="AI233" s="80">
        <f>Tableau1[[#This Row],[Conso HP + HC
Cumul]]/Tableau1[[#This Row],[Diff jour_x000D_
Cumul]]</f>
        <v>38.364295840775057</v>
      </c>
      <c r="AJ233" s="80">
        <f>Tableau1[[#This Row],[Conso HP + HC / jour_x000D_
Cumul]]*365</f>
        <v>14002.967981882895</v>
      </c>
      <c r="AK233" s="83">
        <f>(Tableau1[[#This Row],[Différence HP
Cumul]]*0.1799)+(Tableau1[[#This Row],[Différence HC
Cumul]]*0.1346)</f>
        <v>2890.2620999999999</v>
      </c>
      <c r="AL233" s="83">
        <f>Tableau1[[#This Row],[Montant
Tarif HP/HC]]/Tableau1[[#This Row],[Diff jour_x000D_
Cumul]]</f>
        <v>6.3857907315007933</v>
      </c>
      <c r="AM233" s="83">
        <f>(Tableau1[[#This Row],[Montant
Tarif HP/HC]]-AK$6)/Tableau1[[#This Row],[Diff jour_x000D_
Cumul
depuis le 24/01]]</f>
        <v>5.9485833182558139</v>
      </c>
      <c r="AN233" s="83">
        <f>(Tableau1[[#This Row],[Montant
Tarif HP/HC]]-AK$59)/Tableau1[[#This Row],[Diff jour_x000D_
Cumul
depuis
précédente facture
16/02/2021]]</f>
        <v>5.6078253709556796</v>
      </c>
      <c r="AO233" s="83">
        <f>Tableau1[[#This Row],[Conso HP + HC
Cumul]]*0.1599</f>
        <v>2776.5035999999996</v>
      </c>
      <c r="AP233" s="83">
        <f>Tableau1[[#This Row],[Montant
Tarif normal]]/Tableau1[[#This Row],[Diff jour_x000D_
Cumul]]</f>
        <v>6.1344509049399303</v>
      </c>
      <c r="AQ233" s="83">
        <f>(Tableau1[[#This Row],[Conso HP / an
Cumul]]*0.1799)+(Tableau1[[#This Row],[Conso HC / an_x000D_
Cumul]]*0.1346)</f>
        <v>2330.8136169977897</v>
      </c>
      <c r="AR233" s="83">
        <f>Tableau1[[#This Row],[Conso HP + HC / an_x000D_
Cumul]]*0.1599</f>
        <v>2239.074580303075</v>
      </c>
      <c r="AS233" s="79">
        <f>MONTH(Tableau1[[#This Row],[Date]])</f>
        <v>3</v>
      </c>
      <c r="AT233" s="79">
        <f>YEAR(Tableau1[[#This Row],[Date]])</f>
        <v>2022</v>
      </c>
    </row>
    <row r="234" spans="1:46" x14ac:dyDescent="0.2">
      <c r="A234" s="74">
        <v>44636.319444444445</v>
      </c>
      <c r="B234" s="75"/>
      <c r="C234" s="76">
        <f>IF(ISERROR(Tableau1[[#This Row],[Date]]-A233),"",Tableau1[[#This Row],[Date]]-A233)</f>
        <v>1.0027777777795563</v>
      </c>
      <c r="D234" s="77">
        <f>IF(ISERROR(Tableau1[[#This Row],[Date]]-A233),"",Tableau1[[#This Row],[Date]]-A233)</f>
        <v>1.0027777777795563</v>
      </c>
      <c r="E234" s="76">
        <f>Tableau1[[#This Row],[Date]]-$A$5</f>
        <v>453.61111111110949</v>
      </c>
      <c r="F234" s="77">
        <f>Tableau1[[#This Row],[Date]]-$A$5</f>
        <v>453.61111111110949</v>
      </c>
      <c r="G234" s="77">
        <f>Tableau1[[#This Row],[Diff jour_x000D_
Cumul]]-F$6</f>
        <v>415.52777777778101</v>
      </c>
      <c r="H234" s="77">
        <f>Tableau1[[#This Row],[Diff jour_x000D_
Cumul]]-F$59</f>
        <v>393.00833333333139</v>
      </c>
      <c r="I234" s="78">
        <v>191988</v>
      </c>
      <c r="J234" s="79">
        <f>IF(ISERROR(Tableau1[[#This Row],[Index HP
kWh]]-I233),"",Tableau1[[#This Row],[Index HP
kWh]]-I233)</f>
        <v>20</v>
      </c>
      <c r="K234" s="77">
        <f>IF(ISERROR(Tableau1[[#This Row],[Différence HP
Instantané]]/(Tableau1[[#This Row],[Diff jour
Instantané]]*24)),"",Tableau1[[#This Row],[Différence HP
Instantané]]/(Tableau1[[#This Row],[Diff jour
Instantané]]*24))</f>
        <v>0.83102493074644845</v>
      </c>
      <c r="L234" s="77">
        <f>Tableau1[[#This Row],[Différence HP
Instantané]]/Tableau1[[#This Row],[Diff jour
Instantané]]</f>
        <v>19.944598337914766</v>
      </c>
      <c r="M234" s="77">
        <f>Tableau1[[#This Row],[Conso HP / jour
Instantané]]*365</f>
        <v>7279.7783933388891</v>
      </c>
      <c r="N234" s="79">
        <f>Tableau1[[#This Row],[Index HP
kWh]]-$I$5</f>
        <v>12229</v>
      </c>
      <c r="O234" s="80">
        <f>Tableau1[[#This Row],[Différence HP
Cumul]]/(Tableau1[[#This Row],[Diff jour_x000D_
Cumul]]*24)</f>
        <v>1.1233006736068625</v>
      </c>
      <c r="P234" s="80">
        <f>Tableau1[[#This Row],[Différence HP
Cumul]]/Tableau1[[#This Row],[Diff jour_x000D_
Cumul]]</f>
        <v>26.959216166564701</v>
      </c>
      <c r="Q234" s="80">
        <f>Tableau1[[#This Row],[Conso HP / jour
Cumul]]*365</f>
        <v>9840.1139007961156</v>
      </c>
      <c r="R234" s="78">
        <v>124600</v>
      </c>
      <c r="S234" s="79">
        <f>Tableau1[[#This Row],[Index HC_x000D_
kWh]]-R233</f>
        <v>13</v>
      </c>
      <c r="T234" s="81">
        <f>Tableau1[[#This Row],[Différence_x000D_ HC
Instantané]]/(Tableau1[[#This Row],[Diff jour
Instantané]]*24)</f>
        <v>0.54016620498519152</v>
      </c>
      <c r="U234" s="81">
        <f>Tableau1[[#This Row],[Différence_x000D_ HC
Instantané]]/Tableau1[[#This Row],[Diff jour
Instantané]]</f>
        <v>12.963988919644597</v>
      </c>
      <c r="V234" s="81">
        <f>Tableau1[[#This Row],[Conso HC / jour_x000D_
Instantané]]*365</f>
        <v>4731.8559556702785</v>
      </c>
      <c r="W234" s="79">
        <f>Tableau1[[#This Row],[Index HC_x000D_
kWh]]-$R$5</f>
        <v>5168</v>
      </c>
      <c r="X234" s="82">
        <f>Tableau1[[#This Row],[Différence HC
Cumul]]/(Tableau1[[#This Row],[Diff jour_x000D_
Cumul]]*24)</f>
        <v>0.47470912431108558</v>
      </c>
      <c r="Y234" s="82">
        <f>Tableau1[[#This Row],[Différence HC
Cumul]]/Tableau1[[#This Row],[Diff jour_x000D_
Cumul]]</f>
        <v>11.393018983466055</v>
      </c>
      <c r="Z234" s="82">
        <f>Tableau1[[#This Row],[Conso HC / jour_x000D_
Cumul]]*365</f>
        <v>4158.4519289651098</v>
      </c>
      <c r="AA234" s="79">
        <f>Tableau1[[#This Row],[Différence HP
Instantané]]+Tableau1[[#This Row],[Différence_x000D_ HC
Instantané]]</f>
        <v>33</v>
      </c>
      <c r="AB234" s="80">
        <f>Tableau1[[#This Row],[Conso HP + HC
Instantané]]/(Tableau1[[#This Row],[Diff jour
Instantané]]*24)</f>
        <v>1.37119113573164</v>
      </c>
      <c r="AC234" s="80">
        <f>IF(ISERROR(Tableau1[[#This Row],[Date]]-A233),"",Tableau1[[#This Row],[Conso HP + HC
Instantané]]/Tableau1[[#This Row],[Diff jour
Instantané]])</f>
        <v>32.908587257559361</v>
      </c>
      <c r="AD234" s="80">
        <f>Tableau1[[#This Row],[Conso HP + HC / jour_x000D_
Instantané]]*365</f>
        <v>12011.634349009168</v>
      </c>
      <c r="AE234" s="79">
        <f>Tableau1[[#This Row],[Différence HP
Cumul]]+Tableau1[[#This Row],[Différence HC
Cumul]]</f>
        <v>17397</v>
      </c>
      <c r="AF234" s="77">
        <f>(Tableau1[[#This Row],[Conso HP + HC
Cumul]]-AE$6)/Tableau1[[#This Row],[Diff jour_x000D_
Cumul
depuis le 24/01]]</f>
        <v>35.679925128684793</v>
      </c>
      <c r="AG234" s="77">
        <f>(Tableau1[[#This Row],[Conso HP + HC
Cumul]]-AE$59)/Tableau1[[#This Row],[Diff jour_x000D_
Cumul
depuis
précédente facture
16/02/2021]]</f>
        <v>33.637963571595343</v>
      </c>
      <c r="AH234" s="80">
        <f>Tableau1[[#This Row],[Conso HP + HC
Cumul]]/(Tableau1[[#This Row],[Diff jour_x000D_
Cumul]]*24)</f>
        <v>1.5980097979179482</v>
      </c>
      <c r="AI234" s="80">
        <f>Tableau1[[#This Row],[Conso HP + HC
Cumul]]/Tableau1[[#This Row],[Diff jour_x000D_
Cumul]]</f>
        <v>38.352235150030758</v>
      </c>
      <c r="AJ234" s="80">
        <f>Tableau1[[#This Row],[Conso HP + HC / jour_x000D_
Cumul]]*365</f>
        <v>13998.565829761226</v>
      </c>
      <c r="AK234" s="83">
        <f>(Tableau1[[#This Row],[Différence HP
Cumul]]*0.1799)+(Tableau1[[#This Row],[Différence HC
Cumul]]*0.1346)</f>
        <v>2895.6098999999999</v>
      </c>
      <c r="AL234" s="83">
        <f>Tableau1[[#This Row],[Montant
Tarif HP/HC]]/Tableau1[[#This Row],[Diff jour_x000D_
Cumul]]</f>
        <v>6.3834633435395203</v>
      </c>
      <c r="AM234" s="83">
        <f>(Tableau1[[#This Row],[Montant
Tarif HP/HC]]-AK$6)/Tableau1[[#This Row],[Diff jour_x000D_
Cumul
depuis le 24/01]]</f>
        <v>5.9470977204358118</v>
      </c>
      <c r="AN234" s="83">
        <f>(Tableau1[[#This Row],[Montant
Tarif HP/HC]]-AK$59)/Tableau1[[#This Row],[Diff jour_x000D_
Cumul
depuis
précédente facture
16/02/2021]]</f>
        <v>5.6071241067831741</v>
      </c>
      <c r="AO234" s="83">
        <f>Tableau1[[#This Row],[Conso HP + HC
Cumul]]*0.1599</f>
        <v>2781.7802999999999</v>
      </c>
      <c r="AP234" s="83">
        <f>Tableau1[[#This Row],[Montant
Tarif normal]]/Tableau1[[#This Row],[Diff jour_x000D_
Cumul]]</f>
        <v>6.1325224004899175</v>
      </c>
      <c r="AQ234" s="83">
        <f>(Tableau1[[#This Row],[Conso HP / an
Cumul]]*0.1799)+(Tableau1[[#This Row],[Conso HC / an_x000D_
Cumul]]*0.1346)</f>
        <v>2329.964120391925</v>
      </c>
      <c r="AR234" s="83">
        <f>Tableau1[[#This Row],[Conso HP + HC / an_x000D_
Cumul]]*0.1599</f>
        <v>2238.3706761788198</v>
      </c>
      <c r="AS234" s="79">
        <f>MONTH(Tableau1[[#This Row],[Date]])</f>
        <v>3</v>
      </c>
      <c r="AT234" s="79">
        <f>YEAR(Tableau1[[#This Row],[Date]])</f>
        <v>2022</v>
      </c>
    </row>
    <row r="235" spans="1:46" x14ac:dyDescent="0.2">
      <c r="A235" s="74">
        <v>44637.433333333334</v>
      </c>
      <c r="B235" s="75"/>
      <c r="C235" s="76">
        <f>IF(ISERROR(Tableau1[[#This Row],[Date]]-A234),"",Tableau1[[#This Row],[Date]]-A234)</f>
        <v>1.1138888888890506</v>
      </c>
      <c r="D235" s="77">
        <f>IF(ISERROR(Tableau1[[#This Row],[Date]]-A234),"",Tableau1[[#This Row],[Date]]-A234)</f>
        <v>1.1138888888890506</v>
      </c>
      <c r="E235" s="76">
        <f>Tableau1[[#This Row],[Date]]-$A$5</f>
        <v>454.72499999999854</v>
      </c>
      <c r="F235" s="77">
        <f>Tableau1[[#This Row],[Date]]-$A$5</f>
        <v>454.72499999999854</v>
      </c>
      <c r="G235" s="77">
        <f>Tableau1[[#This Row],[Diff jour_x000D_
Cumul]]-F$6</f>
        <v>416.64166666667006</v>
      </c>
      <c r="H235" s="77">
        <f>Tableau1[[#This Row],[Diff jour_x000D_
Cumul]]-F$59</f>
        <v>394.12222222222044</v>
      </c>
      <c r="I235" s="78">
        <v>192020</v>
      </c>
      <c r="J235" s="79">
        <f>IF(ISERROR(Tableau1[[#This Row],[Index HP
kWh]]-I234),"",Tableau1[[#This Row],[Index HP
kWh]]-I234)</f>
        <v>32</v>
      </c>
      <c r="K235" s="77">
        <f>IF(ISERROR(Tableau1[[#This Row],[Différence HP
Instantané]]/(Tableau1[[#This Row],[Diff jour
Instantané]]*24)),"",Tableau1[[#This Row],[Différence HP
Instantané]]/(Tableau1[[#This Row],[Diff jour
Instantané]]*24))</f>
        <v>1.1970074812965843</v>
      </c>
      <c r="L235" s="77">
        <f>Tableau1[[#This Row],[Différence HP
Instantané]]/Tableau1[[#This Row],[Diff jour
Instantané]]</f>
        <v>28.728179551118025</v>
      </c>
      <c r="M235" s="77">
        <f>Tableau1[[#This Row],[Conso HP / jour
Instantané]]*365</f>
        <v>10485.785536158079</v>
      </c>
      <c r="N235" s="79">
        <f>Tableau1[[#This Row],[Index HP
kWh]]-$I$5</f>
        <v>12261</v>
      </c>
      <c r="O235" s="80">
        <f>Tableau1[[#This Row],[Différence HP
Cumul]]/(Tableau1[[#This Row],[Diff jour_x000D_
Cumul]]*24)</f>
        <v>1.1234812249161616</v>
      </c>
      <c r="P235" s="80">
        <f>Tableau1[[#This Row],[Différence HP
Cumul]]/Tableau1[[#This Row],[Diff jour_x000D_
Cumul]]</f>
        <v>26.96354939798788</v>
      </c>
      <c r="Q235" s="80">
        <f>Tableau1[[#This Row],[Conso HP / jour
Cumul]]*365</f>
        <v>9841.6955302655751</v>
      </c>
      <c r="R235" s="78">
        <v>124615</v>
      </c>
      <c r="S235" s="79">
        <f>Tableau1[[#This Row],[Index HC_x000D_
kWh]]-R234</f>
        <v>15</v>
      </c>
      <c r="T235" s="81">
        <f>Tableau1[[#This Row],[Différence_x000D_ HC
Instantané]]/(Tableau1[[#This Row],[Diff jour
Instantané]]*24)</f>
        <v>0.5610972568577739</v>
      </c>
      <c r="U235" s="81">
        <f>Tableau1[[#This Row],[Différence_x000D_ HC
Instantané]]/Tableau1[[#This Row],[Diff jour
Instantané]]</f>
        <v>13.466334164586574</v>
      </c>
      <c r="V235" s="81">
        <f>Tableau1[[#This Row],[Conso HC / jour_x000D_
Instantané]]*365</f>
        <v>4915.2119700740996</v>
      </c>
      <c r="W235" s="79">
        <f>Tableau1[[#This Row],[Index HC_x000D_
kWh]]-$R$5</f>
        <v>5183</v>
      </c>
      <c r="X235" s="82">
        <f>Tableau1[[#This Row],[Différence HC
Cumul]]/(Tableau1[[#This Row],[Diff jour_x000D_
Cumul]]*24)</f>
        <v>0.47492073964117659</v>
      </c>
      <c r="Y235" s="82">
        <f>Tableau1[[#This Row],[Différence HC
Cumul]]/Tableau1[[#This Row],[Diff jour_x000D_
Cumul]]</f>
        <v>11.398097751388239</v>
      </c>
      <c r="Z235" s="82">
        <f>Tableau1[[#This Row],[Conso HC / jour_x000D_
Cumul]]*365</f>
        <v>4160.3056792567068</v>
      </c>
      <c r="AA235" s="79">
        <f>Tableau1[[#This Row],[Différence HP
Instantané]]+Tableau1[[#This Row],[Différence_x000D_ HC
Instantané]]</f>
        <v>47</v>
      </c>
      <c r="AB235" s="80">
        <f>Tableau1[[#This Row],[Conso HP + HC
Instantané]]/(Tableau1[[#This Row],[Diff jour
Instantané]]*24)</f>
        <v>1.7581047381543582</v>
      </c>
      <c r="AC235" s="80">
        <f>IF(ISERROR(Tableau1[[#This Row],[Date]]-A234),"",Tableau1[[#This Row],[Conso HP + HC
Instantané]]/Tableau1[[#This Row],[Diff jour
Instantané]])</f>
        <v>42.194513715704595</v>
      </c>
      <c r="AD235" s="80">
        <f>Tableau1[[#This Row],[Conso HP + HC / jour_x000D_
Instantané]]*365</f>
        <v>15400.997506232177</v>
      </c>
      <c r="AE235" s="79">
        <f>Tableau1[[#This Row],[Différence HP
Cumul]]+Tableau1[[#This Row],[Différence HC
Cumul]]</f>
        <v>17444</v>
      </c>
      <c r="AF235" s="77">
        <f>(Tableau1[[#This Row],[Conso HP + HC
Cumul]]-AE$6)/Tableau1[[#This Row],[Diff jour_x000D_
Cumul
depuis le 24/01]]</f>
        <v>35.697341840510141</v>
      </c>
      <c r="AG235" s="77">
        <f>(Tableau1[[#This Row],[Conso HP + HC
Cumul]]-AE$59)/Tableau1[[#This Row],[Diff jour_x000D_
Cumul
depuis
précédente facture
16/02/2021]]</f>
        <v>33.662146542245928</v>
      </c>
      <c r="AH235" s="80">
        <f>Tableau1[[#This Row],[Conso HP + HC
Cumul]]/(Tableau1[[#This Row],[Diff jour_x000D_
Cumul]]*24)</f>
        <v>1.5984019645573384</v>
      </c>
      <c r="AI235" s="80">
        <f>Tableau1[[#This Row],[Conso HP + HC
Cumul]]/Tableau1[[#This Row],[Diff jour_x000D_
Cumul]]</f>
        <v>38.361647149376118</v>
      </c>
      <c r="AJ235" s="80">
        <f>Tableau1[[#This Row],[Conso HP + HC / jour_x000D_
Cumul]]*365</f>
        <v>14002.001209522283</v>
      </c>
      <c r="AK235" s="83">
        <f>(Tableau1[[#This Row],[Différence HP
Cumul]]*0.1799)+(Tableau1[[#This Row],[Différence HC
Cumul]]*0.1346)</f>
        <v>2903.3857000000003</v>
      </c>
      <c r="AL235" s="83">
        <f>Tableau1[[#This Row],[Montant
Tarif HP/HC]]/Tableau1[[#This Row],[Diff jour_x000D_
Cumul]]</f>
        <v>6.3849264940348771</v>
      </c>
      <c r="AM235" s="83">
        <f>(Tableau1[[#This Row],[Montant
Tarif HP/HC]]-AK$6)/Tableau1[[#This Row],[Diff jour_x000D_
Cumul
depuis le 24/01]]</f>
        <v>5.9498612316738528</v>
      </c>
      <c r="AN235" s="83">
        <f>(Tableau1[[#This Row],[Montant
Tarif HP/HC]]-AK$59)/Tableau1[[#This Row],[Diff jour_x000D_
Cumul
depuis
précédente facture
16/02/2021]]</f>
        <v>5.6110063714020164</v>
      </c>
      <c r="AO235" s="83">
        <f>Tableau1[[#This Row],[Conso HP + HC
Cumul]]*0.1599</f>
        <v>2789.2955999999999</v>
      </c>
      <c r="AP235" s="83">
        <f>Tableau1[[#This Row],[Montant
Tarif normal]]/Tableau1[[#This Row],[Diff jour_x000D_
Cumul]]</f>
        <v>6.1340273791852411</v>
      </c>
      <c r="AQ235" s="83">
        <f>(Tableau1[[#This Row],[Conso HP / an
Cumul]]*0.1799)+(Tableau1[[#This Row],[Conso HC / an_x000D_
Cumul]]*0.1346)</f>
        <v>2330.4981703227295</v>
      </c>
      <c r="AR235" s="83">
        <f>Tableau1[[#This Row],[Conso HP + HC / an_x000D_
Cumul]]*0.1599</f>
        <v>2238.9199934026128</v>
      </c>
      <c r="AS235" s="79">
        <f>MONTH(Tableau1[[#This Row],[Date]])</f>
        <v>3</v>
      </c>
      <c r="AT235" s="79">
        <f>YEAR(Tableau1[[#This Row],[Date]])</f>
        <v>2022</v>
      </c>
    </row>
    <row r="236" spans="1:46" x14ac:dyDescent="0.2">
      <c r="A236" s="74">
        <v>44638.349305555559</v>
      </c>
      <c r="B236" s="75"/>
      <c r="C236" s="76">
        <f>IF(ISERROR(Tableau1[[#This Row],[Date]]-A235),"",Tableau1[[#This Row],[Date]]-A235)</f>
        <v>0.91597222222480923</v>
      </c>
      <c r="D236" s="77">
        <f>IF(ISERROR(Tableau1[[#This Row],[Date]]-A235),"",Tableau1[[#This Row],[Date]]-A235)</f>
        <v>0.91597222222480923</v>
      </c>
      <c r="E236" s="76">
        <f>Tableau1[[#This Row],[Date]]-$A$5</f>
        <v>455.64097222222335</v>
      </c>
      <c r="F236" s="77">
        <f>Tableau1[[#This Row],[Date]]-$A$5</f>
        <v>455.64097222222335</v>
      </c>
      <c r="G236" s="77">
        <f>Tableau1[[#This Row],[Diff jour_x000D_
Cumul]]-F$6</f>
        <v>417.55763888889487</v>
      </c>
      <c r="H236" s="77">
        <f>Tableau1[[#This Row],[Diff jour_x000D_
Cumul]]-F$59</f>
        <v>395.03819444444525</v>
      </c>
      <c r="I236" s="78">
        <v>192049</v>
      </c>
      <c r="J236" s="79">
        <f>IF(ISERROR(Tableau1[[#This Row],[Index HP
kWh]]-I235),"",Tableau1[[#This Row],[Index HP
kWh]]-I235)</f>
        <v>29</v>
      </c>
      <c r="K236" s="77">
        <f>IF(ISERROR(Tableau1[[#This Row],[Différence HP
Instantané]]/(Tableau1[[#This Row],[Diff jour
Instantané]]*24)),"",Tableau1[[#This Row],[Différence HP
Instantané]]/(Tableau1[[#This Row],[Diff jour
Instantané]]*24))</f>
        <v>1.3191811978734538</v>
      </c>
      <c r="L236" s="77">
        <f>Tableau1[[#This Row],[Différence HP
Instantané]]/Tableau1[[#This Row],[Diff jour
Instantané]]</f>
        <v>31.660348748962893</v>
      </c>
      <c r="M236" s="77">
        <f>Tableau1[[#This Row],[Conso HP / jour
Instantané]]*365</f>
        <v>11556.027293371455</v>
      </c>
      <c r="N236" s="79">
        <f>Tableau1[[#This Row],[Index HP
kWh]]-$I$5</f>
        <v>12290</v>
      </c>
      <c r="O236" s="80">
        <f>Tableau1[[#This Row],[Différence HP
Cumul]]/(Tableau1[[#This Row],[Diff jour_x000D_
Cumul]]*24)</f>
        <v>1.123874639358776</v>
      </c>
      <c r="P236" s="80">
        <f>Tableau1[[#This Row],[Différence HP
Cumul]]/Tableau1[[#This Row],[Diff jour_x000D_
Cumul]]</f>
        <v>26.972991344610623</v>
      </c>
      <c r="Q236" s="80">
        <f>Tableau1[[#This Row],[Conso HP / jour
Cumul]]*365</f>
        <v>9845.1418407828769</v>
      </c>
      <c r="R236" s="78">
        <v>124635</v>
      </c>
      <c r="S236" s="79">
        <f>Tableau1[[#This Row],[Index HC_x000D_
kWh]]-R235</f>
        <v>20</v>
      </c>
      <c r="T236" s="81">
        <f>Tableau1[[#This Row],[Différence_x000D_ HC
Instantané]]/(Tableau1[[#This Row],[Diff jour
Instantané]]*24)</f>
        <v>0.90978013646445099</v>
      </c>
      <c r="U236" s="81">
        <f>Tableau1[[#This Row],[Différence_x000D_ HC
Instantané]]/Tableau1[[#This Row],[Diff jour
Instantané]]</f>
        <v>21.834723275146821</v>
      </c>
      <c r="V236" s="81">
        <f>Tableau1[[#This Row],[Conso HC / jour_x000D_
Instantané]]*365</f>
        <v>7969.6739954285895</v>
      </c>
      <c r="W236" s="79">
        <f>Tableau1[[#This Row],[Index HC_x000D_
kWh]]-$R$5</f>
        <v>5203</v>
      </c>
      <c r="X236" s="82">
        <f>Tableau1[[#This Row],[Différence HC
Cumul]]/(Tableau1[[#This Row],[Diff jour_x000D_
Cumul]]*24)</f>
        <v>0.47579493479118889</v>
      </c>
      <c r="Y236" s="82">
        <f>Tableau1[[#This Row],[Différence HC
Cumul]]/Tableau1[[#This Row],[Diff jour_x000D_
Cumul]]</f>
        <v>11.419078434988533</v>
      </c>
      <c r="Z236" s="82">
        <f>Tableau1[[#This Row],[Conso HC / jour_x000D_
Cumul]]*365</f>
        <v>4167.9636287708145</v>
      </c>
      <c r="AA236" s="79">
        <f>Tableau1[[#This Row],[Différence HP
Instantané]]+Tableau1[[#This Row],[Différence_x000D_ HC
Instantané]]</f>
        <v>49</v>
      </c>
      <c r="AB236" s="80">
        <f>Tableau1[[#This Row],[Conso HP + HC
Instantané]]/(Tableau1[[#This Row],[Diff jour
Instantané]]*24)</f>
        <v>2.2289613343379049</v>
      </c>
      <c r="AC236" s="80">
        <f>IF(ISERROR(Tableau1[[#This Row],[Date]]-A235),"",Tableau1[[#This Row],[Conso HP + HC
Instantané]]/Tableau1[[#This Row],[Diff jour
Instantané]])</f>
        <v>53.495072024109717</v>
      </c>
      <c r="AD236" s="80">
        <f>Tableau1[[#This Row],[Conso HP + HC / jour_x000D_
Instantané]]*365</f>
        <v>19525.701288800046</v>
      </c>
      <c r="AE236" s="79">
        <f>Tableau1[[#This Row],[Différence HP
Cumul]]+Tableau1[[#This Row],[Différence HC
Cumul]]</f>
        <v>17493</v>
      </c>
      <c r="AF236" s="77">
        <f>(Tableau1[[#This Row],[Conso HP + HC
Cumul]]-AE$6)/Tableau1[[#This Row],[Diff jour_x000D_
Cumul
depuis le 24/01]]</f>
        <v>35.736383699522008</v>
      </c>
      <c r="AG236" s="77">
        <f>(Tableau1[[#This Row],[Conso HP + HC
Cumul]]-AE$59)/Tableau1[[#This Row],[Diff jour_x000D_
Cumul
depuis
précédente facture
16/02/2021]]</f>
        <v>33.708133004016773</v>
      </c>
      <c r="AH236" s="80">
        <f>Tableau1[[#This Row],[Conso HP + HC
Cumul]]/(Tableau1[[#This Row],[Diff jour_x000D_
Cumul]]*24)</f>
        <v>1.5996695741499649</v>
      </c>
      <c r="AI236" s="80">
        <f>Tableau1[[#This Row],[Conso HP + HC
Cumul]]/Tableau1[[#This Row],[Diff jour_x000D_
Cumul]]</f>
        <v>38.392069779599154</v>
      </c>
      <c r="AJ236" s="80">
        <f>Tableau1[[#This Row],[Conso HP + HC / jour_x000D_
Cumul]]*365</f>
        <v>14013.105469553691</v>
      </c>
      <c r="AK236" s="83">
        <f>(Tableau1[[#This Row],[Différence HP
Cumul]]*0.1799)+(Tableau1[[#This Row],[Différence HC
Cumul]]*0.1346)</f>
        <v>2911.2948000000001</v>
      </c>
      <c r="AL236" s="83">
        <f>Tableau1[[#This Row],[Montant
Tarif HP/HC]]/Tableau1[[#This Row],[Diff jour_x000D_
Cumul]]</f>
        <v>6.3894491002449083</v>
      </c>
      <c r="AM236" s="83">
        <f>(Tableau1[[#This Row],[Montant
Tarif HP/HC]]-AK$6)/Tableau1[[#This Row],[Diff jour_x000D_
Cumul
depuis le 24/01]]</f>
        <v>5.955750699753608</v>
      </c>
      <c r="AN236" s="83">
        <f>(Tableau1[[#This Row],[Montant
Tarif HP/HC]]-AK$59)/Tableau1[[#This Row],[Diff jour_x000D_
Cumul
depuis
précédente facture
16/02/2021]]</f>
        <v>5.6180172732945888</v>
      </c>
      <c r="AO236" s="83">
        <f>Tableau1[[#This Row],[Conso HP + HC
Cumul]]*0.1599</f>
        <v>2797.1306999999997</v>
      </c>
      <c r="AP236" s="83">
        <f>Tableau1[[#This Row],[Montant
Tarif normal]]/Tableau1[[#This Row],[Diff jour_x000D_
Cumul]]</f>
        <v>6.1388919577579042</v>
      </c>
      <c r="AQ236" s="83">
        <f>(Tableau1[[#This Row],[Conso HP / an
Cumul]]*0.1799)+(Tableau1[[#This Row],[Conso HC / an_x000D_
Cumul]]*0.1346)</f>
        <v>2332.1489215893912</v>
      </c>
      <c r="AR236" s="83">
        <f>Tableau1[[#This Row],[Conso HP + HC / an_x000D_
Cumul]]*0.1599</f>
        <v>2240.6955645816352</v>
      </c>
      <c r="AS236" s="79">
        <f>MONTH(Tableau1[[#This Row],[Date]])</f>
        <v>3</v>
      </c>
      <c r="AT236" s="79">
        <f>YEAR(Tableau1[[#This Row],[Date]])</f>
        <v>2022</v>
      </c>
    </row>
    <row r="237" spans="1:46" x14ac:dyDescent="0.2">
      <c r="A237" s="74">
        <v>44639.329861111109</v>
      </c>
      <c r="B237" s="75"/>
      <c r="C237" s="76">
        <f>IF(ISERROR(Tableau1[[#This Row],[Date]]-A236),"",Tableau1[[#This Row],[Date]]-A236)</f>
        <v>0.98055555555038154</v>
      </c>
      <c r="D237" s="77">
        <f>IF(ISERROR(Tableau1[[#This Row],[Date]]-A236),"",Tableau1[[#This Row],[Date]]-A236)</f>
        <v>0.98055555555038154</v>
      </c>
      <c r="E237" s="76">
        <f>Tableau1[[#This Row],[Date]]-$A$5</f>
        <v>456.62152777777374</v>
      </c>
      <c r="F237" s="77">
        <f>Tableau1[[#This Row],[Date]]-$A$5</f>
        <v>456.62152777777374</v>
      </c>
      <c r="G237" s="77">
        <f>Tableau1[[#This Row],[Diff jour_x000D_
Cumul]]-F$6</f>
        <v>418.53819444444525</v>
      </c>
      <c r="H237" s="77">
        <f>Tableau1[[#This Row],[Diff jour_x000D_
Cumul]]-F$59</f>
        <v>396.01874999999563</v>
      </c>
      <c r="I237" s="78">
        <v>192080</v>
      </c>
      <c r="J237" s="79">
        <f>IF(ISERROR(Tableau1[[#This Row],[Index HP
kWh]]-I236),"",Tableau1[[#This Row],[Index HP
kWh]]-I236)</f>
        <v>31</v>
      </c>
      <c r="K237" s="77">
        <f>IF(ISERROR(Tableau1[[#This Row],[Différence HP
Instantané]]/(Tableau1[[#This Row],[Diff jour
Instantané]]*24)),"",Tableau1[[#This Row],[Différence HP
Instantané]]/(Tableau1[[#This Row],[Diff jour
Instantané]]*24))</f>
        <v>1.3172804532647411</v>
      </c>
      <c r="L237" s="77">
        <f>Tableau1[[#This Row],[Différence HP
Instantané]]/Tableau1[[#This Row],[Diff jour
Instantané]]</f>
        <v>31.614730878353786</v>
      </c>
      <c r="M237" s="77">
        <f>Tableau1[[#This Row],[Conso HP / jour
Instantané]]*365</f>
        <v>11539.376770599132</v>
      </c>
      <c r="N237" s="79">
        <f>Tableau1[[#This Row],[Index HP
kWh]]-$I$5</f>
        <v>12321</v>
      </c>
      <c r="O237" s="80">
        <f>Tableau1[[#This Row],[Différence HP
Cumul]]/(Tableau1[[#This Row],[Diff jour_x000D_
Cumul]]*24)</f>
        <v>1.1242899617510955</v>
      </c>
      <c r="P237" s="80">
        <f>Tableau1[[#This Row],[Différence HP
Cumul]]/Tableau1[[#This Row],[Diff jour_x000D_
Cumul]]</f>
        <v>26.982959082026291</v>
      </c>
      <c r="Q237" s="80">
        <f>Tableau1[[#This Row],[Conso HP / jour
Cumul]]*365</f>
        <v>9848.7800649395958</v>
      </c>
      <c r="R237" s="78">
        <v>124652</v>
      </c>
      <c r="S237" s="79">
        <f>Tableau1[[#This Row],[Index HC_x000D_
kWh]]-R236</f>
        <v>17</v>
      </c>
      <c r="T237" s="81">
        <f>Tableau1[[#This Row],[Différence_x000D_ HC
Instantané]]/(Tableau1[[#This Row],[Diff jour
Instantané]]*24)</f>
        <v>0.72237960340324514</v>
      </c>
      <c r="U237" s="81">
        <f>Tableau1[[#This Row],[Différence_x000D_ HC
Instantané]]/Tableau1[[#This Row],[Diff jour
Instantané]]</f>
        <v>17.337110481677882</v>
      </c>
      <c r="V237" s="81">
        <f>Tableau1[[#This Row],[Conso HC / jour_x000D_
Instantané]]*365</f>
        <v>6328.0453258124271</v>
      </c>
      <c r="W237" s="79">
        <f>Tableau1[[#This Row],[Index HC_x000D_
kWh]]-$R$5</f>
        <v>5220</v>
      </c>
      <c r="X237" s="82">
        <f>Tableau1[[#This Row],[Différence HC
Cumul]]/(Tableau1[[#This Row],[Diff jour_x000D_
Cumul]]*24)</f>
        <v>0.47632445421156711</v>
      </c>
      <c r="Y237" s="82">
        <f>Tableau1[[#This Row],[Différence HC
Cumul]]/Tableau1[[#This Row],[Diff jour_x000D_
Cumul]]</f>
        <v>11.43178690107761</v>
      </c>
      <c r="Z237" s="82">
        <f>Tableau1[[#This Row],[Conso HC / jour_x000D_
Cumul]]*365</f>
        <v>4172.6022188933275</v>
      </c>
      <c r="AA237" s="79">
        <f>Tableau1[[#This Row],[Différence HP
Instantané]]+Tableau1[[#This Row],[Différence_x000D_ HC
Instantané]]</f>
        <v>48</v>
      </c>
      <c r="AB237" s="80">
        <f>Tableau1[[#This Row],[Conso HP + HC
Instantané]]/(Tableau1[[#This Row],[Diff jour
Instantané]]*24)</f>
        <v>2.0396600566679863</v>
      </c>
      <c r="AC237" s="80">
        <f>IF(ISERROR(Tableau1[[#This Row],[Date]]-A236),"",Tableau1[[#This Row],[Conso HP + HC
Instantané]]/Tableau1[[#This Row],[Diff jour
Instantané]])</f>
        <v>48.951841360031672</v>
      </c>
      <c r="AD237" s="80">
        <f>Tableau1[[#This Row],[Conso HP + HC / jour_x000D_
Instantané]]*365</f>
        <v>17867.422096411559</v>
      </c>
      <c r="AE237" s="79">
        <f>Tableau1[[#This Row],[Différence HP
Cumul]]+Tableau1[[#This Row],[Différence HC
Cumul]]</f>
        <v>17541</v>
      </c>
      <c r="AF237" s="77">
        <f>(Tableau1[[#This Row],[Conso HP + HC
Cumul]]-AE$6)/Tableau1[[#This Row],[Diff jour_x000D_
Cumul
depuis le 24/01]]</f>
        <v>35.767345008669324</v>
      </c>
      <c r="AG237" s="77">
        <f>(Tableau1[[#This Row],[Conso HP + HC
Cumul]]-AE$59)/Tableau1[[#This Row],[Diff jour_x000D_
Cumul
depuis
précédente facture
16/02/2021]]</f>
        <v>33.745876931332539</v>
      </c>
      <c r="AH237" s="80">
        <f>Tableau1[[#This Row],[Conso HP + HC
Cumul]]/(Tableau1[[#This Row],[Diff jour_x000D_
Cumul]]*24)</f>
        <v>1.6006144159626625</v>
      </c>
      <c r="AI237" s="80">
        <f>Tableau1[[#This Row],[Conso HP + HC
Cumul]]/Tableau1[[#This Row],[Diff jour_x000D_
Cumul]]</f>
        <v>38.414745983103899</v>
      </c>
      <c r="AJ237" s="80">
        <f>Tableau1[[#This Row],[Conso HP + HC / jour_x000D_
Cumul]]*365</f>
        <v>14021.382283832923</v>
      </c>
      <c r="AK237" s="83">
        <f>(Tableau1[[#This Row],[Différence HP
Cumul]]*0.1799)+(Tableau1[[#This Row],[Différence HC
Cumul]]*0.1346)</f>
        <v>2919.1599000000001</v>
      </c>
      <c r="AL237" s="83">
        <f>Tableau1[[#This Row],[Montant
Tarif HP/HC]]/Tableau1[[#This Row],[Diff jour_x000D_
Cumul]]</f>
        <v>6.3929528557415765</v>
      </c>
      <c r="AM237" s="83">
        <f>(Tableau1[[#This Row],[Montant
Tarif HP/HC]]-AK$6)/Tableau1[[#This Row],[Diff jour_x000D_
Cumul
depuis le 24/01]]</f>
        <v>5.9605893395498439</v>
      </c>
      <c r="AN237" s="83">
        <f>(Tableau1[[#This Row],[Montant
Tarif HP/HC]]-AK$59)/Tableau1[[#This Row],[Diff jour_x000D_
Cumul
depuis
précédente facture
16/02/2021]]</f>
        <v>5.6239672995281778</v>
      </c>
      <c r="AO237" s="83">
        <f>Tableau1[[#This Row],[Conso HP + HC
Cumul]]*0.1599</f>
        <v>2804.8058999999998</v>
      </c>
      <c r="AP237" s="83">
        <f>Tableau1[[#This Row],[Montant
Tarif normal]]/Tableau1[[#This Row],[Diff jour_x000D_
Cumul]]</f>
        <v>6.1425178826983133</v>
      </c>
      <c r="AQ237" s="83">
        <f>(Tableau1[[#This Row],[Conso HP / an
Cumul]]*0.1799)+(Tableau1[[#This Row],[Conso HC / an_x000D_
Cumul]]*0.1346)</f>
        <v>2333.4277923456752</v>
      </c>
      <c r="AR237" s="83">
        <f>Tableau1[[#This Row],[Conso HP + HC / an_x000D_
Cumul]]*0.1599</f>
        <v>2242.0190271848842</v>
      </c>
      <c r="AS237" s="79">
        <f>MONTH(Tableau1[[#This Row],[Date]])</f>
        <v>3</v>
      </c>
      <c r="AT237" s="79">
        <f>YEAR(Tableau1[[#This Row],[Date]])</f>
        <v>2022</v>
      </c>
    </row>
    <row r="238" spans="1:46" x14ac:dyDescent="0.2">
      <c r="A238" s="74">
        <v>44640.384027777778</v>
      </c>
      <c r="B238" s="75"/>
      <c r="C238" s="76">
        <f>IF(ISERROR(Tableau1[[#This Row],[Date]]-A237),"",Tableau1[[#This Row],[Date]]-A237)</f>
        <v>1.0541666666686069</v>
      </c>
      <c r="D238" s="77">
        <f>IF(ISERROR(Tableau1[[#This Row],[Date]]-A237),"",Tableau1[[#This Row],[Date]]-A237)</f>
        <v>1.0541666666686069</v>
      </c>
      <c r="E238" s="76">
        <f>Tableau1[[#This Row],[Date]]-$A$5</f>
        <v>457.67569444444234</v>
      </c>
      <c r="F238" s="77">
        <f>Tableau1[[#This Row],[Date]]-$A$5</f>
        <v>457.67569444444234</v>
      </c>
      <c r="G238" s="77">
        <f>Tableau1[[#This Row],[Diff jour_x000D_
Cumul]]-F$6</f>
        <v>419.59236111111386</v>
      </c>
      <c r="H238" s="77">
        <f>Tableau1[[#This Row],[Diff jour_x000D_
Cumul]]-F$59</f>
        <v>397.07291666666424</v>
      </c>
      <c r="I238" s="78">
        <v>192104</v>
      </c>
      <c r="J238" s="79">
        <f>IF(ISERROR(Tableau1[[#This Row],[Index HP
kWh]]-I237),"",Tableau1[[#This Row],[Index HP
kWh]]-I237)</f>
        <v>24</v>
      </c>
      <c r="K238" s="77">
        <f>IF(ISERROR(Tableau1[[#This Row],[Différence HP
Instantané]]/(Tableau1[[#This Row],[Diff jour
Instantané]]*24)),"",Tableau1[[#This Row],[Différence HP
Instantané]]/(Tableau1[[#This Row],[Diff jour
Instantané]]*24))</f>
        <v>0.94861660078876786</v>
      </c>
      <c r="L238" s="77">
        <f>Tableau1[[#This Row],[Différence HP
Instantané]]/Tableau1[[#This Row],[Diff jour
Instantané]]</f>
        <v>22.766798418930428</v>
      </c>
      <c r="M238" s="77">
        <f>Tableau1[[#This Row],[Conso HP / jour
Instantané]]*365</f>
        <v>8309.881422909606</v>
      </c>
      <c r="N238" s="79">
        <f>Tableau1[[#This Row],[Index HP
kWh]]-$I$5</f>
        <v>12345</v>
      </c>
      <c r="O238" s="80">
        <f>Tableau1[[#This Row],[Différence HP
Cumul]]/(Tableau1[[#This Row],[Diff jour_x000D_
Cumul]]*24)</f>
        <v>1.1238853324391263</v>
      </c>
      <c r="P238" s="80">
        <f>Tableau1[[#This Row],[Différence HP
Cumul]]/Tableau1[[#This Row],[Diff jour_x000D_
Cumul]]</f>
        <v>26.973247978539028</v>
      </c>
      <c r="Q238" s="80">
        <f>Tableau1[[#This Row],[Conso HP / jour
Cumul]]*365</f>
        <v>9845.235512166746</v>
      </c>
      <c r="R238" s="78">
        <v>124666</v>
      </c>
      <c r="S238" s="79">
        <f>Tableau1[[#This Row],[Index HC_x000D_
kWh]]-R237</f>
        <v>14</v>
      </c>
      <c r="T238" s="81">
        <f>Tableau1[[#This Row],[Différence_x000D_ HC
Instantané]]/(Tableau1[[#This Row],[Diff jour
Instantané]]*24)</f>
        <v>0.55335968379344791</v>
      </c>
      <c r="U238" s="81">
        <f>Tableau1[[#This Row],[Différence_x000D_ HC
Instantané]]/Tableau1[[#This Row],[Diff jour
Instantané]]</f>
        <v>13.280632411042751</v>
      </c>
      <c r="V238" s="81">
        <f>Tableau1[[#This Row],[Conso HC / jour_x000D_
Instantané]]*365</f>
        <v>4847.4308300306038</v>
      </c>
      <c r="W238" s="79">
        <f>Tableau1[[#This Row],[Index HC_x000D_
kWh]]-$R$5</f>
        <v>5234</v>
      </c>
      <c r="X238" s="82">
        <f>Tableau1[[#This Row],[Différence HC
Cumul]]/(Tableau1[[#This Row],[Diff jour_x000D_
Cumul]]*24)</f>
        <v>0.47650188983283809</v>
      </c>
      <c r="Y238" s="82">
        <f>Tableau1[[#This Row],[Différence HC
Cumul]]/Tableau1[[#This Row],[Diff jour_x000D_
Cumul]]</f>
        <v>11.436045355988114</v>
      </c>
      <c r="Z238" s="82">
        <f>Tableau1[[#This Row],[Conso HC / jour_x000D_
Cumul]]*365</f>
        <v>4174.1565549356619</v>
      </c>
      <c r="AA238" s="79">
        <f>Tableau1[[#This Row],[Différence HP
Instantané]]+Tableau1[[#This Row],[Différence_x000D_ HC
Instantané]]</f>
        <v>38</v>
      </c>
      <c r="AB238" s="80">
        <f>Tableau1[[#This Row],[Conso HP + HC
Instantané]]/(Tableau1[[#This Row],[Diff jour
Instantané]]*24)</f>
        <v>1.5019762845822158</v>
      </c>
      <c r="AC238" s="80">
        <f>IF(ISERROR(Tableau1[[#This Row],[Date]]-A237),"",Tableau1[[#This Row],[Conso HP + HC
Instantané]]/Tableau1[[#This Row],[Diff jour
Instantané]])</f>
        <v>36.04743082997318</v>
      </c>
      <c r="AD238" s="80">
        <f>Tableau1[[#This Row],[Conso HP + HC / jour_x000D_
Instantané]]*365</f>
        <v>13157.312252940212</v>
      </c>
      <c r="AE238" s="79">
        <f>Tableau1[[#This Row],[Différence HP
Cumul]]+Tableau1[[#This Row],[Différence HC
Cumul]]</f>
        <v>17579</v>
      </c>
      <c r="AF238" s="77">
        <f>(Tableau1[[#This Row],[Conso HP + HC
Cumul]]-AE$6)/Tableau1[[#This Row],[Diff jour_x000D_
Cumul
depuis le 24/01]]</f>
        <v>35.76804868481787</v>
      </c>
      <c r="AG238" s="77">
        <f>(Tableau1[[#This Row],[Conso HP + HC
Cumul]]-AE$59)/Tableau1[[#This Row],[Diff jour_x000D_
Cumul
depuis
précédente facture
16/02/2021]]</f>
        <v>33.751987197985464</v>
      </c>
      <c r="AH238" s="80">
        <f>Tableau1[[#This Row],[Conso HP + HC
Cumul]]/(Tableau1[[#This Row],[Diff jour_x000D_
Cumul]]*24)</f>
        <v>1.6003872222719642</v>
      </c>
      <c r="AI238" s="80">
        <f>Tableau1[[#This Row],[Conso HP + HC
Cumul]]/Tableau1[[#This Row],[Diff jour_x000D_
Cumul]]</f>
        <v>38.409293334527142</v>
      </c>
      <c r="AJ238" s="80">
        <f>Tableau1[[#This Row],[Conso HP + HC / jour_x000D_
Cumul]]*365</f>
        <v>14019.392067102406</v>
      </c>
      <c r="AK238" s="83">
        <f>(Tableau1[[#This Row],[Différence HP
Cumul]]*0.1799)+(Tableau1[[#This Row],[Différence HC
Cumul]]*0.1346)</f>
        <v>2925.3618999999999</v>
      </c>
      <c r="AL238" s="83">
        <f>Tableau1[[#This Row],[Montant
Tarif HP/HC]]/Tableau1[[#This Row],[Diff jour_x000D_
Cumul]]</f>
        <v>6.3917790162551711</v>
      </c>
      <c r="AM238" s="83">
        <f>(Tableau1[[#This Row],[Montant
Tarif HP/HC]]-AK$6)/Tableau1[[#This Row],[Diff jour_x000D_
Cumul
depuis le 24/01]]</f>
        <v>5.9603952116223518</v>
      </c>
      <c r="AN238" s="83">
        <f>(Tableau1[[#This Row],[Montant
Tarif HP/HC]]-AK$59)/Tableau1[[#This Row],[Diff jour_x000D_
Cumul
depuis
précédente facture
16/02/2021]]</f>
        <v>5.6246558409192602</v>
      </c>
      <c r="AO238" s="83">
        <f>Tableau1[[#This Row],[Conso HP + HC
Cumul]]*0.1599</f>
        <v>2810.8820999999998</v>
      </c>
      <c r="AP238" s="83">
        <f>Tableau1[[#This Row],[Montant
Tarif normal]]/Tableau1[[#This Row],[Diff jour_x000D_
Cumul]]</f>
        <v>6.1416460041908891</v>
      </c>
      <c r="AQ238" s="83">
        <f>(Tableau1[[#This Row],[Conso HP / an
Cumul]]*0.1799)+(Tableau1[[#This Row],[Conso HC / an_x000D_
Cumul]]*0.1346)</f>
        <v>2332.9993409331378</v>
      </c>
      <c r="AR238" s="83">
        <f>Tableau1[[#This Row],[Conso HP + HC / an_x000D_
Cumul]]*0.1599</f>
        <v>2241.7007915296745</v>
      </c>
      <c r="AS238" s="79">
        <f>MONTH(Tableau1[[#This Row],[Date]])</f>
        <v>3</v>
      </c>
      <c r="AT238" s="79">
        <f>YEAR(Tableau1[[#This Row],[Date]])</f>
        <v>2022</v>
      </c>
    </row>
    <row r="239" spans="1:46" x14ac:dyDescent="0.2">
      <c r="A239" s="74">
        <v>44641.328472222223</v>
      </c>
      <c r="B239" s="75"/>
      <c r="C239" s="76">
        <f>IF(ISERROR(Tableau1[[#This Row],[Date]]-A238),"",Tableau1[[#This Row],[Date]]-A238)</f>
        <v>0.94444444444525288</v>
      </c>
      <c r="D239" s="77">
        <f>IF(ISERROR(Tableau1[[#This Row],[Date]]-A238),"",Tableau1[[#This Row],[Date]]-A238)</f>
        <v>0.94444444444525288</v>
      </c>
      <c r="E239" s="76">
        <f>Tableau1[[#This Row],[Date]]-$A$5</f>
        <v>458.6201388888876</v>
      </c>
      <c r="F239" s="77">
        <f>Tableau1[[#This Row],[Date]]-$A$5</f>
        <v>458.6201388888876</v>
      </c>
      <c r="G239" s="77">
        <f>Tableau1[[#This Row],[Diff jour_x000D_
Cumul]]-F$6</f>
        <v>420.53680555555911</v>
      </c>
      <c r="H239" s="77">
        <f>Tableau1[[#This Row],[Diff jour_x000D_
Cumul]]-F$59</f>
        <v>398.01736111110949</v>
      </c>
      <c r="I239" s="78">
        <v>192121</v>
      </c>
      <c r="J239" s="79">
        <f>IF(ISERROR(Tableau1[[#This Row],[Index HP
kWh]]-I238),"",Tableau1[[#This Row],[Index HP
kWh]]-I238)</f>
        <v>17</v>
      </c>
      <c r="K239" s="77">
        <f>IF(ISERROR(Tableau1[[#This Row],[Différence HP
Instantané]]/(Tableau1[[#This Row],[Diff jour
Instantané]]*24)),"",Tableau1[[#This Row],[Différence HP
Instantané]]/(Tableau1[[#This Row],[Diff jour
Instantané]]*24))</f>
        <v>0.74999999999935796</v>
      </c>
      <c r="L239" s="77">
        <f>Tableau1[[#This Row],[Différence HP
Instantané]]/Tableau1[[#This Row],[Diff jour
Instantané]]</f>
        <v>17.999999999984592</v>
      </c>
      <c r="M239" s="77">
        <f>Tableau1[[#This Row],[Conso HP / jour
Instantané]]*365</f>
        <v>6569.9999999943757</v>
      </c>
      <c r="N239" s="79">
        <f>Tableau1[[#This Row],[Index HP
kWh]]-$I$5</f>
        <v>12362</v>
      </c>
      <c r="O239" s="80">
        <f>Tableau1[[#This Row],[Différence HP
Cumul]]/(Tableau1[[#This Row],[Diff jour_x000D_
Cumul]]*24)</f>
        <v>1.1231153838582857</v>
      </c>
      <c r="P239" s="80">
        <f>Tableau1[[#This Row],[Différence HP
Cumul]]/Tableau1[[#This Row],[Diff jour_x000D_
Cumul]]</f>
        <v>26.954769212598858</v>
      </c>
      <c r="Q239" s="80">
        <f>Tableau1[[#This Row],[Conso HP / jour
Cumul]]*365</f>
        <v>9838.4907625985834</v>
      </c>
      <c r="R239" s="78">
        <v>124678</v>
      </c>
      <c r="S239" s="79">
        <f>Tableau1[[#This Row],[Index HC_x000D_
kWh]]-R238</f>
        <v>12</v>
      </c>
      <c r="T239" s="81">
        <f>Tableau1[[#This Row],[Différence_x000D_ HC
Instantané]]/(Tableau1[[#This Row],[Diff jour
Instantané]]*24)</f>
        <v>0.52941176470542917</v>
      </c>
      <c r="U239" s="81">
        <f>Tableau1[[#This Row],[Différence_x000D_ HC
Instantané]]/Tableau1[[#This Row],[Diff jour
Instantané]]</f>
        <v>12.705882352930301</v>
      </c>
      <c r="V239" s="81">
        <f>Tableau1[[#This Row],[Conso HC / jour_x000D_
Instantané]]*365</f>
        <v>4637.6470588195598</v>
      </c>
      <c r="W239" s="79">
        <f>Tableau1[[#This Row],[Index HC_x000D_
kWh]]-$R$5</f>
        <v>5246</v>
      </c>
      <c r="X239" s="82">
        <f>Tableau1[[#This Row],[Différence HC
Cumul]]/(Tableau1[[#This Row],[Diff jour_x000D_
Cumul]]*24)</f>
        <v>0.4766108480602303</v>
      </c>
      <c r="Y239" s="82">
        <f>Tableau1[[#This Row],[Différence HC
Cumul]]/Tableau1[[#This Row],[Diff jour_x000D_
Cumul]]</f>
        <v>11.438660353445528</v>
      </c>
      <c r="Z239" s="82">
        <f>Tableau1[[#This Row],[Conso HC / jour_x000D_
Cumul]]*365</f>
        <v>4175.1110290076176</v>
      </c>
      <c r="AA239" s="79">
        <f>Tableau1[[#This Row],[Différence HP
Instantané]]+Tableau1[[#This Row],[Différence_x000D_ HC
Instantané]]</f>
        <v>29</v>
      </c>
      <c r="AB239" s="80">
        <f>Tableau1[[#This Row],[Conso HP + HC
Instantané]]/(Tableau1[[#This Row],[Diff jour
Instantané]]*24)</f>
        <v>1.2794117647047871</v>
      </c>
      <c r="AC239" s="80">
        <f>IF(ISERROR(Tableau1[[#This Row],[Date]]-A238),"",Tableau1[[#This Row],[Conso HP + HC
Instantané]]/Tableau1[[#This Row],[Diff jour
Instantané]])</f>
        <v>30.705882352914891</v>
      </c>
      <c r="AD239" s="80">
        <f>Tableau1[[#This Row],[Conso HP + HC / jour_x000D_
Instantané]]*365</f>
        <v>11207.647058813935</v>
      </c>
      <c r="AE239" s="79">
        <f>Tableau1[[#This Row],[Différence HP
Cumul]]+Tableau1[[#This Row],[Différence HC
Cumul]]</f>
        <v>17608</v>
      </c>
      <c r="AF239" s="77">
        <f>(Tableau1[[#This Row],[Conso HP + HC
Cumul]]-AE$6)/Tableau1[[#This Row],[Diff jour_x000D_
Cumul
depuis le 24/01]]</f>
        <v>35.756680036923406</v>
      </c>
      <c r="AG239" s="77">
        <f>(Tableau1[[#This Row],[Conso HP + HC
Cumul]]-AE$59)/Tableau1[[#This Row],[Diff jour_x000D_
Cumul
depuis
précédente facture
16/02/2021]]</f>
        <v>33.74475917961437</v>
      </c>
      <c r="AH239" s="80">
        <f>Tableau1[[#This Row],[Conso HP + HC
Cumul]]/(Tableau1[[#This Row],[Diff jour_x000D_
Cumul]]*24)</f>
        <v>1.5997262319185162</v>
      </c>
      <c r="AI239" s="80">
        <f>Tableau1[[#This Row],[Conso HP + HC
Cumul]]/Tableau1[[#This Row],[Diff jour_x000D_
Cumul]]</f>
        <v>38.393429566044389</v>
      </c>
      <c r="AJ239" s="80">
        <f>Tableau1[[#This Row],[Conso HP + HC / jour_x000D_
Cumul]]*365</f>
        <v>14013.601791606203</v>
      </c>
      <c r="AK239" s="83">
        <f>(Tableau1[[#This Row],[Différence HP
Cumul]]*0.1799)+(Tableau1[[#This Row],[Différence HC
Cumul]]*0.1346)</f>
        <v>2930.0353999999998</v>
      </c>
      <c r="AL239" s="83">
        <f>Tableau1[[#This Row],[Montant
Tarif HP/HC]]/Tableau1[[#This Row],[Diff jour_x000D_
Cumul]]</f>
        <v>6.3888066649203026</v>
      </c>
      <c r="AM239" s="83">
        <f>(Tableau1[[#This Row],[Montant
Tarif HP/HC]]-AK$6)/Tableau1[[#This Row],[Diff jour_x000D_
Cumul
depuis le 24/01]]</f>
        <v>5.95812249225109</v>
      </c>
      <c r="AN239" s="83">
        <f>(Tableau1[[#This Row],[Montant
Tarif HP/HC]]-AK$59)/Tableau1[[#This Row],[Diff jour_x000D_
Cumul
depuis
précédente facture
16/02/2021]]</f>
        <v>5.6230511999581481</v>
      </c>
      <c r="AO239" s="83">
        <f>Tableau1[[#This Row],[Conso HP + HC
Cumul]]*0.1599</f>
        <v>2815.5191999999997</v>
      </c>
      <c r="AP239" s="83">
        <f>Tableau1[[#This Row],[Montant
Tarif normal]]/Tableau1[[#This Row],[Diff jour_x000D_
Cumul]]</f>
        <v>6.139109387610497</v>
      </c>
      <c r="AQ239" s="83">
        <f>(Tableau1[[#This Row],[Conso HP / an
Cumul]]*0.1799)+(Tableau1[[#This Row],[Conso HC / an_x000D_
Cumul]]*0.1346)</f>
        <v>2331.9144326959104</v>
      </c>
      <c r="AR239" s="83">
        <f>Tableau1[[#This Row],[Conso HP + HC / an_x000D_
Cumul]]*0.1599</f>
        <v>2240.7749264778317</v>
      </c>
      <c r="AS239" s="79">
        <f>MONTH(Tableau1[[#This Row],[Date]])</f>
        <v>3</v>
      </c>
      <c r="AT239" s="79">
        <f>YEAR(Tableau1[[#This Row],[Date]])</f>
        <v>2022</v>
      </c>
    </row>
    <row r="240" spans="1:46" x14ac:dyDescent="0.2">
      <c r="A240" s="74">
        <v>44642.306250000001</v>
      </c>
      <c r="B240" s="75"/>
      <c r="C240" s="76">
        <f>IF(ISERROR(Tableau1[[#This Row],[Date]]-A239),"",Tableau1[[#This Row],[Date]]-A239)</f>
        <v>0.97777777777810115</v>
      </c>
      <c r="D240" s="77">
        <f>IF(ISERROR(Tableau1[[#This Row],[Date]]-A239),"",Tableau1[[#This Row],[Date]]-A239)</f>
        <v>0.97777777777810115</v>
      </c>
      <c r="E240" s="76">
        <f>Tableau1[[#This Row],[Date]]-$A$5</f>
        <v>459.5979166666657</v>
      </c>
      <c r="F240" s="77">
        <f>Tableau1[[#This Row],[Date]]-$A$5</f>
        <v>459.5979166666657</v>
      </c>
      <c r="G240" s="77">
        <f>Tableau1[[#This Row],[Diff jour_x000D_
Cumul]]-F$6</f>
        <v>421.51458333333721</v>
      </c>
      <c r="H240" s="77">
        <f>Tableau1[[#This Row],[Diff jour_x000D_
Cumul]]-F$59</f>
        <v>398.9951388888876</v>
      </c>
      <c r="I240" s="78">
        <v>192136</v>
      </c>
      <c r="J240" s="79">
        <f>IF(ISERROR(Tableau1[[#This Row],[Index HP
kWh]]-I239),"",Tableau1[[#This Row],[Index HP
kWh]]-I239)</f>
        <v>15</v>
      </c>
      <c r="K240" s="77">
        <f>IF(ISERROR(Tableau1[[#This Row],[Différence HP
Instantané]]/(Tableau1[[#This Row],[Diff jour
Instantané]]*24)),"",Tableau1[[#This Row],[Différence HP
Instantané]]/(Tableau1[[#This Row],[Diff jour
Instantané]]*24))</f>
        <v>0.63920454545433403</v>
      </c>
      <c r="L240" s="77">
        <f>Tableau1[[#This Row],[Différence HP
Instantané]]/Tableau1[[#This Row],[Diff jour
Instantané]]</f>
        <v>15.340909090904017</v>
      </c>
      <c r="M240" s="77">
        <f>Tableau1[[#This Row],[Conso HP / jour
Instantané]]*365</f>
        <v>5599.4318181799663</v>
      </c>
      <c r="N240" s="79">
        <f>Tableau1[[#This Row],[Index HP
kWh]]-$I$5</f>
        <v>12377</v>
      </c>
      <c r="O240" s="80">
        <f>Tableau1[[#This Row],[Différence HP
Cumul]]/(Tableau1[[#This Row],[Diff jour_x000D_
Cumul]]*24)</f>
        <v>1.1220858812277059</v>
      </c>
      <c r="P240" s="80">
        <f>Tableau1[[#This Row],[Différence HP
Cumul]]/Tableau1[[#This Row],[Diff jour_x000D_
Cumul]]</f>
        <v>26.930061149464944</v>
      </c>
      <c r="Q240" s="80">
        <f>Tableau1[[#This Row],[Conso HP / jour
Cumul]]*365</f>
        <v>9829.4723195547049</v>
      </c>
      <c r="R240" s="78">
        <v>124691</v>
      </c>
      <c r="S240" s="79">
        <f>Tableau1[[#This Row],[Index HC_x000D_
kWh]]-R239</f>
        <v>13</v>
      </c>
      <c r="T240" s="81">
        <f>Tableau1[[#This Row],[Différence_x000D_ HC
Instantané]]/(Tableau1[[#This Row],[Diff jour
Instantané]]*24)</f>
        <v>0.55397727272708952</v>
      </c>
      <c r="U240" s="81">
        <f>Tableau1[[#This Row],[Différence_x000D_ HC
Instantané]]/Tableau1[[#This Row],[Diff jour
Instantané]]</f>
        <v>13.295454545450148</v>
      </c>
      <c r="V240" s="81">
        <f>Tableau1[[#This Row],[Conso HC / jour_x000D_
Instantané]]*365</f>
        <v>4852.8409090893038</v>
      </c>
      <c r="W240" s="79">
        <f>Tableau1[[#This Row],[Index HC_x000D_
kWh]]-$R$5</f>
        <v>5259</v>
      </c>
      <c r="X240" s="82">
        <f>Tableau1[[#This Row],[Différence HC
Cumul]]/(Tableau1[[#This Row],[Diff jour_x000D_
Cumul]]*24)</f>
        <v>0.47677544230237584</v>
      </c>
      <c r="Y240" s="82">
        <f>Tableau1[[#This Row],[Différence HC
Cumul]]/Tableau1[[#This Row],[Diff jour_x000D_
Cumul]]</f>
        <v>11.442610615257019</v>
      </c>
      <c r="Z240" s="82">
        <f>Tableau1[[#This Row],[Conso HC / jour_x000D_
Cumul]]*365</f>
        <v>4176.5528745688116</v>
      </c>
      <c r="AA240" s="79">
        <f>Tableau1[[#This Row],[Différence HP
Instantané]]+Tableau1[[#This Row],[Différence_x000D_ HC
Instantané]]</f>
        <v>28</v>
      </c>
      <c r="AB240" s="80">
        <f>Tableau1[[#This Row],[Conso HP + HC
Instantané]]/(Tableau1[[#This Row],[Diff jour
Instantané]]*24)</f>
        <v>1.1931818181814235</v>
      </c>
      <c r="AC240" s="80">
        <f>IF(ISERROR(Tableau1[[#This Row],[Date]]-A239),"",Tableau1[[#This Row],[Conso HP + HC
Instantané]]/Tableau1[[#This Row],[Diff jour
Instantané]])</f>
        <v>28.636363636354165</v>
      </c>
      <c r="AD240" s="80">
        <f>Tableau1[[#This Row],[Conso HP + HC / jour_x000D_
Instantané]]*365</f>
        <v>10452.27272726927</v>
      </c>
      <c r="AE240" s="79">
        <f>Tableau1[[#This Row],[Différence HP
Cumul]]+Tableau1[[#This Row],[Différence HC
Cumul]]</f>
        <v>17636</v>
      </c>
      <c r="AF240" s="77">
        <f>(Tableau1[[#This Row],[Conso HP + HC
Cumul]]-AE$6)/Tableau1[[#This Row],[Diff jour_x000D_
Cumul
depuis le 24/01]]</f>
        <v>35.740163201154239</v>
      </c>
      <c r="AG240" s="77">
        <f>(Tableau1[[#This Row],[Conso HP + HC
Cumul]]-AE$59)/Tableau1[[#This Row],[Diff jour_x000D_
Cumul
depuis
précédente facture
16/02/2021]]</f>
        <v>33.732240541777806</v>
      </c>
      <c r="AH240" s="80">
        <f>Tableau1[[#This Row],[Conso HP + HC
Cumul]]/(Tableau1[[#This Row],[Diff jour_x000D_
Cumul]]*24)</f>
        <v>1.5988613235300817</v>
      </c>
      <c r="AI240" s="80">
        <f>Tableau1[[#This Row],[Conso HP + HC
Cumul]]/Tableau1[[#This Row],[Diff jour_x000D_
Cumul]]</f>
        <v>38.372671764721964</v>
      </c>
      <c r="AJ240" s="80">
        <f>Tableau1[[#This Row],[Conso HP + HC / jour_x000D_
Cumul]]*365</f>
        <v>14006.025194123516</v>
      </c>
      <c r="AK240" s="83">
        <f>(Tableau1[[#This Row],[Différence HP
Cumul]]*0.1799)+(Tableau1[[#This Row],[Différence HC
Cumul]]*0.1346)</f>
        <v>2934.4836999999998</v>
      </c>
      <c r="AL240" s="83">
        <f>Tableau1[[#This Row],[Montant
Tarif HP/HC]]/Tableau1[[#This Row],[Diff jour_x000D_
Cumul]]</f>
        <v>6.3848933896023379</v>
      </c>
      <c r="AM240" s="83">
        <f>(Tableau1[[#This Row],[Montant
Tarif HP/HC]]-AK$6)/Tableau1[[#This Row],[Diff jour_x000D_
Cumul
depuis le 24/01]]</f>
        <v>5.9548547055014351</v>
      </c>
      <c r="AN240" s="83">
        <f>(Tableau1[[#This Row],[Montant
Tarif HP/HC]]-AK$59)/Tableau1[[#This Row],[Diff jour_x000D_
Cumul
depuis
précédente facture
16/02/2021]]</f>
        <v>5.6204201039764996</v>
      </c>
      <c r="AO240" s="83">
        <f>Tableau1[[#This Row],[Conso HP + HC
Cumul]]*0.1599</f>
        <v>2819.9963999999995</v>
      </c>
      <c r="AP240" s="83">
        <f>Tableau1[[#This Row],[Montant
Tarif normal]]/Tableau1[[#This Row],[Diff jour_x000D_
Cumul]]</f>
        <v>6.1357902151790409</v>
      </c>
      <c r="AQ240" s="83">
        <f>(Tableau1[[#This Row],[Conso HP / an
Cumul]]*0.1799)+(Tableau1[[#This Row],[Conso HC / an_x000D_
Cumul]]*0.1346)</f>
        <v>2330.4860872048534</v>
      </c>
      <c r="AR240" s="83">
        <f>Tableau1[[#This Row],[Conso HP + HC / an_x000D_
Cumul]]*0.1599</f>
        <v>2239.5634285403503</v>
      </c>
      <c r="AS240" s="79">
        <f>MONTH(Tableau1[[#This Row],[Date]])</f>
        <v>3</v>
      </c>
      <c r="AT240" s="79">
        <f>YEAR(Tableau1[[#This Row],[Date]])</f>
        <v>2022</v>
      </c>
    </row>
    <row r="241" spans="1:46" x14ac:dyDescent="0.2">
      <c r="A241" s="74">
        <v>44643.37222222222</v>
      </c>
      <c r="B241" s="75"/>
      <c r="C241" s="76">
        <f>IF(ISERROR(Tableau1[[#This Row],[Date]]-A240),"",Tableau1[[#This Row],[Date]]-A240)</f>
        <v>1.0659722222189885</v>
      </c>
      <c r="D241" s="77">
        <f>IF(ISERROR(Tableau1[[#This Row],[Date]]-A240),"",Tableau1[[#This Row],[Date]]-A240)</f>
        <v>1.0659722222189885</v>
      </c>
      <c r="E241" s="76">
        <f>Tableau1[[#This Row],[Date]]-$A$5</f>
        <v>460.66388888888469</v>
      </c>
      <c r="F241" s="77">
        <f>Tableau1[[#This Row],[Date]]-$A$5</f>
        <v>460.66388888888469</v>
      </c>
      <c r="G241" s="77">
        <f>Tableau1[[#This Row],[Diff jour_x000D_
Cumul]]-F$6</f>
        <v>422.5805555555562</v>
      </c>
      <c r="H241" s="77">
        <f>Tableau1[[#This Row],[Diff jour_x000D_
Cumul]]-F$59</f>
        <v>400.06111111110658</v>
      </c>
      <c r="I241" s="78">
        <v>192159</v>
      </c>
      <c r="J241" s="79">
        <f>IF(ISERROR(Tableau1[[#This Row],[Index HP
kWh]]-I240),"",Tableau1[[#This Row],[Index HP
kWh]]-I240)</f>
        <v>23</v>
      </c>
      <c r="K241" s="77">
        <f>IF(ISERROR(Tableau1[[#This Row],[Différence HP
Instantané]]/(Tableau1[[#This Row],[Diff jour
Instantané]]*24)),"",Tableau1[[#This Row],[Différence HP
Instantané]]/(Tableau1[[#This Row],[Diff jour
Instantané]]*24))</f>
        <v>0.89902280130565893</v>
      </c>
      <c r="L241" s="77">
        <f>Tableau1[[#This Row],[Différence HP
Instantané]]/Tableau1[[#This Row],[Diff jour
Instantané]]</f>
        <v>21.576547231335812</v>
      </c>
      <c r="M241" s="77">
        <f>Tableau1[[#This Row],[Conso HP / jour
Instantané]]*365</f>
        <v>7875.4397394375719</v>
      </c>
      <c r="N241" s="79">
        <f>Tableau1[[#This Row],[Index HP
kWh]]-$I$5</f>
        <v>12400</v>
      </c>
      <c r="O241" s="80">
        <f>Tableau1[[#This Row],[Différence HP
Cumul]]/(Tableau1[[#This Row],[Diff jour_x000D_
Cumul]]*24)</f>
        <v>1.1215697152057218</v>
      </c>
      <c r="P241" s="80">
        <f>Tableau1[[#This Row],[Différence HP
Cumul]]/Tableau1[[#This Row],[Diff jour_x000D_
Cumul]]</f>
        <v>26.917673164937323</v>
      </c>
      <c r="Q241" s="80">
        <f>Tableau1[[#This Row],[Conso HP / jour
Cumul]]*365</f>
        <v>9824.9507052021236</v>
      </c>
      <c r="R241" s="78">
        <v>124704</v>
      </c>
      <c r="S241" s="79">
        <f>Tableau1[[#This Row],[Index HC_x000D_
kWh]]-R240</f>
        <v>13</v>
      </c>
      <c r="T241" s="81">
        <f>Tableau1[[#This Row],[Différence_x000D_ HC
Instantané]]/(Tableau1[[#This Row],[Diff jour
Instantané]]*24)</f>
        <v>0.50814332247711158</v>
      </c>
      <c r="U241" s="81">
        <f>Tableau1[[#This Row],[Différence_x000D_ HC
Instantané]]/Tableau1[[#This Row],[Diff jour
Instantané]]</f>
        <v>12.195439739450677</v>
      </c>
      <c r="V241" s="81">
        <f>Tableau1[[#This Row],[Conso HC / jour_x000D_
Instantané]]*365</f>
        <v>4451.3355048994972</v>
      </c>
      <c r="W241" s="79">
        <f>Tableau1[[#This Row],[Index HC_x000D_
kWh]]-$R$5</f>
        <v>5272</v>
      </c>
      <c r="X241" s="82">
        <f>Tableau1[[#This Row],[Différence HC
Cumul]]/(Tableau1[[#This Row],[Diff jour_x000D_
Cumul]]*24)</f>
        <v>0.47684802730359399</v>
      </c>
      <c r="Y241" s="82">
        <f>Tableau1[[#This Row],[Différence HC
Cumul]]/Tableau1[[#This Row],[Diff jour_x000D_
Cumul]]</f>
        <v>11.444352655286256</v>
      </c>
      <c r="Z241" s="82">
        <f>Tableau1[[#This Row],[Conso HC / jour_x000D_
Cumul]]*365</f>
        <v>4177.1887191794831</v>
      </c>
      <c r="AA241" s="79">
        <f>Tableau1[[#This Row],[Différence HP
Instantané]]+Tableau1[[#This Row],[Différence_x000D_ HC
Instantané]]</f>
        <v>36</v>
      </c>
      <c r="AB241" s="80">
        <f>Tableau1[[#This Row],[Conso HP + HC
Instantané]]/(Tableau1[[#This Row],[Diff jour
Instantané]]*24)</f>
        <v>1.4071661237827704</v>
      </c>
      <c r="AC241" s="80">
        <f>IF(ISERROR(Tableau1[[#This Row],[Date]]-A240),"",Tableau1[[#This Row],[Conso HP + HC
Instantané]]/Tableau1[[#This Row],[Diff jour
Instantané]])</f>
        <v>33.771986970786493</v>
      </c>
      <c r="AD241" s="80">
        <f>Tableau1[[#This Row],[Conso HP + HC / jour_x000D_
Instantané]]*365</f>
        <v>12326.77524433707</v>
      </c>
      <c r="AE241" s="79">
        <f>Tableau1[[#This Row],[Différence HP
Cumul]]+Tableau1[[#This Row],[Différence HC
Cumul]]</f>
        <v>17672</v>
      </c>
      <c r="AF241" s="77">
        <f>(Tableau1[[#This Row],[Conso HP + HC
Cumul]]-AE$6)/Tableau1[[#This Row],[Diff jour_x000D_
Cumul
depuis le 24/01]]</f>
        <v>35.735198417132771</v>
      </c>
      <c r="AG241" s="77">
        <f>(Tableau1[[#This Row],[Conso HP + HC
Cumul]]-AE$59)/Tableau1[[#This Row],[Diff jour_x000D_
Cumul
depuis
précédente facture
16/02/2021]]</f>
        <v>33.732346447070967</v>
      </c>
      <c r="AH241" s="80">
        <f>Tableau1[[#This Row],[Conso HP + HC
Cumul]]/(Tableau1[[#This Row],[Diff jour_x000D_
Cumul]]*24)</f>
        <v>1.5984177425093158</v>
      </c>
      <c r="AI241" s="80">
        <f>Tableau1[[#This Row],[Conso HP + HC
Cumul]]/Tableau1[[#This Row],[Diff jour_x000D_
Cumul]]</f>
        <v>38.362025820223579</v>
      </c>
      <c r="AJ241" s="80">
        <f>Tableau1[[#This Row],[Conso HP + HC / jour_x000D_
Cumul]]*365</f>
        <v>14002.139424381607</v>
      </c>
      <c r="AK241" s="83">
        <f>(Tableau1[[#This Row],[Différence HP
Cumul]]*0.1799)+(Tableau1[[#This Row],[Différence HC
Cumul]]*0.1346)</f>
        <v>2940.3712</v>
      </c>
      <c r="AL241" s="83">
        <f>Tableau1[[#This Row],[Montant
Tarif HP/HC]]/Tableau1[[#This Row],[Diff jour_x000D_
Cumul]]</f>
        <v>6.3828992697737545</v>
      </c>
      <c r="AM241" s="83">
        <f>(Tableau1[[#This Row],[Montant
Tarif HP/HC]]-AK$6)/Tableau1[[#This Row],[Diff jour_x000D_
Cumul
depuis le 24/01]]</f>
        <v>5.953765659407467</v>
      </c>
      <c r="AN241" s="83">
        <f>(Tableau1[[#This Row],[Montant
Tarif HP/HC]]-AK$59)/Tableau1[[#This Row],[Diff jour_x000D_
Cumul
depuis
précédente facture
16/02/2021]]</f>
        <v>5.6201608643124601</v>
      </c>
      <c r="AO241" s="83">
        <f>Tableau1[[#This Row],[Conso HP + HC
Cumul]]*0.1599</f>
        <v>2825.7527999999998</v>
      </c>
      <c r="AP241" s="83">
        <f>Tableau1[[#This Row],[Montant
Tarif normal]]/Tableau1[[#This Row],[Diff jour_x000D_
Cumul]]</f>
        <v>6.1340879286537495</v>
      </c>
      <c r="AQ241" s="83">
        <f>(Tableau1[[#This Row],[Conso HP / an
Cumul]]*0.1799)+(Tableau1[[#This Row],[Conso HC / an_x000D_
Cumul]]*0.1346)</f>
        <v>2329.7582334674207</v>
      </c>
      <c r="AR241" s="83">
        <f>Tableau1[[#This Row],[Conso HP + HC / an_x000D_
Cumul]]*0.1599</f>
        <v>2238.9420939586189</v>
      </c>
      <c r="AS241" s="79">
        <f>MONTH(Tableau1[[#This Row],[Date]])</f>
        <v>3</v>
      </c>
      <c r="AT241" s="79">
        <f>YEAR(Tableau1[[#This Row],[Date]])</f>
        <v>2022</v>
      </c>
    </row>
    <row r="242" spans="1:46" x14ac:dyDescent="0.2">
      <c r="A242" s="74">
        <v>44644.322916666664</v>
      </c>
      <c r="B242" s="75"/>
      <c r="C242" s="76">
        <f>IF(ISERROR(Tableau1[[#This Row],[Date]]-A241),"",Tableau1[[#This Row],[Date]]-A241)</f>
        <v>0.95069444444379769</v>
      </c>
      <c r="D242" s="77">
        <f>IF(ISERROR(Tableau1[[#This Row],[Date]]-A241),"",Tableau1[[#This Row],[Date]]-A241)</f>
        <v>0.95069444444379769</v>
      </c>
      <c r="E242" s="76">
        <f>Tableau1[[#This Row],[Date]]-$A$5</f>
        <v>461.61458333332848</v>
      </c>
      <c r="F242" s="77">
        <f>Tableau1[[#This Row],[Date]]-$A$5</f>
        <v>461.61458333332848</v>
      </c>
      <c r="G242" s="77">
        <f>Tableau1[[#This Row],[Diff jour_x000D_
Cumul]]-F$6</f>
        <v>423.53125</v>
      </c>
      <c r="H242" s="77">
        <f>Tableau1[[#This Row],[Diff jour_x000D_
Cumul]]-F$59</f>
        <v>401.01180555555038</v>
      </c>
      <c r="I242" s="78">
        <v>192182</v>
      </c>
      <c r="J242" s="79">
        <f>IF(ISERROR(Tableau1[[#This Row],[Index HP
kWh]]-I241),"",Tableau1[[#This Row],[Index HP
kWh]]-I241)</f>
        <v>23</v>
      </c>
      <c r="K242" s="77">
        <f>IF(ISERROR(Tableau1[[#This Row],[Différence HP
Instantané]]/(Tableau1[[#This Row],[Diff jour
Instantané]]*24)),"",Tableau1[[#This Row],[Différence HP
Instantané]]/(Tableau1[[#This Row],[Diff jour
Instantané]]*24))</f>
        <v>1.008035062089802</v>
      </c>
      <c r="L242" s="77">
        <f>Tableau1[[#This Row],[Différence HP
Instantané]]/Tableau1[[#This Row],[Diff jour
Instantané]]</f>
        <v>24.192841490155246</v>
      </c>
      <c r="M242" s="77">
        <f>Tableau1[[#This Row],[Conso HP / jour
Instantané]]*365</f>
        <v>8830.3871439066643</v>
      </c>
      <c r="N242" s="79">
        <f>Tableau1[[#This Row],[Index HP
kWh]]-$I$5</f>
        <v>12423</v>
      </c>
      <c r="O242" s="80">
        <f>Tableau1[[#This Row],[Différence HP
Cumul]]/(Tableau1[[#This Row],[Diff jour_x000D_
Cumul]]*24)</f>
        <v>1.121335890781914</v>
      </c>
      <c r="P242" s="80">
        <f>Tableau1[[#This Row],[Différence HP
Cumul]]/Tableau1[[#This Row],[Diff jour_x000D_
Cumul]]</f>
        <v>26.912061378765937</v>
      </c>
      <c r="Q242" s="80">
        <f>Tableau1[[#This Row],[Conso HP / jour
Cumul]]*365</f>
        <v>9822.9024032495672</v>
      </c>
      <c r="R242" s="78">
        <v>124721</v>
      </c>
      <c r="S242" s="79">
        <f>Tableau1[[#This Row],[Index HC_x000D_
kWh]]-R241</f>
        <v>17</v>
      </c>
      <c r="T242" s="81">
        <f>Tableau1[[#This Row],[Différence_x000D_ HC
Instantané]]/(Tableau1[[#This Row],[Diff jour
Instantané]]*24)</f>
        <v>0.74506939371854919</v>
      </c>
      <c r="U242" s="81">
        <f>Tableau1[[#This Row],[Différence_x000D_ HC
Instantané]]/Tableau1[[#This Row],[Diff jour
Instantané]]</f>
        <v>17.881665449245183</v>
      </c>
      <c r="V242" s="81">
        <f>Tableau1[[#This Row],[Conso HC / jour_x000D_
Instantané]]*365</f>
        <v>6526.807888974492</v>
      </c>
      <c r="W242" s="79">
        <f>Tableau1[[#This Row],[Index HC_x000D_
kWh]]-$R$5</f>
        <v>5289</v>
      </c>
      <c r="X242" s="82">
        <f>Tableau1[[#This Row],[Différence HC
Cumul]]/(Tableau1[[#This Row],[Diff jour_x000D_
Cumul]]*24)</f>
        <v>0.47740042874873567</v>
      </c>
      <c r="Y242" s="82">
        <f>Tableau1[[#This Row],[Différence HC
Cumul]]/Tableau1[[#This Row],[Diff jour_x000D_
Cumul]]</f>
        <v>11.457610289969656</v>
      </c>
      <c r="Z242" s="82">
        <f>Tableau1[[#This Row],[Conso HC / jour_x000D_
Cumul]]*365</f>
        <v>4182.0277558389243</v>
      </c>
      <c r="AA242" s="79">
        <f>Tableau1[[#This Row],[Différence HP
Instantané]]+Tableau1[[#This Row],[Différence_x000D_ HC
Instantané]]</f>
        <v>40</v>
      </c>
      <c r="AB242" s="80">
        <f>Tableau1[[#This Row],[Conso HP + HC
Instantané]]/(Tableau1[[#This Row],[Diff jour
Instantané]]*24)</f>
        <v>1.7531044558083511</v>
      </c>
      <c r="AC242" s="80">
        <f>IF(ISERROR(Tableau1[[#This Row],[Date]]-A241),"",Tableau1[[#This Row],[Conso HP + HC
Instantané]]/Tableau1[[#This Row],[Diff jour
Instantané]])</f>
        <v>42.074506939400429</v>
      </c>
      <c r="AD242" s="80">
        <f>Tableau1[[#This Row],[Conso HP + HC / jour_x000D_
Instantané]]*365</f>
        <v>15357.195032881156</v>
      </c>
      <c r="AE242" s="79">
        <f>Tableau1[[#This Row],[Différence HP
Cumul]]+Tableau1[[#This Row],[Différence HC
Cumul]]</f>
        <v>17712</v>
      </c>
      <c r="AF242" s="77">
        <f>(Tableau1[[#This Row],[Conso HP + HC
Cumul]]-AE$6)/Tableau1[[#This Row],[Diff jour_x000D_
Cumul
depuis le 24/01]]</f>
        <v>35.749428170884677</v>
      </c>
      <c r="AG242" s="77">
        <f>(Tableau1[[#This Row],[Conso HP + HC
Cumul]]-AE$59)/Tableau1[[#This Row],[Diff jour_x000D_
Cumul
depuis
précédente facture
16/02/2021]]</f>
        <v>33.752123534739816</v>
      </c>
      <c r="AH242" s="80">
        <f>Tableau1[[#This Row],[Conso HP + HC
Cumul]]/(Tableau1[[#This Row],[Diff jour_x000D_
Cumul]]*24)</f>
        <v>1.5987363195306499</v>
      </c>
      <c r="AI242" s="80">
        <f>Tableau1[[#This Row],[Conso HP + HC
Cumul]]/Tableau1[[#This Row],[Diff jour_x000D_
Cumul]]</f>
        <v>38.369671668735592</v>
      </c>
      <c r="AJ242" s="80">
        <f>Tableau1[[#This Row],[Conso HP + HC / jour_x000D_
Cumul]]*365</f>
        <v>14004.930159088492</v>
      </c>
      <c r="AK242" s="83">
        <f>(Tableau1[[#This Row],[Différence HP
Cumul]]*0.1799)+(Tableau1[[#This Row],[Différence HC
Cumul]]*0.1346)</f>
        <v>2946.7970999999998</v>
      </c>
      <c r="AL242" s="83">
        <f>Tableau1[[#This Row],[Montant
Tarif HP/HC]]/Tableau1[[#This Row],[Diff jour_x000D_
Cumul]]</f>
        <v>6.3836741870699072</v>
      </c>
      <c r="AM242" s="83">
        <f>(Tableau1[[#This Row],[Montant
Tarif HP/HC]]-AK$6)/Tableau1[[#This Row],[Diff jour_x000D_
Cumul
depuis le 24/01]]</f>
        <v>5.9555735261565701</v>
      </c>
      <c r="AN242" s="83">
        <f>(Tableau1[[#This Row],[Montant
Tarif HP/HC]]-AK$59)/Tableau1[[#This Row],[Diff jour_x000D_
Cumul
depuis
précédente facture
16/02/2021]]</f>
        <v>5.6228611446394128</v>
      </c>
      <c r="AO242" s="83">
        <f>Tableau1[[#This Row],[Conso HP + HC
Cumul]]*0.1599</f>
        <v>2832.1487999999999</v>
      </c>
      <c r="AP242" s="83">
        <f>Tableau1[[#This Row],[Montant
Tarif normal]]/Tableau1[[#This Row],[Diff jour_x000D_
Cumul]]</f>
        <v>6.1353104998308217</v>
      </c>
      <c r="AQ242" s="83">
        <f>(Tableau1[[#This Row],[Conso HP / an
Cumul]]*0.1799)+(Tableau1[[#This Row],[Conso HC / an_x000D_
Cumul]]*0.1346)</f>
        <v>2330.0410782805166</v>
      </c>
      <c r="AR242" s="83">
        <f>Tableau1[[#This Row],[Conso HP + HC / an_x000D_
Cumul]]*0.1599</f>
        <v>2239.3883324382496</v>
      </c>
      <c r="AS242" s="79">
        <f>MONTH(Tableau1[[#This Row],[Date]])</f>
        <v>3</v>
      </c>
      <c r="AT242" s="79">
        <f>YEAR(Tableau1[[#This Row],[Date]])</f>
        <v>2022</v>
      </c>
    </row>
    <row r="243" spans="1:46" x14ac:dyDescent="0.2">
      <c r="A243" s="74">
        <v>44645.34375</v>
      </c>
      <c r="B243" s="75"/>
      <c r="C243" s="76">
        <f>IF(ISERROR(Tableau1[[#This Row],[Date]]-A242),"",Tableau1[[#This Row],[Date]]-A242)</f>
        <v>1.0208333333357587</v>
      </c>
      <c r="D243" s="77">
        <f>IF(ISERROR(Tableau1[[#This Row],[Date]]-A242),"",Tableau1[[#This Row],[Date]]-A242)</f>
        <v>1.0208333333357587</v>
      </c>
      <c r="E243" s="76">
        <f>Tableau1[[#This Row],[Date]]-$A$5</f>
        <v>462.63541666666424</v>
      </c>
      <c r="F243" s="77">
        <f>Tableau1[[#This Row],[Date]]-$A$5</f>
        <v>462.63541666666424</v>
      </c>
      <c r="G243" s="77">
        <f>Tableau1[[#This Row],[Diff jour_x000D_
Cumul]]-F$6</f>
        <v>424.55208333333576</v>
      </c>
      <c r="H243" s="77">
        <f>Tableau1[[#This Row],[Diff jour_x000D_
Cumul]]-F$59</f>
        <v>402.03263888888614</v>
      </c>
      <c r="I243" s="78">
        <v>192201</v>
      </c>
      <c r="J243" s="79">
        <f>IF(ISERROR(Tableau1[[#This Row],[Index HP
kWh]]-I242),"",Tableau1[[#This Row],[Index HP
kWh]]-I242)</f>
        <v>19</v>
      </c>
      <c r="K243" s="77">
        <f>IF(ISERROR(Tableau1[[#This Row],[Différence HP
Instantané]]/(Tableau1[[#This Row],[Diff jour
Instantané]]*24)),"",Tableau1[[#This Row],[Différence HP
Instantané]]/(Tableau1[[#This Row],[Diff jour
Instantané]]*24))</f>
        <v>0.77551020407979021</v>
      </c>
      <c r="L243" s="77">
        <f>Tableau1[[#This Row],[Différence HP
Instantané]]/Tableau1[[#This Row],[Diff jour
Instantané]]</f>
        <v>18.612244897914966</v>
      </c>
      <c r="M243" s="77">
        <f>Tableau1[[#This Row],[Conso HP / jour
Instantané]]*365</f>
        <v>6793.4693877389627</v>
      </c>
      <c r="N243" s="79">
        <f>Tableau1[[#This Row],[Index HP
kWh]]-$I$5</f>
        <v>12442</v>
      </c>
      <c r="O243" s="80">
        <f>Tableau1[[#This Row],[Différence HP
Cumul]]/(Tableau1[[#This Row],[Diff jour_x000D_
Cumul]]*24)</f>
        <v>1.120572805259727</v>
      </c>
      <c r="P243" s="80">
        <f>Tableau1[[#This Row],[Différence HP
Cumul]]/Tableau1[[#This Row],[Diff jour_x000D_
Cumul]]</f>
        <v>26.893747326233452</v>
      </c>
      <c r="Q243" s="80">
        <f>Tableau1[[#This Row],[Conso HP / jour
Cumul]]*365</f>
        <v>9816.2177740752104</v>
      </c>
      <c r="R243" s="78">
        <v>124735</v>
      </c>
      <c r="S243" s="79">
        <f>Tableau1[[#This Row],[Index HC_x000D_
kWh]]-R242</f>
        <v>14</v>
      </c>
      <c r="T243" s="81">
        <f>Tableau1[[#This Row],[Différence_x000D_ HC
Instantané]]/(Tableau1[[#This Row],[Diff jour
Instantané]]*24)</f>
        <v>0.57142857142721382</v>
      </c>
      <c r="U243" s="81">
        <f>Tableau1[[#This Row],[Différence_x000D_ HC
Instantané]]/Tableau1[[#This Row],[Diff jour
Instantané]]</f>
        <v>13.714285714253132</v>
      </c>
      <c r="V243" s="81">
        <f>Tableau1[[#This Row],[Conso HC / jour_x000D_
Instantané]]*365</f>
        <v>5005.7142857023928</v>
      </c>
      <c r="W243" s="79">
        <f>Tableau1[[#This Row],[Index HC_x000D_
kWh]]-$R$5</f>
        <v>5303</v>
      </c>
      <c r="X243" s="82">
        <f>Tableau1[[#This Row],[Différence HC
Cumul]]/(Tableau1[[#This Row],[Diff jour_x000D_
Cumul]]*24)</f>
        <v>0.47760790759462568</v>
      </c>
      <c r="Y243" s="82">
        <f>Tableau1[[#This Row],[Différence HC
Cumul]]/Tableau1[[#This Row],[Diff jour_x000D_
Cumul]]</f>
        <v>11.462589782271017</v>
      </c>
      <c r="Z243" s="82">
        <f>Tableau1[[#This Row],[Conso HC / jour_x000D_
Cumul]]*365</f>
        <v>4183.845270528921</v>
      </c>
      <c r="AA243" s="79">
        <f>Tableau1[[#This Row],[Différence HP
Instantané]]+Tableau1[[#This Row],[Différence_x000D_ HC
Instantané]]</f>
        <v>33</v>
      </c>
      <c r="AB243" s="80">
        <f>Tableau1[[#This Row],[Conso HP + HC
Instantané]]/(Tableau1[[#This Row],[Diff jour
Instantané]]*24)</f>
        <v>1.3469387755070039</v>
      </c>
      <c r="AC243" s="80">
        <f>IF(ISERROR(Tableau1[[#This Row],[Date]]-A242),"",Tableau1[[#This Row],[Conso HP + HC
Instantané]]/Tableau1[[#This Row],[Diff jour
Instantané]])</f>
        <v>32.326530612168099</v>
      </c>
      <c r="AD243" s="80">
        <f>Tableau1[[#This Row],[Conso HP + HC / jour_x000D_
Instantané]]*365</f>
        <v>11799.183673441355</v>
      </c>
      <c r="AE243" s="79">
        <f>Tableau1[[#This Row],[Différence HP
Cumul]]+Tableau1[[#This Row],[Différence HC
Cumul]]</f>
        <v>17745</v>
      </c>
      <c r="AF243" s="77">
        <f>(Tableau1[[#This Row],[Conso HP + HC
Cumul]]-AE$6)/Tableau1[[#This Row],[Diff jour_x000D_
Cumul
depuis le 24/01]]</f>
        <v>35.741197831047224</v>
      </c>
      <c r="AG243" s="77">
        <f>(Tableau1[[#This Row],[Conso HP + HC
Cumul]]-AE$59)/Tableau1[[#This Row],[Diff jour_x000D_
Cumul
depuis
précédente facture
16/02/2021]]</f>
        <v>33.748503697357584</v>
      </c>
      <c r="AH243" s="80">
        <f>Tableau1[[#This Row],[Conso HP + HC
Cumul]]/(Tableau1[[#This Row],[Diff jour_x000D_
Cumul]]*24)</f>
        <v>1.5981807128543528</v>
      </c>
      <c r="AI243" s="80">
        <f>Tableau1[[#This Row],[Conso HP + HC
Cumul]]/Tableau1[[#This Row],[Diff jour_x000D_
Cumul]]</f>
        <v>38.356337108504469</v>
      </c>
      <c r="AJ243" s="80">
        <f>Tableau1[[#This Row],[Conso HP + HC / jour_x000D_
Cumul]]*365</f>
        <v>14000.06304460413</v>
      </c>
      <c r="AK243" s="83">
        <f>(Tableau1[[#This Row],[Différence HP
Cumul]]*0.1799)+(Tableau1[[#This Row],[Différence HC
Cumul]]*0.1346)</f>
        <v>2952.0996</v>
      </c>
      <c r="AL243" s="83">
        <f>Tableau1[[#This Row],[Montant
Tarif HP/HC]]/Tableau1[[#This Row],[Diff jour_x000D_
Cumul]]</f>
        <v>6.3810497286830765</v>
      </c>
      <c r="AM243" s="83">
        <f>(Tableau1[[#This Row],[Montant
Tarif HP/HC]]-AK$6)/Tableau1[[#This Row],[Diff jour_x000D_
Cumul
depuis le 24/01]]</f>
        <v>5.9537430134700449</v>
      </c>
      <c r="AN243" s="83">
        <f>(Tableau1[[#This Row],[Montant
Tarif HP/HC]]-AK$59)/Tableau1[[#This Row],[Diff jour_x000D_
Cumul
depuis
précédente facture
16/02/2021]]</f>
        <v>5.6217729143743895</v>
      </c>
      <c r="AO243" s="83">
        <f>Tableau1[[#This Row],[Conso HP + HC
Cumul]]*0.1599</f>
        <v>2837.4254999999998</v>
      </c>
      <c r="AP243" s="83">
        <f>Tableau1[[#This Row],[Montant
Tarif normal]]/Tableau1[[#This Row],[Diff jour_x000D_
Cumul]]</f>
        <v>6.1331783036498644</v>
      </c>
      <c r="AQ243" s="83">
        <f>(Tableau1[[#This Row],[Conso HP / an
Cumul]]*0.1799)+(Tableau1[[#This Row],[Conso HC / an_x000D_
Cumul]]*0.1346)</f>
        <v>2329.0831509693235</v>
      </c>
      <c r="AR243" s="83">
        <f>Tableau1[[#This Row],[Conso HP + HC / an_x000D_
Cumul]]*0.1599</f>
        <v>2238.6100808322003</v>
      </c>
      <c r="AS243" s="79">
        <f>MONTH(Tableau1[[#This Row],[Date]])</f>
        <v>3</v>
      </c>
      <c r="AT243" s="79">
        <f>YEAR(Tableau1[[#This Row],[Date]])</f>
        <v>2022</v>
      </c>
    </row>
    <row r="244" spans="1:46" x14ac:dyDescent="0.2">
      <c r="A244" s="74">
        <v>44646.310416666667</v>
      </c>
      <c r="B244" s="75"/>
      <c r="C244" s="76">
        <f>IF(ISERROR(Tableau1[[#This Row],[Date]]-A243),"",Tableau1[[#This Row],[Date]]-A243)</f>
        <v>0.96666666666715173</v>
      </c>
      <c r="D244" s="77">
        <f>IF(ISERROR(Tableau1[[#This Row],[Date]]-A243),"",Tableau1[[#This Row],[Date]]-A243)</f>
        <v>0.96666666666715173</v>
      </c>
      <c r="E244" s="76">
        <f>Tableau1[[#This Row],[Date]]-$A$5</f>
        <v>463.60208333333139</v>
      </c>
      <c r="F244" s="77">
        <f>Tableau1[[#This Row],[Date]]-$A$5</f>
        <v>463.60208333333139</v>
      </c>
      <c r="G244" s="77">
        <f>Tableau1[[#This Row],[Diff jour_x000D_
Cumul]]-F$6</f>
        <v>425.51875000000291</v>
      </c>
      <c r="H244" s="77">
        <f>Tableau1[[#This Row],[Diff jour_x000D_
Cumul]]-F$59</f>
        <v>402.99930555555329</v>
      </c>
      <c r="I244" s="78">
        <v>192213</v>
      </c>
      <c r="J244" s="79">
        <f>IF(ISERROR(Tableau1[[#This Row],[Index HP
kWh]]-I243),"",Tableau1[[#This Row],[Index HP
kWh]]-I243)</f>
        <v>12</v>
      </c>
      <c r="K244" s="77">
        <f>IF(ISERROR(Tableau1[[#This Row],[Différence HP
Instantané]]/(Tableau1[[#This Row],[Diff jour
Instantané]]*24)),"",Tableau1[[#This Row],[Différence HP
Instantané]]/(Tableau1[[#This Row],[Diff jour
Instantané]]*24))</f>
        <v>0.51724137931008529</v>
      </c>
      <c r="L244" s="77">
        <f>Tableau1[[#This Row],[Différence HP
Instantané]]/Tableau1[[#This Row],[Diff jour
Instantané]]</f>
        <v>12.413793103442046</v>
      </c>
      <c r="M244" s="77">
        <f>Tableau1[[#This Row],[Conso HP / jour
Instantané]]*365</f>
        <v>4531.0344827563467</v>
      </c>
      <c r="N244" s="79">
        <f>Tableau1[[#This Row],[Index HP
kWh]]-$I$5</f>
        <v>12454</v>
      </c>
      <c r="O244" s="80">
        <f>Tableau1[[#This Row],[Différence HP
Cumul]]/(Tableau1[[#This Row],[Diff jour_x000D_
Cumul]]*24)</f>
        <v>1.1193147859380173</v>
      </c>
      <c r="P244" s="80">
        <f>Tableau1[[#This Row],[Différence HP
Cumul]]/Tableau1[[#This Row],[Diff jour_x000D_
Cumul]]</f>
        <v>26.863554862512416</v>
      </c>
      <c r="Q244" s="80">
        <f>Tableau1[[#This Row],[Conso HP / jour
Cumul]]*365</f>
        <v>9805.1975248170311</v>
      </c>
      <c r="R244" s="78">
        <v>124749</v>
      </c>
      <c r="S244" s="79">
        <f>Tableau1[[#This Row],[Index HC_x000D_
kWh]]-R243</f>
        <v>14</v>
      </c>
      <c r="T244" s="81">
        <f>Tableau1[[#This Row],[Différence_x000D_ HC
Instantané]]/(Tableau1[[#This Row],[Diff jour
Instantané]]*24)</f>
        <v>0.60344827586176619</v>
      </c>
      <c r="U244" s="81">
        <f>Tableau1[[#This Row],[Différence_x000D_ HC
Instantané]]/Tableau1[[#This Row],[Diff jour
Instantané]]</f>
        <v>14.482758620682388</v>
      </c>
      <c r="V244" s="81">
        <f>Tableau1[[#This Row],[Conso HC / jour_x000D_
Instantané]]*365</f>
        <v>5286.2068965490716</v>
      </c>
      <c r="W244" s="79">
        <f>Tableau1[[#This Row],[Index HC_x000D_
kWh]]-$R$5</f>
        <v>5317</v>
      </c>
      <c r="X244" s="82">
        <f>Tableau1[[#This Row],[Différence HC
Cumul]]/(Tableau1[[#This Row],[Diff jour_x000D_
Cumul]]*24)</f>
        <v>0.4778703000507819</v>
      </c>
      <c r="Y244" s="82">
        <f>Tableau1[[#This Row],[Différence HC
Cumul]]/Tableau1[[#This Row],[Diff jour_x000D_
Cumul]]</f>
        <v>11.468887201218765</v>
      </c>
      <c r="Z244" s="82">
        <f>Tableau1[[#This Row],[Conso HC / jour_x000D_
Cumul]]*365</f>
        <v>4186.1438284448495</v>
      </c>
      <c r="AA244" s="79">
        <f>Tableau1[[#This Row],[Différence HP
Instantané]]+Tableau1[[#This Row],[Différence_x000D_ HC
Instantané]]</f>
        <v>26</v>
      </c>
      <c r="AB244" s="80">
        <f>Tableau1[[#This Row],[Conso HP + HC
Instantané]]/(Tableau1[[#This Row],[Diff jour
Instantané]]*24)</f>
        <v>1.1206896551718515</v>
      </c>
      <c r="AC244" s="80">
        <f>IF(ISERROR(Tableau1[[#This Row],[Date]]-A243),"",Tableau1[[#This Row],[Conso HP + HC
Instantané]]/Tableau1[[#This Row],[Diff jour
Instantané]])</f>
        <v>26.896551724124436</v>
      </c>
      <c r="AD244" s="80">
        <f>Tableau1[[#This Row],[Conso HP + HC / jour_x000D_
Instantané]]*365</f>
        <v>9817.2413793054184</v>
      </c>
      <c r="AE244" s="79">
        <f>Tableau1[[#This Row],[Différence HP
Cumul]]+Tableau1[[#This Row],[Différence HC
Cumul]]</f>
        <v>17771</v>
      </c>
      <c r="AF244" s="77">
        <f>(Tableau1[[#This Row],[Conso HP + HC
Cumul]]-AE$6)/Tableau1[[#This Row],[Diff jour_x000D_
Cumul
depuis le 24/01]]</f>
        <v>35.721105121689455</v>
      </c>
      <c r="AG244" s="77">
        <f>(Tableau1[[#This Row],[Conso HP + HC
Cumul]]-AE$59)/Tableau1[[#This Row],[Diff jour_x000D_
Cumul
depuis
précédente facture
16/02/2021]]</f>
        <v>33.732068052226637</v>
      </c>
      <c r="AH244" s="80">
        <f>Tableau1[[#This Row],[Conso HP + HC
Cumul]]/(Tableau1[[#This Row],[Diff jour_x000D_
Cumul]]*24)</f>
        <v>1.597185085988799</v>
      </c>
      <c r="AI244" s="80">
        <f>Tableau1[[#This Row],[Conso HP + HC
Cumul]]/Tableau1[[#This Row],[Diff jour_x000D_
Cumul]]</f>
        <v>38.332442063731179</v>
      </c>
      <c r="AJ244" s="80">
        <f>Tableau1[[#This Row],[Conso HP + HC / jour_x000D_
Cumul]]*365</f>
        <v>13991.34135326188</v>
      </c>
      <c r="AK244" s="83">
        <f>(Tableau1[[#This Row],[Différence HP
Cumul]]*0.1799)+(Tableau1[[#This Row],[Différence HC
Cumul]]*0.1346)</f>
        <v>2956.1428000000001</v>
      </c>
      <c r="AL244" s="83">
        <f>Tableau1[[#This Row],[Montant
Tarif HP/HC]]/Tableau1[[#This Row],[Diff jour_x000D_
Cumul]]</f>
        <v>6.3764657370500295</v>
      </c>
      <c r="AM244" s="83">
        <f>(Tableau1[[#This Row],[Montant
Tarif HP/HC]]-AK$6)/Tableau1[[#This Row],[Diff jour_x000D_
Cumul
depuis le 24/01]]</f>
        <v>5.9497194894466645</v>
      </c>
      <c r="AN244" s="83">
        <f>(Tableau1[[#This Row],[Montant
Tarif HP/HC]]-AK$59)/Tableau1[[#This Row],[Diff jour_x000D_
Cumul
depuis
précédente facture
16/02/2021]]</f>
        <v>5.6183208476717432</v>
      </c>
      <c r="AO244" s="83">
        <f>Tableau1[[#This Row],[Conso HP + HC
Cumul]]*0.1599</f>
        <v>2841.5828999999999</v>
      </c>
      <c r="AP244" s="83">
        <f>Tableau1[[#This Row],[Montant
Tarif normal]]/Tableau1[[#This Row],[Diff jour_x000D_
Cumul]]</f>
        <v>6.1293574859906155</v>
      </c>
      <c r="AQ244" s="83">
        <f>(Tableau1[[#This Row],[Conso HP / an
Cumul]]*0.1799)+(Tableau1[[#This Row],[Conso HC / an_x000D_
Cumul]]*0.1346)</f>
        <v>2327.4099940232609</v>
      </c>
      <c r="AR244" s="83">
        <f>Tableau1[[#This Row],[Conso HP + HC / an_x000D_
Cumul]]*0.1599</f>
        <v>2237.2154823865744</v>
      </c>
      <c r="AS244" s="79">
        <f>MONTH(Tableau1[[#This Row],[Date]])</f>
        <v>3</v>
      </c>
      <c r="AT244" s="79">
        <f>YEAR(Tableau1[[#This Row],[Date]])</f>
        <v>2022</v>
      </c>
    </row>
    <row r="245" spans="1:46" x14ac:dyDescent="0.2">
      <c r="A245" s="74">
        <v>44647.415277777778</v>
      </c>
      <c r="B245" s="75"/>
      <c r="C245" s="76">
        <f>IF(ISERROR(Tableau1[[#This Row],[Date]]-A244),"",Tableau1[[#This Row],[Date]]-A244)</f>
        <v>1.1048611111109494</v>
      </c>
      <c r="D245" s="77">
        <f>IF(ISERROR(Tableau1[[#This Row],[Date]]-A244),"",Tableau1[[#This Row],[Date]]-A244)</f>
        <v>1.1048611111109494</v>
      </c>
      <c r="E245" s="76">
        <f>Tableau1[[#This Row],[Date]]-$A$5</f>
        <v>464.70694444444234</v>
      </c>
      <c r="F245" s="77">
        <f>Tableau1[[#This Row],[Date]]-$A$5</f>
        <v>464.70694444444234</v>
      </c>
      <c r="G245" s="77">
        <f>Tableau1[[#This Row],[Diff jour_x000D_
Cumul]]-F$6</f>
        <v>426.62361111111386</v>
      </c>
      <c r="H245" s="77">
        <f>Tableau1[[#This Row],[Diff jour_x000D_
Cumul]]-F$59</f>
        <v>404.10416666666424</v>
      </c>
      <c r="I245" s="78">
        <v>192233</v>
      </c>
      <c r="J245" s="79">
        <f>IF(ISERROR(Tableau1[[#This Row],[Index HP
kWh]]-I244),"",Tableau1[[#This Row],[Index HP
kWh]]-I244)</f>
        <v>20</v>
      </c>
      <c r="K245" s="77">
        <f>IF(ISERROR(Tableau1[[#This Row],[Différence HP
Instantané]]/(Tableau1[[#This Row],[Diff jour
Instantané]]*24)),"",Tableau1[[#This Row],[Différence HP
Instantané]]/(Tableau1[[#This Row],[Diff jour
Instantané]]*24))</f>
        <v>0.75424261470784137</v>
      </c>
      <c r="L245" s="77">
        <f>Tableau1[[#This Row],[Différence HP
Instantané]]/Tableau1[[#This Row],[Diff jour
Instantané]]</f>
        <v>18.101822752988191</v>
      </c>
      <c r="M245" s="77">
        <f>Tableau1[[#This Row],[Conso HP / jour
Instantané]]*365</f>
        <v>6607.1653048406897</v>
      </c>
      <c r="N245" s="79">
        <f>Tableau1[[#This Row],[Index HP
kWh]]-$I$5</f>
        <v>12474</v>
      </c>
      <c r="O245" s="80">
        <f>Tableau1[[#This Row],[Différence HP
Cumul]]/(Tableau1[[#This Row],[Diff jour_x000D_
Cumul]]*24)</f>
        <v>1.1184468108634824</v>
      </c>
      <c r="P245" s="80">
        <f>Tableau1[[#This Row],[Différence HP
Cumul]]/Tableau1[[#This Row],[Diff jour_x000D_
Cumul]]</f>
        <v>26.842723460723576</v>
      </c>
      <c r="Q245" s="80">
        <f>Tableau1[[#This Row],[Conso HP / jour
Cumul]]*365</f>
        <v>9797.594063164106</v>
      </c>
      <c r="R245" s="78">
        <v>124759</v>
      </c>
      <c r="S245" s="79">
        <f>Tableau1[[#This Row],[Index HC_x000D_
kWh]]-R244</f>
        <v>10</v>
      </c>
      <c r="T245" s="81">
        <f>Tableau1[[#This Row],[Différence_x000D_ HC
Instantané]]/(Tableau1[[#This Row],[Diff jour
Instantané]]*24)</f>
        <v>0.37712130735392069</v>
      </c>
      <c r="U245" s="81">
        <f>Tableau1[[#This Row],[Différence_x000D_ HC
Instantané]]/Tableau1[[#This Row],[Diff jour
Instantané]]</f>
        <v>9.0509113764940956</v>
      </c>
      <c r="V245" s="81">
        <f>Tableau1[[#This Row],[Conso HC / jour_x000D_
Instantané]]*365</f>
        <v>3303.5826524203449</v>
      </c>
      <c r="W245" s="79">
        <f>Tableau1[[#This Row],[Index HC_x000D_
kWh]]-$R$5</f>
        <v>5327</v>
      </c>
      <c r="X245" s="82">
        <f>Tableau1[[#This Row],[Différence HC
Cumul]]/(Tableau1[[#This Row],[Diff jour_x000D_
Cumul]]*24)</f>
        <v>0.47763076490859152</v>
      </c>
      <c r="Y245" s="82">
        <f>Tableau1[[#This Row],[Différence HC
Cumul]]/Tableau1[[#This Row],[Diff jour_x000D_
Cumul]]</f>
        <v>11.463138357806196</v>
      </c>
      <c r="Z245" s="82">
        <f>Tableau1[[#This Row],[Conso HC / jour_x000D_
Cumul]]*365</f>
        <v>4184.0455005992617</v>
      </c>
      <c r="AA245" s="79">
        <f>Tableau1[[#This Row],[Différence HP
Instantané]]+Tableau1[[#This Row],[Différence_x000D_ HC
Instantané]]</f>
        <v>30</v>
      </c>
      <c r="AB245" s="80">
        <f>Tableau1[[#This Row],[Conso HP + HC
Instantané]]/(Tableau1[[#This Row],[Diff jour
Instantané]]*24)</f>
        <v>1.131363922061762</v>
      </c>
      <c r="AC245" s="80">
        <f>IF(ISERROR(Tableau1[[#This Row],[Date]]-A244),"",Tableau1[[#This Row],[Conso HP + HC
Instantané]]/Tableau1[[#This Row],[Diff jour
Instantané]])</f>
        <v>27.15273412948229</v>
      </c>
      <c r="AD245" s="80">
        <f>Tableau1[[#This Row],[Conso HP + HC / jour_x000D_
Instantané]]*365</f>
        <v>9910.7479572610355</v>
      </c>
      <c r="AE245" s="79">
        <f>Tableau1[[#This Row],[Différence HP
Cumul]]+Tableau1[[#This Row],[Différence HC
Cumul]]</f>
        <v>17801</v>
      </c>
      <c r="AF245" s="77">
        <f>(Tableau1[[#This Row],[Conso HP + HC
Cumul]]-AE$6)/Tableau1[[#This Row],[Diff jour_x000D_
Cumul
depuis le 24/01]]</f>
        <v>35.698914929566229</v>
      </c>
      <c r="AG245" s="77">
        <f>(Tableau1[[#This Row],[Conso HP + HC
Cumul]]-AE$59)/Tableau1[[#This Row],[Diff jour_x000D_
Cumul
depuis
précédente facture
16/02/2021]]</f>
        <v>33.714079496829612</v>
      </c>
      <c r="AH245" s="80">
        <f>Tableau1[[#This Row],[Conso HP + HC
Cumul]]/(Tableau1[[#This Row],[Diff jour_x000D_
Cumul]]*24)</f>
        <v>1.5960775757720738</v>
      </c>
      <c r="AI245" s="80">
        <f>Tableau1[[#This Row],[Conso HP + HC
Cumul]]/Tableau1[[#This Row],[Diff jour_x000D_
Cumul]]</f>
        <v>38.30586181852977</v>
      </c>
      <c r="AJ245" s="80">
        <f>Tableau1[[#This Row],[Conso HP + HC / jour_x000D_
Cumul]]*365</f>
        <v>13981.639563763367</v>
      </c>
      <c r="AK245" s="83">
        <f>(Tableau1[[#This Row],[Différence HP
Cumul]]*0.1799)+(Tableau1[[#This Row],[Différence HC
Cumul]]*0.1346)</f>
        <v>2961.0868</v>
      </c>
      <c r="AL245" s="83">
        <f>Tableau1[[#This Row],[Montant
Tarif HP/HC]]/Tableau1[[#This Row],[Diff jour_x000D_
Cumul]]</f>
        <v>6.3719443735448857</v>
      </c>
      <c r="AM245" s="83">
        <f>(Tableau1[[#This Row],[Montant
Tarif HP/HC]]-AK$6)/Tableau1[[#This Row],[Diff jour_x000D_
Cumul
depuis le 24/01]]</f>
        <v>5.9458996969094802</v>
      </c>
      <c r="AN245" s="83">
        <f>(Tableau1[[#This Row],[Montant
Tarif HP/HC]]-AK$59)/Tableau1[[#This Row],[Diff jour_x000D_
Cumul
depuis
précédente facture
16/02/2021]]</f>
        <v>5.6151942671547479</v>
      </c>
      <c r="AO245" s="83">
        <f>Tableau1[[#This Row],[Conso HP + HC
Cumul]]*0.1599</f>
        <v>2846.3798999999999</v>
      </c>
      <c r="AP245" s="83">
        <f>Tableau1[[#This Row],[Montant
Tarif normal]]/Tableau1[[#This Row],[Diff jour_x000D_
Cumul]]</f>
        <v>6.1251073047829108</v>
      </c>
      <c r="AQ245" s="83">
        <f>(Tableau1[[#This Row],[Conso HP / an
Cumul]]*0.1799)+(Tableau1[[#This Row],[Conso HC / an_x000D_
Cumul]]*0.1346)</f>
        <v>2325.7596963438837</v>
      </c>
      <c r="AR245" s="83">
        <f>Tableau1[[#This Row],[Conso HP + HC / an_x000D_
Cumul]]*0.1599</f>
        <v>2235.6641662457623</v>
      </c>
      <c r="AS245" s="79">
        <f>MONTH(Tableau1[[#This Row],[Date]])</f>
        <v>3</v>
      </c>
      <c r="AT245" s="79">
        <f>YEAR(Tableau1[[#This Row],[Date]])</f>
        <v>2022</v>
      </c>
    </row>
    <row r="246" spans="1:46" x14ac:dyDescent="0.2">
      <c r="A246" s="74">
        <v>44648.330555555556</v>
      </c>
      <c r="B246" s="75"/>
      <c r="C246" s="76">
        <f>IF(ISERROR(Tableau1[[#This Row],[Date]]-A245),"",Tableau1[[#This Row],[Date]]-A245)</f>
        <v>0.91527777777810115</v>
      </c>
      <c r="D246" s="77">
        <f>IF(ISERROR(Tableau1[[#This Row],[Date]]-A245),"",Tableau1[[#This Row],[Date]]-A245)</f>
        <v>0.91527777777810115</v>
      </c>
      <c r="E246" s="76">
        <f>Tableau1[[#This Row],[Date]]-$A$5</f>
        <v>465.62222222222044</v>
      </c>
      <c r="F246" s="77">
        <f>Tableau1[[#This Row],[Date]]-$A$5</f>
        <v>465.62222222222044</v>
      </c>
      <c r="G246" s="77">
        <f>Tableau1[[#This Row],[Diff jour_x000D_
Cumul]]-F$6</f>
        <v>427.53888888889196</v>
      </c>
      <c r="H246" s="77">
        <f>Tableau1[[#This Row],[Diff jour_x000D_
Cumul]]-F$59</f>
        <v>405.01944444444234</v>
      </c>
      <c r="I246" s="78">
        <v>192247</v>
      </c>
      <c r="J246" s="79">
        <f>IF(ISERROR(Tableau1[[#This Row],[Index HP
kWh]]-I245),"",Tableau1[[#This Row],[Index HP
kWh]]-I245)</f>
        <v>14</v>
      </c>
      <c r="K246" s="77">
        <f>IF(ISERROR(Tableau1[[#This Row],[Différence HP
Instantané]]/(Tableau1[[#This Row],[Diff jour
Instantané]]*24)),"",Tableau1[[#This Row],[Différence HP
Instantané]]/(Tableau1[[#This Row],[Diff jour
Instantané]]*24))</f>
        <v>0.63732928679795386</v>
      </c>
      <c r="L246" s="77">
        <f>Tableau1[[#This Row],[Différence HP
Instantané]]/Tableau1[[#This Row],[Diff jour
Instantané]]</f>
        <v>15.295902883150893</v>
      </c>
      <c r="M246" s="77">
        <f>Tableau1[[#This Row],[Conso HP / jour
Instantané]]*365</f>
        <v>5583.0045523500758</v>
      </c>
      <c r="N246" s="79">
        <f>Tableau1[[#This Row],[Index HP
kWh]]-$I$5</f>
        <v>12488</v>
      </c>
      <c r="O246" s="80">
        <f>Tableau1[[#This Row],[Différence HP
Cumul]]/(Tableau1[[#This Row],[Diff jour_x000D_
Cumul]]*24)</f>
        <v>1.1175010738319138</v>
      </c>
      <c r="P246" s="80">
        <f>Tableau1[[#This Row],[Différence HP
Cumul]]/Tableau1[[#This Row],[Diff jour_x000D_
Cumul]]</f>
        <v>26.820025771965931</v>
      </c>
      <c r="Q246" s="80">
        <f>Tableau1[[#This Row],[Conso HP / jour
Cumul]]*365</f>
        <v>9789.3094067675647</v>
      </c>
      <c r="R246" s="78">
        <v>124769</v>
      </c>
      <c r="S246" s="79">
        <f>Tableau1[[#This Row],[Index HC_x000D_
kWh]]-R245</f>
        <v>10</v>
      </c>
      <c r="T246" s="81">
        <f>Tableau1[[#This Row],[Différence_x000D_ HC
Instantané]]/(Tableau1[[#This Row],[Diff jour
Instantané]]*24)</f>
        <v>0.45523520485568136</v>
      </c>
      <c r="U246" s="81">
        <f>Tableau1[[#This Row],[Différence_x000D_ HC
Instantané]]/Tableau1[[#This Row],[Diff jour
Instantané]]</f>
        <v>10.925644916536353</v>
      </c>
      <c r="V246" s="81">
        <f>Tableau1[[#This Row],[Conso HC / jour_x000D_
Instantané]]*365</f>
        <v>3987.8603945357686</v>
      </c>
      <c r="W246" s="79">
        <f>Tableau1[[#This Row],[Index HC_x000D_
kWh]]-$R$5</f>
        <v>5337</v>
      </c>
      <c r="X246" s="82">
        <f>Tableau1[[#This Row],[Différence HC
Cumul]]/(Tableau1[[#This Row],[Diff jour_x000D_
Cumul]]*24)</f>
        <v>0.47758674175535903</v>
      </c>
      <c r="Y246" s="82">
        <f>Tableau1[[#This Row],[Différence HC
Cumul]]/Tableau1[[#This Row],[Diff jour_x000D_
Cumul]]</f>
        <v>11.462081802128617</v>
      </c>
      <c r="Z246" s="82">
        <f>Tableau1[[#This Row],[Conso HC / jour_x000D_
Cumul]]*365</f>
        <v>4183.6598577769455</v>
      </c>
      <c r="AA246" s="79">
        <f>Tableau1[[#This Row],[Différence HP
Instantané]]+Tableau1[[#This Row],[Différence_x000D_ HC
Instantané]]</f>
        <v>24</v>
      </c>
      <c r="AB246" s="80">
        <f>Tableau1[[#This Row],[Conso HP + HC
Instantané]]/(Tableau1[[#This Row],[Diff jour
Instantané]]*24)</f>
        <v>1.0925644916536352</v>
      </c>
      <c r="AC246" s="80">
        <f>IF(ISERROR(Tableau1[[#This Row],[Date]]-A245),"",Tableau1[[#This Row],[Conso HP + HC
Instantané]]/Tableau1[[#This Row],[Diff jour
Instantané]])</f>
        <v>26.221547799687247</v>
      </c>
      <c r="AD246" s="80">
        <f>Tableau1[[#This Row],[Conso HP + HC / jour_x000D_
Instantané]]*365</f>
        <v>9570.8649468858457</v>
      </c>
      <c r="AE246" s="79">
        <f>Tableau1[[#This Row],[Différence HP
Cumul]]+Tableau1[[#This Row],[Différence HC
Cumul]]</f>
        <v>17825</v>
      </c>
      <c r="AF246" s="77">
        <f>(Tableau1[[#This Row],[Conso HP + HC
Cumul]]-AE$6)/Tableau1[[#This Row],[Diff jour_x000D_
Cumul
depuis le 24/01]]</f>
        <v>35.678625726054555</v>
      </c>
      <c r="AG246" s="77">
        <f>(Tableau1[[#This Row],[Conso HP + HC
Cumul]]-AE$59)/Tableau1[[#This Row],[Diff jour_x000D_
Cumul
depuis
précédente facture
16/02/2021]]</f>
        <v>33.697147599223804</v>
      </c>
      <c r="AH246" s="80">
        <f>Tableau1[[#This Row],[Conso HP + HC
Cumul]]/(Tableau1[[#This Row],[Diff jour_x000D_
Cumul]]*24)</f>
        <v>1.5950878155872728</v>
      </c>
      <c r="AI246" s="80">
        <f>Tableau1[[#This Row],[Conso HP + HC
Cumul]]/Tableau1[[#This Row],[Diff jour_x000D_
Cumul]]</f>
        <v>38.282107574094546</v>
      </c>
      <c r="AJ246" s="80">
        <f>Tableau1[[#This Row],[Conso HP + HC / jour_x000D_
Cumul]]*365</f>
        <v>13972.969264544508</v>
      </c>
      <c r="AK246" s="83">
        <f>(Tableau1[[#This Row],[Différence HP
Cumul]]*0.1799)+(Tableau1[[#This Row],[Différence HC
Cumul]]*0.1346)</f>
        <v>2964.9513999999999</v>
      </c>
      <c r="AL246" s="83">
        <f>Tableau1[[#This Row],[Montant
Tarif HP/HC]]/Tableau1[[#This Row],[Diff jour_x000D_
Cumul]]</f>
        <v>6.3677188469431822</v>
      </c>
      <c r="AM246" s="83">
        <f>(Tableau1[[#This Row],[Montant
Tarif HP/HC]]-AK$6)/Tableau1[[#This Row],[Diff jour_x000D_
Cumul
depuis le 24/01]]</f>
        <v>5.9422098574528199</v>
      </c>
      <c r="AN246" s="83">
        <f>(Tableau1[[#This Row],[Montant
Tarif HP/HC]]-AK$59)/Tableau1[[#This Row],[Diff jour_x000D_
Cumul
depuis
précédente facture
16/02/2021]]</f>
        <v>5.6120466095592407</v>
      </c>
      <c r="AO246" s="83">
        <f>Tableau1[[#This Row],[Conso HP + HC
Cumul]]*0.1599</f>
        <v>2850.2174999999997</v>
      </c>
      <c r="AP246" s="83">
        <f>Tableau1[[#This Row],[Montant
Tarif normal]]/Tableau1[[#This Row],[Diff jour_x000D_
Cumul]]</f>
        <v>6.1213090010977176</v>
      </c>
      <c r="AQ246" s="83">
        <f>(Tableau1[[#This Row],[Conso HP / an
Cumul]]*0.1799)+(Tableau1[[#This Row],[Conso HC / an_x000D_
Cumul]]*0.1346)</f>
        <v>2324.217379134262</v>
      </c>
      <c r="AR246" s="83">
        <f>Tableau1[[#This Row],[Conso HP + HC / an_x000D_
Cumul]]*0.1599</f>
        <v>2234.2777854006667</v>
      </c>
      <c r="AS246" s="79">
        <f>MONTH(Tableau1[[#This Row],[Date]])</f>
        <v>3</v>
      </c>
      <c r="AT246" s="79">
        <f>YEAR(Tableau1[[#This Row],[Date]])</f>
        <v>2022</v>
      </c>
    </row>
    <row r="247" spans="1:46" x14ac:dyDescent="0.2">
      <c r="A247" s="74">
        <v>44649.307638888888</v>
      </c>
      <c r="B247" s="75"/>
      <c r="C247" s="76">
        <f>IF(ISERROR(Tableau1[[#This Row],[Date]]-A246),"",Tableau1[[#This Row],[Date]]-A246)</f>
        <v>0.97708333333139308</v>
      </c>
      <c r="D247" s="77">
        <f>IF(ISERROR(Tableau1[[#This Row],[Date]]-A246),"",Tableau1[[#This Row],[Date]]-A246)</f>
        <v>0.97708333333139308</v>
      </c>
      <c r="E247" s="76">
        <f>Tableau1[[#This Row],[Date]]-$A$5</f>
        <v>466.59930555555184</v>
      </c>
      <c r="F247" s="77">
        <f>Tableau1[[#This Row],[Date]]-$A$5</f>
        <v>466.59930555555184</v>
      </c>
      <c r="G247" s="77">
        <f>Tableau1[[#This Row],[Diff jour_x000D_
Cumul]]-F$6</f>
        <v>428.51597222222335</v>
      </c>
      <c r="H247" s="77">
        <f>Tableau1[[#This Row],[Diff jour_x000D_
Cumul]]-F$59</f>
        <v>405.99652777777374</v>
      </c>
      <c r="I247" s="78">
        <v>192254</v>
      </c>
      <c r="J247" s="79">
        <f>IF(ISERROR(Tableau1[[#This Row],[Index HP
kWh]]-I246),"",Tableau1[[#This Row],[Index HP
kWh]]-I246)</f>
        <v>7</v>
      </c>
      <c r="K247" s="77">
        <f>IF(ISERROR(Tableau1[[#This Row],[Différence HP
Instantané]]/(Tableau1[[#This Row],[Diff jour
Instantané]]*24)),"",Tableau1[[#This Row],[Différence HP
Instantané]]/(Tableau1[[#This Row],[Diff jour
Instantané]]*24))</f>
        <v>0.29850746268715994</v>
      </c>
      <c r="L247" s="77">
        <f>Tableau1[[#This Row],[Différence HP
Instantané]]/Tableau1[[#This Row],[Diff jour
Instantané]]</f>
        <v>7.1641791044918381</v>
      </c>
      <c r="M247" s="77">
        <f>Tableau1[[#This Row],[Conso HP / jour
Instantané]]*365</f>
        <v>2614.9253731395211</v>
      </c>
      <c r="N247" s="79">
        <f>Tableau1[[#This Row],[Index HP
kWh]]-$I$5</f>
        <v>12495</v>
      </c>
      <c r="O247" s="80">
        <f>Tableau1[[#This Row],[Différence HP
Cumul]]/(Tableau1[[#This Row],[Diff jour_x000D_
Cumul]]*24)</f>
        <v>1.1157860584042727</v>
      </c>
      <c r="P247" s="80">
        <f>Tableau1[[#This Row],[Différence HP
Cumul]]/Tableau1[[#This Row],[Diff jour_x000D_
Cumul]]</f>
        <v>26.778865401702543</v>
      </c>
      <c r="Q247" s="80">
        <f>Tableau1[[#This Row],[Conso HP / jour
Cumul]]*365</f>
        <v>9774.2858716214287</v>
      </c>
      <c r="R247" s="78">
        <v>124774</v>
      </c>
      <c r="S247" s="79">
        <f>Tableau1[[#This Row],[Index HC_x000D_
kWh]]-R246</f>
        <v>5</v>
      </c>
      <c r="T247" s="81">
        <f>Tableau1[[#This Row],[Différence_x000D_ HC
Instantané]]/(Tableau1[[#This Row],[Diff jour
Instantané]]*24)</f>
        <v>0.21321961620511423</v>
      </c>
      <c r="U247" s="81">
        <f>Tableau1[[#This Row],[Différence_x000D_ HC
Instantané]]/Tableau1[[#This Row],[Diff jour
Instantané]]</f>
        <v>5.1172707889227418</v>
      </c>
      <c r="V247" s="81">
        <f>Tableau1[[#This Row],[Conso HC / jour_x000D_
Instantané]]*365</f>
        <v>1867.8038379568009</v>
      </c>
      <c r="W247" s="79">
        <f>Tableau1[[#This Row],[Index HC_x000D_
kWh]]-$R$5</f>
        <v>5342</v>
      </c>
      <c r="X247" s="82">
        <f>Tableau1[[#This Row],[Différence HC
Cumul]]/(Tableau1[[#This Row],[Diff jour_x000D_
Cumul]]*24)</f>
        <v>0.47703314317692069</v>
      </c>
      <c r="Y247" s="82">
        <f>Tableau1[[#This Row],[Différence HC
Cumul]]/Tableau1[[#This Row],[Diff jour_x000D_
Cumul]]</f>
        <v>11.448795436246098</v>
      </c>
      <c r="Z247" s="82">
        <f>Tableau1[[#This Row],[Conso HC / jour_x000D_
Cumul]]*365</f>
        <v>4178.8103342298255</v>
      </c>
      <c r="AA247" s="79">
        <f>Tableau1[[#This Row],[Différence HP
Instantané]]+Tableau1[[#This Row],[Différence_x000D_ HC
Instantané]]</f>
        <v>12</v>
      </c>
      <c r="AB247" s="80">
        <f>Tableau1[[#This Row],[Conso HP + HC
Instantané]]/(Tableau1[[#This Row],[Diff jour
Instantané]]*24)</f>
        <v>0.5117270788922742</v>
      </c>
      <c r="AC247" s="80">
        <f>IF(ISERROR(Tableau1[[#This Row],[Date]]-A246),"",Tableau1[[#This Row],[Conso HP + HC
Instantané]]/Tableau1[[#This Row],[Diff jour
Instantané]])</f>
        <v>12.28144989341458</v>
      </c>
      <c r="AD247" s="80">
        <f>Tableau1[[#This Row],[Conso HP + HC / jour_x000D_
Instantané]]*365</f>
        <v>4482.7292110963217</v>
      </c>
      <c r="AE247" s="79">
        <f>Tableau1[[#This Row],[Différence HP
Cumul]]+Tableau1[[#This Row],[Différence HC
Cumul]]</f>
        <v>17837</v>
      </c>
      <c r="AF247" s="77">
        <f>(Tableau1[[#This Row],[Conso HP + HC
Cumul]]-AE$6)/Tableau1[[#This Row],[Diff jour_x000D_
Cumul
depuis le 24/01]]</f>
        <v>35.625276511474425</v>
      </c>
      <c r="AG247" s="77">
        <f>(Tableau1[[#This Row],[Conso HP + HC
Cumul]]-AE$59)/Tableau1[[#This Row],[Diff jour_x000D_
Cumul
depuis
précédente facture
16/02/2021]]</f>
        <v>33.645607943418021</v>
      </c>
      <c r="AH247" s="80">
        <f>Tableau1[[#This Row],[Conso HP + HC
Cumul]]/(Tableau1[[#This Row],[Diff jour_x000D_
Cumul]]*24)</f>
        <v>1.5928192015811933</v>
      </c>
      <c r="AI247" s="80">
        <f>Tableau1[[#This Row],[Conso HP + HC
Cumul]]/Tableau1[[#This Row],[Diff jour_x000D_
Cumul]]</f>
        <v>38.22766083794864</v>
      </c>
      <c r="AJ247" s="80">
        <f>Tableau1[[#This Row],[Conso HP + HC / jour_x000D_
Cumul]]*365</f>
        <v>13953.096205851254</v>
      </c>
      <c r="AK247" s="83">
        <f>(Tableau1[[#This Row],[Différence HP
Cumul]]*0.1799)+(Tableau1[[#This Row],[Différence HC
Cumul]]*0.1346)</f>
        <v>2966.8836999999999</v>
      </c>
      <c r="AL247" s="83">
        <f>Tableau1[[#This Row],[Montant
Tarif HP/HC]]/Tableau1[[#This Row],[Diff jour_x000D_
Cumul]]</f>
        <v>6.3585257514850113</v>
      </c>
      <c r="AM247" s="83">
        <f>(Tableau1[[#This Row],[Montant
Tarif HP/HC]]-AK$6)/Tableau1[[#This Row],[Diff jour_x000D_
Cumul
depuis le 24/01]]</f>
        <v>5.9331699745406707</v>
      </c>
      <c r="AN247" s="83">
        <f>(Tableau1[[#This Row],[Montant
Tarif HP/HC]]-AK$59)/Tableau1[[#This Row],[Diff jour_x000D_
Cumul
depuis
précédente facture
16/02/2021]]</f>
        <v>5.6032998913852783</v>
      </c>
      <c r="AO247" s="83">
        <f>Tableau1[[#This Row],[Conso HP + HC
Cumul]]*0.1599</f>
        <v>2852.1362999999997</v>
      </c>
      <c r="AP247" s="83">
        <f>Tableau1[[#This Row],[Montant
Tarif normal]]/Tableau1[[#This Row],[Diff jour_x000D_
Cumul]]</f>
        <v>6.1126029679879865</v>
      </c>
      <c r="AQ247" s="83">
        <f>(Tableau1[[#This Row],[Conso HP / an
Cumul]]*0.1799)+(Tableau1[[#This Row],[Conso HC / an_x000D_
Cumul]]*0.1346)</f>
        <v>2320.8618992920296</v>
      </c>
      <c r="AR247" s="83">
        <f>Tableau1[[#This Row],[Conso HP + HC / an_x000D_
Cumul]]*0.1599</f>
        <v>2231.1000833156154</v>
      </c>
      <c r="AS247" s="79">
        <f>MONTH(Tableau1[[#This Row],[Date]])</f>
        <v>3</v>
      </c>
      <c r="AT247" s="79">
        <f>YEAR(Tableau1[[#This Row],[Date]])</f>
        <v>2022</v>
      </c>
    </row>
    <row r="248" spans="1:46" x14ac:dyDescent="0.2">
      <c r="A248" s="74">
        <v>44650.302083333336</v>
      </c>
      <c r="B248" s="75"/>
      <c r="C248" s="76">
        <f>IF(ISERROR(Tableau1[[#This Row],[Date]]-A247),"",Tableau1[[#This Row],[Date]]-A247)</f>
        <v>0.99444444444816327</v>
      </c>
      <c r="D248" s="77">
        <f>IF(ISERROR(Tableau1[[#This Row],[Date]]-A247),"",Tableau1[[#This Row],[Date]]-A247)</f>
        <v>0.99444444444816327</v>
      </c>
      <c r="E248" s="76">
        <f>Tableau1[[#This Row],[Date]]-$A$5</f>
        <v>467.59375</v>
      </c>
      <c r="F248" s="77">
        <f>Tableau1[[#This Row],[Date]]-$A$5</f>
        <v>467.59375</v>
      </c>
      <c r="G248" s="77">
        <f>Tableau1[[#This Row],[Diff jour_x000D_
Cumul]]-F$6</f>
        <v>429.51041666667152</v>
      </c>
      <c r="H248" s="77">
        <f>Tableau1[[#This Row],[Diff jour_x000D_
Cumul]]-F$59</f>
        <v>406.9909722222219</v>
      </c>
      <c r="I248" s="78">
        <v>192269</v>
      </c>
      <c r="J248" s="79">
        <f>IF(ISERROR(Tableau1[[#This Row],[Index HP
kWh]]-I247),"",Tableau1[[#This Row],[Index HP
kWh]]-I247)</f>
        <v>15</v>
      </c>
      <c r="K248" s="77">
        <f>IF(ISERROR(Tableau1[[#This Row],[Différence HP
Instantané]]/(Tableau1[[#This Row],[Diff jour
Instantané]]*24)),"",Tableau1[[#This Row],[Différence HP
Instantané]]/(Tableau1[[#This Row],[Diff jour
Instantané]]*24))</f>
        <v>0.62849162010938153</v>
      </c>
      <c r="L248" s="77">
        <f>Tableau1[[#This Row],[Différence HP
Instantané]]/Tableau1[[#This Row],[Diff jour
Instantané]]</f>
        <v>15.083798882625157</v>
      </c>
      <c r="M248" s="77">
        <f>Tableau1[[#This Row],[Conso HP / jour
Instantané]]*365</f>
        <v>5505.5865921581826</v>
      </c>
      <c r="N248" s="79">
        <f>Tableau1[[#This Row],[Index HP
kWh]]-$I$5</f>
        <v>12510</v>
      </c>
      <c r="O248" s="80">
        <f>Tableau1[[#This Row],[Différence HP
Cumul]]/(Tableau1[[#This Row],[Diff jour_x000D_
Cumul]]*24)</f>
        <v>1.1147497159660495</v>
      </c>
      <c r="P248" s="80">
        <f>Tableau1[[#This Row],[Différence HP
Cumul]]/Tableau1[[#This Row],[Diff jour_x000D_
Cumul]]</f>
        <v>26.753993183185191</v>
      </c>
      <c r="Q248" s="80">
        <f>Tableau1[[#This Row],[Conso HP / jour
Cumul]]*365</f>
        <v>9765.2075118625944</v>
      </c>
      <c r="R248" s="78">
        <v>124786</v>
      </c>
      <c r="S248" s="79">
        <f>Tableau1[[#This Row],[Index HC_x000D_
kWh]]-R247</f>
        <v>12</v>
      </c>
      <c r="T248" s="81">
        <f>Tableau1[[#This Row],[Différence_x000D_ HC
Instantané]]/(Tableau1[[#This Row],[Diff jour
Instantané]]*24)</f>
        <v>0.50279329608750523</v>
      </c>
      <c r="U248" s="81">
        <f>Tableau1[[#This Row],[Différence_x000D_ HC
Instantané]]/Tableau1[[#This Row],[Diff jour
Instantané]]</f>
        <v>12.067039106100125</v>
      </c>
      <c r="V248" s="81">
        <f>Tableau1[[#This Row],[Conso HC / jour_x000D_
Instantané]]*365</f>
        <v>4404.4692737265459</v>
      </c>
      <c r="W248" s="79">
        <f>Tableau1[[#This Row],[Index HC_x000D_
kWh]]-$R$5</f>
        <v>5354</v>
      </c>
      <c r="X248" s="82">
        <f>Tableau1[[#This Row],[Différence HC
Cumul]]/(Tableau1[[#This Row],[Diff jour_x000D_
Cumul]]*24)</f>
        <v>0.47708792800017824</v>
      </c>
      <c r="Y248" s="82">
        <f>Tableau1[[#This Row],[Différence HC
Cumul]]/Tableau1[[#This Row],[Diff jour_x000D_
Cumul]]</f>
        <v>11.450110272004277</v>
      </c>
      <c r="Z248" s="82">
        <f>Tableau1[[#This Row],[Conso HC / jour_x000D_
Cumul]]*365</f>
        <v>4179.290249281561</v>
      </c>
      <c r="AA248" s="79">
        <f>Tableau1[[#This Row],[Différence HP
Instantané]]+Tableau1[[#This Row],[Différence_x000D_ HC
Instantané]]</f>
        <v>27</v>
      </c>
      <c r="AB248" s="80">
        <f>Tableau1[[#This Row],[Conso HP + HC
Instantané]]/(Tableau1[[#This Row],[Diff jour
Instantané]]*24)</f>
        <v>1.1312849161968868</v>
      </c>
      <c r="AC248" s="80">
        <f>IF(ISERROR(Tableau1[[#This Row],[Date]]-A247),"",Tableau1[[#This Row],[Conso HP + HC
Instantané]]/Tableau1[[#This Row],[Diff jour
Instantané]])</f>
        <v>27.150837988725282</v>
      </c>
      <c r="AD248" s="80">
        <f>Tableau1[[#This Row],[Conso HP + HC / jour_x000D_
Instantané]]*365</f>
        <v>9910.0558658847276</v>
      </c>
      <c r="AE248" s="79">
        <f>Tableau1[[#This Row],[Différence HP
Cumul]]+Tableau1[[#This Row],[Différence HC
Cumul]]</f>
        <v>17864</v>
      </c>
      <c r="AF248" s="77">
        <f>(Tableau1[[#This Row],[Conso HP + HC
Cumul]]-AE$6)/Tableau1[[#This Row],[Diff jour_x000D_
Cumul
depuis le 24/01]]</f>
        <v>35.605655664152096</v>
      </c>
      <c r="AG248" s="77">
        <f>(Tableau1[[#This Row],[Conso HP + HC
Cumul]]-AE$59)/Tableau1[[#This Row],[Diff jour_x000D_
Cumul
depuis
précédente facture
16/02/2021]]</f>
        <v>33.629738579377467</v>
      </c>
      <c r="AH248" s="80">
        <f>Tableau1[[#This Row],[Conso HP + HC
Cumul]]/(Tableau1[[#This Row],[Diff jour_x000D_
Cumul]]*24)</f>
        <v>1.5918376439662278</v>
      </c>
      <c r="AI248" s="80">
        <f>Tableau1[[#This Row],[Conso HP + HC
Cumul]]/Tableau1[[#This Row],[Diff jour_x000D_
Cumul]]</f>
        <v>38.204103455189468</v>
      </c>
      <c r="AJ248" s="80">
        <f>Tableau1[[#This Row],[Conso HP + HC / jour_x000D_
Cumul]]*365</f>
        <v>13944.497761144155</v>
      </c>
      <c r="AK248" s="83">
        <f>(Tableau1[[#This Row],[Différence HP
Cumul]]*0.1799)+(Tableau1[[#This Row],[Différence HC
Cumul]]*0.1346)</f>
        <v>2971.1974</v>
      </c>
      <c r="AL248" s="83">
        <f>Tableau1[[#This Row],[Montant
Tarif HP/HC]]/Tableau1[[#This Row],[Diff jour_x000D_
Cumul]]</f>
        <v>6.3542282162667911</v>
      </c>
      <c r="AM248" s="83">
        <f>(Tableau1[[#This Row],[Montant
Tarif HP/HC]]-AK$6)/Tableau1[[#This Row],[Diff jour_x000D_
Cumul
depuis le 24/01]]</f>
        <v>5.9294762156524445</v>
      </c>
      <c r="AN248" s="83">
        <f>(Tableau1[[#This Row],[Montant
Tarif HP/HC]]-AK$59)/Tableau1[[#This Row],[Diff jour_x000D_
Cumul
depuis
précédente facture
16/02/2021]]</f>
        <v>5.60020775781609</v>
      </c>
      <c r="AO248" s="83">
        <f>Tableau1[[#This Row],[Conso HP + HC
Cumul]]*0.1599</f>
        <v>2856.4535999999998</v>
      </c>
      <c r="AP248" s="83">
        <f>Tableau1[[#This Row],[Montant
Tarif normal]]/Tableau1[[#This Row],[Diff jour_x000D_
Cumul]]</f>
        <v>6.1088361424847957</v>
      </c>
      <c r="AQ248" s="83">
        <f>(Tableau1[[#This Row],[Conso HP / an
Cumul]]*0.1799)+(Tableau1[[#This Row],[Conso HC / an_x000D_
Cumul]]*0.1346)</f>
        <v>2319.2932989373789</v>
      </c>
      <c r="AR248" s="83">
        <f>Tableau1[[#This Row],[Conso HP + HC / an_x000D_
Cumul]]*0.1599</f>
        <v>2229.7251920069502</v>
      </c>
      <c r="AS248" s="79">
        <f>MONTH(Tableau1[[#This Row],[Date]])</f>
        <v>3</v>
      </c>
      <c r="AT248" s="79">
        <f>YEAR(Tableau1[[#This Row],[Date]])</f>
        <v>2022</v>
      </c>
    </row>
    <row r="249" spans="1:46" x14ac:dyDescent="0.2">
      <c r="A249" s="74">
        <v>44651.354166666664</v>
      </c>
      <c r="B249" s="75"/>
      <c r="C249" s="76">
        <f>IF(ISERROR(Tableau1[[#This Row],[Date]]-A248),"",Tableau1[[#This Row],[Date]]-A248)</f>
        <v>1.0520833333284827</v>
      </c>
      <c r="D249" s="77">
        <f>IF(ISERROR(Tableau1[[#This Row],[Date]]-A248),"",Tableau1[[#This Row],[Date]]-A248)</f>
        <v>1.0520833333284827</v>
      </c>
      <c r="E249" s="76">
        <f>Tableau1[[#This Row],[Date]]-$A$5</f>
        <v>468.64583333332848</v>
      </c>
      <c r="F249" s="77">
        <f>Tableau1[[#This Row],[Date]]-$A$5</f>
        <v>468.64583333332848</v>
      </c>
      <c r="G249" s="77">
        <f>Tableau1[[#This Row],[Diff jour_x000D_
Cumul]]-F$6</f>
        <v>430.5625</v>
      </c>
      <c r="H249" s="77">
        <f>Tableau1[[#This Row],[Diff jour_x000D_
Cumul]]-F$59</f>
        <v>408.04305555555038</v>
      </c>
      <c r="I249" s="78">
        <v>192295</v>
      </c>
      <c r="J249" s="79">
        <f>IF(ISERROR(Tableau1[[#This Row],[Index HP
kWh]]-I248),"",Tableau1[[#This Row],[Index HP
kWh]]-I248)</f>
        <v>26</v>
      </c>
      <c r="K249" s="77">
        <f>IF(ISERROR(Tableau1[[#This Row],[Différence HP
Instantané]]/(Tableau1[[#This Row],[Diff jour
Instantané]]*24)),"",Tableau1[[#This Row],[Différence HP
Instantané]]/(Tableau1[[#This Row],[Diff jour
Instantané]]*24))</f>
        <v>1.0297029703017773</v>
      </c>
      <c r="L249" s="77">
        <f>Tableau1[[#This Row],[Différence HP
Instantané]]/Tableau1[[#This Row],[Diff jour
Instantané]]</f>
        <v>24.712871287242653</v>
      </c>
      <c r="M249" s="77">
        <f>Tableau1[[#This Row],[Conso HP / jour
Instantané]]*365</f>
        <v>9020.1980198435685</v>
      </c>
      <c r="N249" s="79">
        <f>Tableau1[[#This Row],[Index HP
kWh]]-$I$5</f>
        <v>12536</v>
      </c>
      <c r="O249" s="80">
        <f>Tableau1[[#This Row],[Différence HP
Cumul]]/(Tableau1[[#This Row],[Diff jour_x000D_
Cumul]]*24)</f>
        <v>1.114558790842421</v>
      </c>
      <c r="P249" s="80">
        <f>Tableau1[[#This Row],[Différence HP
Cumul]]/Tableau1[[#This Row],[Diff jour_x000D_
Cumul]]</f>
        <v>26.749410980218101</v>
      </c>
      <c r="Q249" s="80">
        <f>Tableau1[[#This Row],[Conso HP / jour
Cumul]]*365</f>
        <v>9763.5350077796065</v>
      </c>
      <c r="R249" s="78">
        <v>124802</v>
      </c>
      <c r="S249" s="79">
        <f>Tableau1[[#This Row],[Index HC_x000D_
kWh]]-R248</f>
        <v>16</v>
      </c>
      <c r="T249" s="81">
        <f>Tableau1[[#This Row],[Différence_x000D_ HC
Instantané]]/(Tableau1[[#This Row],[Diff jour
Instantané]]*24)</f>
        <v>0.63366336633955522</v>
      </c>
      <c r="U249" s="81">
        <f>Tableau1[[#This Row],[Différence_x000D_ HC
Instantané]]/Tableau1[[#This Row],[Diff jour
Instantané]]</f>
        <v>15.207920792149324</v>
      </c>
      <c r="V249" s="81">
        <f>Tableau1[[#This Row],[Conso HC / jour_x000D_
Instantané]]*365</f>
        <v>5550.8910891345031</v>
      </c>
      <c r="W249" s="79">
        <f>Tableau1[[#This Row],[Index HC_x000D_
kWh]]-$R$5</f>
        <v>5370</v>
      </c>
      <c r="X249" s="82">
        <f>Tableau1[[#This Row],[Différence HC
Cumul]]/(Tableau1[[#This Row],[Diff jour_x000D_
Cumul]]*24)</f>
        <v>0.47743943098466818</v>
      </c>
      <c r="Y249" s="82">
        <f>Tableau1[[#This Row],[Différence HC
Cumul]]/Tableau1[[#This Row],[Diff jour_x000D_
Cumul]]</f>
        <v>11.458546343632037</v>
      </c>
      <c r="Z249" s="82">
        <f>Tableau1[[#This Row],[Conso HC / jour_x000D_
Cumul]]*365</f>
        <v>4182.3694154256937</v>
      </c>
      <c r="AA249" s="79">
        <f>Tableau1[[#This Row],[Différence HP
Instantané]]+Tableau1[[#This Row],[Différence_x000D_ HC
Instantané]]</f>
        <v>42</v>
      </c>
      <c r="AB249" s="80">
        <f>Tableau1[[#This Row],[Conso HP + HC
Instantané]]/(Tableau1[[#This Row],[Diff jour
Instantané]]*24)</f>
        <v>1.6633663366413323</v>
      </c>
      <c r="AC249" s="80">
        <f>IF(ISERROR(Tableau1[[#This Row],[Date]]-A248),"",Tableau1[[#This Row],[Conso HP + HC
Instantané]]/Tableau1[[#This Row],[Diff jour
Instantané]])</f>
        <v>39.920792079391973</v>
      </c>
      <c r="AD249" s="80">
        <f>Tableau1[[#This Row],[Conso HP + HC / jour_x000D_
Instantané]]*365</f>
        <v>14571.089108978071</v>
      </c>
      <c r="AE249" s="79">
        <f>Tableau1[[#This Row],[Différence HP
Cumul]]+Tableau1[[#This Row],[Différence HC
Cumul]]</f>
        <v>17906</v>
      </c>
      <c r="AF249" s="77">
        <f>(Tableau1[[#This Row],[Conso HP + HC
Cumul]]-AE$6)/Tableau1[[#This Row],[Diff jour_x000D_
Cumul
depuis le 24/01]]</f>
        <v>35.616199738713888</v>
      </c>
      <c r="AG249" s="77">
        <f>(Tableau1[[#This Row],[Conso HP + HC
Cumul]]-AE$59)/Tableau1[[#This Row],[Diff jour_x000D_
Cumul
depuis
précédente facture
16/02/2021]]</f>
        <v>33.645959202290491</v>
      </c>
      <c r="AH249" s="80">
        <f>Tableau1[[#This Row],[Conso HP + HC
Cumul]]/(Tableau1[[#This Row],[Diff jour_x000D_
Cumul]]*24)</f>
        <v>1.5919982218270892</v>
      </c>
      <c r="AI249" s="80">
        <f>Tableau1[[#This Row],[Conso HP + HC
Cumul]]/Tableau1[[#This Row],[Diff jour_x000D_
Cumul]]</f>
        <v>38.207957323850138</v>
      </c>
      <c r="AJ249" s="80">
        <f>Tableau1[[#This Row],[Conso HP + HC / jour_x000D_
Cumul]]*365</f>
        <v>13945.9044232053</v>
      </c>
      <c r="AK249" s="83">
        <f>(Tableau1[[#This Row],[Différence HP
Cumul]]*0.1799)+(Tableau1[[#This Row],[Différence HC
Cumul]]*0.1346)</f>
        <v>2978.0284000000001</v>
      </c>
      <c r="AL249" s="83">
        <f>Tableau1[[#This Row],[Montant
Tarif HP/HC]]/Tableau1[[#This Row],[Diff jour_x000D_
Cumul]]</f>
        <v>6.3545393731941093</v>
      </c>
      <c r="AM249" s="83">
        <f>(Tableau1[[#This Row],[Montant
Tarif HP/HC]]-AK$6)/Tableau1[[#This Row],[Diff jour_x000D_
Cumul
depuis le 24/01]]</f>
        <v>5.9308527797938746</v>
      </c>
      <c r="AN249" s="83">
        <f>(Tableau1[[#This Row],[Montant
Tarif HP/HC]]-AK$59)/Tableau1[[#This Row],[Diff jour_x000D_
Cumul
depuis
précédente facture
16/02/2021]]</f>
        <v>5.6025092667917704</v>
      </c>
      <c r="AO249" s="83">
        <f>Tableau1[[#This Row],[Conso HP + HC
Cumul]]*0.1599</f>
        <v>2863.1693999999998</v>
      </c>
      <c r="AP249" s="83">
        <f>Tableau1[[#This Row],[Montant
Tarif normal]]/Tableau1[[#This Row],[Diff jour_x000D_
Cumul]]</f>
        <v>6.1094523760836372</v>
      </c>
      <c r="AQ249" s="83">
        <f>(Tableau1[[#This Row],[Conso HP / an
Cumul]]*0.1799)+(Tableau1[[#This Row],[Conso HC / an_x000D_
Cumul]]*0.1346)</f>
        <v>2319.4068712158496</v>
      </c>
      <c r="AR249" s="83">
        <f>Tableau1[[#This Row],[Conso HP + HC / an_x000D_
Cumul]]*0.1599</f>
        <v>2229.9501172705272</v>
      </c>
      <c r="AS249" s="79">
        <f>MONTH(Tableau1[[#This Row],[Date]])</f>
        <v>3</v>
      </c>
      <c r="AT249" s="79">
        <f>YEAR(Tableau1[[#This Row],[Date]])</f>
        <v>2022</v>
      </c>
    </row>
    <row r="250" spans="1:46" x14ac:dyDescent="0.2">
      <c r="A250" s="74">
        <v>44652.319444444445</v>
      </c>
      <c r="B250" s="75"/>
      <c r="C250" s="76">
        <f>IF(ISERROR(Tableau1[[#This Row],[Date]]-A249),"",Tableau1[[#This Row],[Date]]-A249)</f>
        <v>0.96527777778101154</v>
      </c>
      <c r="D250" s="77">
        <f>IF(ISERROR(Tableau1[[#This Row],[Date]]-A249),"",Tableau1[[#This Row],[Date]]-A249)</f>
        <v>0.96527777778101154</v>
      </c>
      <c r="E250" s="76">
        <f>Tableau1[[#This Row],[Date]]-$A$5</f>
        <v>469.61111111110949</v>
      </c>
      <c r="F250" s="77">
        <f>Tableau1[[#This Row],[Date]]-$A$5</f>
        <v>469.61111111110949</v>
      </c>
      <c r="G250" s="77">
        <f>Tableau1[[#This Row],[Diff jour_x000D_
Cumul]]-F$6</f>
        <v>431.52777777778101</v>
      </c>
      <c r="H250" s="77">
        <f>Tableau1[[#This Row],[Diff jour_x000D_
Cumul]]-F$59</f>
        <v>409.00833333333139</v>
      </c>
      <c r="I250" s="78">
        <v>192329</v>
      </c>
      <c r="J250" s="79">
        <f>IF(ISERROR(Tableau1[[#This Row],[Index HP
kWh]]-I249),"",Tableau1[[#This Row],[Index HP
kWh]]-I249)</f>
        <v>34</v>
      </c>
      <c r="K250" s="77">
        <f>IF(ISERROR(Tableau1[[#This Row],[Différence HP
Instantané]]/(Tableau1[[#This Row],[Diff jour
Instantané]]*24)),"",Tableau1[[#This Row],[Différence HP
Instantané]]/(Tableau1[[#This Row],[Diff jour
Instantané]]*24))</f>
        <v>1.4676258992756588</v>
      </c>
      <c r="L250" s="77">
        <f>Tableau1[[#This Row],[Différence HP
Instantané]]/Tableau1[[#This Row],[Diff jour
Instantané]]</f>
        <v>35.223021582615814</v>
      </c>
      <c r="M250" s="77">
        <f>Tableau1[[#This Row],[Conso HP / jour
Instantané]]*365</f>
        <v>12856.402877654773</v>
      </c>
      <c r="N250" s="79">
        <f>Tableau1[[#This Row],[Index HP
kWh]]-$I$5</f>
        <v>12570</v>
      </c>
      <c r="O250" s="80">
        <f>Tableau1[[#This Row],[Différence HP
Cumul]]/(Tableau1[[#This Row],[Diff jour_x000D_
Cumul]]*24)</f>
        <v>1.115284514373599</v>
      </c>
      <c r="P250" s="80">
        <f>Tableau1[[#This Row],[Différence HP
Cumul]]/Tableau1[[#This Row],[Diff jour_x000D_
Cumul]]</f>
        <v>26.766828344966378</v>
      </c>
      <c r="Q250" s="80">
        <f>Tableau1[[#This Row],[Conso HP / jour
Cumul]]*365</f>
        <v>9769.8923459127273</v>
      </c>
      <c r="R250" s="78">
        <v>124826</v>
      </c>
      <c r="S250" s="79">
        <f>Tableau1[[#This Row],[Index HC_x000D_
kWh]]-R249</f>
        <v>24</v>
      </c>
      <c r="T250" s="81">
        <f>Tableau1[[#This Row],[Différence_x000D_ HC
Instantané]]/(Tableau1[[#This Row],[Diff jour
Instantané]]*24)</f>
        <v>1.0359712230181122</v>
      </c>
      <c r="U250" s="81">
        <f>Tableau1[[#This Row],[Différence_x000D_ HC
Instantané]]/Tableau1[[#This Row],[Diff jour
Instantané]]</f>
        <v>24.86330935243469</v>
      </c>
      <c r="V250" s="81">
        <f>Tableau1[[#This Row],[Conso HC / jour_x000D_
Instantané]]*365</f>
        <v>9075.1079136386616</v>
      </c>
      <c r="W250" s="79">
        <f>Tableau1[[#This Row],[Index HC_x000D_
kWh]]-$R$5</f>
        <v>5394</v>
      </c>
      <c r="X250" s="82">
        <f>Tableau1[[#This Row],[Différence HC
Cumul]]/(Tableau1[[#This Row],[Diff jour_x000D_
Cumul]]*24)</f>
        <v>0.47858748373358734</v>
      </c>
      <c r="Y250" s="82">
        <f>Tableau1[[#This Row],[Différence HC
Cumul]]/Tableau1[[#This Row],[Diff jour_x000D_
Cumul]]</f>
        <v>11.486099609606097</v>
      </c>
      <c r="Z250" s="82">
        <f>Tableau1[[#This Row],[Conso HC / jour_x000D_
Cumul]]*365</f>
        <v>4192.426357506225</v>
      </c>
      <c r="AA250" s="79">
        <f>Tableau1[[#This Row],[Différence HP
Instantané]]+Tableau1[[#This Row],[Différence_x000D_ HC
Instantané]]</f>
        <v>58</v>
      </c>
      <c r="AB250" s="80">
        <f>Tableau1[[#This Row],[Conso HP + HC
Instantané]]/(Tableau1[[#This Row],[Diff jour
Instantané]]*24)</f>
        <v>2.5035971222937712</v>
      </c>
      <c r="AC250" s="80">
        <f>IF(ISERROR(Tableau1[[#This Row],[Date]]-A249),"",Tableau1[[#This Row],[Conso HP + HC
Instantané]]/Tableau1[[#This Row],[Diff jour
Instantané]])</f>
        <v>60.086330935050505</v>
      </c>
      <c r="AD250" s="80">
        <f>Tableau1[[#This Row],[Conso HP + HC / jour_x000D_
Instantané]]*365</f>
        <v>21931.510791293433</v>
      </c>
      <c r="AE250" s="79">
        <f>Tableau1[[#This Row],[Différence HP
Cumul]]+Tableau1[[#This Row],[Différence HC
Cumul]]</f>
        <v>17964</v>
      </c>
      <c r="AF250" s="77">
        <f>(Tableau1[[#This Row],[Conso HP + HC
Cumul]]-AE$6)/Tableau1[[#This Row],[Diff jour_x000D_
Cumul
depuis le 24/01]]</f>
        <v>35.670936594785701</v>
      </c>
      <c r="AG250" s="77">
        <f>(Tableau1[[#This Row],[Conso HP + HC
Cumul]]-AE$59)/Tableau1[[#This Row],[Diff jour_x000D_
Cumul
depuis
précédente facture
16/02/2021]]</f>
        <v>33.708359650374028</v>
      </c>
      <c r="AH250" s="80">
        <f>Tableau1[[#This Row],[Conso HP + HC
Cumul]]/(Tableau1[[#This Row],[Diff jour_x000D_
Cumul]]*24)</f>
        <v>1.5938719981071863</v>
      </c>
      <c r="AI250" s="80">
        <f>Tableau1[[#This Row],[Conso HP + HC
Cumul]]/Tableau1[[#This Row],[Diff jour_x000D_
Cumul]]</f>
        <v>38.252927954572471</v>
      </c>
      <c r="AJ250" s="80">
        <f>Tableau1[[#This Row],[Conso HP + HC / jour_x000D_
Cumul]]*365</f>
        <v>13962.318703418952</v>
      </c>
      <c r="AK250" s="83">
        <f>(Tableau1[[#This Row],[Différence HP
Cumul]]*0.1799)+(Tableau1[[#This Row],[Différence HC
Cumul]]*0.1346)</f>
        <v>2987.3753999999999</v>
      </c>
      <c r="AL250" s="83">
        <f>Tableau1[[#This Row],[Montant
Tarif HP/HC]]/Tableau1[[#This Row],[Diff jour_x000D_
Cumul]]</f>
        <v>6.3613814267124313</v>
      </c>
      <c r="AM250" s="83">
        <f>(Tableau1[[#This Row],[Montant
Tarif HP/HC]]-AK$6)/Tableau1[[#This Row],[Diff jour_x000D_
Cumul
depuis le 24/01]]</f>
        <v>5.9392463984550563</v>
      </c>
      <c r="AN250" s="83">
        <f>(Tableau1[[#This Row],[Montant
Tarif HP/HC]]-AK$59)/Tableau1[[#This Row],[Diff jour_x000D_
Cumul
depuis
précédente facture
16/02/2021]]</f>
        <v>5.6121399319492529</v>
      </c>
      <c r="AO250" s="83">
        <f>Tableau1[[#This Row],[Conso HP + HC
Cumul]]*0.1599</f>
        <v>2872.4435999999996</v>
      </c>
      <c r="AP250" s="83">
        <f>Tableau1[[#This Row],[Montant
Tarif normal]]/Tableau1[[#This Row],[Diff jour_x000D_
Cumul]]</f>
        <v>6.1166431799361378</v>
      </c>
      <c r="AQ250" s="83">
        <f>(Tableau1[[#This Row],[Conso HP / an
Cumul]]*0.1799)+(Tableau1[[#This Row],[Conso HC / an_x000D_
Cumul]]*0.1346)</f>
        <v>2321.9042207500374</v>
      </c>
      <c r="AR250" s="83">
        <f>Tableau1[[#This Row],[Conso HP + HC / an_x000D_
Cumul]]*0.1599</f>
        <v>2232.5747606766904</v>
      </c>
      <c r="AS250" s="79">
        <f>MONTH(Tableau1[[#This Row],[Date]])</f>
        <v>4</v>
      </c>
      <c r="AT250" s="79">
        <f>YEAR(Tableau1[[#This Row],[Date]])</f>
        <v>2022</v>
      </c>
    </row>
    <row r="251" spans="1:46" x14ac:dyDescent="0.2">
      <c r="A251" s="74">
        <v>44653.337500000001</v>
      </c>
      <c r="B251" s="75"/>
      <c r="C251" s="76">
        <f>IF(ISERROR(Tableau1[[#This Row],[Date]]-A250),"",Tableau1[[#This Row],[Date]]-A250)</f>
        <v>1.0180555555562023</v>
      </c>
      <c r="D251" s="77">
        <f>IF(ISERROR(Tableau1[[#This Row],[Date]]-A250),"",Tableau1[[#This Row],[Date]]-A250)</f>
        <v>1.0180555555562023</v>
      </c>
      <c r="E251" s="76">
        <f>Tableau1[[#This Row],[Date]]-$A$5</f>
        <v>470.6291666666657</v>
      </c>
      <c r="F251" s="77">
        <f>Tableau1[[#This Row],[Date]]-$A$5</f>
        <v>470.6291666666657</v>
      </c>
      <c r="G251" s="77">
        <f>Tableau1[[#This Row],[Diff jour_x000D_
Cumul]]-F$6</f>
        <v>432.54583333333721</v>
      </c>
      <c r="H251" s="77">
        <f>Tableau1[[#This Row],[Diff jour_x000D_
Cumul]]-F$59</f>
        <v>410.0263888888876</v>
      </c>
      <c r="I251" s="78">
        <v>192380</v>
      </c>
      <c r="J251" s="79">
        <f>IF(ISERROR(Tableau1[[#This Row],[Index HP
kWh]]-I250),"",Tableau1[[#This Row],[Index HP
kWh]]-I250)</f>
        <v>51</v>
      </c>
      <c r="K251" s="77">
        <f>IF(ISERROR(Tableau1[[#This Row],[Différence HP
Instantané]]/(Tableau1[[#This Row],[Diff jour
Instantané]]*24)),"",Tableau1[[#This Row],[Différence HP
Instantané]]/(Tableau1[[#This Row],[Diff jour
Instantané]]*24))</f>
        <v>2.0873124147326441</v>
      </c>
      <c r="L251" s="77">
        <f>Tableau1[[#This Row],[Différence HP
Instantané]]/Tableau1[[#This Row],[Diff jour
Instantané]]</f>
        <v>50.095497953583454</v>
      </c>
      <c r="M251" s="77">
        <f>Tableau1[[#This Row],[Conso HP / jour
Instantané]]*365</f>
        <v>18284.85675305796</v>
      </c>
      <c r="N251" s="79">
        <f>Tableau1[[#This Row],[Index HP
kWh]]-$I$5</f>
        <v>12621</v>
      </c>
      <c r="O251" s="80">
        <f>Tableau1[[#This Row],[Différence HP
Cumul]]/(Tableau1[[#This Row],[Diff jour_x000D_
Cumul]]*24)</f>
        <v>1.1173871855937554</v>
      </c>
      <c r="P251" s="80">
        <f>Tableau1[[#This Row],[Différence HP
Cumul]]/Tableau1[[#This Row],[Diff jour_x000D_
Cumul]]</f>
        <v>26.817292454250129</v>
      </c>
      <c r="Q251" s="80">
        <f>Tableau1[[#This Row],[Conso HP / jour
Cumul]]*365</f>
        <v>9788.3117458012966</v>
      </c>
      <c r="R251" s="78">
        <v>124849</v>
      </c>
      <c r="S251" s="79">
        <f>Tableau1[[#This Row],[Index HC_x000D_
kWh]]-R250</f>
        <v>23</v>
      </c>
      <c r="T251" s="81">
        <f>Tableau1[[#This Row],[Différence_x000D_ HC
Instantané]]/(Tableau1[[#This Row],[Diff jour
Instantané]]*24)</f>
        <v>0.94133697135001593</v>
      </c>
      <c r="U251" s="81">
        <f>Tableau1[[#This Row],[Différence_x000D_ HC
Instantané]]/Tableau1[[#This Row],[Diff jour
Instantané]]</f>
        <v>22.59208731240038</v>
      </c>
      <c r="V251" s="81">
        <f>Tableau1[[#This Row],[Conso HC / jour_x000D_
Instantané]]*365</f>
        <v>8246.1118690261392</v>
      </c>
      <c r="W251" s="79">
        <f>Tableau1[[#This Row],[Index HC_x000D_
kWh]]-$R$5</f>
        <v>5417</v>
      </c>
      <c r="X251" s="82">
        <f>Tableau1[[#This Row],[Différence HC
Cumul]]/(Tableau1[[#This Row],[Diff jour_x000D_
Cumul]]*24)</f>
        <v>0.47958849412577231</v>
      </c>
      <c r="Y251" s="82">
        <f>Tableau1[[#This Row],[Différence HC
Cumul]]/Tableau1[[#This Row],[Diff jour_x000D_
Cumul]]</f>
        <v>11.510123859018536</v>
      </c>
      <c r="Z251" s="82">
        <f>Tableau1[[#This Row],[Conso HC / jour_x000D_
Cumul]]*365</f>
        <v>4201.1952085417661</v>
      </c>
      <c r="AA251" s="79">
        <f>Tableau1[[#This Row],[Différence HP
Instantané]]+Tableau1[[#This Row],[Différence_x000D_ HC
Instantané]]</f>
        <v>74</v>
      </c>
      <c r="AB251" s="80">
        <f>Tableau1[[#This Row],[Conso HP + HC
Instantané]]/(Tableau1[[#This Row],[Diff jour
Instantané]]*24)</f>
        <v>3.0286493860826598</v>
      </c>
      <c r="AC251" s="80">
        <f>IF(ISERROR(Tableau1[[#This Row],[Date]]-A250),"",Tableau1[[#This Row],[Conso HP + HC
Instantané]]/Tableau1[[#This Row],[Diff jour
Instantané]])</f>
        <v>72.687585265983842</v>
      </c>
      <c r="AD251" s="80">
        <f>Tableau1[[#This Row],[Conso HP + HC / jour_x000D_
Instantané]]*365</f>
        <v>26530.968622084103</v>
      </c>
      <c r="AE251" s="79">
        <f>Tableau1[[#This Row],[Différence HP
Cumul]]+Tableau1[[#This Row],[Différence HC
Cumul]]</f>
        <v>18038</v>
      </c>
      <c r="AF251" s="77">
        <f>(Tableau1[[#This Row],[Conso HP + HC
Cumul]]-AE$6)/Tableau1[[#This Row],[Diff jour_x000D_
Cumul
depuis le 24/01]]</f>
        <v>35.758060321160251</v>
      </c>
      <c r="AG251" s="77">
        <f>(Tableau1[[#This Row],[Conso HP + HC
Cumul]]-AE$59)/Tableau1[[#This Row],[Diff jour_x000D_
Cumul
depuis
précédente facture
16/02/2021]]</f>
        <v>33.805141268007922</v>
      </c>
      <c r="AH251" s="80">
        <f>Tableau1[[#This Row],[Conso HP + HC
Cumul]]/(Tableau1[[#This Row],[Diff jour_x000D_
Cumul]]*24)</f>
        <v>1.5969756797195276</v>
      </c>
      <c r="AI251" s="80">
        <f>Tableau1[[#This Row],[Conso HP + HC
Cumul]]/Tableau1[[#This Row],[Diff jour_x000D_
Cumul]]</f>
        <v>38.327416313268664</v>
      </c>
      <c r="AJ251" s="80">
        <f>Tableau1[[#This Row],[Conso HP + HC / jour_x000D_
Cumul]]*365</f>
        <v>13989.506954343062</v>
      </c>
      <c r="AK251" s="83">
        <f>(Tableau1[[#This Row],[Différence HP
Cumul]]*0.1799)+(Tableau1[[#This Row],[Différence HC
Cumul]]*0.1346)</f>
        <v>2999.6461000000004</v>
      </c>
      <c r="AL251" s="83">
        <f>Tableau1[[#This Row],[Montant
Tarif HP/HC]]/Tableau1[[#This Row],[Diff jour_x000D_
Cumul]]</f>
        <v>6.3736935839434938</v>
      </c>
      <c r="AM251" s="83">
        <f>(Tableau1[[#This Row],[Montant
Tarif HP/HC]]-AK$6)/Tableau1[[#This Row],[Diff jour_x000D_
Cumul
depuis le 24/01]]</f>
        <v>5.9536361271926337</v>
      </c>
      <c r="AN251" s="83">
        <f>(Tableau1[[#This Row],[Montant
Tarif HP/HC]]-AK$59)/Tableau1[[#This Row],[Diff jour_x000D_
Cumul
depuis
précédente facture
16/02/2021]]</f>
        <v>5.6281321459662337</v>
      </c>
      <c r="AO251" s="83">
        <f>Tableau1[[#This Row],[Conso HP + HC
Cumul]]*0.1599</f>
        <v>2884.2761999999998</v>
      </c>
      <c r="AP251" s="83">
        <f>Tableau1[[#This Row],[Montant
Tarif normal]]/Tableau1[[#This Row],[Diff jour_x000D_
Cumul]]</f>
        <v>6.1285538684916592</v>
      </c>
      <c r="AQ251" s="83">
        <f>(Tableau1[[#This Row],[Conso HP / an
Cumul]]*0.1799)+(Tableau1[[#This Row],[Conso HC / an_x000D_
Cumul]]*0.1346)</f>
        <v>2326.398158139375</v>
      </c>
      <c r="AR251" s="83">
        <f>Tableau1[[#This Row],[Conso HP + HC / an_x000D_
Cumul]]*0.1599</f>
        <v>2236.9221619994555</v>
      </c>
      <c r="AS251" s="79">
        <f>MONTH(Tableau1[[#This Row],[Date]])</f>
        <v>4</v>
      </c>
      <c r="AT251" s="79">
        <f>YEAR(Tableau1[[#This Row],[Date]])</f>
        <v>2022</v>
      </c>
    </row>
    <row r="252" spans="1:46" x14ac:dyDescent="0.2">
      <c r="A252" s="74">
        <v>44655.328472222223</v>
      </c>
      <c r="B252" s="75"/>
      <c r="C252" s="76">
        <f>IF(ISERROR(Tableau1[[#This Row],[Date]]-A251),"",Tableau1[[#This Row],[Date]]-A251)</f>
        <v>1.9909722222218988</v>
      </c>
      <c r="D252" s="77">
        <f>IF(ISERROR(Tableau1[[#This Row],[Date]]-A251),"",Tableau1[[#This Row],[Date]]-A251)</f>
        <v>1.9909722222218988</v>
      </c>
      <c r="E252" s="76">
        <f>Tableau1[[#This Row],[Date]]-$A$5</f>
        <v>472.6201388888876</v>
      </c>
      <c r="F252" s="77">
        <f>Tableau1[[#This Row],[Date]]-$A$5</f>
        <v>472.6201388888876</v>
      </c>
      <c r="G252" s="77">
        <f>Tableau1[[#This Row],[Diff jour_x000D_
Cumul]]-F$6</f>
        <v>434.53680555555911</v>
      </c>
      <c r="H252" s="77">
        <f>Tableau1[[#This Row],[Diff jour_x000D_
Cumul]]-F$59</f>
        <v>412.01736111110949</v>
      </c>
      <c r="I252" s="78">
        <v>192470</v>
      </c>
      <c r="J252" s="79">
        <f>IF(ISERROR(Tableau1[[#This Row],[Index HP
kWh]]-I251),"",Tableau1[[#This Row],[Index HP
kWh]]-I251)</f>
        <v>90</v>
      </c>
      <c r="K252" s="77">
        <f>IF(ISERROR(Tableau1[[#This Row],[Différence HP
Instantané]]/(Tableau1[[#This Row],[Diff jour
Instantané]]*24)),"",Tableau1[[#This Row],[Différence HP
Instantané]]/(Tableau1[[#This Row],[Diff jour
Instantané]]*24))</f>
        <v>1.8835019183818895</v>
      </c>
      <c r="L252" s="77">
        <f>Tableau1[[#This Row],[Différence HP
Instantané]]/Tableau1[[#This Row],[Diff jour
Instantané]]</f>
        <v>45.204046041165348</v>
      </c>
      <c r="M252" s="77">
        <f>Tableau1[[#This Row],[Conso HP / jour
Instantané]]*365</f>
        <v>16499.476805025351</v>
      </c>
      <c r="N252" s="79">
        <f>Tableau1[[#This Row],[Index HP
kWh]]-$I$5</f>
        <v>12711</v>
      </c>
      <c r="O252" s="80">
        <f>Tableau1[[#This Row],[Différence HP
Cumul]]/(Tableau1[[#This Row],[Diff jour_x000D_
Cumul]]*24)</f>
        <v>1.1206145409823811</v>
      </c>
      <c r="P252" s="80">
        <f>Tableau1[[#This Row],[Différence HP
Cumul]]/Tableau1[[#This Row],[Diff jour_x000D_
Cumul]]</f>
        <v>26.894748983577148</v>
      </c>
      <c r="Q252" s="80">
        <f>Tableau1[[#This Row],[Conso HP / jour
Cumul]]*365</f>
        <v>9816.5833790056586</v>
      </c>
      <c r="R252" s="78">
        <v>124895</v>
      </c>
      <c r="S252" s="79">
        <f>Tableau1[[#This Row],[Index HC_x000D_
kWh]]-R251</f>
        <v>46</v>
      </c>
      <c r="T252" s="81">
        <f>Tableau1[[#This Row],[Différence_x000D_ HC
Instantané]]/(Tableau1[[#This Row],[Diff jour
Instantané]]*24)</f>
        <v>0.96267875828407679</v>
      </c>
      <c r="U252" s="81">
        <f>Tableau1[[#This Row],[Différence_x000D_ HC
Instantané]]/Tableau1[[#This Row],[Diff jour
Instantané]]</f>
        <v>23.104290198817843</v>
      </c>
      <c r="V252" s="81">
        <f>Tableau1[[#This Row],[Conso HC / jour_x000D_
Instantané]]*365</f>
        <v>8433.0659225685122</v>
      </c>
      <c r="W252" s="79">
        <f>Tableau1[[#This Row],[Index HC_x000D_
kWh]]-$R$5</f>
        <v>5463</v>
      </c>
      <c r="X252" s="82">
        <f>Tableau1[[#This Row],[Différence HC
Cumul]]/(Tableau1[[#This Row],[Diff jour_x000D_
Cumul]]*24)</f>
        <v>0.48162357307739345</v>
      </c>
      <c r="Y252" s="82">
        <f>Tableau1[[#This Row],[Différence HC
Cumul]]/Tableau1[[#This Row],[Diff jour_x000D_
Cumul]]</f>
        <v>11.558965753857443</v>
      </c>
      <c r="Z252" s="82">
        <f>Tableau1[[#This Row],[Conso HC / jour_x000D_
Cumul]]*365</f>
        <v>4219.0225001579665</v>
      </c>
      <c r="AA252" s="79">
        <f>Tableau1[[#This Row],[Différence HP
Instantané]]+Tableau1[[#This Row],[Différence_x000D_ HC
Instantané]]</f>
        <v>136</v>
      </c>
      <c r="AB252" s="80">
        <f>Tableau1[[#This Row],[Conso HP + HC
Instantané]]/(Tableau1[[#This Row],[Diff jour
Instantané]]*24)</f>
        <v>2.8461806766659663</v>
      </c>
      <c r="AC252" s="80">
        <f>IF(ISERROR(Tableau1[[#This Row],[Date]]-A251),"",Tableau1[[#This Row],[Conso HP + HC
Instantané]]/Tableau1[[#This Row],[Diff jour
Instantané]])</f>
        <v>68.308336239983191</v>
      </c>
      <c r="AD252" s="80">
        <f>Tableau1[[#This Row],[Conso HP + HC / jour_x000D_
Instantané]]*365</f>
        <v>24932.542727593864</v>
      </c>
      <c r="AE252" s="79">
        <f>Tableau1[[#This Row],[Différence HP
Cumul]]+Tableau1[[#This Row],[Différence HC
Cumul]]</f>
        <v>18174</v>
      </c>
      <c r="AF252" s="77">
        <f>(Tableau1[[#This Row],[Conso HP + HC
Cumul]]-AE$6)/Tableau1[[#This Row],[Diff jour_x000D_
Cumul
depuis le 24/01]]</f>
        <v>35.907200035797722</v>
      </c>
      <c r="AG252" s="77">
        <f>(Tableau1[[#This Row],[Conso HP + HC
Cumul]]-AE$59)/Tableau1[[#This Row],[Diff jour_x000D_
Cumul
depuis
précédente facture
16/02/2021]]</f>
        <v>33.971869443203879</v>
      </c>
      <c r="AH252" s="80">
        <f>Tableau1[[#This Row],[Conso HP + HC
Cumul]]/(Tableau1[[#This Row],[Diff jour_x000D_
Cumul]]*24)</f>
        <v>1.6022381140597746</v>
      </c>
      <c r="AI252" s="80">
        <f>Tableau1[[#This Row],[Conso HP + HC
Cumul]]/Tableau1[[#This Row],[Diff jour_x000D_
Cumul]]</f>
        <v>38.453714737434588</v>
      </c>
      <c r="AJ252" s="80">
        <f>Tableau1[[#This Row],[Conso HP + HC / jour_x000D_
Cumul]]*365</f>
        <v>14035.605879163624</v>
      </c>
      <c r="AK252" s="83">
        <f>(Tableau1[[#This Row],[Différence HP
Cumul]]*0.1799)+(Tableau1[[#This Row],[Différence HC
Cumul]]*0.1346)</f>
        <v>3022.0286999999998</v>
      </c>
      <c r="AL252" s="83">
        <f>Tableau1[[#This Row],[Montant
Tarif HP/HC]]/Tableau1[[#This Row],[Diff jour_x000D_
Cumul]]</f>
        <v>6.3942021326147405</v>
      </c>
      <c r="AM252" s="83">
        <f>(Tableau1[[#This Row],[Montant
Tarif HP/HC]]-AK$6)/Tableau1[[#This Row],[Diff jour_x000D_
Cumul
depuis le 24/01]]</f>
        <v>5.9778667003337995</v>
      </c>
      <c r="AN252" s="83">
        <f>(Tableau1[[#This Row],[Montant
Tarif HP/HC]]-AK$59)/Tableau1[[#This Row],[Diff jour_x000D_
Cumul
depuis
précédente facture
16/02/2021]]</f>
        <v>5.6552599961234318</v>
      </c>
      <c r="AO252" s="83">
        <f>Tableau1[[#This Row],[Conso HP + HC
Cumul]]*0.1599</f>
        <v>2906.0225999999998</v>
      </c>
      <c r="AP252" s="83">
        <f>Tableau1[[#This Row],[Montant
Tarif normal]]/Tableau1[[#This Row],[Diff jour_x000D_
Cumul]]</f>
        <v>6.1487489865157903</v>
      </c>
      <c r="AQ252" s="83">
        <f>(Tableau1[[#This Row],[Conso HP / an
Cumul]]*0.1799)+(Tableau1[[#This Row],[Conso HC / an_x000D_
Cumul]]*0.1346)</f>
        <v>2333.8837784043803</v>
      </c>
      <c r="AR252" s="83">
        <f>Tableau1[[#This Row],[Conso HP + HC / an_x000D_
Cumul]]*0.1599</f>
        <v>2244.2933800782635</v>
      </c>
      <c r="AS252" s="79">
        <f>MONTH(Tableau1[[#This Row],[Date]])</f>
        <v>4</v>
      </c>
      <c r="AT252" s="79">
        <f>YEAR(Tableau1[[#This Row],[Date]])</f>
        <v>2022</v>
      </c>
    </row>
    <row r="253" spans="1:46" x14ac:dyDescent="0.2">
      <c r="A253" s="74">
        <v>44656.311111111114</v>
      </c>
      <c r="B253" s="75"/>
      <c r="C253" s="76">
        <f>IF(ISERROR(Tableau1[[#This Row],[Date]]-A252),"",Tableau1[[#This Row],[Date]]-A252)</f>
        <v>0.98263888889050577</v>
      </c>
      <c r="D253" s="77">
        <f>IF(ISERROR(Tableau1[[#This Row],[Date]]-A252),"",Tableau1[[#This Row],[Date]]-A252)</f>
        <v>0.98263888889050577</v>
      </c>
      <c r="E253" s="76">
        <f>Tableau1[[#This Row],[Date]]-$A$5</f>
        <v>473.6027777777781</v>
      </c>
      <c r="F253" s="77">
        <f>Tableau1[[#This Row],[Date]]-$A$5</f>
        <v>473.6027777777781</v>
      </c>
      <c r="G253" s="77">
        <f>Tableau1[[#This Row],[Diff jour_x000D_
Cumul]]-F$6</f>
        <v>435.51944444444962</v>
      </c>
      <c r="H253" s="77">
        <f>Tableau1[[#This Row],[Diff jour_x000D_
Cumul]]-F$59</f>
        <v>413</v>
      </c>
      <c r="I253" s="78">
        <v>192499</v>
      </c>
      <c r="J253" s="79">
        <f>IF(ISERROR(Tableau1[[#This Row],[Index HP
kWh]]-I252),"",Tableau1[[#This Row],[Index HP
kWh]]-I252)</f>
        <v>29</v>
      </c>
      <c r="K253" s="77">
        <f>IF(ISERROR(Tableau1[[#This Row],[Différence HP
Instantané]]/(Tableau1[[#This Row],[Diff jour
Instantané]]*24)),"",Tableau1[[#This Row],[Différence HP
Instantané]]/(Tableau1[[#This Row],[Diff jour
Instantané]]*24))</f>
        <v>1.2296819787965632</v>
      </c>
      <c r="L253" s="77">
        <f>Tableau1[[#This Row],[Différence HP
Instantané]]/Tableau1[[#This Row],[Diff jour
Instantané]]</f>
        <v>29.512367491117516</v>
      </c>
      <c r="M253" s="77">
        <f>Tableau1[[#This Row],[Conso HP / jour
Instantané]]*365</f>
        <v>10772.014134257894</v>
      </c>
      <c r="N253" s="79">
        <f>Tableau1[[#This Row],[Index HP
kWh]]-$I$5</f>
        <v>12740</v>
      </c>
      <c r="O253" s="80">
        <f>Tableau1[[#This Row],[Différence HP
Cumul]]/(Tableau1[[#This Row],[Diff jour_x000D_
Cumul]]*24)</f>
        <v>1.1208408359091355</v>
      </c>
      <c r="P253" s="80">
        <f>Tableau1[[#This Row],[Différence HP
Cumul]]/Tableau1[[#This Row],[Diff jour_x000D_
Cumul]]</f>
        <v>26.900180061819253</v>
      </c>
      <c r="Q253" s="80">
        <f>Tableau1[[#This Row],[Conso HP / jour
Cumul]]*365</f>
        <v>9818.565722564028</v>
      </c>
      <c r="R253" s="78">
        <v>124912</v>
      </c>
      <c r="S253" s="79">
        <f>Tableau1[[#This Row],[Index HC_x000D_
kWh]]-R252</f>
        <v>17</v>
      </c>
      <c r="T253" s="81">
        <f>Tableau1[[#This Row],[Différence_x000D_ HC
Instantané]]/(Tableau1[[#This Row],[Diff jour
Instantané]]*24)</f>
        <v>0.72084805653591633</v>
      </c>
      <c r="U253" s="81">
        <f>Tableau1[[#This Row],[Différence_x000D_ HC
Instantané]]/Tableau1[[#This Row],[Diff jour
Instantané]]</f>
        <v>17.300353356861994</v>
      </c>
      <c r="V253" s="81">
        <f>Tableau1[[#This Row],[Conso HC / jour_x000D_
Instantané]]*365</f>
        <v>6314.6289752546272</v>
      </c>
      <c r="W253" s="79">
        <f>Tableau1[[#This Row],[Index HC_x000D_
kWh]]-$R$5</f>
        <v>5480</v>
      </c>
      <c r="X253" s="82">
        <f>Tableau1[[#This Row],[Différence HC
Cumul]]/(Tableau1[[#This Row],[Diff jour_x000D_
Cumul]]*24)</f>
        <v>0.48211991999859199</v>
      </c>
      <c r="Y253" s="82">
        <f>Tableau1[[#This Row],[Différence HC
Cumul]]/Tableau1[[#This Row],[Diff jour_x000D_
Cumul]]</f>
        <v>11.570878079966208</v>
      </c>
      <c r="Z253" s="82">
        <f>Tableau1[[#This Row],[Conso HC / jour_x000D_
Cumul]]*365</f>
        <v>4223.3704991876657</v>
      </c>
      <c r="AA253" s="79">
        <f>Tableau1[[#This Row],[Différence HP
Instantané]]+Tableau1[[#This Row],[Différence_x000D_ HC
Instantané]]</f>
        <v>46</v>
      </c>
      <c r="AB253" s="80">
        <f>Tableau1[[#This Row],[Conso HP + HC
Instantané]]/(Tableau1[[#This Row],[Diff jour
Instantané]]*24)</f>
        <v>1.9505300353324795</v>
      </c>
      <c r="AC253" s="80">
        <f>IF(ISERROR(Tableau1[[#This Row],[Date]]-A252),"",Tableau1[[#This Row],[Conso HP + HC
Instantané]]/Tableau1[[#This Row],[Diff jour
Instantané]])</f>
        <v>46.812720847979506</v>
      </c>
      <c r="AD253" s="80">
        <f>Tableau1[[#This Row],[Conso HP + HC / jour_x000D_
Instantané]]*365</f>
        <v>17086.643109512519</v>
      </c>
      <c r="AE253" s="79">
        <f>Tableau1[[#This Row],[Différence HP
Cumul]]+Tableau1[[#This Row],[Différence HC
Cumul]]</f>
        <v>18220</v>
      </c>
      <c r="AF253" s="77">
        <f>(Tableau1[[#This Row],[Conso HP + HC
Cumul]]-AE$6)/Tableau1[[#This Row],[Diff jour_x000D_
Cumul
depuis le 24/01]]</f>
        <v>35.931805570614486</v>
      </c>
      <c r="AG253" s="77">
        <f>(Tableau1[[#This Row],[Conso HP + HC
Cumul]]-AE$59)/Tableau1[[#This Row],[Diff jour_x000D_
Cumul
depuis
précédente facture
16/02/2021]]</f>
        <v>34.002421307506054</v>
      </c>
      <c r="AH253" s="80">
        <f>Tableau1[[#This Row],[Conso HP + HC
Cumul]]/(Tableau1[[#This Row],[Diff jour_x000D_
Cumul]]*24)</f>
        <v>1.6029607559077275</v>
      </c>
      <c r="AI253" s="80">
        <f>Tableau1[[#This Row],[Conso HP + HC
Cumul]]/Tableau1[[#This Row],[Diff jour_x000D_
Cumul]]</f>
        <v>38.471058141785463</v>
      </c>
      <c r="AJ253" s="80">
        <f>Tableau1[[#This Row],[Conso HP + HC / jour_x000D_
Cumul]]*365</f>
        <v>14041.936221751694</v>
      </c>
      <c r="AK253" s="83">
        <f>(Tableau1[[#This Row],[Différence HP
Cumul]]*0.1799)+(Tableau1[[#This Row],[Différence HC
Cumul]]*0.1346)</f>
        <v>3029.5339999999997</v>
      </c>
      <c r="AL253" s="83">
        <f>Tableau1[[#This Row],[Montant
Tarif HP/HC]]/Tableau1[[#This Row],[Diff jour_x000D_
Cumul]]</f>
        <v>6.3967825826847342</v>
      </c>
      <c r="AM253" s="83">
        <f>(Tableau1[[#This Row],[Montant
Tarif HP/HC]]-AK$6)/Tableau1[[#This Row],[Diff jour_x000D_
Cumul
depuis le 24/01]]</f>
        <v>5.9816121489663603</v>
      </c>
      <c r="AN253" s="83">
        <f>(Tableau1[[#This Row],[Montant
Tarif HP/HC]]-AK$59)/Tableau1[[#This Row],[Diff jour_x000D_
Cumul
depuis
précédente facture
16/02/2021]]</f>
        <v>5.6599772397094421</v>
      </c>
      <c r="AO253" s="83">
        <f>Tableau1[[#This Row],[Conso HP + HC
Cumul]]*0.1599</f>
        <v>2913.3779999999997</v>
      </c>
      <c r="AP253" s="83">
        <f>Tableau1[[#This Row],[Montant
Tarif normal]]/Tableau1[[#This Row],[Diff jour_x000D_
Cumul]]</f>
        <v>6.1515221968714942</v>
      </c>
      <c r="AQ253" s="83">
        <f>(Tableau1[[#This Row],[Conso HP / an
Cumul]]*0.1799)+(Tableau1[[#This Row],[Conso HC / an_x000D_
Cumul]]*0.1346)</f>
        <v>2334.8256426799285</v>
      </c>
      <c r="AR253" s="83">
        <f>Tableau1[[#This Row],[Conso HP + HC / an_x000D_
Cumul]]*0.1599</f>
        <v>2245.3056018580955</v>
      </c>
      <c r="AS253" s="79">
        <f>MONTH(Tableau1[[#This Row],[Date]])</f>
        <v>4</v>
      </c>
      <c r="AT253" s="79">
        <f>YEAR(Tableau1[[#This Row],[Date]])</f>
        <v>2022</v>
      </c>
    </row>
    <row r="254" spans="1:46" x14ac:dyDescent="0.2">
      <c r="A254" s="74">
        <v>44657.324999999997</v>
      </c>
      <c r="B254" s="75"/>
      <c r="C254" s="76">
        <f>IF(ISERROR(Tableau1[[#This Row],[Date]]-A253),"",Tableau1[[#This Row],[Date]]-A253)</f>
        <v>1.0138888888832298</v>
      </c>
      <c r="D254" s="77">
        <f>IF(ISERROR(Tableau1[[#This Row],[Date]]-A253),"",Tableau1[[#This Row],[Date]]-A253)</f>
        <v>1.0138888888832298</v>
      </c>
      <c r="E254" s="76">
        <f>Tableau1[[#This Row],[Date]]-$A$5</f>
        <v>474.61666666666133</v>
      </c>
      <c r="F254" s="77">
        <f>Tableau1[[#This Row],[Date]]-$A$5</f>
        <v>474.61666666666133</v>
      </c>
      <c r="G254" s="77">
        <f>Tableau1[[#This Row],[Diff jour_x000D_
Cumul]]-F$6</f>
        <v>436.53333333333285</v>
      </c>
      <c r="H254" s="77">
        <f>Tableau1[[#This Row],[Diff jour_x000D_
Cumul]]-F$59</f>
        <v>414.01388888888323</v>
      </c>
      <c r="I254" s="78">
        <v>192525</v>
      </c>
      <c r="J254" s="79">
        <f>IF(ISERROR(Tableau1[[#This Row],[Index HP
kWh]]-I253),"",Tableau1[[#This Row],[Index HP
kWh]]-I253)</f>
        <v>26</v>
      </c>
      <c r="K254" s="77">
        <f>IF(ISERROR(Tableau1[[#This Row],[Différence HP
Instantané]]/(Tableau1[[#This Row],[Diff jour
Instantané]]*24)),"",Tableau1[[#This Row],[Différence HP
Instantané]]/(Tableau1[[#This Row],[Diff jour
Instantané]]*24))</f>
        <v>1.0684931506908955</v>
      </c>
      <c r="L254" s="77">
        <f>Tableau1[[#This Row],[Différence HP
Instantané]]/Tableau1[[#This Row],[Diff jour
Instantané]]</f>
        <v>25.643835616581487</v>
      </c>
      <c r="M254" s="77">
        <f>Tableau1[[#This Row],[Conso HP / jour
Instantané]]*365</f>
        <v>9360.0000000522432</v>
      </c>
      <c r="N254" s="79">
        <f>Tableau1[[#This Row],[Index HP
kWh]]-$I$5</f>
        <v>12766</v>
      </c>
      <c r="O254" s="80">
        <f>Tableau1[[#This Row],[Différence HP
Cumul]]/(Tableau1[[#This Row],[Diff jour_x000D_
Cumul]]*24)</f>
        <v>1.1207290093760003</v>
      </c>
      <c r="P254" s="80">
        <f>Tableau1[[#This Row],[Différence HP
Cumul]]/Tableau1[[#This Row],[Diff jour_x000D_
Cumul]]</f>
        <v>26.897496225024007</v>
      </c>
      <c r="Q254" s="80">
        <f>Tableau1[[#This Row],[Conso HP / jour
Cumul]]*365</f>
        <v>9817.5861221337618</v>
      </c>
      <c r="R254" s="78">
        <v>124925</v>
      </c>
      <c r="S254" s="79">
        <f>Tableau1[[#This Row],[Index HC_x000D_
kWh]]-R253</f>
        <v>13</v>
      </c>
      <c r="T254" s="81">
        <f>Tableau1[[#This Row],[Différence_x000D_ HC
Instantané]]/(Tableau1[[#This Row],[Diff jour
Instantané]]*24)</f>
        <v>0.53424657534544773</v>
      </c>
      <c r="U254" s="81">
        <f>Tableau1[[#This Row],[Différence_x000D_ HC
Instantané]]/Tableau1[[#This Row],[Diff jour
Instantané]]</f>
        <v>12.821917808290744</v>
      </c>
      <c r="V254" s="81">
        <f>Tableau1[[#This Row],[Conso HC / jour_x000D_
Instantané]]*365</f>
        <v>4680.0000000261216</v>
      </c>
      <c r="W254" s="79">
        <f>Tableau1[[#This Row],[Index HC_x000D_
kWh]]-$R$5</f>
        <v>5493</v>
      </c>
      <c r="X254" s="82">
        <f>Tableau1[[#This Row],[Différence HC
Cumul]]/(Tableau1[[#This Row],[Diff jour_x000D_
Cumul]]*24)</f>
        <v>0.48223127436177105</v>
      </c>
      <c r="Y254" s="82">
        <f>Tableau1[[#This Row],[Différence HC
Cumul]]/Tableau1[[#This Row],[Diff jour_x000D_
Cumul]]</f>
        <v>11.573550584682506</v>
      </c>
      <c r="Z254" s="82">
        <f>Tableau1[[#This Row],[Conso HC / jour_x000D_
Cumul]]*365</f>
        <v>4224.345963409115</v>
      </c>
      <c r="AA254" s="79">
        <f>Tableau1[[#This Row],[Différence HP
Instantané]]+Tableau1[[#This Row],[Différence_x000D_ HC
Instantané]]</f>
        <v>39</v>
      </c>
      <c r="AB254" s="80">
        <f>Tableau1[[#This Row],[Conso HP + HC
Instantané]]/(Tableau1[[#This Row],[Diff jour
Instantané]]*24)</f>
        <v>1.602739726036343</v>
      </c>
      <c r="AC254" s="80">
        <f>IF(ISERROR(Tableau1[[#This Row],[Date]]-A253),"",Tableau1[[#This Row],[Conso HP + HC
Instantané]]/Tableau1[[#This Row],[Diff jour
Instantané]])</f>
        <v>38.465753424872233</v>
      </c>
      <c r="AD254" s="80">
        <f>Tableau1[[#This Row],[Conso HP + HC / jour_x000D_
Instantané]]*365</f>
        <v>14040.000000078366</v>
      </c>
      <c r="AE254" s="79">
        <f>Tableau1[[#This Row],[Différence HP
Cumul]]+Tableau1[[#This Row],[Différence HC
Cumul]]</f>
        <v>18259</v>
      </c>
      <c r="AF254" s="77">
        <f>(Tableau1[[#This Row],[Conso HP + HC
Cumul]]-AE$6)/Tableau1[[#This Row],[Diff jour_x000D_
Cumul
depuis le 24/01]]</f>
        <v>35.937690897984155</v>
      </c>
      <c r="AG254" s="77">
        <f>(Tableau1[[#This Row],[Conso HP + HC
Cumul]]-AE$59)/Tableau1[[#This Row],[Diff jour_x000D_
Cumul
depuis
précédente facture
16/02/2021]]</f>
        <v>34.013351672314194</v>
      </c>
      <c r="AH254" s="80">
        <f>Tableau1[[#This Row],[Conso HP + HC
Cumul]]/(Tableau1[[#This Row],[Diff jour_x000D_
Cumul]]*24)</f>
        <v>1.6029602837377712</v>
      </c>
      <c r="AI254" s="80">
        <f>Tableau1[[#This Row],[Conso HP + HC
Cumul]]/Tableau1[[#This Row],[Diff jour_x000D_
Cumul]]</f>
        <v>38.471046809706515</v>
      </c>
      <c r="AJ254" s="80">
        <f>Tableau1[[#This Row],[Conso HP + HC / jour_x000D_
Cumul]]*365</f>
        <v>14041.932085542878</v>
      </c>
      <c r="AK254" s="83">
        <f>(Tableau1[[#This Row],[Différence HP
Cumul]]*0.1799)+(Tableau1[[#This Row],[Différence HC
Cumul]]*0.1346)</f>
        <v>3035.9611999999997</v>
      </c>
      <c r="AL254" s="83">
        <f>Tableau1[[#This Row],[Montant
Tarif HP/HC]]/Tableau1[[#This Row],[Diff jour_x000D_
Cumul]]</f>
        <v>6.3966594795800829</v>
      </c>
      <c r="AM254" s="83">
        <f>(Tableau1[[#This Row],[Montant
Tarif HP/HC]]-AK$6)/Tableau1[[#This Row],[Diff jour_x000D_
Cumul
depuis le 24/01]]</f>
        <v>5.9824425778863839</v>
      </c>
      <c r="AN254" s="83">
        <f>(Tableau1[[#This Row],[Montant
Tarif HP/HC]]-AK$59)/Tableau1[[#This Row],[Diff jour_x000D_
Cumul
depuis
précédente facture
16/02/2021]]</f>
        <v>5.6616404978363004</v>
      </c>
      <c r="AO254" s="83">
        <f>Tableau1[[#This Row],[Conso HP + HC
Cumul]]*0.1599</f>
        <v>2919.6140999999998</v>
      </c>
      <c r="AP254" s="83">
        <f>Tableau1[[#This Row],[Montant
Tarif normal]]/Tableau1[[#This Row],[Diff jour_x000D_
Cumul]]</f>
        <v>6.1515203848720708</v>
      </c>
      <c r="AQ254" s="83">
        <f>(Tableau1[[#This Row],[Conso HP / an
Cumul]]*0.1799)+(Tableau1[[#This Row],[Conso HC / an_x000D_
Cumul]]*0.1346)</f>
        <v>2334.7807100467307</v>
      </c>
      <c r="AR254" s="83">
        <f>Tableau1[[#This Row],[Conso HP + HC / an_x000D_
Cumul]]*0.1599</f>
        <v>2245.304940478306</v>
      </c>
      <c r="AS254" s="79">
        <f>MONTH(Tableau1[[#This Row],[Date]])</f>
        <v>4</v>
      </c>
      <c r="AT254" s="79">
        <f>YEAR(Tableau1[[#This Row],[Date]])</f>
        <v>2022</v>
      </c>
    </row>
    <row r="255" spans="1:46" x14ac:dyDescent="0.2">
      <c r="A255" s="74">
        <v>44658.334027777775</v>
      </c>
      <c r="B255" s="75"/>
      <c r="C255" s="76">
        <f>IF(ISERROR(Tableau1[[#This Row],[Date]]-A254),"",Tableau1[[#This Row],[Date]]-A254)</f>
        <v>1.0090277777781012</v>
      </c>
      <c r="D255" s="77">
        <f>IF(ISERROR(Tableau1[[#This Row],[Date]]-A254),"",Tableau1[[#This Row],[Date]]-A254)</f>
        <v>1.0090277777781012</v>
      </c>
      <c r="E255" s="76">
        <f>Tableau1[[#This Row],[Date]]-$A$5</f>
        <v>475.62569444443943</v>
      </c>
      <c r="F255" s="77">
        <f>Tableau1[[#This Row],[Date]]-$A$5</f>
        <v>475.62569444443943</v>
      </c>
      <c r="G255" s="77">
        <f>Tableau1[[#This Row],[Diff jour_x000D_
Cumul]]-F$6</f>
        <v>437.54236111111095</v>
      </c>
      <c r="H255" s="77">
        <f>Tableau1[[#This Row],[Diff jour_x000D_
Cumul]]-F$59</f>
        <v>415.02291666666133</v>
      </c>
      <c r="I255" s="78">
        <v>192553</v>
      </c>
      <c r="J255" s="79">
        <f>IF(ISERROR(Tableau1[[#This Row],[Index HP
kWh]]-I254),"",Tableau1[[#This Row],[Index HP
kWh]]-I254)</f>
        <v>28</v>
      </c>
      <c r="K255" s="77">
        <f>IF(ISERROR(Tableau1[[#This Row],[Différence HP
Instantané]]/(Tableau1[[#This Row],[Diff jour
Instantané]]*24)),"",Tableau1[[#This Row],[Différence HP
Instantané]]/(Tableau1[[#This Row],[Diff jour
Instantané]]*24))</f>
        <v>1.1562284927732014</v>
      </c>
      <c r="L255" s="77">
        <f>Tableau1[[#This Row],[Différence HP
Instantané]]/Tableau1[[#This Row],[Diff jour
Instantané]]</f>
        <v>27.749483826556833</v>
      </c>
      <c r="M255" s="77">
        <f>Tableau1[[#This Row],[Conso HP / jour
Instantané]]*365</f>
        <v>10128.561596693244</v>
      </c>
      <c r="N255" s="79">
        <f>Tableau1[[#This Row],[Index HP
kWh]]-$I$5</f>
        <v>12794</v>
      </c>
      <c r="O255" s="80">
        <f>Tableau1[[#This Row],[Différence HP
Cumul]]/(Tableau1[[#This Row],[Diff jour_x000D_
Cumul]]*24)</f>
        <v>1.1208043206244525</v>
      </c>
      <c r="P255" s="80">
        <f>Tableau1[[#This Row],[Différence HP
Cumul]]/Tableau1[[#This Row],[Diff jour_x000D_
Cumul]]</f>
        <v>26.899303694986859</v>
      </c>
      <c r="Q255" s="80">
        <f>Tableau1[[#This Row],[Conso HP / jour
Cumul]]*365</f>
        <v>9818.2458486702035</v>
      </c>
      <c r="R255" s="78">
        <v>124939</v>
      </c>
      <c r="S255" s="79">
        <f>Tableau1[[#This Row],[Index HC_x000D_
kWh]]-R254</f>
        <v>14</v>
      </c>
      <c r="T255" s="81">
        <f>Tableau1[[#This Row],[Différence_x000D_ HC
Instantané]]/(Tableau1[[#This Row],[Diff jour
Instantané]]*24)</f>
        <v>0.57811424638660069</v>
      </c>
      <c r="U255" s="81">
        <f>Tableau1[[#This Row],[Différence_x000D_ HC
Instantané]]/Tableau1[[#This Row],[Diff jour
Instantané]]</f>
        <v>13.874741913278417</v>
      </c>
      <c r="V255" s="81">
        <f>Tableau1[[#This Row],[Conso HC / jour_x000D_
Instantané]]*365</f>
        <v>5064.2807983466219</v>
      </c>
      <c r="W255" s="79">
        <f>Tableau1[[#This Row],[Index HC_x000D_
kWh]]-$R$5</f>
        <v>5507</v>
      </c>
      <c r="X255" s="82">
        <f>Tableau1[[#This Row],[Différence HC
Cumul]]/(Tableau1[[#This Row],[Diff jour_x000D_
Cumul]]*24)</f>
        <v>0.48243468764099262</v>
      </c>
      <c r="Y255" s="82">
        <f>Tableau1[[#This Row],[Différence HC
Cumul]]/Tableau1[[#This Row],[Diff jour_x000D_
Cumul]]</f>
        <v>11.578432503383823</v>
      </c>
      <c r="Z255" s="82">
        <f>Tableau1[[#This Row],[Conso HC / jour_x000D_
Cumul]]*365</f>
        <v>4226.1278637350952</v>
      </c>
      <c r="AA255" s="79">
        <f>Tableau1[[#This Row],[Différence HP
Instantané]]+Tableau1[[#This Row],[Différence_x000D_ HC
Instantané]]</f>
        <v>42</v>
      </c>
      <c r="AB255" s="80">
        <f>Tableau1[[#This Row],[Conso HP + HC
Instantané]]/(Tableau1[[#This Row],[Diff jour
Instantané]]*24)</f>
        <v>1.7343427391598021</v>
      </c>
      <c r="AC255" s="80">
        <f>IF(ISERROR(Tableau1[[#This Row],[Date]]-A254),"",Tableau1[[#This Row],[Conso HP + HC
Instantané]]/Tableau1[[#This Row],[Diff jour
Instantané]])</f>
        <v>41.624225739835246</v>
      </c>
      <c r="AD255" s="80">
        <f>Tableau1[[#This Row],[Conso HP + HC / jour_x000D_
Instantané]]*365</f>
        <v>15192.842395039865</v>
      </c>
      <c r="AE255" s="79">
        <f>Tableau1[[#This Row],[Différence HP
Cumul]]+Tableau1[[#This Row],[Différence HC
Cumul]]</f>
        <v>18301</v>
      </c>
      <c r="AF255" s="77">
        <f>(Tableau1[[#This Row],[Conso HP + HC
Cumul]]-AE$6)/Tableau1[[#This Row],[Diff jour_x000D_
Cumul
depuis le 24/01]]</f>
        <v>35.950804763348323</v>
      </c>
      <c r="AG255" s="77">
        <f>(Tableau1[[#This Row],[Conso HP + HC
Cumul]]-AE$59)/Tableau1[[#This Row],[Diff jour_x000D_
Cumul
depuis
précédente facture
16/02/2021]]</f>
        <v>34.031855670621034</v>
      </c>
      <c r="AH255" s="80">
        <f>Tableau1[[#This Row],[Conso HP + HC
Cumul]]/(Tableau1[[#This Row],[Diff jour_x000D_
Cumul]]*24)</f>
        <v>1.6032390082654451</v>
      </c>
      <c r="AI255" s="80">
        <f>Tableau1[[#This Row],[Conso HP + HC
Cumul]]/Tableau1[[#This Row],[Diff jour_x000D_
Cumul]]</f>
        <v>38.477736198370678</v>
      </c>
      <c r="AJ255" s="80">
        <f>Tableau1[[#This Row],[Conso HP + HC / jour_x000D_
Cumul]]*365</f>
        <v>14044.373712405297</v>
      </c>
      <c r="AK255" s="83">
        <f>(Tableau1[[#This Row],[Différence HP
Cumul]]*0.1799)+(Tableau1[[#This Row],[Différence HC
Cumul]]*0.1346)</f>
        <v>3042.8828000000003</v>
      </c>
      <c r="AL255" s="83">
        <f>Tableau1[[#This Row],[Montant
Tarif HP/HC]]/Tableau1[[#This Row],[Diff jour_x000D_
Cumul]]</f>
        <v>6.3976417496835989</v>
      </c>
      <c r="AM255" s="83">
        <f>(Tableau1[[#This Row],[Montant
Tarif HP/HC]]-AK$6)/Tableau1[[#This Row],[Diff jour_x000D_
Cumul
depuis le 24/01]]</f>
        <v>5.9844655803168294</v>
      </c>
      <c r="AN255" s="83">
        <f>(Tableau1[[#This Row],[Montant
Tarif HP/HC]]-AK$59)/Tableau1[[#This Row],[Diff jour_x000D_
Cumul
depuis
précédente facture
16/02/2021]]</f>
        <v>5.664553222462688</v>
      </c>
      <c r="AO255" s="83">
        <f>Tableau1[[#This Row],[Conso HP + HC
Cumul]]*0.1599</f>
        <v>2926.3298999999997</v>
      </c>
      <c r="AP255" s="83">
        <f>Tableau1[[#This Row],[Montant
Tarif normal]]/Tableau1[[#This Row],[Diff jour_x000D_
Cumul]]</f>
        <v>6.1525900181194713</v>
      </c>
      <c r="AQ255" s="83">
        <f>(Tableau1[[#This Row],[Conso HP / an
Cumul]]*0.1799)+(Tableau1[[#This Row],[Conso HC / an_x000D_
Cumul]]*0.1346)</f>
        <v>2335.1392386345133</v>
      </c>
      <c r="AR255" s="83">
        <f>Tableau1[[#This Row],[Conso HP + HC / an_x000D_
Cumul]]*0.1599</f>
        <v>2245.6953566136067</v>
      </c>
      <c r="AS255" s="79">
        <f>MONTH(Tableau1[[#This Row],[Date]])</f>
        <v>4</v>
      </c>
      <c r="AT255" s="79">
        <f>YEAR(Tableau1[[#This Row],[Date]])</f>
        <v>2022</v>
      </c>
    </row>
    <row r="256" spans="1:46" x14ac:dyDescent="0.2">
      <c r="A256" s="74">
        <v>44659.350694444445</v>
      </c>
      <c r="B256" s="75"/>
      <c r="C256" s="76">
        <f>IF(ISERROR(Tableau1[[#This Row],[Date]]-A255),"",Tableau1[[#This Row],[Date]]-A255)</f>
        <v>1.0166666666700621</v>
      </c>
      <c r="D256" s="77">
        <f>IF(ISERROR(Tableau1[[#This Row],[Date]]-A255),"",Tableau1[[#This Row],[Date]]-A255)</f>
        <v>1.0166666666700621</v>
      </c>
      <c r="E256" s="76">
        <f>Tableau1[[#This Row],[Date]]-$A$5</f>
        <v>476.64236111110949</v>
      </c>
      <c r="F256" s="77">
        <f>Tableau1[[#This Row],[Date]]-$A$5</f>
        <v>476.64236111110949</v>
      </c>
      <c r="G256" s="77">
        <f>Tableau1[[#This Row],[Diff jour_x000D_
Cumul]]-F$6</f>
        <v>438.55902777778101</v>
      </c>
      <c r="H256" s="77">
        <f>Tableau1[[#This Row],[Diff jour_x000D_
Cumul]]-F$59</f>
        <v>416.03958333333139</v>
      </c>
      <c r="I256" s="78">
        <v>192583</v>
      </c>
      <c r="J256" s="79">
        <f>IF(ISERROR(Tableau1[[#This Row],[Index HP
kWh]]-I255),"",Tableau1[[#This Row],[Index HP
kWh]]-I255)</f>
        <v>30</v>
      </c>
      <c r="K256" s="77">
        <f>IF(ISERROR(Tableau1[[#This Row],[Différence HP
Instantané]]/(Tableau1[[#This Row],[Diff jour
Instantané]]*24)),"",Tableau1[[#This Row],[Différence HP
Instantané]]/(Tableau1[[#This Row],[Diff jour
Instantané]]*24))</f>
        <v>1.2295081967172052</v>
      </c>
      <c r="L256" s="77">
        <f>Tableau1[[#This Row],[Différence HP
Instantané]]/Tableau1[[#This Row],[Diff jour
Instantané]]</f>
        <v>29.508196721212926</v>
      </c>
      <c r="M256" s="77">
        <f>Tableau1[[#This Row],[Conso HP / jour
Instantané]]*365</f>
        <v>10770.491803242718</v>
      </c>
      <c r="N256" s="79">
        <f>Tableau1[[#This Row],[Index HP
kWh]]-$I$5</f>
        <v>12824</v>
      </c>
      <c r="O256" s="80">
        <f>Tableau1[[#This Row],[Différence HP
Cumul]]/(Tableau1[[#This Row],[Diff jour_x000D_
Cumul]]*24)</f>
        <v>1.121036183371825</v>
      </c>
      <c r="P256" s="80">
        <f>Tableau1[[#This Row],[Différence HP
Cumul]]/Tableau1[[#This Row],[Diff jour_x000D_
Cumul]]</f>
        <v>26.904868400923799</v>
      </c>
      <c r="Q256" s="80">
        <f>Tableau1[[#This Row],[Conso HP / jour
Cumul]]*365</f>
        <v>9820.2769663371873</v>
      </c>
      <c r="R256" s="78">
        <v>124952</v>
      </c>
      <c r="S256" s="79">
        <f>Tableau1[[#This Row],[Index HC_x000D_
kWh]]-R255</f>
        <v>13</v>
      </c>
      <c r="T256" s="81">
        <f>Tableau1[[#This Row],[Différence_x000D_ HC
Instantané]]/(Tableau1[[#This Row],[Diff jour
Instantané]]*24)</f>
        <v>0.53278688524412221</v>
      </c>
      <c r="U256" s="81">
        <f>Tableau1[[#This Row],[Différence_x000D_ HC
Instantané]]/Tableau1[[#This Row],[Diff jour
Instantané]]</f>
        <v>12.786885245858933</v>
      </c>
      <c r="V256" s="81">
        <f>Tableau1[[#This Row],[Conso HC / jour_x000D_
Instantané]]*365</f>
        <v>4667.2131147385107</v>
      </c>
      <c r="W256" s="79">
        <f>Tableau1[[#This Row],[Index HC_x000D_
kWh]]-$R$5</f>
        <v>5520</v>
      </c>
      <c r="X256" s="82">
        <f>Tableau1[[#This Row],[Différence HC
Cumul]]/(Tableau1[[#This Row],[Diff jour_x000D_
Cumul]]*24)</f>
        <v>0.48254208766472811</v>
      </c>
      <c r="Y256" s="82">
        <f>Tableau1[[#This Row],[Différence HC
Cumul]]/Tableau1[[#This Row],[Diff jour_x000D_
Cumul]]</f>
        <v>11.581010103953474</v>
      </c>
      <c r="Z256" s="82">
        <f>Tableau1[[#This Row],[Conso HC / jour_x000D_
Cumul]]*365</f>
        <v>4227.0686879430177</v>
      </c>
      <c r="AA256" s="79">
        <f>Tableau1[[#This Row],[Différence HP
Instantané]]+Tableau1[[#This Row],[Différence_x000D_ HC
Instantané]]</f>
        <v>43</v>
      </c>
      <c r="AB256" s="80">
        <f>Tableau1[[#This Row],[Conso HP + HC
Instantané]]/(Tableau1[[#This Row],[Diff jour
Instantané]]*24)</f>
        <v>1.7622950819613274</v>
      </c>
      <c r="AC256" s="80">
        <f>IF(ISERROR(Tableau1[[#This Row],[Date]]-A255),"",Tableau1[[#This Row],[Conso HP + HC
Instantané]]/Tableau1[[#This Row],[Diff jour
Instantané]])</f>
        <v>42.295081967071859</v>
      </c>
      <c r="AD256" s="80">
        <f>Tableau1[[#This Row],[Conso HP + HC / jour_x000D_
Instantané]]*365</f>
        <v>15437.704917981229</v>
      </c>
      <c r="AE256" s="79">
        <f>Tableau1[[#This Row],[Différence HP
Cumul]]+Tableau1[[#This Row],[Différence HC
Cumul]]</f>
        <v>18344</v>
      </c>
      <c r="AF256" s="77">
        <f>(Tableau1[[#This Row],[Conso HP + HC
Cumul]]-AE$6)/Tableau1[[#This Row],[Diff jour_x000D_
Cumul
depuis le 24/01]]</f>
        <v>35.96551205415436</v>
      </c>
      <c r="AG256" s="77">
        <f>(Tableau1[[#This Row],[Conso HP + HC
Cumul]]-AE$59)/Tableau1[[#This Row],[Diff jour_x000D_
Cumul
depuis
précédente facture
16/02/2021]]</f>
        <v>34.052048332740931</v>
      </c>
      <c r="AH256" s="80">
        <f>Tableau1[[#This Row],[Conso HP + HC
Cumul]]/(Tableau1[[#This Row],[Diff jour_x000D_
Cumul]]*24)</f>
        <v>1.6035782710365531</v>
      </c>
      <c r="AI256" s="80">
        <f>Tableau1[[#This Row],[Conso HP + HC
Cumul]]/Tableau1[[#This Row],[Diff jour_x000D_
Cumul]]</f>
        <v>38.48587850487727</v>
      </c>
      <c r="AJ256" s="80">
        <f>Tableau1[[#This Row],[Conso HP + HC / jour_x000D_
Cumul]]*365</f>
        <v>14047.345654280203</v>
      </c>
      <c r="AK256" s="83">
        <f>(Tableau1[[#This Row],[Différence HP
Cumul]]*0.1799)+(Tableau1[[#This Row],[Différence HC
Cumul]]*0.1346)</f>
        <v>3050.0295999999998</v>
      </c>
      <c r="AL256" s="83">
        <f>Tableau1[[#This Row],[Montant
Tarif HP/HC]]/Tableau1[[#This Row],[Diff jour_x000D_
Cumul]]</f>
        <v>6.3989897853183288</v>
      </c>
      <c r="AM256" s="83">
        <f>(Tableau1[[#This Row],[Montant
Tarif HP/HC]]-AK$6)/Tableau1[[#This Row],[Diff jour_x000D_
Cumul
depuis le 24/01]]</f>
        <v>5.9868885000593357</v>
      </c>
      <c r="AN256" s="83">
        <f>(Tableau1[[#This Row],[Montant
Tarif HP/HC]]-AK$59)/Tableau1[[#This Row],[Diff jour_x000D_
Cumul
depuis
précédente facture
16/02/2021]]</f>
        <v>5.6678890530248278</v>
      </c>
      <c r="AO256" s="83">
        <f>Tableau1[[#This Row],[Conso HP + HC
Cumul]]*0.1599</f>
        <v>2933.2055999999998</v>
      </c>
      <c r="AP256" s="83">
        <f>Tableau1[[#This Row],[Montant
Tarif normal]]/Tableau1[[#This Row],[Diff jour_x000D_
Cumul]]</f>
        <v>6.1538919729298751</v>
      </c>
      <c r="AQ256" s="83">
        <f>(Tableau1[[#This Row],[Conso HP / an
Cumul]]*0.1799)+(Tableau1[[#This Row],[Conso HC / an_x000D_
Cumul]]*0.1346)</f>
        <v>2335.6312716411903</v>
      </c>
      <c r="AR256" s="83">
        <f>Tableau1[[#This Row],[Conso HP + HC / an_x000D_
Cumul]]*0.1599</f>
        <v>2246.1705701194041</v>
      </c>
      <c r="AS256" s="79">
        <f>MONTH(Tableau1[[#This Row],[Date]])</f>
        <v>4</v>
      </c>
      <c r="AT256" s="79">
        <f>YEAR(Tableau1[[#This Row],[Date]])</f>
        <v>2022</v>
      </c>
    </row>
    <row r="257" spans="1:46" x14ac:dyDescent="0.2">
      <c r="A257" s="74">
        <v>44660.356249999997</v>
      </c>
      <c r="B257" s="75"/>
      <c r="C257" s="76">
        <f>IF(ISERROR(Tableau1[[#This Row],[Date]]-A256),"",Tableau1[[#This Row],[Date]]-A256)</f>
        <v>1.0055555555518367</v>
      </c>
      <c r="D257" s="77">
        <f>IF(ISERROR(Tableau1[[#This Row],[Date]]-A256),"",Tableau1[[#This Row],[Date]]-A256)</f>
        <v>1.0055555555518367</v>
      </c>
      <c r="E257" s="76">
        <f>Tableau1[[#This Row],[Date]]-$A$5</f>
        <v>477.64791666666133</v>
      </c>
      <c r="F257" s="77">
        <f>Tableau1[[#This Row],[Date]]-$A$5</f>
        <v>477.64791666666133</v>
      </c>
      <c r="G257" s="77">
        <f>Tableau1[[#This Row],[Diff jour_x000D_
Cumul]]-F$6</f>
        <v>439.56458333333285</v>
      </c>
      <c r="H257" s="77">
        <f>Tableau1[[#This Row],[Diff jour_x000D_
Cumul]]-F$59</f>
        <v>417.04513888888323</v>
      </c>
      <c r="I257" s="78">
        <v>192611</v>
      </c>
      <c r="J257" s="79">
        <f>IF(ISERROR(Tableau1[[#This Row],[Index HP
kWh]]-I256),"",Tableau1[[#This Row],[Index HP
kWh]]-I256)</f>
        <v>28</v>
      </c>
      <c r="K257" s="77">
        <f>IF(ISERROR(Tableau1[[#This Row],[Différence HP
Instantané]]/(Tableau1[[#This Row],[Diff jour
Instantané]]*24)),"",Tableau1[[#This Row],[Différence HP
Instantané]]/(Tableau1[[#This Row],[Diff jour
Instantané]]*24))</f>
        <v>1.1602209944794288</v>
      </c>
      <c r="L257" s="77">
        <f>Tableau1[[#This Row],[Différence HP
Instantané]]/Tableau1[[#This Row],[Diff jour
Instantané]]</f>
        <v>27.845303867506296</v>
      </c>
      <c r="M257" s="77">
        <f>Tableau1[[#This Row],[Conso HP / jour
Instantané]]*365</f>
        <v>10163.535911639798</v>
      </c>
      <c r="N257" s="79">
        <f>Tableau1[[#This Row],[Index HP
kWh]]-$I$5</f>
        <v>12852</v>
      </c>
      <c r="O257" s="80">
        <f>Tableau1[[#This Row],[Différence HP
Cumul]]/(Tableau1[[#This Row],[Diff jour_x000D_
Cumul]]*24)</f>
        <v>1.1211186761518155</v>
      </c>
      <c r="P257" s="80">
        <f>Tableau1[[#This Row],[Différence HP
Cumul]]/Tableau1[[#This Row],[Diff jour_x000D_
Cumul]]</f>
        <v>26.906848227643572</v>
      </c>
      <c r="Q257" s="80">
        <f>Tableau1[[#This Row],[Conso HP / jour
Cumul]]*365</f>
        <v>9820.9996030899038</v>
      </c>
      <c r="R257" s="78">
        <v>124972</v>
      </c>
      <c r="S257" s="79">
        <f>Tableau1[[#This Row],[Index HC_x000D_
kWh]]-R256</f>
        <v>20</v>
      </c>
      <c r="T257" s="81">
        <f>Tableau1[[#This Row],[Différence_x000D_ HC
Instantané]]/(Tableau1[[#This Row],[Diff jour
Instantané]]*24)</f>
        <v>0.82872928177102068</v>
      </c>
      <c r="U257" s="81">
        <f>Tableau1[[#This Row],[Différence_x000D_ HC
Instantané]]/Tableau1[[#This Row],[Diff jour
Instantané]]</f>
        <v>19.889502762504495</v>
      </c>
      <c r="V257" s="81">
        <f>Tableau1[[#This Row],[Conso HC / jour_x000D_
Instantané]]*365</f>
        <v>7259.668508314141</v>
      </c>
      <c r="W257" s="79">
        <f>Tableau1[[#This Row],[Index HC_x000D_
kWh]]-$R$5</f>
        <v>5540</v>
      </c>
      <c r="X257" s="82">
        <f>Tableau1[[#This Row],[Différence HC
Cumul]]/(Tableau1[[#This Row],[Diff jour_x000D_
Cumul]]*24)</f>
        <v>0.48327088903525189</v>
      </c>
      <c r="Y257" s="82">
        <f>Tableau1[[#This Row],[Différence HC
Cumul]]/Tableau1[[#This Row],[Diff jour_x000D_
Cumul]]</f>
        <v>11.598501336846045</v>
      </c>
      <c r="Z257" s="82">
        <f>Tableau1[[#This Row],[Conso HC / jour_x000D_
Cumul]]*365</f>
        <v>4233.4529879488064</v>
      </c>
      <c r="AA257" s="79">
        <f>Tableau1[[#This Row],[Différence HP
Instantané]]+Tableau1[[#This Row],[Différence_x000D_ HC
Instantané]]</f>
        <v>48</v>
      </c>
      <c r="AB257" s="80">
        <f>Tableau1[[#This Row],[Conso HP + HC
Instantané]]/(Tableau1[[#This Row],[Diff jour
Instantané]]*24)</f>
        <v>1.9889502762504496</v>
      </c>
      <c r="AC257" s="80">
        <f>IF(ISERROR(Tableau1[[#This Row],[Date]]-A256),"",Tableau1[[#This Row],[Conso HP + HC
Instantané]]/Tableau1[[#This Row],[Diff jour
Instantané]])</f>
        <v>47.734806630010787</v>
      </c>
      <c r="AD257" s="80">
        <f>Tableau1[[#This Row],[Conso HP + HC / jour_x000D_
Instantané]]*365</f>
        <v>17423.204419953938</v>
      </c>
      <c r="AE257" s="79">
        <f>Tableau1[[#This Row],[Différence HP
Cumul]]+Tableau1[[#This Row],[Différence HC
Cumul]]</f>
        <v>18392</v>
      </c>
      <c r="AF257" s="77">
        <f>(Tableau1[[#This Row],[Conso HP + HC
Cumul]]-AE$6)/Tableau1[[#This Row],[Diff jour_x000D_
Cumul
depuis le 24/01]]</f>
        <v>35.992435696309364</v>
      </c>
      <c r="AG257" s="77">
        <f>(Tableau1[[#This Row],[Conso HP + HC
Cumul]]-AE$59)/Tableau1[[#This Row],[Diff jour_x000D_
Cumul
depuis
précédente facture
16/02/2021]]</f>
        <v>34.085039422525</v>
      </c>
      <c r="AH257" s="80">
        <f>Tableau1[[#This Row],[Conso HP + HC
Cumul]]/(Tableau1[[#This Row],[Diff jour_x000D_
Cumul]]*24)</f>
        <v>1.6043895651870672</v>
      </c>
      <c r="AI257" s="80">
        <f>Tableau1[[#This Row],[Conso HP + HC
Cumul]]/Tableau1[[#This Row],[Diff jour_x000D_
Cumul]]</f>
        <v>38.505349564489613</v>
      </c>
      <c r="AJ257" s="80">
        <f>Tableau1[[#This Row],[Conso HP + HC / jour_x000D_
Cumul]]*365</f>
        <v>14054.452591038709</v>
      </c>
      <c r="AK257" s="83">
        <f>(Tableau1[[#This Row],[Différence HP
Cumul]]*0.1799)+(Tableau1[[#This Row],[Différence HC
Cumul]]*0.1346)</f>
        <v>3057.7587999999996</v>
      </c>
      <c r="AL257" s="83">
        <f>Tableau1[[#This Row],[Montant
Tarif HP/HC]]/Tableau1[[#This Row],[Diff jour_x000D_
Cumul]]</f>
        <v>6.401700276092555</v>
      </c>
      <c r="AM257" s="83">
        <f>(Tableau1[[#This Row],[Montant
Tarif HP/HC]]-AK$6)/Tableau1[[#This Row],[Diff jour_x000D_
Cumul
depuis le 24/01]]</f>
        <v>5.9907765544501954</v>
      </c>
      <c r="AN257" s="83">
        <f>(Tableau1[[#This Row],[Montant
Tarif HP/HC]]-AK$59)/Tableau1[[#This Row],[Diff jour_x000D_
Cumul
depuis
précédente facture
16/02/2021]]</f>
        <v>5.6727562064458876</v>
      </c>
      <c r="AO257" s="83">
        <f>Tableau1[[#This Row],[Conso HP + HC
Cumul]]*0.1599</f>
        <v>2940.8807999999999</v>
      </c>
      <c r="AP257" s="83">
        <f>Tableau1[[#This Row],[Montant
Tarif normal]]/Tableau1[[#This Row],[Diff jour_x000D_
Cumul]]</f>
        <v>6.1570053953618897</v>
      </c>
      <c r="AQ257" s="83">
        <f>(Tableau1[[#This Row],[Conso HP / an
Cumul]]*0.1799)+(Tableau1[[#This Row],[Conso HC / an_x000D_
Cumul]]*0.1346)</f>
        <v>2336.6206007737828</v>
      </c>
      <c r="AR257" s="83">
        <f>Tableau1[[#This Row],[Conso HP + HC / an_x000D_
Cumul]]*0.1599</f>
        <v>2247.3069693070893</v>
      </c>
      <c r="AS257" s="79">
        <f>MONTH(Tableau1[[#This Row],[Date]])</f>
        <v>4</v>
      </c>
      <c r="AT257" s="79">
        <f>YEAR(Tableau1[[#This Row],[Date]])</f>
        <v>2022</v>
      </c>
    </row>
    <row r="258" spans="1:46" x14ac:dyDescent="0.2">
      <c r="A258" s="74">
        <v>44661.318749999999</v>
      </c>
      <c r="B258" s="75"/>
      <c r="C258" s="76">
        <f>IF(ISERROR(Tableau1[[#This Row],[Date]]-A257),"",Tableau1[[#This Row],[Date]]-A257)</f>
        <v>0.96250000000145519</v>
      </c>
      <c r="D258" s="77">
        <f>IF(ISERROR(Tableau1[[#This Row],[Date]]-A257),"",Tableau1[[#This Row],[Date]]-A257)</f>
        <v>0.96250000000145519</v>
      </c>
      <c r="E258" s="76">
        <f>Tableau1[[#This Row],[Date]]-$A$5</f>
        <v>478.61041666666279</v>
      </c>
      <c r="F258" s="77">
        <f>Tableau1[[#This Row],[Date]]-$A$5</f>
        <v>478.61041666666279</v>
      </c>
      <c r="G258" s="77">
        <f>Tableau1[[#This Row],[Diff jour_x000D_
Cumul]]-F$6</f>
        <v>440.5270833333343</v>
      </c>
      <c r="H258" s="77">
        <f>Tableau1[[#This Row],[Diff jour_x000D_
Cumul]]-F$59</f>
        <v>418.00763888888469</v>
      </c>
      <c r="I258" s="78">
        <v>192637</v>
      </c>
      <c r="J258" s="79">
        <f>IF(ISERROR(Tableau1[[#This Row],[Index HP
kWh]]-I257),"",Tableau1[[#This Row],[Index HP
kWh]]-I257)</f>
        <v>26</v>
      </c>
      <c r="K258" s="77">
        <f>IF(ISERROR(Tableau1[[#This Row],[Différence HP
Instantané]]/(Tableau1[[#This Row],[Diff jour
Instantané]]*24)),"",Tableau1[[#This Row],[Différence HP
Instantané]]/(Tableau1[[#This Row],[Diff jour
Instantané]]*24))</f>
        <v>1.1255411255394239</v>
      </c>
      <c r="L258" s="77">
        <f>Tableau1[[#This Row],[Différence HP
Instantané]]/Tableau1[[#This Row],[Diff jour
Instantané]]</f>
        <v>27.012987012946173</v>
      </c>
      <c r="M258" s="77">
        <f>Tableau1[[#This Row],[Conso HP / jour
Instantané]]*365</f>
        <v>9859.7402597253531</v>
      </c>
      <c r="N258" s="79">
        <f>Tableau1[[#This Row],[Index HP
kWh]]-$I$5</f>
        <v>12878</v>
      </c>
      <c r="O258" s="80">
        <f>Tableau1[[#This Row],[Différence HP
Cumul]]/(Tableau1[[#This Row],[Diff jour_x000D_
Cumul]]*24)</f>
        <v>1.1211275698310739</v>
      </c>
      <c r="P258" s="80">
        <f>Tableau1[[#This Row],[Différence HP
Cumul]]/Tableau1[[#This Row],[Diff jour_x000D_
Cumul]]</f>
        <v>26.907061675945773</v>
      </c>
      <c r="Q258" s="80">
        <f>Tableau1[[#This Row],[Conso HP / jour
Cumul]]*365</f>
        <v>9821.0775117202065</v>
      </c>
      <c r="R258" s="78">
        <v>124991</v>
      </c>
      <c r="S258" s="79">
        <f>Tableau1[[#This Row],[Index HC_x000D_
kWh]]-R257</f>
        <v>19</v>
      </c>
      <c r="T258" s="81">
        <f>Tableau1[[#This Row],[Différence_x000D_ HC
Instantané]]/(Tableau1[[#This Row],[Diff jour
Instantané]]*24)</f>
        <v>0.82251082250957896</v>
      </c>
      <c r="U258" s="81">
        <f>Tableau1[[#This Row],[Différence_x000D_ HC
Instantané]]/Tableau1[[#This Row],[Diff jour
Instantané]]</f>
        <v>19.740259740229895</v>
      </c>
      <c r="V258" s="81">
        <f>Tableau1[[#This Row],[Conso HC / jour_x000D_
Instantané]]*365</f>
        <v>7205.1948051839117</v>
      </c>
      <c r="W258" s="79">
        <f>Tableau1[[#This Row],[Index HC_x000D_
kWh]]-$R$5</f>
        <v>5559</v>
      </c>
      <c r="X258" s="82">
        <f>Tableau1[[#This Row],[Différence HC
Cumul]]/(Tableau1[[#This Row],[Diff jour_x000D_
Cumul]]*24)</f>
        <v>0.48395311078513276</v>
      </c>
      <c r="Y258" s="82">
        <f>Tableau1[[#This Row],[Différence HC
Cumul]]/Tableau1[[#This Row],[Diff jour_x000D_
Cumul]]</f>
        <v>11.614874658843187</v>
      </c>
      <c r="Z258" s="82">
        <f>Tableau1[[#This Row],[Conso HC / jour_x000D_
Cumul]]*365</f>
        <v>4239.4292504777632</v>
      </c>
      <c r="AA258" s="79">
        <f>Tableau1[[#This Row],[Différence HP
Instantané]]+Tableau1[[#This Row],[Différence_x000D_ HC
Instantané]]</f>
        <v>45</v>
      </c>
      <c r="AB258" s="80">
        <f>Tableau1[[#This Row],[Conso HP + HC
Instantané]]/(Tableau1[[#This Row],[Diff jour
Instantané]]*24)</f>
        <v>1.9480519480490028</v>
      </c>
      <c r="AC258" s="80">
        <f>IF(ISERROR(Tableau1[[#This Row],[Date]]-A257),"",Tableau1[[#This Row],[Conso HP + HC
Instantané]]/Tableau1[[#This Row],[Diff jour
Instantané]])</f>
        <v>46.753246753176064</v>
      </c>
      <c r="AD258" s="80">
        <f>Tableau1[[#This Row],[Conso HP + HC / jour_x000D_
Instantané]]*365</f>
        <v>17064.935064909263</v>
      </c>
      <c r="AE258" s="79">
        <f>Tableau1[[#This Row],[Différence HP
Cumul]]+Tableau1[[#This Row],[Différence HC
Cumul]]</f>
        <v>18437</v>
      </c>
      <c r="AF258" s="77">
        <f>(Tableau1[[#This Row],[Conso HP + HC
Cumul]]-AE$6)/Tableau1[[#This Row],[Diff jour_x000D_
Cumul
depuis le 24/01]]</f>
        <v>36.015946806145969</v>
      </c>
      <c r="AG258" s="77">
        <f>(Tableau1[[#This Row],[Conso HP + HC
Cumul]]-AE$59)/Tableau1[[#This Row],[Diff jour_x000D_
Cumul
depuis
précédente facture
16/02/2021]]</f>
        <v>34.114209103701597</v>
      </c>
      <c r="AH258" s="80">
        <f>Tableau1[[#This Row],[Conso HP + HC
Cumul]]/(Tableau1[[#This Row],[Diff jour_x000D_
Cumul]]*24)</f>
        <v>1.6050806806162066</v>
      </c>
      <c r="AI258" s="80">
        <f>Tableau1[[#This Row],[Conso HP + HC
Cumul]]/Tableau1[[#This Row],[Diff jour_x000D_
Cumul]]</f>
        <v>38.521936334788961</v>
      </c>
      <c r="AJ258" s="80">
        <f>Tableau1[[#This Row],[Conso HP + HC / jour_x000D_
Cumul]]*365</f>
        <v>14060.506762197971</v>
      </c>
      <c r="AK258" s="83">
        <f>(Tableau1[[#This Row],[Différence HP
Cumul]]*0.1799)+(Tableau1[[#This Row],[Différence HC
Cumul]]*0.1346)</f>
        <v>3064.9935999999998</v>
      </c>
      <c r="AL258" s="83">
        <f>Tableau1[[#This Row],[Montant
Tarif HP/HC]]/Tableau1[[#This Row],[Diff jour_x000D_
Cumul]]</f>
        <v>6.4039425245829369</v>
      </c>
      <c r="AM258" s="83">
        <f>(Tableau1[[#This Row],[Montant
Tarif HP/HC]]-AK$6)/Tableau1[[#This Row],[Diff jour_x000D_
Cumul
depuis le 24/01]]</f>
        <v>5.9941104642639127</v>
      </c>
      <c r="AN258" s="83">
        <f>(Tableau1[[#This Row],[Montant
Tarif HP/HC]]-AK$59)/Tableau1[[#This Row],[Diff jour_x000D_
Cumul
depuis
précédente facture
16/02/2021]]</f>
        <v>5.6770019952453588</v>
      </c>
      <c r="AO258" s="83">
        <f>Tableau1[[#This Row],[Conso HP + HC
Cumul]]*0.1599</f>
        <v>2948.0762999999997</v>
      </c>
      <c r="AP258" s="83">
        <f>Tableau1[[#This Row],[Montant
Tarif normal]]/Tableau1[[#This Row],[Diff jour_x000D_
Cumul]]</f>
        <v>6.1596576199327542</v>
      </c>
      <c r="AQ258" s="83">
        <f>(Tableau1[[#This Row],[Conso HP / an
Cumul]]*0.1799)+(Tableau1[[#This Row],[Conso HC / an_x000D_
Cumul]]*0.1346)</f>
        <v>2337.4390214727719</v>
      </c>
      <c r="AR258" s="83">
        <f>Tableau1[[#This Row],[Conso HP + HC / an_x000D_
Cumul]]*0.1599</f>
        <v>2248.2750312754551</v>
      </c>
      <c r="AS258" s="79">
        <f>MONTH(Tableau1[[#This Row],[Date]])</f>
        <v>4</v>
      </c>
      <c r="AT258" s="79">
        <f>YEAR(Tableau1[[#This Row],[Date]])</f>
        <v>2022</v>
      </c>
    </row>
    <row r="259" spans="1:46" x14ac:dyDescent="0.2">
      <c r="A259" s="74">
        <v>44662.323611111111</v>
      </c>
      <c r="B259" s="75"/>
      <c r="C259" s="76">
        <f>IF(ISERROR(Tableau1[[#This Row],[Date]]-A258),"",Tableau1[[#This Row],[Date]]-A258)</f>
        <v>1.0048611111124046</v>
      </c>
      <c r="D259" s="77">
        <f>IF(ISERROR(Tableau1[[#This Row],[Date]]-A258),"",Tableau1[[#This Row],[Date]]-A258)</f>
        <v>1.0048611111124046</v>
      </c>
      <c r="E259" s="76">
        <f>Tableau1[[#This Row],[Date]]-$A$5</f>
        <v>479.61527777777519</v>
      </c>
      <c r="F259" s="77">
        <f>Tableau1[[#This Row],[Date]]-$A$5</f>
        <v>479.61527777777519</v>
      </c>
      <c r="G259" s="77">
        <f>Tableau1[[#This Row],[Diff jour_x000D_
Cumul]]-F$6</f>
        <v>441.53194444444671</v>
      </c>
      <c r="H259" s="77">
        <f>Tableau1[[#This Row],[Diff jour_x000D_
Cumul]]-F$59</f>
        <v>419.01249999999709</v>
      </c>
      <c r="I259" s="78">
        <v>192658</v>
      </c>
      <c r="J259" s="79">
        <f>IF(ISERROR(Tableau1[[#This Row],[Index HP
kWh]]-I258),"",Tableau1[[#This Row],[Index HP
kWh]]-I258)</f>
        <v>21</v>
      </c>
      <c r="K259" s="77">
        <f>IF(ISERROR(Tableau1[[#This Row],[Différence HP
Instantané]]/(Tableau1[[#This Row],[Diff jour
Instantané]]*24)),"",Tableau1[[#This Row],[Différence HP
Instantané]]/(Tableau1[[#This Row],[Diff jour
Instantané]]*24))</f>
        <v>0.87076710435271465</v>
      </c>
      <c r="L259" s="77">
        <f>Tableau1[[#This Row],[Différence HP
Instantané]]/Tableau1[[#This Row],[Diff jour
Instantané]]</f>
        <v>20.898410504465151</v>
      </c>
      <c r="M259" s="77">
        <f>Tableau1[[#This Row],[Conso HP / jour
Instantané]]*365</f>
        <v>7627.9198341297797</v>
      </c>
      <c r="N259" s="79">
        <f>Tableau1[[#This Row],[Index HP
kWh]]-$I$5</f>
        <v>12899</v>
      </c>
      <c r="O259" s="80">
        <f>Tableau1[[#This Row],[Différence HP
Cumul]]/(Tableau1[[#This Row],[Diff jour_x000D_
Cumul]]*24)</f>
        <v>1.1206030296273404</v>
      </c>
      <c r="P259" s="80">
        <f>Tableau1[[#This Row],[Différence HP
Cumul]]/Tableau1[[#This Row],[Diff jour_x000D_
Cumul]]</f>
        <v>26.894472711056171</v>
      </c>
      <c r="Q259" s="80">
        <f>Tableau1[[#This Row],[Conso HP / jour
Cumul]]*365</f>
        <v>9816.4825395355019</v>
      </c>
      <c r="R259" s="78">
        <v>125005</v>
      </c>
      <c r="S259" s="79">
        <f>Tableau1[[#This Row],[Index HC_x000D_
kWh]]-R258</f>
        <v>14</v>
      </c>
      <c r="T259" s="81">
        <f>Tableau1[[#This Row],[Différence_x000D_ HC
Instantané]]/(Tableau1[[#This Row],[Diff jour
Instantané]]*24)</f>
        <v>0.5805114029018098</v>
      </c>
      <c r="U259" s="81">
        <f>Tableau1[[#This Row],[Différence_x000D_ HC
Instantané]]/Tableau1[[#This Row],[Diff jour
Instantané]]</f>
        <v>13.932273669643434</v>
      </c>
      <c r="V259" s="81">
        <f>Tableau1[[#This Row],[Conso HC / jour_x000D_
Instantané]]*365</f>
        <v>5085.2798894198531</v>
      </c>
      <c r="W259" s="79">
        <f>Tableau1[[#This Row],[Index HC_x000D_
kWh]]-$R$5</f>
        <v>5573</v>
      </c>
      <c r="X259" s="82">
        <f>Tableau1[[#This Row],[Différence HC
Cumul]]/(Tableau1[[#This Row],[Diff jour_x000D_
Cumul]]*24)</f>
        <v>0.48415541391682831</v>
      </c>
      <c r="Y259" s="82">
        <f>Tableau1[[#This Row],[Différence HC
Cumul]]/Tableau1[[#This Row],[Diff jour_x000D_
Cumul]]</f>
        <v>11.61972993400388</v>
      </c>
      <c r="Z259" s="82">
        <f>Tableau1[[#This Row],[Conso HC / jour_x000D_
Cumul]]*365</f>
        <v>4241.2014259114158</v>
      </c>
      <c r="AA259" s="79">
        <f>Tableau1[[#This Row],[Différence HP
Instantané]]+Tableau1[[#This Row],[Différence_x000D_ HC
Instantané]]</f>
        <v>35</v>
      </c>
      <c r="AB259" s="80">
        <f>Tableau1[[#This Row],[Conso HP + HC
Instantané]]/(Tableau1[[#This Row],[Diff jour
Instantané]]*24)</f>
        <v>1.4512785072545245</v>
      </c>
      <c r="AC259" s="80">
        <f>IF(ISERROR(Tableau1[[#This Row],[Date]]-A258),"",Tableau1[[#This Row],[Conso HP + HC
Instantané]]/Tableau1[[#This Row],[Diff jour
Instantané]])</f>
        <v>34.830684174108583</v>
      </c>
      <c r="AD259" s="80">
        <f>Tableau1[[#This Row],[Conso HP + HC / jour_x000D_
Instantané]]*365</f>
        <v>12713.199723549633</v>
      </c>
      <c r="AE259" s="79">
        <f>Tableau1[[#This Row],[Différence HP
Cumul]]+Tableau1[[#This Row],[Différence HC
Cumul]]</f>
        <v>18472</v>
      </c>
      <c r="AF259" s="77">
        <f>(Tableau1[[#This Row],[Conso HP + HC
Cumul]]-AE$6)/Tableau1[[#This Row],[Diff jour_x000D_
Cumul
depuis le 24/01]]</f>
        <v>36.013249324479297</v>
      </c>
      <c r="AG259" s="77">
        <f>(Tableau1[[#This Row],[Conso HP + HC
Cumul]]-AE$59)/Tableau1[[#This Row],[Diff jour_x000D_
Cumul
depuis
précédente facture
16/02/2021]]</f>
        <v>34.115927329137193</v>
      </c>
      <c r="AH259" s="80">
        <f>Tableau1[[#This Row],[Conso HP + HC
Cumul]]/(Tableau1[[#This Row],[Diff jour_x000D_
Cumul]]*24)</f>
        <v>1.6047584435441689</v>
      </c>
      <c r="AI259" s="80">
        <f>Tableau1[[#This Row],[Conso HP + HC
Cumul]]/Tableau1[[#This Row],[Diff jour_x000D_
Cumul]]</f>
        <v>38.514202645060053</v>
      </c>
      <c r="AJ259" s="80">
        <f>Tableau1[[#This Row],[Conso HP + HC / jour_x000D_
Cumul]]*365</f>
        <v>14057.683965446919</v>
      </c>
      <c r="AK259" s="83">
        <f>(Tableau1[[#This Row],[Différence HP
Cumul]]*0.1799)+(Tableau1[[#This Row],[Différence HC
Cumul]]*0.1346)</f>
        <v>3070.6558999999997</v>
      </c>
      <c r="AL259" s="83">
        <f>Tableau1[[#This Row],[Montant
Tarif HP/HC]]/Tableau1[[#This Row],[Diff jour_x000D_
Cumul]]</f>
        <v>6.402331289835927</v>
      </c>
      <c r="AM259" s="83">
        <f>(Tableau1[[#This Row],[Montant
Tarif HP/HC]]-AK$6)/Tableau1[[#This Row],[Diff jour_x000D_
Cumul
depuis le 24/01]]</f>
        <v>5.9932929730137499</v>
      </c>
      <c r="AN259" s="83">
        <f>(Tableau1[[#This Row],[Montant
Tarif HP/HC]]-AK$59)/Tableau1[[#This Row],[Diff jour_x000D_
Cumul
depuis
précédente facture
16/02/2021]]</f>
        <v>5.6769010471048382</v>
      </c>
      <c r="AO259" s="83">
        <f>Tableau1[[#This Row],[Conso HP + HC
Cumul]]*0.1599</f>
        <v>2953.6727999999998</v>
      </c>
      <c r="AP259" s="83">
        <f>Tableau1[[#This Row],[Montant
Tarif normal]]/Tableau1[[#This Row],[Diff jour_x000D_
Cumul]]</f>
        <v>6.1584210029451016</v>
      </c>
      <c r="AQ259" s="83">
        <f>(Tableau1[[#This Row],[Conso HP / an
Cumul]]*0.1799)+(Tableau1[[#This Row],[Conso HC / an_x000D_
Cumul]]*0.1346)</f>
        <v>2336.8509207901134</v>
      </c>
      <c r="AR259" s="83">
        <f>Tableau1[[#This Row],[Conso HP + HC / an_x000D_
Cumul]]*0.1599</f>
        <v>2247.8236660749621</v>
      </c>
      <c r="AS259" s="79">
        <f>MONTH(Tableau1[[#This Row],[Date]])</f>
        <v>4</v>
      </c>
      <c r="AT259" s="79">
        <f>YEAR(Tableau1[[#This Row],[Date]])</f>
        <v>2022</v>
      </c>
    </row>
    <row r="260" spans="1:46" x14ac:dyDescent="0.2">
      <c r="A260" s="74">
        <v>44663.318055555559</v>
      </c>
      <c r="B260" s="75"/>
      <c r="C260" s="76">
        <f>IF(ISERROR(Tableau1[[#This Row],[Date]]-A259),"",Tableau1[[#This Row],[Date]]-A259)</f>
        <v>0.99444444444816327</v>
      </c>
      <c r="D260" s="77">
        <f>IF(ISERROR(Tableau1[[#This Row],[Date]]-A259),"",Tableau1[[#This Row],[Date]]-A259)</f>
        <v>0.99444444444816327</v>
      </c>
      <c r="E260" s="76">
        <f>Tableau1[[#This Row],[Date]]-$A$5</f>
        <v>480.60972222222335</v>
      </c>
      <c r="F260" s="77">
        <f>Tableau1[[#This Row],[Date]]-$A$5</f>
        <v>480.60972222222335</v>
      </c>
      <c r="G260" s="77">
        <f>Tableau1[[#This Row],[Diff jour_x000D_
Cumul]]-F$6</f>
        <v>442.52638888889487</v>
      </c>
      <c r="H260" s="77">
        <f>Tableau1[[#This Row],[Diff jour_x000D_
Cumul]]-F$59</f>
        <v>420.00694444444525</v>
      </c>
      <c r="I260" s="78">
        <v>192669</v>
      </c>
      <c r="J260" s="79">
        <f>IF(ISERROR(Tableau1[[#This Row],[Index HP
kWh]]-I259),"",Tableau1[[#This Row],[Index HP
kWh]]-I259)</f>
        <v>11</v>
      </c>
      <c r="K260" s="77">
        <f>IF(ISERROR(Tableau1[[#This Row],[Différence HP
Instantané]]/(Tableau1[[#This Row],[Diff jour
Instantané]]*24)),"",Tableau1[[#This Row],[Différence HP
Instantané]]/(Tableau1[[#This Row],[Diff jour
Instantané]]*24))</f>
        <v>0.46089385474687977</v>
      </c>
      <c r="L260" s="77">
        <f>Tableau1[[#This Row],[Différence HP
Instantané]]/Tableau1[[#This Row],[Diff jour
Instantané]]</f>
        <v>11.061452513925115</v>
      </c>
      <c r="M260" s="77">
        <f>Tableau1[[#This Row],[Conso HP / jour
Instantané]]*365</f>
        <v>4037.4301675826669</v>
      </c>
      <c r="N260" s="79">
        <f>Tableau1[[#This Row],[Index HP
kWh]]-$I$5</f>
        <v>12910</v>
      </c>
      <c r="O260" s="80">
        <f>Tableau1[[#This Row],[Différence HP
Cumul]]/(Tableau1[[#This Row],[Diff jour_x000D_
Cumul]]*24)</f>
        <v>1.1192380049647557</v>
      </c>
      <c r="P260" s="80">
        <f>Tableau1[[#This Row],[Différence HP
Cumul]]/Tableau1[[#This Row],[Diff jour_x000D_
Cumul]]</f>
        <v>26.861712119154134</v>
      </c>
      <c r="Q260" s="80">
        <f>Tableau1[[#This Row],[Conso HP / jour
Cumul]]*365</f>
        <v>9804.524923491259</v>
      </c>
      <c r="R260" s="78">
        <v>125009</v>
      </c>
      <c r="S260" s="79">
        <f>Tableau1[[#This Row],[Index HC_x000D_
kWh]]-R259</f>
        <v>4</v>
      </c>
      <c r="T260" s="81">
        <f>Tableau1[[#This Row],[Différence_x000D_ HC
Instantané]]/(Tableau1[[#This Row],[Diff jour
Instantané]]*24)</f>
        <v>0.16759776536250173</v>
      </c>
      <c r="U260" s="81">
        <f>Tableau1[[#This Row],[Différence_x000D_ HC
Instantané]]/Tableau1[[#This Row],[Diff jour
Instantané]]</f>
        <v>4.0223463687000418</v>
      </c>
      <c r="V260" s="81">
        <f>Tableau1[[#This Row],[Conso HC / jour_x000D_
Instantané]]*365</f>
        <v>1468.1564245755153</v>
      </c>
      <c r="W260" s="79">
        <f>Tableau1[[#This Row],[Index HC_x000D_
kWh]]-$R$5</f>
        <v>5577</v>
      </c>
      <c r="X260" s="82">
        <f>Tableau1[[#This Row],[Différence HC
Cumul]]/(Tableau1[[#This Row],[Diff jour_x000D_
Cumul]]*24)</f>
        <v>0.48350041469314037</v>
      </c>
      <c r="Y260" s="82">
        <f>Tableau1[[#This Row],[Différence HC
Cumul]]/Tableau1[[#This Row],[Diff jour_x000D_
Cumul]]</f>
        <v>11.604009952635369</v>
      </c>
      <c r="Z260" s="82">
        <f>Tableau1[[#This Row],[Conso HC / jour_x000D_
Cumul]]*365</f>
        <v>4235.4636327119097</v>
      </c>
      <c r="AA260" s="79">
        <f>Tableau1[[#This Row],[Différence HP
Instantané]]+Tableau1[[#This Row],[Différence_x000D_ HC
Instantané]]</f>
        <v>15</v>
      </c>
      <c r="AB260" s="80">
        <f>Tableau1[[#This Row],[Conso HP + HC
Instantané]]/(Tableau1[[#This Row],[Diff jour
Instantané]]*24)</f>
        <v>0.62849162010938153</v>
      </c>
      <c r="AC260" s="80">
        <f>IF(ISERROR(Tableau1[[#This Row],[Date]]-A259),"",Tableau1[[#This Row],[Conso HP + HC
Instantané]]/Tableau1[[#This Row],[Diff jour
Instantané]])</f>
        <v>15.083798882625157</v>
      </c>
      <c r="AD260" s="80">
        <f>Tableau1[[#This Row],[Conso HP + HC / jour_x000D_
Instantané]]*365</f>
        <v>5505.5865921581826</v>
      </c>
      <c r="AE260" s="79">
        <f>Tableau1[[#This Row],[Différence HP
Cumul]]+Tableau1[[#This Row],[Différence HC
Cumul]]</f>
        <v>18487</v>
      </c>
      <c r="AF260" s="77">
        <f>(Tableau1[[#This Row],[Conso HP + HC
Cumul]]-AE$6)/Tableau1[[#This Row],[Diff jour_x000D_
Cumul
depuis le 24/01]]</f>
        <v>35.966216703962552</v>
      </c>
      <c r="AG260" s="77">
        <f>(Tableau1[[#This Row],[Conso HP + HC
Cumul]]-AE$59)/Tableau1[[#This Row],[Diff jour_x000D_
Cumul
depuis
précédente facture
16/02/2021]]</f>
        <v>34.070865230402873</v>
      </c>
      <c r="AH260" s="80">
        <f>Tableau1[[#This Row],[Conso HP + HC
Cumul]]/(Tableau1[[#This Row],[Diff jour_x000D_
Cumul]]*24)</f>
        <v>1.602738419657896</v>
      </c>
      <c r="AI260" s="80">
        <f>Tableau1[[#This Row],[Conso HP + HC
Cumul]]/Tableau1[[#This Row],[Diff jour_x000D_
Cumul]]</f>
        <v>38.465722071789507</v>
      </c>
      <c r="AJ260" s="80">
        <f>Tableau1[[#This Row],[Conso HP + HC / jour_x000D_
Cumul]]*365</f>
        <v>14039.98855620317</v>
      </c>
      <c r="AK260" s="83">
        <f>(Tableau1[[#This Row],[Différence HP
Cumul]]*0.1799)+(Tableau1[[#This Row],[Différence HC
Cumul]]*0.1346)</f>
        <v>3073.1732000000002</v>
      </c>
      <c r="AL260" s="83">
        <f>Tableau1[[#This Row],[Montant
Tarif HP/HC]]/Tableau1[[#This Row],[Diff jour_x000D_
Cumul]]</f>
        <v>6.3943217498605502</v>
      </c>
      <c r="AM260" s="83">
        <f>(Tableau1[[#This Row],[Montant
Tarif HP/HC]]-AK$6)/Tableau1[[#This Row],[Diff jour_x000D_
Cumul
depuis le 24/01]]</f>
        <v>5.9855133309688826</v>
      </c>
      <c r="AN260" s="83">
        <f>(Tableau1[[#This Row],[Montant
Tarif HP/HC]]-AK$59)/Tableau1[[#This Row],[Diff jour_x000D_
Cumul
depuis
précédente facture
16/02/2021]]</f>
        <v>5.6694534018947991</v>
      </c>
      <c r="AO260" s="83">
        <f>Tableau1[[#This Row],[Conso HP + HC
Cumul]]*0.1599</f>
        <v>2956.0712999999996</v>
      </c>
      <c r="AP260" s="83">
        <f>Tableau1[[#This Row],[Montant
Tarif normal]]/Tableau1[[#This Row],[Diff jour_x000D_
Cumul]]</f>
        <v>6.150668959279141</v>
      </c>
      <c r="AQ260" s="83">
        <f>(Tableau1[[#This Row],[Conso HP / an
Cumul]]*0.1799)+(Tableau1[[#This Row],[Conso HC / an_x000D_
Cumul]]*0.1346)</f>
        <v>2333.9274386991005</v>
      </c>
      <c r="AR260" s="83">
        <f>Tableau1[[#This Row],[Conso HP + HC / an_x000D_
Cumul]]*0.1599</f>
        <v>2244.9941701368866</v>
      </c>
      <c r="AS260" s="79">
        <f>MONTH(Tableau1[[#This Row],[Date]])</f>
        <v>4</v>
      </c>
      <c r="AT260" s="79">
        <f>YEAR(Tableau1[[#This Row],[Date]])</f>
        <v>2022</v>
      </c>
    </row>
    <row r="261" spans="1:46" x14ac:dyDescent="0.2">
      <c r="A261" s="74">
        <v>44664.316666666666</v>
      </c>
      <c r="B261" s="75"/>
      <c r="C261" s="76">
        <f>IF(ISERROR(Tableau1[[#This Row],[Date]]-A260),"",Tableau1[[#This Row],[Date]]-A260)</f>
        <v>0.99861111110658385</v>
      </c>
      <c r="D261" s="77">
        <f>IF(ISERROR(Tableau1[[#This Row],[Date]]-A260),"",Tableau1[[#This Row],[Date]]-A260)</f>
        <v>0.99861111110658385</v>
      </c>
      <c r="E261" s="76">
        <f>Tableau1[[#This Row],[Date]]-$A$5</f>
        <v>481.60833333332994</v>
      </c>
      <c r="F261" s="77">
        <f>Tableau1[[#This Row],[Date]]-$A$5</f>
        <v>481.60833333332994</v>
      </c>
      <c r="G261" s="77">
        <f>Tableau1[[#This Row],[Diff jour_x000D_
Cumul]]-F$6</f>
        <v>443.52500000000146</v>
      </c>
      <c r="H261" s="77">
        <f>Tableau1[[#This Row],[Diff jour_x000D_
Cumul]]-F$59</f>
        <v>421.00555555555184</v>
      </c>
      <c r="I261" s="78">
        <v>192681</v>
      </c>
      <c r="J261" s="79">
        <f>IF(ISERROR(Tableau1[[#This Row],[Index HP
kWh]]-I260),"",Tableau1[[#This Row],[Index HP
kWh]]-I260)</f>
        <v>12</v>
      </c>
      <c r="K261" s="77">
        <f>IF(ISERROR(Tableau1[[#This Row],[Différence HP
Instantané]]/(Tableau1[[#This Row],[Diff jour
Instantané]]*24)),"",Tableau1[[#This Row],[Différence HP
Instantané]]/(Tableau1[[#This Row],[Diff jour
Instantané]]*24))</f>
        <v>0.50069541029434228</v>
      </c>
      <c r="L261" s="77">
        <f>Tableau1[[#This Row],[Différence HP
Instantané]]/Tableau1[[#This Row],[Diff jour
Instantané]]</f>
        <v>12.016689847064214</v>
      </c>
      <c r="M261" s="77">
        <f>Tableau1[[#This Row],[Conso HP / jour
Instantané]]*365</f>
        <v>4386.0917941784382</v>
      </c>
      <c r="N261" s="79">
        <f>Tableau1[[#This Row],[Index HP
kWh]]-$I$5</f>
        <v>12922</v>
      </c>
      <c r="O261" s="80">
        <f>Tableau1[[#This Row],[Différence HP
Cumul]]/(Tableau1[[#This Row],[Diff jour_x000D_
Cumul]]*24)</f>
        <v>1.1179554617341279</v>
      </c>
      <c r="P261" s="80">
        <f>Tableau1[[#This Row],[Différence HP
Cumul]]/Tableau1[[#This Row],[Diff jour_x000D_
Cumul]]</f>
        <v>26.83093108161907</v>
      </c>
      <c r="Q261" s="80">
        <f>Tableau1[[#This Row],[Conso HP / jour
Cumul]]*365</f>
        <v>9793.2898447909611</v>
      </c>
      <c r="R261" s="78">
        <v>125023</v>
      </c>
      <c r="S261" s="79">
        <f>Tableau1[[#This Row],[Index HC_x000D_
kWh]]-R260</f>
        <v>14</v>
      </c>
      <c r="T261" s="81">
        <f>Tableau1[[#This Row],[Différence_x000D_ HC
Instantané]]/(Tableau1[[#This Row],[Diff jour
Instantané]]*24)</f>
        <v>0.58414464534339927</v>
      </c>
      <c r="U261" s="81">
        <f>Tableau1[[#This Row],[Différence_x000D_ HC
Instantané]]/Tableau1[[#This Row],[Diff jour
Instantané]]</f>
        <v>14.019471488241583</v>
      </c>
      <c r="V261" s="81">
        <f>Tableau1[[#This Row],[Conso HC / jour_x000D_
Instantané]]*365</f>
        <v>5117.1070932081775</v>
      </c>
      <c r="W261" s="79">
        <f>Tableau1[[#This Row],[Index HC_x000D_
kWh]]-$R$5</f>
        <v>5591</v>
      </c>
      <c r="X261" s="82">
        <f>Tableau1[[#This Row],[Différence HC
Cumul]]/(Tableau1[[#This Row],[Diff jour_x000D_
Cumul]]*24)</f>
        <v>0.48370909971796233</v>
      </c>
      <c r="Y261" s="82">
        <f>Tableau1[[#This Row],[Différence HC
Cumul]]/Tableau1[[#This Row],[Diff jour_x000D_
Cumul]]</f>
        <v>11.609018393231096</v>
      </c>
      <c r="Z261" s="82">
        <f>Tableau1[[#This Row],[Conso HC / jour_x000D_
Cumul]]*365</f>
        <v>4237.2917135293501</v>
      </c>
      <c r="AA261" s="79">
        <f>Tableau1[[#This Row],[Différence HP
Instantané]]+Tableau1[[#This Row],[Différence_x000D_ HC
Instantané]]</f>
        <v>26</v>
      </c>
      <c r="AB261" s="80">
        <f>Tableau1[[#This Row],[Conso HP + HC
Instantané]]/(Tableau1[[#This Row],[Diff jour
Instantané]]*24)</f>
        <v>1.0848400556377416</v>
      </c>
      <c r="AC261" s="80">
        <f>IF(ISERROR(Tableau1[[#This Row],[Date]]-A260),"",Tableau1[[#This Row],[Conso HP + HC
Instantané]]/Tableau1[[#This Row],[Diff jour
Instantané]])</f>
        <v>26.036161335305799</v>
      </c>
      <c r="AD261" s="80">
        <f>Tableau1[[#This Row],[Conso HP + HC / jour_x000D_
Instantané]]*365</f>
        <v>9503.1988873866158</v>
      </c>
      <c r="AE261" s="79">
        <f>Tableau1[[#This Row],[Différence HP
Cumul]]+Tableau1[[#This Row],[Différence HC
Cumul]]</f>
        <v>18513</v>
      </c>
      <c r="AF261" s="77">
        <f>(Tableau1[[#This Row],[Conso HP + HC
Cumul]]-AE$6)/Tableau1[[#This Row],[Diff jour_x000D_
Cumul
depuis le 24/01]]</f>
        <v>35.943858858012398</v>
      </c>
      <c r="AG261" s="77">
        <f>(Tableau1[[#This Row],[Conso HP + HC
Cumul]]-AE$59)/Tableau1[[#This Row],[Diff jour_x000D_
Cumul
depuis
précédente facture
16/02/2021]]</f>
        <v>34.051807181219864</v>
      </c>
      <c r="AH261" s="80">
        <f>Tableau1[[#This Row],[Conso HP + HC
Cumul]]/(Tableau1[[#This Row],[Diff jour_x000D_
Cumul]]*24)</f>
        <v>1.6016645614520904</v>
      </c>
      <c r="AI261" s="80">
        <f>Tableau1[[#This Row],[Conso HP + HC
Cumul]]/Tableau1[[#This Row],[Diff jour_x000D_
Cumul]]</f>
        <v>38.439949474850167</v>
      </c>
      <c r="AJ261" s="80">
        <f>Tableau1[[#This Row],[Conso HP + HC / jour_x000D_
Cumul]]*365</f>
        <v>14030.581558320311</v>
      </c>
      <c r="AK261" s="83">
        <f>(Tableau1[[#This Row],[Différence HP
Cumul]]*0.1799)+(Tableau1[[#This Row],[Différence HC
Cumul]]*0.1346)</f>
        <v>3077.2164000000002</v>
      </c>
      <c r="AL261" s="83">
        <f>Tableau1[[#This Row],[Montant
Tarif HP/HC]]/Tableau1[[#This Row],[Diff jour_x000D_
Cumul]]</f>
        <v>6.3894583773121765</v>
      </c>
      <c r="AM261" s="83">
        <f>(Tableau1[[#This Row],[Montant
Tarif HP/HC]]-AK$6)/Tableau1[[#This Row],[Diff jour_x000D_
Cumul
depuis le 24/01]]</f>
        <v>5.981152809875411</v>
      </c>
      <c r="AN261" s="83">
        <f>(Tableau1[[#This Row],[Montant
Tarif HP/HC]]-AK$59)/Tableau1[[#This Row],[Diff jour_x000D_
Cumul
depuis
précédente facture
16/02/2021]]</f>
        <v>5.6656093215978123</v>
      </c>
      <c r="AO261" s="83">
        <f>Tableau1[[#This Row],[Conso HP + HC
Cumul]]*0.1599</f>
        <v>2960.2286999999997</v>
      </c>
      <c r="AP261" s="83">
        <f>Tableau1[[#This Row],[Montant
Tarif normal]]/Tableau1[[#This Row],[Diff jour_x000D_
Cumul]]</f>
        <v>6.1465479210285405</v>
      </c>
      <c r="AQ261" s="83">
        <f>(Tableau1[[#This Row],[Conso HP / an
Cumul]]*0.1799)+(Tableau1[[#This Row],[Conso HC / an_x000D_
Cumul]]*0.1346)</f>
        <v>2332.1523077189445</v>
      </c>
      <c r="AR261" s="83">
        <f>Tableau1[[#This Row],[Conso HP + HC / an_x000D_
Cumul]]*0.1599</f>
        <v>2243.4899911754173</v>
      </c>
      <c r="AS261" s="79">
        <f>MONTH(Tableau1[[#This Row],[Date]])</f>
        <v>4</v>
      </c>
      <c r="AT261" s="79">
        <f>YEAR(Tableau1[[#This Row],[Date]])</f>
        <v>2022</v>
      </c>
    </row>
    <row r="262" spans="1:46" x14ac:dyDescent="0.2">
      <c r="A262" s="74">
        <v>44665.342361111114</v>
      </c>
      <c r="B262" s="75"/>
      <c r="C262" s="76">
        <f>IF(ISERROR(Tableau1[[#This Row],[Date]]-A261),"",Tableau1[[#This Row],[Date]]-A261)</f>
        <v>1.0256944444481633</v>
      </c>
      <c r="D262" s="77">
        <f>IF(ISERROR(Tableau1[[#This Row],[Date]]-A261),"",Tableau1[[#This Row],[Date]]-A261)</f>
        <v>1.0256944444481633</v>
      </c>
      <c r="E262" s="76">
        <f>Tableau1[[#This Row],[Date]]-$A$5</f>
        <v>482.6340277777781</v>
      </c>
      <c r="F262" s="77">
        <f>Tableau1[[#This Row],[Date]]-$A$5</f>
        <v>482.6340277777781</v>
      </c>
      <c r="G262" s="77">
        <f>Tableau1[[#This Row],[Diff jour_x000D_
Cumul]]-F$6</f>
        <v>444.55069444444962</v>
      </c>
      <c r="H262" s="77">
        <f>Tableau1[[#This Row],[Diff jour_x000D_
Cumul]]-F$59</f>
        <v>422.03125</v>
      </c>
      <c r="I262" s="78">
        <v>192698</v>
      </c>
      <c r="J262" s="79">
        <f>IF(ISERROR(Tableau1[[#This Row],[Index HP
kWh]]-I261),"",Tableau1[[#This Row],[Index HP
kWh]]-I261)</f>
        <v>17</v>
      </c>
      <c r="K262" s="77">
        <f>IF(ISERROR(Tableau1[[#This Row],[Différence HP
Instantané]]/(Tableau1[[#This Row],[Diff jour
Instantané]]*24)),"",Tableau1[[#This Row],[Différence HP
Instantané]]/(Tableau1[[#This Row],[Diff jour
Instantané]]*24))</f>
        <v>0.69058903181875542</v>
      </c>
      <c r="L262" s="77">
        <f>Tableau1[[#This Row],[Différence HP
Instantané]]/Tableau1[[#This Row],[Diff jour
Instantané]]</f>
        <v>16.574136763650131</v>
      </c>
      <c r="M262" s="77">
        <f>Tableau1[[#This Row],[Conso HP / jour
Instantané]]*365</f>
        <v>6049.5599187322978</v>
      </c>
      <c r="N262" s="79">
        <f>Tableau1[[#This Row],[Index HP
kWh]]-$I$5</f>
        <v>12939</v>
      </c>
      <c r="O262" s="80">
        <f>Tableau1[[#This Row],[Différence HP
Cumul]]/(Tableau1[[#This Row],[Diff jour_x000D_
Cumul]]*24)</f>
        <v>1.1170472220583509</v>
      </c>
      <c r="P262" s="80">
        <f>Tableau1[[#This Row],[Différence HP
Cumul]]/Tableau1[[#This Row],[Diff jour_x000D_
Cumul]]</f>
        <v>26.809133329400421</v>
      </c>
      <c r="Q262" s="80">
        <f>Tableau1[[#This Row],[Conso HP / jour
Cumul]]*365</f>
        <v>9785.3336652311536</v>
      </c>
      <c r="R262" s="78">
        <v>125028</v>
      </c>
      <c r="S262" s="79">
        <f>Tableau1[[#This Row],[Index HC_x000D_
kWh]]-R261</f>
        <v>5</v>
      </c>
      <c r="T262" s="81">
        <f>Tableau1[[#This Row],[Différence_x000D_ HC
Instantané]]/(Tableau1[[#This Row],[Diff jour
Instantané]]*24)</f>
        <v>0.20311442112316339</v>
      </c>
      <c r="U262" s="81">
        <f>Tableau1[[#This Row],[Différence_x000D_ HC
Instantané]]/Tableau1[[#This Row],[Diff jour
Instantané]]</f>
        <v>4.8747461069559206</v>
      </c>
      <c r="V262" s="81">
        <f>Tableau1[[#This Row],[Conso HC / jour_x000D_
Instantané]]*365</f>
        <v>1779.282329038911</v>
      </c>
      <c r="W262" s="79">
        <f>Tableau1[[#This Row],[Index HC_x000D_
kWh]]-$R$5</f>
        <v>5596</v>
      </c>
      <c r="X262" s="82">
        <f>Tableau1[[#This Row],[Différence HC
Cumul]]/(Tableau1[[#This Row],[Diff jour_x000D_
Cumul]]*24)</f>
        <v>0.48311277955317505</v>
      </c>
      <c r="Y262" s="82">
        <f>Tableau1[[#This Row],[Différence HC
Cumul]]/Tableau1[[#This Row],[Diff jour_x000D_
Cumul]]</f>
        <v>11.594706709276201</v>
      </c>
      <c r="Z262" s="82">
        <f>Tableau1[[#This Row],[Conso HC / jour_x000D_
Cumul]]*365</f>
        <v>4232.0679488858132</v>
      </c>
      <c r="AA262" s="79">
        <f>Tableau1[[#This Row],[Différence HP
Instantané]]+Tableau1[[#This Row],[Différence_x000D_ HC
Instantané]]</f>
        <v>22</v>
      </c>
      <c r="AB262" s="80">
        <f>Tableau1[[#This Row],[Conso HP + HC
Instantané]]/(Tableau1[[#This Row],[Diff jour
Instantané]]*24)</f>
        <v>0.89370345294191889</v>
      </c>
      <c r="AC262" s="80">
        <f>IF(ISERROR(Tableau1[[#This Row],[Date]]-A261),"",Tableau1[[#This Row],[Conso HP + HC
Instantané]]/Tableau1[[#This Row],[Diff jour
Instantané]])</f>
        <v>21.448882870606052</v>
      </c>
      <c r="AD262" s="80">
        <f>Tableau1[[#This Row],[Conso HP + HC / jour_x000D_
Instantané]]*365</f>
        <v>7828.8422477712093</v>
      </c>
      <c r="AE262" s="79">
        <f>Tableau1[[#This Row],[Différence HP
Cumul]]+Tableau1[[#This Row],[Différence HC
Cumul]]</f>
        <v>18535</v>
      </c>
      <c r="AF262" s="77">
        <f>(Tableau1[[#This Row],[Conso HP + HC
Cumul]]-AE$6)/Tableau1[[#This Row],[Diff jour_x000D_
Cumul
depuis le 24/01]]</f>
        <v>35.910415166373873</v>
      </c>
      <c r="AG262" s="77">
        <f>(Tableau1[[#This Row],[Conso HP + HC
Cumul]]-AE$59)/Tableau1[[#This Row],[Diff jour_x000D_
Cumul
depuis
précédente facture
16/02/2021]]</f>
        <v>34.021177341725284</v>
      </c>
      <c r="AH262" s="80">
        <f>Tableau1[[#This Row],[Conso HP + HC
Cumul]]/(Tableau1[[#This Row],[Diff jour_x000D_
Cumul]]*24)</f>
        <v>1.6001600016115261</v>
      </c>
      <c r="AI262" s="80">
        <f>Tableau1[[#This Row],[Conso HP + HC
Cumul]]/Tableau1[[#This Row],[Diff jour_x000D_
Cumul]]</f>
        <v>38.40384003867662</v>
      </c>
      <c r="AJ262" s="80">
        <f>Tableau1[[#This Row],[Conso HP + HC / jour_x000D_
Cumul]]*365</f>
        <v>14017.401614116967</v>
      </c>
      <c r="AK262" s="83">
        <f>(Tableau1[[#This Row],[Différence HP
Cumul]]*0.1799)+(Tableau1[[#This Row],[Différence HC
Cumul]]*0.1346)</f>
        <v>3080.9476999999997</v>
      </c>
      <c r="AL262" s="83">
        <f>Tableau1[[#This Row],[Montant
Tarif HP/HC]]/Tableau1[[#This Row],[Diff jour_x000D_
Cumul]]</f>
        <v>6.3836106090277118</v>
      </c>
      <c r="AM262" s="83">
        <f>(Tableau1[[#This Row],[Montant
Tarif HP/HC]]-AK$6)/Tableau1[[#This Row],[Diff jour_x000D_
Cumul
depuis le 24/01]]</f>
        <v>5.9757461481863787</v>
      </c>
      <c r="AN262" s="83">
        <f>(Tableau1[[#This Row],[Montant
Tarif HP/HC]]-AK$59)/Tableau1[[#This Row],[Diff jour_x000D_
Cumul
depuis
précédente facture
16/02/2021]]</f>
        <v>5.6606810514624204</v>
      </c>
      <c r="AO262" s="83">
        <f>Tableau1[[#This Row],[Conso HP + HC
Cumul]]*0.1599</f>
        <v>2963.7464999999997</v>
      </c>
      <c r="AP262" s="83">
        <f>Tableau1[[#This Row],[Montant
Tarif normal]]/Tableau1[[#This Row],[Diff jour_x000D_
Cumul]]</f>
        <v>6.1407740221843916</v>
      </c>
      <c r="AQ262" s="83">
        <f>(Tableau1[[#This Row],[Conso HP / an
Cumul]]*0.1799)+(Tableau1[[#This Row],[Conso HC / an_x000D_
Cumul]]*0.1346)</f>
        <v>2330.017872295115</v>
      </c>
      <c r="AR262" s="83">
        <f>Tableau1[[#This Row],[Conso HP + HC / an_x000D_
Cumul]]*0.1599</f>
        <v>2241.3825180973026</v>
      </c>
      <c r="AS262" s="79">
        <f>MONTH(Tableau1[[#This Row],[Date]])</f>
        <v>4</v>
      </c>
      <c r="AT262" s="79">
        <f>YEAR(Tableau1[[#This Row],[Date]])</f>
        <v>2022</v>
      </c>
    </row>
    <row r="263" spans="1:46" x14ac:dyDescent="0.2">
      <c r="A263" s="74">
        <v>44666.384722222225</v>
      </c>
      <c r="B263" s="75"/>
      <c r="C263" s="76">
        <f>IF(ISERROR(Tableau1[[#This Row],[Date]]-A262),"",Tableau1[[#This Row],[Date]]-A262)</f>
        <v>1.0423611111109494</v>
      </c>
      <c r="D263" s="77">
        <f>IF(ISERROR(Tableau1[[#This Row],[Date]]-A262),"",Tableau1[[#This Row],[Date]]-A262)</f>
        <v>1.0423611111109494</v>
      </c>
      <c r="E263" s="76">
        <f>Tableau1[[#This Row],[Date]]-$A$5</f>
        <v>483.67638888888905</v>
      </c>
      <c r="F263" s="77">
        <f>Tableau1[[#This Row],[Date]]-$A$5</f>
        <v>483.67638888888905</v>
      </c>
      <c r="G263" s="77">
        <f>Tableau1[[#This Row],[Diff jour_x000D_
Cumul]]-F$6</f>
        <v>445.59305555556057</v>
      </c>
      <c r="H263" s="77">
        <f>Tableau1[[#This Row],[Diff jour_x000D_
Cumul]]-F$59</f>
        <v>423.07361111111095</v>
      </c>
      <c r="I263" s="78">
        <v>192708</v>
      </c>
      <c r="J263" s="79">
        <f>IF(ISERROR(Tableau1[[#This Row],[Index HP
kWh]]-I262),"",Tableau1[[#This Row],[Index HP
kWh]]-I262)</f>
        <v>10</v>
      </c>
      <c r="K263" s="77">
        <f>IF(ISERROR(Tableau1[[#This Row],[Différence HP
Instantané]]/(Tableau1[[#This Row],[Diff jour
Instantané]]*24)),"",Tableau1[[#This Row],[Différence HP
Instantané]]/(Tableau1[[#This Row],[Diff jour
Instantané]]*24))</f>
        <v>0.39973351099273358</v>
      </c>
      <c r="L263" s="77">
        <f>Tableau1[[#This Row],[Différence HP
Instantané]]/Tableau1[[#This Row],[Diff jour
Instantané]]</f>
        <v>9.5936042638256058</v>
      </c>
      <c r="M263" s="77">
        <f>Tableau1[[#This Row],[Conso HP / jour
Instantané]]*365</f>
        <v>3501.665556296346</v>
      </c>
      <c r="N263" s="79">
        <f>Tableau1[[#This Row],[Index HP
kWh]]-$I$5</f>
        <v>12949</v>
      </c>
      <c r="O263" s="80">
        <f>Tableau1[[#This Row],[Différence HP
Cumul]]/(Tableau1[[#This Row],[Diff jour_x000D_
Cumul]]*24)</f>
        <v>1.1155013539240823</v>
      </c>
      <c r="P263" s="80">
        <f>Tableau1[[#This Row],[Différence HP
Cumul]]/Tableau1[[#This Row],[Diff jour_x000D_
Cumul]]</f>
        <v>26.772032494177974</v>
      </c>
      <c r="Q263" s="80">
        <f>Tableau1[[#This Row],[Conso HP / jour
Cumul]]*365</f>
        <v>9771.7918603749604</v>
      </c>
      <c r="R263" s="78">
        <v>125031</v>
      </c>
      <c r="S263" s="79">
        <f>Tableau1[[#This Row],[Index HC_x000D_
kWh]]-R262</f>
        <v>3</v>
      </c>
      <c r="T263" s="81">
        <f>Tableau1[[#This Row],[Différence_x000D_ HC
Instantané]]/(Tableau1[[#This Row],[Diff jour
Instantané]]*24)</f>
        <v>0.11992005329782007</v>
      </c>
      <c r="U263" s="81">
        <f>Tableau1[[#This Row],[Différence_x000D_ HC
Instantané]]/Tableau1[[#This Row],[Diff jour
Instantané]]</f>
        <v>2.8780812791476817</v>
      </c>
      <c r="V263" s="81">
        <f>Tableau1[[#This Row],[Conso HC / jour_x000D_
Instantané]]*365</f>
        <v>1050.4996668889039</v>
      </c>
      <c r="W263" s="79">
        <f>Tableau1[[#This Row],[Index HC_x000D_
kWh]]-$R$5</f>
        <v>5599</v>
      </c>
      <c r="X263" s="82">
        <f>Tableau1[[#This Row],[Différence HC
Cumul]]/(Tableau1[[#This Row],[Diff jour_x000D_
Cumul]]*24)</f>
        <v>0.48233007032364944</v>
      </c>
      <c r="Y263" s="82">
        <f>Tableau1[[#This Row],[Différence HC
Cumul]]/Tableau1[[#This Row],[Diff jour_x000D_
Cumul]]</f>
        <v>11.575921687767586</v>
      </c>
      <c r="Z263" s="82">
        <f>Tableau1[[#This Row],[Conso HC / jour_x000D_
Cumul]]*365</f>
        <v>4225.2114160351693</v>
      </c>
      <c r="AA263" s="79">
        <f>Tableau1[[#This Row],[Différence HP
Instantané]]+Tableau1[[#This Row],[Différence_x000D_ HC
Instantané]]</f>
        <v>13</v>
      </c>
      <c r="AB263" s="80">
        <f>Tableau1[[#This Row],[Conso HP + HC
Instantané]]/(Tableau1[[#This Row],[Diff jour
Instantané]]*24)</f>
        <v>0.51965356429055365</v>
      </c>
      <c r="AC263" s="80">
        <f>IF(ISERROR(Tableau1[[#This Row],[Date]]-A262),"",Tableau1[[#This Row],[Conso HP + HC
Instantané]]/Tableau1[[#This Row],[Diff jour
Instantané]])</f>
        <v>12.471685542973287</v>
      </c>
      <c r="AD263" s="80">
        <f>Tableau1[[#This Row],[Conso HP + HC / jour_x000D_
Instantané]]*365</f>
        <v>4552.1652231852495</v>
      </c>
      <c r="AE263" s="79">
        <f>Tableau1[[#This Row],[Différence HP
Cumul]]+Tableau1[[#This Row],[Différence HC
Cumul]]</f>
        <v>18548</v>
      </c>
      <c r="AF263" s="77">
        <f>(Tableau1[[#This Row],[Conso HP + HC
Cumul]]-AE$6)/Tableau1[[#This Row],[Diff jour_x000D_
Cumul
depuis le 24/01]]</f>
        <v>35.855585720652783</v>
      </c>
      <c r="AG263" s="77">
        <f>(Tableau1[[#This Row],[Conso HP + HC
Cumul]]-AE$59)/Tableau1[[#This Row],[Diff jour_x000D_
Cumul
depuis
précédente facture
16/02/2021]]</f>
        <v>33.968084093587613</v>
      </c>
      <c r="AH263" s="80">
        <f>Tableau1[[#This Row],[Conso HP + HC
Cumul]]/(Tableau1[[#This Row],[Diff jour_x000D_
Cumul]]*24)</f>
        <v>1.5978314242477316</v>
      </c>
      <c r="AI263" s="80">
        <f>Tableau1[[#This Row],[Conso HP + HC
Cumul]]/Tableau1[[#This Row],[Diff jour_x000D_
Cumul]]</f>
        <v>38.34795418194556</v>
      </c>
      <c r="AJ263" s="80">
        <f>Tableau1[[#This Row],[Conso HP + HC / jour_x000D_
Cumul]]*365</f>
        <v>13997.003276410129</v>
      </c>
      <c r="AK263" s="83">
        <f>(Tableau1[[#This Row],[Différence HP
Cumul]]*0.1799)+(Tableau1[[#This Row],[Différence HC
Cumul]]*0.1346)</f>
        <v>3083.1504999999997</v>
      </c>
      <c r="AL263" s="83">
        <f>Tableau1[[#This Row],[Montant
Tarif HP/HC]]/Tableau1[[#This Row],[Diff jour_x000D_
Cumul]]</f>
        <v>6.3744077048761341</v>
      </c>
      <c r="AM263" s="83">
        <f>(Tableau1[[#This Row],[Montant
Tarif HP/HC]]-AK$6)/Tableau1[[#This Row],[Diff jour_x000D_
Cumul
depuis le 24/01]]</f>
        <v>5.9667108067587149</v>
      </c>
      <c r="AN263" s="83">
        <f>(Tableau1[[#This Row],[Montant
Tarif HP/HC]]-AK$59)/Tableau1[[#This Row],[Diff jour_x000D_
Cumul
depuis
précédente facture
16/02/2021]]</f>
        <v>5.6519410268110697</v>
      </c>
      <c r="AO263" s="83">
        <f>Tableau1[[#This Row],[Conso HP + HC
Cumul]]*0.1599</f>
        <v>2965.8251999999998</v>
      </c>
      <c r="AP263" s="83">
        <f>Tableau1[[#This Row],[Montant
Tarif normal]]/Tableau1[[#This Row],[Diff jour_x000D_
Cumul]]</f>
        <v>6.1318378736930947</v>
      </c>
      <c r="AQ263" s="83">
        <f>(Tableau1[[#This Row],[Conso HP / an
Cumul]]*0.1799)+(Tableau1[[#This Row],[Conso HC / an_x000D_
Cumul]]*0.1346)</f>
        <v>2326.6588122797893</v>
      </c>
      <c r="AR263" s="83">
        <f>Tableau1[[#This Row],[Conso HP + HC / an_x000D_
Cumul]]*0.1599</f>
        <v>2238.1208238979793</v>
      </c>
      <c r="AS263" s="79">
        <f>MONTH(Tableau1[[#This Row],[Date]])</f>
        <v>4</v>
      </c>
      <c r="AT263" s="79">
        <f>YEAR(Tableau1[[#This Row],[Date]])</f>
        <v>2022</v>
      </c>
    </row>
    <row r="264" spans="1:46" x14ac:dyDescent="0.2">
      <c r="A264" s="74">
        <v>44667.31527777778</v>
      </c>
      <c r="B264" s="75"/>
      <c r="C264" s="76">
        <f>IF(ISERROR(Tableau1[[#This Row],[Date]]-A263),"",Tableau1[[#This Row],[Date]]-A263)</f>
        <v>0.93055555555474712</v>
      </c>
      <c r="D264" s="77">
        <f>IF(ISERROR(Tableau1[[#This Row],[Date]]-A263),"",Tableau1[[#This Row],[Date]]-A263)</f>
        <v>0.93055555555474712</v>
      </c>
      <c r="E264" s="76">
        <f>Tableau1[[#This Row],[Date]]-$A$5</f>
        <v>484.6069444444438</v>
      </c>
      <c r="F264" s="77">
        <f>Tableau1[[#This Row],[Date]]-$A$5</f>
        <v>484.6069444444438</v>
      </c>
      <c r="G264" s="77">
        <f>Tableau1[[#This Row],[Diff jour_x000D_
Cumul]]-F$6</f>
        <v>446.52361111111531</v>
      </c>
      <c r="H264" s="77">
        <f>Tableau1[[#This Row],[Diff jour_x000D_
Cumul]]-F$59</f>
        <v>424.0041666666657</v>
      </c>
      <c r="I264" s="78">
        <v>192715</v>
      </c>
      <c r="J264" s="79">
        <f>IF(ISERROR(Tableau1[[#This Row],[Index HP
kWh]]-I263),"",Tableau1[[#This Row],[Index HP
kWh]]-I263)</f>
        <v>7</v>
      </c>
      <c r="K264" s="77">
        <f>IF(ISERROR(Tableau1[[#This Row],[Différence HP
Instantané]]/(Tableau1[[#This Row],[Diff jour
Instantané]]*24)),"",Tableau1[[#This Row],[Différence HP
Instantané]]/(Tableau1[[#This Row],[Diff jour
Instantané]]*24))</f>
        <v>0.31343283582116782</v>
      </c>
      <c r="L264" s="77">
        <f>Tableau1[[#This Row],[Différence HP
Instantané]]/Tableau1[[#This Row],[Diff jour
Instantané]]</f>
        <v>7.5223880597080282</v>
      </c>
      <c r="M264" s="77">
        <f>Tableau1[[#This Row],[Conso HP / jour
Instantané]]*365</f>
        <v>2745.6716417934304</v>
      </c>
      <c r="N264" s="79">
        <f>Tableau1[[#This Row],[Index HP
kWh]]-$I$5</f>
        <v>12956</v>
      </c>
      <c r="O264" s="80">
        <f>Tableau1[[#This Row],[Différence HP
Cumul]]/(Tableau1[[#This Row],[Diff jour_x000D_
Cumul]]*24)</f>
        <v>1.1139611999415349</v>
      </c>
      <c r="P264" s="80">
        <f>Tableau1[[#This Row],[Différence HP
Cumul]]/Tableau1[[#This Row],[Diff jour_x000D_
Cumul]]</f>
        <v>26.735068798596835</v>
      </c>
      <c r="Q264" s="80">
        <f>Tableau1[[#This Row],[Conso HP / jour
Cumul]]*365</f>
        <v>9758.3001114878443</v>
      </c>
      <c r="R264" s="78">
        <v>125035</v>
      </c>
      <c r="S264" s="79">
        <f>Tableau1[[#This Row],[Index HC_x000D_
kWh]]-R263</f>
        <v>4</v>
      </c>
      <c r="T264" s="81">
        <f>Tableau1[[#This Row],[Différence_x000D_ HC
Instantané]]/(Tableau1[[#This Row],[Diff jour
Instantané]]*24)</f>
        <v>0.17910447761209589</v>
      </c>
      <c r="U264" s="81">
        <f>Tableau1[[#This Row],[Différence_x000D_ HC
Instantané]]/Tableau1[[#This Row],[Diff jour
Instantané]]</f>
        <v>4.2985074626903019</v>
      </c>
      <c r="V264" s="81">
        <f>Tableau1[[#This Row],[Conso HC / jour_x000D_
Instantané]]*365</f>
        <v>1568.9552238819601</v>
      </c>
      <c r="W264" s="79">
        <f>Tableau1[[#This Row],[Index HC_x000D_
kWh]]-$R$5</f>
        <v>5603</v>
      </c>
      <c r="X264" s="82">
        <f>Tableau1[[#This Row],[Différence HC
Cumul]]/(Tableau1[[#This Row],[Diff jour_x000D_
Cumul]]*24)</f>
        <v>0.48174780821800089</v>
      </c>
      <c r="Y264" s="82">
        <f>Tableau1[[#This Row],[Différence HC
Cumul]]/Tableau1[[#This Row],[Diff jour_x000D_
Cumul]]</f>
        <v>11.561947397232021</v>
      </c>
      <c r="Z264" s="82">
        <f>Tableau1[[#This Row],[Conso HC / jour_x000D_
Cumul]]*365</f>
        <v>4220.1107999896876</v>
      </c>
      <c r="AA264" s="79">
        <f>Tableau1[[#This Row],[Différence HP
Instantané]]+Tableau1[[#This Row],[Différence_x000D_ HC
Instantané]]</f>
        <v>11</v>
      </c>
      <c r="AB264" s="80">
        <f>Tableau1[[#This Row],[Conso HP + HC
Instantané]]/(Tableau1[[#This Row],[Diff jour
Instantané]]*24)</f>
        <v>0.49253731343326373</v>
      </c>
      <c r="AC264" s="80">
        <f>IF(ISERROR(Tableau1[[#This Row],[Date]]-A263),"",Tableau1[[#This Row],[Conso HP + HC
Instantané]]/Tableau1[[#This Row],[Diff jour
Instantané]])</f>
        <v>11.820895522398329</v>
      </c>
      <c r="AD264" s="80">
        <f>Tableau1[[#This Row],[Conso HP + HC / jour_x000D_
Instantané]]*365</f>
        <v>4314.62686567539</v>
      </c>
      <c r="AE264" s="79">
        <f>Tableau1[[#This Row],[Différence HP
Cumul]]+Tableau1[[#This Row],[Différence HC
Cumul]]</f>
        <v>18559</v>
      </c>
      <c r="AF264" s="77">
        <f>(Tableau1[[#This Row],[Conso HP + HC
Cumul]]-AE$6)/Tableau1[[#This Row],[Diff jour_x000D_
Cumul
depuis le 24/01]]</f>
        <v>35.805497407440477</v>
      </c>
      <c r="AG264" s="77">
        <f>(Tableau1[[#This Row],[Conso HP + HC
Cumul]]-AE$59)/Tableau1[[#This Row],[Diff jour_x000D_
Cumul
depuis
précédente facture
16/02/2021]]</f>
        <v>33.919477992551251</v>
      </c>
      <c r="AH264" s="80">
        <f>Tableau1[[#This Row],[Conso HP + HC
Cumul]]/(Tableau1[[#This Row],[Diff jour_x000D_
Cumul]]*24)</f>
        <v>1.5957090081595358</v>
      </c>
      <c r="AI264" s="80">
        <f>Tableau1[[#This Row],[Conso HP + HC
Cumul]]/Tableau1[[#This Row],[Diff jour_x000D_
Cumul]]</f>
        <v>38.29701619582886</v>
      </c>
      <c r="AJ264" s="80">
        <f>Tableau1[[#This Row],[Conso HP + HC / jour_x000D_
Cumul]]*365</f>
        <v>13978.410911477535</v>
      </c>
      <c r="AK264" s="83">
        <f>(Tableau1[[#This Row],[Différence HP
Cumul]]*0.1799)+(Tableau1[[#This Row],[Différence HC
Cumul]]*0.1346)</f>
        <v>3084.9481999999998</v>
      </c>
      <c r="AL264" s="83">
        <f>Tableau1[[#This Row],[Montant
Tarif HP/HC]]/Tableau1[[#This Row],[Diff jour_x000D_
Cumul]]</f>
        <v>6.3658769965350004</v>
      </c>
      <c r="AM264" s="83">
        <f>(Tableau1[[#This Row],[Montant
Tarif HP/HC]]-AK$6)/Tableau1[[#This Row],[Diff jour_x000D_
Cumul
depuis le 24/01]]</f>
        <v>5.9583021676718033</v>
      </c>
      <c r="AN264" s="83">
        <f>(Tableau1[[#This Row],[Montant
Tarif HP/HC]]-AK$59)/Tableau1[[#This Row],[Diff jour_x000D_
Cumul
depuis
précédente facture
16/02/2021]]</f>
        <v>5.6437766138304584</v>
      </c>
      <c r="AO264" s="83">
        <f>Tableau1[[#This Row],[Conso HP + HC
Cumul]]*0.1599</f>
        <v>2967.5840999999996</v>
      </c>
      <c r="AP264" s="83">
        <f>Tableau1[[#This Row],[Montant
Tarif normal]]/Tableau1[[#This Row],[Diff jour_x000D_
Cumul]]</f>
        <v>6.123692889713034</v>
      </c>
      <c r="AQ264" s="83">
        <f>(Tableau1[[#This Row],[Conso HP / an
Cumul]]*0.1799)+(Tableau1[[#This Row],[Conso HC / an_x000D_
Cumul]]*0.1346)</f>
        <v>2323.545103735275</v>
      </c>
      <c r="AR264" s="83">
        <f>Tableau1[[#This Row],[Conso HP + HC / an_x000D_
Cumul]]*0.1599</f>
        <v>2235.1479047452576</v>
      </c>
      <c r="AS264" s="79">
        <f>MONTH(Tableau1[[#This Row],[Date]])</f>
        <v>4</v>
      </c>
      <c r="AT264" s="79">
        <f>YEAR(Tableau1[[#This Row],[Date]])</f>
        <v>2022</v>
      </c>
    </row>
    <row r="265" spans="1:46" x14ac:dyDescent="0.2">
      <c r="A265" s="74">
        <v>44668.347916666666</v>
      </c>
      <c r="B265" s="75"/>
      <c r="C265" s="76">
        <f>IF(ISERROR(Tableau1[[#This Row],[Date]]-A264),"",Tableau1[[#This Row],[Date]]-A264)</f>
        <v>1.0326388888861402</v>
      </c>
      <c r="D265" s="77">
        <f>IF(ISERROR(Tableau1[[#This Row],[Date]]-A264),"",Tableau1[[#This Row],[Date]]-A264)</f>
        <v>1.0326388888861402</v>
      </c>
      <c r="E265" s="76">
        <f>Tableau1[[#This Row],[Date]]-$A$5</f>
        <v>485.63958333332994</v>
      </c>
      <c r="F265" s="77">
        <f>Tableau1[[#This Row],[Date]]-$A$5</f>
        <v>485.63958333332994</v>
      </c>
      <c r="G265" s="77">
        <f>Tableau1[[#This Row],[Diff jour_x000D_
Cumul]]-F$6</f>
        <v>447.55625000000146</v>
      </c>
      <c r="H265" s="77">
        <f>Tableau1[[#This Row],[Diff jour_x000D_
Cumul]]-F$59</f>
        <v>425.03680555555184</v>
      </c>
      <c r="I265" s="78">
        <v>192725</v>
      </c>
      <c r="J265" s="79">
        <f>IF(ISERROR(Tableau1[[#This Row],[Index HP
kWh]]-I264),"",Tableau1[[#This Row],[Index HP
kWh]]-I264)</f>
        <v>10</v>
      </c>
      <c r="K265" s="77">
        <f>IF(ISERROR(Tableau1[[#This Row],[Différence HP
Instantané]]/(Tableau1[[#This Row],[Diff jour
Instantané]]*24)),"",Tableau1[[#This Row],[Différence HP
Instantané]]/(Tableau1[[#This Row],[Diff jour
Instantané]]*24))</f>
        <v>0.40349697377377075</v>
      </c>
      <c r="L265" s="77">
        <f>Tableau1[[#This Row],[Différence HP
Instantané]]/Tableau1[[#This Row],[Diff jour
Instantané]]</f>
        <v>9.6839273705704976</v>
      </c>
      <c r="M265" s="77">
        <f>Tableau1[[#This Row],[Conso HP / jour
Instantané]]*365</f>
        <v>3534.6334902582316</v>
      </c>
      <c r="N265" s="79">
        <f>Tableau1[[#This Row],[Index HP
kWh]]-$I$5</f>
        <v>12966</v>
      </c>
      <c r="O265" s="80">
        <f>Tableau1[[#This Row],[Différence HP
Cumul]]/(Tableau1[[#This Row],[Diff jour_x000D_
Cumul]]*24)</f>
        <v>1.1124505055618312</v>
      </c>
      <c r="P265" s="80">
        <f>Tableau1[[#This Row],[Différence HP
Cumul]]/Tableau1[[#This Row],[Diff jour_x000D_
Cumul]]</f>
        <v>26.698812133483951</v>
      </c>
      <c r="Q265" s="80">
        <f>Tableau1[[#This Row],[Conso HP / jour
Cumul]]*365</f>
        <v>9745.0664287216423</v>
      </c>
      <c r="R265" s="78">
        <v>125038</v>
      </c>
      <c r="S265" s="79">
        <f>Tableau1[[#This Row],[Index HC_x000D_
kWh]]-R264</f>
        <v>3</v>
      </c>
      <c r="T265" s="81">
        <f>Tableau1[[#This Row],[Différence_x000D_ HC
Instantané]]/(Tableau1[[#This Row],[Diff jour
Instantané]]*24)</f>
        <v>0.12104909213213122</v>
      </c>
      <c r="U265" s="81">
        <f>Tableau1[[#This Row],[Différence_x000D_ HC
Instantané]]/Tableau1[[#This Row],[Diff jour
Instantané]]</f>
        <v>2.9051782111711493</v>
      </c>
      <c r="V265" s="81">
        <f>Tableau1[[#This Row],[Conso HC / jour_x000D_
Instantané]]*365</f>
        <v>1060.3900470774695</v>
      </c>
      <c r="W265" s="79">
        <f>Tableau1[[#This Row],[Index HC_x000D_
kWh]]-$R$5</f>
        <v>5606</v>
      </c>
      <c r="X265" s="82">
        <f>Tableau1[[#This Row],[Différence HC
Cumul]]/(Tableau1[[#This Row],[Diff jour_x000D_
Cumul]]*24)</f>
        <v>0.48098083712630157</v>
      </c>
      <c r="Y265" s="82">
        <f>Tableau1[[#This Row],[Différence HC
Cumul]]/Tableau1[[#This Row],[Diff jour_x000D_
Cumul]]</f>
        <v>11.543540091031238</v>
      </c>
      <c r="Z265" s="82">
        <f>Tableau1[[#This Row],[Conso HC / jour_x000D_
Cumul]]*365</f>
        <v>4213.3921332264017</v>
      </c>
      <c r="AA265" s="79">
        <f>Tableau1[[#This Row],[Différence HP
Instantané]]+Tableau1[[#This Row],[Différence_x000D_ HC
Instantané]]</f>
        <v>13</v>
      </c>
      <c r="AB265" s="80">
        <f>Tableau1[[#This Row],[Conso HP + HC
Instantané]]/(Tableau1[[#This Row],[Diff jour
Instantané]]*24)</f>
        <v>0.52454606590590191</v>
      </c>
      <c r="AC265" s="80">
        <f>IF(ISERROR(Tableau1[[#This Row],[Date]]-A264),"",Tableau1[[#This Row],[Conso HP + HC
Instantané]]/Tableau1[[#This Row],[Diff jour
Instantané]])</f>
        <v>12.589105581741647</v>
      </c>
      <c r="AD265" s="80">
        <f>Tableau1[[#This Row],[Conso HP + HC / jour_x000D_
Instantané]]*365</f>
        <v>4595.0235373357009</v>
      </c>
      <c r="AE265" s="79">
        <f>Tableau1[[#This Row],[Différence HP
Cumul]]+Tableau1[[#This Row],[Différence HC
Cumul]]</f>
        <v>18572</v>
      </c>
      <c r="AF265" s="77">
        <f>(Tableau1[[#This Row],[Conso HP + HC
Cumul]]-AE$6)/Tableau1[[#This Row],[Diff jour_x000D_
Cumul
depuis le 24/01]]</f>
        <v>35.751930623245563</v>
      </c>
      <c r="AG265" s="77">
        <f>(Tableau1[[#This Row],[Conso HP + HC
Cumul]]-AE$59)/Tableau1[[#This Row],[Diff jour_x000D_
Cumul
depuis
précédente facture
16/02/2021]]</f>
        <v>33.867655252078137</v>
      </c>
      <c r="AH265" s="80">
        <f>Tableau1[[#This Row],[Conso HP + HC
Cumul]]/(Tableau1[[#This Row],[Diff jour_x000D_
Cumul]]*24)</f>
        <v>1.5934313426881328</v>
      </c>
      <c r="AI265" s="80">
        <f>Tableau1[[#This Row],[Conso HP + HC
Cumul]]/Tableau1[[#This Row],[Diff jour_x000D_
Cumul]]</f>
        <v>38.242352224515187</v>
      </c>
      <c r="AJ265" s="80">
        <f>Tableau1[[#This Row],[Conso HP + HC / jour_x000D_
Cumul]]*365</f>
        <v>13958.458561948044</v>
      </c>
      <c r="AK265" s="83">
        <f>(Tableau1[[#This Row],[Différence HP
Cumul]]*0.1799)+(Tableau1[[#This Row],[Différence HC
Cumul]]*0.1346)</f>
        <v>3087.1509999999998</v>
      </c>
      <c r="AL265" s="83">
        <f>Tableau1[[#This Row],[Montant
Tarif HP/HC]]/Tableau1[[#This Row],[Diff jour_x000D_
Cumul]]</f>
        <v>6.3568767990665673</v>
      </c>
      <c r="AM265" s="83">
        <f>(Tableau1[[#This Row],[Montant
Tarif HP/HC]]-AK$6)/Tableau1[[#This Row],[Diff jour_x000D_
Cumul
depuis le 24/01]]</f>
        <v>5.9494765183147171</v>
      </c>
      <c r="AN265" s="83">
        <f>(Tableau1[[#This Row],[Montant
Tarif HP/HC]]-AK$59)/Tableau1[[#This Row],[Diff jour_x000D_
Cumul
depuis
précédente facture
16/02/2021]]</f>
        <v>5.6352475096111441</v>
      </c>
      <c r="AO265" s="83">
        <f>Tableau1[[#This Row],[Conso HP + HC
Cumul]]*0.1599</f>
        <v>2969.6627999999996</v>
      </c>
      <c r="AP265" s="83">
        <f>Tableau1[[#This Row],[Montant
Tarif normal]]/Tableau1[[#This Row],[Diff jour_x000D_
Cumul]]</f>
        <v>6.1149521206999777</v>
      </c>
      <c r="AQ265" s="83">
        <f>(Tableau1[[#This Row],[Conso HP / an
Cumul]]*0.1799)+(Tableau1[[#This Row],[Conso HC / an_x000D_
Cumul]]*0.1346)</f>
        <v>2320.2600316592971</v>
      </c>
      <c r="AR265" s="83">
        <f>Tableau1[[#This Row],[Conso HP + HC / an_x000D_
Cumul]]*0.1599</f>
        <v>2231.9575240554918</v>
      </c>
      <c r="AS265" s="79">
        <f>MONTH(Tableau1[[#This Row],[Date]])</f>
        <v>4</v>
      </c>
      <c r="AT265" s="79">
        <f>YEAR(Tableau1[[#This Row],[Date]])</f>
        <v>2022</v>
      </c>
    </row>
    <row r="266" spans="1:46" x14ac:dyDescent="0.2">
      <c r="A266" s="74">
        <v>44670.322222222225</v>
      </c>
      <c r="B266" s="75"/>
      <c r="C266" s="76">
        <f>IF(ISERROR(Tableau1[[#This Row],[Date]]-A265),"",Tableau1[[#This Row],[Date]]-A265)</f>
        <v>1.9743055555591127</v>
      </c>
      <c r="D266" s="77">
        <f>IF(ISERROR(Tableau1[[#This Row],[Date]]-A265),"",Tableau1[[#This Row],[Date]]-A265)</f>
        <v>1.9743055555591127</v>
      </c>
      <c r="E266" s="76">
        <f>Tableau1[[#This Row],[Date]]-$A$5</f>
        <v>487.61388888888905</v>
      </c>
      <c r="F266" s="77">
        <f>Tableau1[[#This Row],[Date]]-$A$5</f>
        <v>487.61388888888905</v>
      </c>
      <c r="G266" s="77">
        <f>Tableau1[[#This Row],[Diff jour_x000D_
Cumul]]-F$6</f>
        <v>449.53055555556057</v>
      </c>
      <c r="H266" s="77">
        <f>Tableau1[[#This Row],[Diff jour_x000D_
Cumul]]-F$59</f>
        <v>427.01111111111095</v>
      </c>
      <c r="I266" s="78">
        <v>192738</v>
      </c>
      <c r="J266" s="79">
        <f>IF(ISERROR(Tableau1[[#This Row],[Index HP
kWh]]-I265),"",Tableau1[[#This Row],[Index HP
kWh]]-I265)</f>
        <v>13</v>
      </c>
      <c r="K266" s="77">
        <f>IF(ISERROR(Tableau1[[#This Row],[Différence HP
Instantané]]/(Tableau1[[#This Row],[Diff jour
Instantané]]*24)),"",Tableau1[[#This Row],[Différence HP
Instantané]]/(Tableau1[[#This Row],[Diff jour
Instantané]]*24))</f>
        <v>0.27435807245817612</v>
      </c>
      <c r="L266" s="77">
        <f>Tableau1[[#This Row],[Différence HP
Instantané]]/Tableau1[[#This Row],[Diff jour
Instantané]]</f>
        <v>6.5845937389962268</v>
      </c>
      <c r="M266" s="77">
        <f>Tableau1[[#This Row],[Conso HP / jour
Instantané]]*365</f>
        <v>2403.376714733623</v>
      </c>
      <c r="N266" s="79">
        <f>Tableau1[[#This Row],[Index HP
kWh]]-$I$5</f>
        <v>12979</v>
      </c>
      <c r="O266" s="80">
        <f>Tableau1[[#This Row],[Différence HP
Cumul]]/(Tableau1[[#This Row],[Diff jour_x000D_
Cumul]]*24)</f>
        <v>1.1090571433454288</v>
      </c>
      <c r="P266" s="80">
        <f>Tableau1[[#This Row],[Différence HP
Cumul]]/Tableau1[[#This Row],[Diff jour_x000D_
Cumul]]</f>
        <v>26.617371440290295</v>
      </c>
      <c r="Q266" s="80">
        <f>Tableau1[[#This Row],[Conso HP / jour
Cumul]]*365</f>
        <v>9715.3405757059572</v>
      </c>
      <c r="R266" s="78">
        <v>125044</v>
      </c>
      <c r="S266" s="79">
        <f>Tableau1[[#This Row],[Index HC_x000D_
kWh]]-R265</f>
        <v>6</v>
      </c>
      <c r="T266" s="81">
        <f>Tableau1[[#This Row],[Différence_x000D_ HC
Instantané]]/(Tableau1[[#This Row],[Diff jour
Instantané]]*24)</f>
        <v>0.12662680267300436</v>
      </c>
      <c r="U266" s="81">
        <f>Tableau1[[#This Row],[Différence_x000D_ HC
Instantané]]/Tableau1[[#This Row],[Diff jour
Instantané]]</f>
        <v>3.0390432641521046</v>
      </c>
      <c r="V266" s="81">
        <f>Tableau1[[#This Row],[Conso HC / jour_x000D_
Instantané]]*365</f>
        <v>1109.2507914155183</v>
      </c>
      <c r="W266" s="79">
        <f>Tableau1[[#This Row],[Index HC_x000D_
kWh]]-$R$5</f>
        <v>5612</v>
      </c>
      <c r="X266" s="82">
        <f>Tableau1[[#This Row],[Différence HC
Cumul]]/(Tableau1[[#This Row],[Diff jour_x000D_
Cumul]]*24)</f>
        <v>0.47954608894788098</v>
      </c>
      <c r="Y266" s="82">
        <f>Tableau1[[#This Row],[Différence HC
Cumul]]/Tableau1[[#This Row],[Diff jour_x000D_
Cumul]]</f>
        <v>11.509106134749143</v>
      </c>
      <c r="Z266" s="82">
        <f>Tableau1[[#This Row],[Conso HC / jour_x000D_
Cumul]]*365</f>
        <v>4200.8237391834373</v>
      </c>
      <c r="AA266" s="79">
        <f>Tableau1[[#This Row],[Différence HP
Instantané]]+Tableau1[[#This Row],[Différence_x000D_ HC
Instantané]]</f>
        <v>19</v>
      </c>
      <c r="AB266" s="80">
        <f>Tableau1[[#This Row],[Conso HP + HC
Instantané]]/(Tableau1[[#This Row],[Diff jour
Instantané]]*24)</f>
        <v>0.40098487513118047</v>
      </c>
      <c r="AC266" s="80">
        <f>IF(ISERROR(Tableau1[[#This Row],[Date]]-A265),"",Tableau1[[#This Row],[Conso HP + HC
Instantané]]/Tableau1[[#This Row],[Diff jour
Instantané]])</f>
        <v>9.6236370031483318</v>
      </c>
      <c r="AD266" s="80">
        <f>Tableau1[[#This Row],[Conso HP + HC / jour_x000D_
Instantané]]*365</f>
        <v>3512.627506149141</v>
      </c>
      <c r="AE266" s="79">
        <f>Tableau1[[#This Row],[Différence HP
Cumul]]+Tableau1[[#This Row],[Différence HC
Cumul]]</f>
        <v>18591</v>
      </c>
      <c r="AF266" s="77">
        <f>(Tableau1[[#This Row],[Conso HP + HC
Cumul]]-AE$6)/Tableau1[[#This Row],[Diff jour_x000D_
Cumul
depuis le 24/01]]</f>
        <v>35.637177055075576</v>
      </c>
      <c r="AG266" s="77">
        <f>(Tableau1[[#This Row],[Conso HP + HC
Cumul]]-AE$59)/Tableau1[[#This Row],[Diff jour_x000D_
Cumul
depuis
précédente facture
16/02/2021]]</f>
        <v>33.755561916161447</v>
      </c>
      <c r="AH266" s="80">
        <f>Tableau1[[#This Row],[Conso HP + HC
Cumul]]/(Tableau1[[#This Row],[Diff jour_x000D_
Cumul]]*24)</f>
        <v>1.5886032322933099</v>
      </c>
      <c r="AI266" s="80">
        <f>Tableau1[[#This Row],[Conso HP + HC
Cumul]]/Tableau1[[#This Row],[Diff jour_x000D_
Cumul]]</f>
        <v>38.126477575039438</v>
      </c>
      <c r="AJ266" s="80">
        <f>Tableau1[[#This Row],[Conso HP + HC / jour_x000D_
Cumul]]*365</f>
        <v>13916.164314889395</v>
      </c>
      <c r="AK266" s="83">
        <f>(Tableau1[[#This Row],[Différence HP
Cumul]]*0.1799)+(Tableau1[[#This Row],[Différence HC
Cumul]]*0.1346)</f>
        <v>3090.2973000000002</v>
      </c>
      <c r="AL266" s="83">
        <f>Tableau1[[#This Row],[Montant
Tarif HP/HC]]/Tableau1[[#This Row],[Diff jour_x000D_
Cumul]]</f>
        <v>6.3375908078454586</v>
      </c>
      <c r="AM266" s="83">
        <f>(Tableau1[[#This Row],[Montant
Tarif HP/HC]]-AK$6)/Tableau1[[#This Row],[Diff jour_x000D_
Cumul
depuis le 24/01]]</f>
        <v>5.930345928777486</v>
      </c>
      <c r="AN266" s="83">
        <f>(Tableau1[[#This Row],[Montant
Tarif HP/HC]]-AK$59)/Tableau1[[#This Row],[Diff jour_x000D_
Cumul
depuis
précédente facture
16/02/2021]]</f>
        <v>5.6165608753350185</v>
      </c>
      <c r="AO266" s="83">
        <f>Tableau1[[#This Row],[Conso HP + HC
Cumul]]*0.1599</f>
        <v>2972.7008999999998</v>
      </c>
      <c r="AP266" s="83">
        <f>Tableau1[[#This Row],[Montant
Tarif normal]]/Tableau1[[#This Row],[Diff jour_x000D_
Cumul]]</f>
        <v>6.0964237642488053</v>
      </c>
      <c r="AQ266" s="83">
        <f>(Tableau1[[#This Row],[Conso HP / an
Cumul]]*0.1799)+(Tableau1[[#This Row],[Conso HC / an_x000D_
Cumul]]*0.1346)</f>
        <v>2313.2206448635925</v>
      </c>
      <c r="AR266" s="83">
        <f>Tableau1[[#This Row],[Conso HP + HC / an_x000D_
Cumul]]*0.1599</f>
        <v>2225.1946739508139</v>
      </c>
      <c r="AS266" s="79">
        <f>MONTH(Tableau1[[#This Row],[Date]])</f>
        <v>4</v>
      </c>
      <c r="AT266" s="79">
        <f>YEAR(Tableau1[[#This Row],[Date]])</f>
        <v>2022</v>
      </c>
    </row>
    <row r="267" spans="1:46" x14ac:dyDescent="0.2">
      <c r="A267" s="74">
        <v>44671.309027777781</v>
      </c>
      <c r="B267" s="75"/>
      <c r="C267" s="76">
        <f>IF(ISERROR(Tableau1[[#This Row],[Date]]-A266),"",Tableau1[[#This Row],[Date]]-A266)</f>
        <v>0.98680555555620231</v>
      </c>
      <c r="D267" s="77">
        <f>IF(ISERROR(Tableau1[[#This Row],[Date]]-A266),"",Tableau1[[#This Row],[Date]]-A266)</f>
        <v>0.98680555555620231</v>
      </c>
      <c r="E267" s="76">
        <f>Tableau1[[#This Row],[Date]]-$A$5</f>
        <v>488.60069444444525</v>
      </c>
      <c r="F267" s="77">
        <f>Tableau1[[#This Row],[Date]]-$A$5</f>
        <v>488.60069444444525</v>
      </c>
      <c r="G267" s="77">
        <f>Tableau1[[#This Row],[Diff jour_x000D_
Cumul]]-F$6</f>
        <v>450.51736111111677</v>
      </c>
      <c r="H267" s="77">
        <f>Tableau1[[#This Row],[Diff jour_x000D_
Cumul]]-F$59</f>
        <v>427.99791666666715</v>
      </c>
      <c r="I267" s="78">
        <v>192759</v>
      </c>
      <c r="J267" s="79">
        <f>IF(ISERROR(Tableau1[[#This Row],[Index HP
kWh]]-I266),"",Tableau1[[#This Row],[Index HP
kWh]]-I266)</f>
        <v>21</v>
      </c>
      <c r="K267" s="77">
        <f>IF(ISERROR(Tableau1[[#This Row],[Différence HP
Instantané]]/(Tableau1[[#This Row],[Diff jour
Instantané]]*24)),"",Tableau1[[#This Row],[Différence HP
Instantané]]/(Tableau1[[#This Row],[Diff jour
Instantané]]*24))</f>
        <v>0.88669950738858139</v>
      </c>
      <c r="L267" s="77">
        <f>Tableau1[[#This Row],[Différence HP
Instantané]]/Tableau1[[#This Row],[Diff jour
Instantané]]</f>
        <v>21.280788177325952</v>
      </c>
      <c r="M267" s="77">
        <f>Tableau1[[#This Row],[Conso HP / jour
Instantané]]*365</f>
        <v>7767.487684723973</v>
      </c>
      <c r="N267" s="79">
        <f>Tableau1[[#This Row],[Index HP
kWh]]-$I$5</f>
        <v>13000</v>
      </c>
      <c r="O267" s="80">
        <f>Tableau1[[#This Row],[Différence HP
Cumul]]/(Tableau1[[#This Row],[Diff jour_x000D_
Cumul]]*24)</f>
        <v>1.1086080573065069</v>
      </c>
      <c r="P267" s="80">
        <f>Tableau1[[#This Row],[Différence HP
Cumul]]/Tableau1[[#This Row],[Diff jour_x000D_
Cumul]]</f>
        <v>26.606593375356166</v>
      </c>
      <c r="Q267" s="80">
        <f>Tableau1[[#This Row],[Conso HP / jour
Cumul]]*365</f>
        <v>9711.406582005</v>
      </c>
      <c r="R267" s="78">
        <v>125057</v>
      </c>
      <c r="S267" s="79">
        <f>Tableau1[[#This Row],[Index HC_x000D_
kWh]]-R266</f>
        <v>13</v>
      </c>
      <c r="T267" s="81">
        <f>Tableau1[[#This Row],[Différence_x000D_ HC
Instantané]]/(Tableau1[[#This Row],[Diff jour
Instantané]]*24)</f>
        <v>0.54890921885959798</v>
      </c>
      <c r="U267" s="81">
        <f>Tableau1[[#This Row],[Différence_x000D_ HC
Instantané]]/Tableau1[[#This Row],[Diff jour
Instantané]]</f>
        <v>13.173821252630352</v>
      </c>
      <c r="V267" s="81">
        <f>Tableau1[[#This Row],[Conso HC / jour_x000D_
Instantané]]*365</f>
        <v>4808.4447572100789</v>
      </c>
      <c r="W267" s="79">
        <f>Tableau1[[#This Row],[Index HC_x000D_
kWh]]-$R$5</f>
        <v>5625</v>
      </c>
      <c r="X267" s="82">
        <f>Tableau1[[#This Row],[Différence HC
Cumul]]/(Tableau1[[#This Row],[Diff jour_x000D_
Cumul]]*24)</f>
        <v>0.47968617864223861</v>
      </c>
      <c r="Y267" s="82">
        <f>Tableau1[[#This Row],[Différence HC
Cumul]]/Tableau1[[#This Row],[Diff jour_x000D_
Cumul]]</f>
        <v>11.512468287413727</v>
      </c>
      <c r="Z267" s="82">
        <f>Tableau1[[#This Row],[Conso HC / jour_x000D_
Cumul]]*365</f>
        <v>4202.0509249060106</v>
      </c>
      <c r="AA267" s="79">
        <f>Tableau1[[#This Row],[Différence HP
Instantané]]+Tableau1[[#This Row],[Différence_x000D_ HC
Instantané]]</f>
        <v>34</v>
      </c>
      <c r="AB267" s="80">
        <f>Tableau1[[#This Row],[Conso HP + HC
Instantané]]/(Tableau1[[#This Row],[Diff jour
Instantané]]*24)</f>
        <v>1.4356087262481794</v>
      </c>
      <c r="AC267" s="80">
        <f>IF(ISERROR(Tableau1[[#This Row],[Date]]-A266),"",Tableau1[[#This Row],[Conso HP + HC
Instantané]]/Tableau1[[#This Row],[Diff jour
Instantané]])</f>
        <v>34.454609429956307</v>
      </c>
      <c r="AD267" s="80">
        <f>Tableau1[[#This Row],[Conso HP + HC / jour_x000D_
Instantané]]*365</f>
        <v>12575.932441934052</v>
      </c>
      <c r="AE267" s="79">
        <f>Tableau1[[#This Row],[Différence HP
Cumul]]+Tableau1[[#This Row],[Différence HC
Cumul]]</f>
        <v>18625</v>
      </c>
      <c r="AF267" s="77">
        <f>(Tableau1[[#This Row],[Conso HP + HC
Cumul]]-AE$6)/Tableau1[[#This Row],[Diff jour_x000D_
Cumul
depuis le 24/01]]</f>
        <v>35.634586779088409</v>
      </c>
      <c r="AG267" s="77">
        <f>(Tableau1[[#This Row],[Conso HP + HC
Cumul]]-AE$59)/Tableau1[[#This Row],[Diff jour_x000D_
Cumul
depuis
précédente facture
16/02/2021]]</f>
        <v>33.757173662254935</v>
      </c>
      <c r="AH267" s="80">
        <f>Tableau1[[#This Row],[Conso HP + HC
Cumul]]/(Tableau1[[#This Row],[Diff jour_x000D_
Cumul]]*24)</f>
        <v>1.5882942359487455</v>
      </c>
      <c r="AI267" s="80">
        <f>Tableau1[[#This Row],[Conso HP + HC
Cumul]]/Tableau1[[#This Row],[Diff jour_x000D_
Cumul]]</f>
        <v>38.119061662769894</v>
      </c>
      <c r="AJ267" s="80">
        <f>Tableau1[[#This Row],[Conso HP + HC / jour_x000D_
Cumul]]*365</f>
        <v>13913.457506911011</v>
      </c>
      <c r="AK267" s="83">
        <f>(Tableau1[[#This Row],[Différence HP
Cumul]]*0.1799)+(Tableau1[[#This Row],[Différence HC
Cumul]]*0.1346)</f>
        <v>3095.8250000000003</v>
      </c>
      <c r="AL267" s="83">
        <f>Tableau1[[#This Row],[Montant
Tarif HP/HC]]/Tableau1[[#This Row],[Diff jour_x000D_
Cumul]]</f>
        <v>6.336104379712463</v>
      </c>
      <c r="AM267" s="83">
        <f>(Tableau1[[#This Row],[Montant
Tarif HP/HC]]-AK$6)/Tableau1[[#This Row],[Diff jour_x000D_
Cumul
depuis le 24/01]]</f>
        <v>5.9296258714902654</v>
      </c>
      <c r="AN267" s="83">
        <f>(Tableau1[[#This Row],[Montant
Tarif HP/HC]]-AK$59)/Tableau1[[#This Row],[Diff jour_x000D_
Cumul
depuis
précédente facture
16/02/2021]]</f>
        <v>5.6165264044314798</v>
      </c>
      <c r="AO267" s="83">
        <f>Tableau1[[#This Row],[Conso HP + HC
Cumul]]*0.1599</f>
        <v>2978.1374999999998</v>
      </c>
      <c r="AP267" s="83">
        <f>Tableau1[[#This Row],[Montant
Tarif normal]]/Tableau1[[#This Row],[Diff jour_x000D_
Cumul]]</f>
        <v>6.095237959876906</v>
      </c>
      <c r="AQ267" s="83">
        <f>(Tableau1[[#This Row],[Conso HP / an
Cumul]]*0.1799)+(Tableau1[[#This Row],[Conso HC / an_x000D_
Cumul]]*0.1346)</f>
        <v>2312.6780985950486</v>
      </c>
      <c r="AR267" s="83">
        <f>Tableau1[[#This Row],[Conso HP + HC / an_x000D_
Cumul]]*0.1599</f>
        <v>2224.7618553550706</v>
      </c>
      <c r="AS267" s="79">
        <f>MONTH(Tableau1[[#This Row],[Date]])</f>
        <v>4</v>
      </c>
      <c r="AT267" s="79">
        <f>YEAR(Tableau1[[#This Row],[Date]])</f>
        <v>2022</v>
      </c>
    </row>
    <row r="268" spans="1:46" x14ac:dyDescent="0.2">
      <c r="A268" s="74">
        <v>44672.314583333333</v>
      </c>
      <c r="B268" s="75"/>
      <c r="C268" s="76">
        <f>IF(ISERROR(Tableau1[[#This Row],[Date]]-A267),"",Tableau1[[#This Row],[Date]]-A267)</f>
        <v>1.0055555555518367</v>
      </c>
      <c r="D268" s="77">
        <f>IF(ISERROR(Tableau1[[#This Row],[Date]]-A267),"",Tableau1[[#This Row],[Date]]-A267)</f>
        <v>1.0055555555518367</v>
      </c>
      <c r="E268" s="76">
        <f>Tableau1[[#This Row],[Date]]-$A$5</f>
        <v>489.60624999999709</v>
      </c>
      <c r="F268" s="77">
        <f>Tableau1[[#This Row],[Date]]-$A$5</f>
        <v>489.60624999999709</v>
      </c>
      <c r="G268" s="77">
        <f>Tableau1[[#This Row],[Diff jour_x000D_
Cumul]]-F$6</f>
        <v>451.52291666666861</v>
      </c>
      <c r="H268" s="77">
        <f>Tableau1[[#This Row],[Diff jour_x000D_
Cumul]]-F$59</f>
        <v>429.00347222221899</v>
      </c>
      <c r="I268" s="78">
        <v>192776</v>
      </c>
      <c r="J268" s="79">
        <f>IF(ISERROR(Tableau1[[#This Row],[Index HP
kWh]]-I267),"",Tableau1[[#This Row],[Index HP
kWh]]-I267)</f>
        <v>17</v>
      </c>
      <c r="K268" s="77">
        <f>IF(ISERROR(Tableau1[[#This Row],[Différence HP
Instantané]]/(Tableau1[[#This Row],[Diff jour
Instantané]]*24)),"",Tableau1[[#This Row],[Différence HP
Instantané]]/(Tableau1[[#This Row],[Diff jour
Instantané]]*24))</f>
        <v>0.7044198895053676</v>
      </c>
      <c r="L268" s="77">
        <f>Tableau1[[#This Row],[Différence HP
Instantané]]/Tableau1[[#This Row],[Diff jour
Instantané]]</f>
        <v>16.906077348128822</v>
      </c>
      <c r="M268" s="77">
        <f>Tableau1[[#This Row],[Conso HP / jour
Instantané]]*365</f>
        <v>6170.7182320670199</v>
      </c>
      <c r="N268" s="79">
        <f>Tableau1[[#This Row],[Index HP
kWh]]-$I$5</f>
        <v>13017</v>
      </c>
      <c r="O268" s="80">
        <f>Tableau1[[#This Row],[Différence HP
Cumul]]/(Tableau1[[#This Row],[Diff jour_x000D_
Cumul]]*24)</f>
        <v>1.10777793379885</v>
      </c>
      <c r="P268" s="80">
        <f>Tableau1[[#This Row],[Différence HP
Cumul]]/Tableau1[[#This Row],[Diff jour_x000D_
Cumul]]</f>
        <v>26.586670411172403</v>
      </c>
      <c r="Q268" s="80">
        <f>Tableau1[[#This Row],[Conso HP / jour
Cumul]]*365</f>
        <v>9704.1347000779278</v>
      </c>
      <c r="R268" s="78">
        <v>125066</v>
      </c>
      <c r="S268" s="79">
        <f>Tableau1[[#This Row],[Index HC_x000D_
kWh]]-R267</f>
        <v>9</v>
      </c>
      <c r="T268" s="81">
        <f>Tableau1[[#This Row],[Différence_x000D_ HC
Instantané]]/(Tableau1[[#This Row],[Diff jour
Instantané]]*24)</f>
        <v>0.37292817679695928</v>
      </c>
      <c r="U268" s="81">
        <f>Tableau1[[#This Row],[Différence_x000D_ HC
Instantané]]/Tableau1[[#This Row],[Diff jour
Instantané]]</f>
        <v>8.9502762431270231</v>
      </c>
      <c r="V268" s="81">
        <f>Tableau1[[#This Row],[Conso HC / jour_x000D_
Instantané]]*365</f>
        <v>3266.8508287413633</v>
      </c>
      <c r="W268" s="79">
        <f>Tableau1[[#This Row],[Index HC_x000D_
kWh]]-$R$5</f>
        <v>5634</v>
      </c>
      <c r="X268" s="82">
        <f>Tableau1[[#This Row],[Différence HC
Cumul]]/(Tableau1[[#This Row],[Diff jour_x000D_
Cumul]]*24)</f>
        <v>0.47946691856977192</v>
      </c>
      <c r="Y268" s="82">
        <f>Tableau1[[#This Row],[Différence HC
Cumul]]/Tableau1[[#This Row],[Diff jour_x000D_
Cumul]]</f>
        <v>11.507206045674526</v>
      </c>
      <c r="Z268" s="82">
        <f>Tableau1[[#This Row],[Conso HC / jour_x000D_
Cumul]]*365</f>
        <v>4200.1302066712014</v>
      </c>
      <c r="AA268" s="79">
        <f>Tableau1[[#This Row],[Différence HP
Instantané]]+Tableau1[[#This Row],[Différence_x000D_ HC
Instantané]]</f>
        <v>26</v>
      </c>
      <c r="AB268" s="80">
        <f>Tableau1[[#This Row],[Conso HP + HC
Instantané]]/(Tableau1[[#This Row],[Diff jour
Instantané]]*24)</f>
        <v>1.0773480663023269</v>
      </c>
      <c r="AC268" s="80">
        <f>IF(ISERROR(Tableau1[[#This Row],[Date]]-A267),"",Tableau1[[#This Row],[Conso HP + HC
Instantané]]/Tableau1[[#This Row],[Diff jour
Instantané]])</f>
        <v>25.856353591255846</v>
      </c>
      <c r="AD268" s="80">
        <f>Tableau1[[#This Row],[Conso HP + HC / jour_x000D_
Instantané]]*365</f>
        <v>9437.5690608083842</v>
      </c>
      <c r="AE268" s="79">
        <f>Tableau1[[#This Row],[Différence HP
Cumul]]+Tableau1[[#This Row],[Différence HC
Cumul]]</f>
        <v>18651</v>
      </c>
      <c r="AF268" s="77">
        <f>(Tableau1[[#This Row],[Conso HP + HC
Cumul]]-AE$6)/Tableau1[[#This Row],[Diff jour_x000D_
Cumul
depuis le 24/01]]</f>
        <v>35.612810350157417</v>
      </c>
      <c r="AG268" s="77">
        <f>(Tableau1[[#This Row],[Conso HP + HC
Cumul]]-AE$59)/Tableau1[[#This Row],[Diff jour_x000D_
Cumul
depuis
précédente facture
16/02/2021]]</f>
        <v>33.738654666418718</v>
      </c>
      <c r="AH268" s="80">
        <f>Tableau1[[#This Row],[Conso HP + HC
Cumul]]/(Tableau1[[#This Row],[Diff jour_x000D_
Cumul]]*24)</f>
        <v>1.587244852368622</v>
      </c>
      <c r="AI268" s="80">
        <f>Tableau1[[#This Row],[Conso HP + HC
Cumul]]/Tableau1[[#This Row],[Diff jour_x000D_
Cumul]]</f>
        <v>38.093876456846928</v>
      </c>
      <c r="AJ268" s="80">
        <f>Tableau1[[#This Row],[Conso HP + HC / jour_x000D_
Cumul]]*365</f>
        <v>13904.264906749129</v>
      </c>
      <c r="AK268" s="83">
        <f>(Tableau1[[#This Row],[Différence HP
Cumul]]*0.1799)+(Tableau1[[#This Row],[Différence HC
Cumul]]*0.1346)</f>
        <v>3100.0947000000001</v>
      </c>
      <c r="AL268" s="83">
        <f>Tableau1[[#This Row],[Montant
Tarif HP/HC]]/Tableau1[[#This Row],[Diff jour_x000D_
Cumul]]</f>
        <v>6.3318119407177065</v>
      </c>
      <c r="AM268" s="83">
        <f>(Tableau1[[#This Row],[Montant
Tarif HP/HC]]-AK$6)/Tableau1[[#This Row],[Diff jour_x000D_
Cumul
depuis le 24/01]]</f>
        <v>5.9258766304773864</v>
      </c>
      <c r="AN268" s="83">
        <f>(Tableau1[[#This Row],[Montant
Tarif HP/HC]]-AK$59)/Tableau1[[#This Row],[Diff jour_x000D_
Cumul
depuis
précédente facture
16/02/2021]]</f>
        <v>5.6133142408521461</v>
      </c>
      <c r="AO268" s="83">
        <f>Tableau1[[#This Row],[Conso HP + HC
Cumul]]*0.1599</f>
        <v>2982.2948999999999</v>
      </c>
      <c r="AP268" s="83">
        <f>Tableau1[[#This Row],[Montant
Tarif normal]]/Tableau1[[#This Row],[Diff jour_x000D_
Cumul]]</f>
        <v>6.0912108454498233</v>
      </c>
      <c r="AQ268" s="83">
        <f>(Tableau1[[#This Row],[Conso HP / an
Cumul]]*0.1799)+(Tableau1[[#This Row],[Conso HC / an_x000D_
Cumul]]*0.1346)</f>
        <v>2311.1113583619631</v>
      </c>
      <c r="AR268" s="83">
        <f>Tableau1[[#This Row],[Conso HP + HC / an_x000D_
Cumul]]*0.1599</f>
        <v>2223.2919585891855</v>
      </c>
      <c r="AS268" s="79">
        <f>MONTH(Tableau1[[#This Row],[Date]])</f>
        <v>4</v>
      </c>
      <c r="AT268" s="79">
        <f>YEAR(Tableau1[[#This Row],[Date]])</f>
        <v>2022</v>
      </c>
    </row>
    <row r="269" spans="1:46" x14ac:dyDescent="0.2">
      <c r="A269" s="74">
        <v>44673.347222222219</v>
      </c>
      <c r="B269" s="75"/>
      <c r="C269" s="76">
        <f>IF(ISERROR(Tableau1[[#This Row],[Date]]-A268),"",Tableau1[[#This Row],[Date]]-A268)</f>
        <v>1.0326388888861402</v>
      </c>
      <c r="D269" s="77">
        <f>IF(ISERROR(Tableau1[[#This Row],[Date]]-A268),"",Tableau1[[#This Row],[Date]]-A268)</f>
        <v>1.0326388888861402</v>
      </c>
      <c r="E269" s="76">
        <f>Tableau1[[#This Row],[Date]]-$A$5</f>
        <v>490.63888888888323</v>
      </c>
      <c r="F269" s="77">
        <f>Tableau1[[#This Row],[Date]]-$A$5</f>
        <v>490.63888888888323</v>
      </c>
      <c r="G269" s="77">
        <f>Tableau1[[#This Row],[Diff jour_x000D_
Cumul]]-F$6</f>
        <v>452.55555555555475</v>
      </c>
      <c r="H269" s="77">
        <f>Tableau1[[#This Row],[Diff jour_x000D_
Cumul]]-F$59</f>
        <v>430.03611111110513</v>
      </c>
      <c r="I269" s="78">
        <v>192787</v>
      </c>
      <c r="J269" s="79">
        <f>IF(ISERROR(Tableau1[[#This Row],[Index HP
kWh]]-I268),"",Tableau1[[#This Row],[Index HP
kWh]]-I268)</f>
        <v>11</v>
      </c>
      <c r="K269" s="77">
        <f>IF(ISERROR(Tableau1[[#This Row],[Différence HP
Instantané]]/(Tableau1[[#This Row],[Diff jour
Instantané]]*24)),"",Tableau1[[#This Row],[Différence HP
Instantané]]/(Tableau1[[#This Row],[Diff jour
Instantané]]*24))</f>
        <v>0.44384667115114779</v>
      </c>
      <c r="L269" s="77">
        <f>Tableau1[[#This Row],[Différence HP
Instantané]]/Tableau1[[#This Row],[Diff jour
Instantané]]</f>
        <v>10.652320107627547</v>
      </c>
      <c r="M269" s="77">
        <f>Tableau1[[#This Row],[Conso HP / jour
Instantané]]*365</f>
        <v>3888.0968392840546</v>
      </c>
      <c r="N269" s="79">
        <f>Tableau1[[#This Row],[Index HP
kWh]]-$I$5</f>
        <v>13028</v>
      </c>
      <c r="O269" s="80">
        <f>Tableau1[[#This Row],[Différence HP
Cumul]]/(Tableau1[[#This Row],[Diff jour_x000D_
Cumul]]*24)</f>
        <v>1.106380569552184</v>
      </c>
      <c r="P269" s="80">
        <f>Tableau1[[#This Row],[Différence HP
Cumul]]/Tableau1[[#This Row],[Diff jour_x000D_
Cumul]]</f>
        <v>26.553133669252414</v>
      </c>
      <c r="Q269" s="80">
        <f>Tableau1[[#This Row],[Conso HP / jour
Cumul]]*365</f>
        <v>9691.8937892771319</v>
      </c>
      <c r="R269" s="78">
        <v>125068</v>
      </c>
      <c r="S269" s="79">
        <f>Tableau1[[#This Row],[Index HC_x000D_
kWh]]-R268</f>
        <v>2</v>
      </c>
      <c r="T269" s="81">
        <f>Tableau1[[#This Row],[Différence_x000D_ HC
Instantané]]/(Tableau1[[#This Row],[Diff jour
Instantané]]*24)</f>
        <v>8.0699394754754142E-2</v>
      </c>
      <c r="U269" s="81">
        <f>Tableau1[[#This Row],[Différence_x000D_ HC
Instantané]]/Tableau1[[#This Row],[Diff jour
Instantané]]</f>
        <v>1.9367854741140995</v>
      </c>
      <c r="V269" s="81">
        <f>Tableau1[[#This Row],[Conso HC / jour_x000D_
Instantané]]*365</f>
        <v>706.92669805164633</v>
      </c>
      <c r="W269" s="79">
        <f>Tableau1[[#This Row],[Index HC_x000D_
kWh]]-$R$5</f>
        <v>5636</v>
      </c>
      <c r="X269" s="82">
        <f>Tableau1[[#This Row],[Différence HC
Cumul]]/(Tableau1[[#This Row],[Diff jour_x000D_
Cumul]]*24)</f>
        <v>0.47862763969881095</v>
      </c>
      <c r="Y269" s="82">
        <f>Tableau1[[#This Row],[Différence HC
Cumul]]/Tableau1[[#This Row],[Diff jour_x000D_
Cumul]]</f>
        <v>11.487063352771463</v>
      </c>
      <c r="Z269" s="82">
        <f>Tableau1[[#This Row],[Conso HC / jour_x000D_
Cumul]]*365</f>
        <v>4192.7781237615836</v>
      </c>
      <c r="AA269" s="79">
        <f>Tableau1[[#This Row],[Différence HP
Instantané]]+Tableau1[[#This Row],[Différence_x000D_ HC
Instantané]]</f>
        <v>13</v>
      </c>
      <c r="AB269" s="80">
        <f>Tableau1[[#This Row],[Conso HP + HC
Instantané]]/(Tableau1[[#This Row],[Diff jour
Instantané]]*24)</f>
        <v>0.52454606590590191</v>
      </c>
      <c r="AC269" s="80">
        <f>IF(ISERROR(Tableau1[[#This Row],[Date]]-A268),"",Tableau1[[#This Row],[Conso HP + HC
Instantané]]/Tableau1[[#This Row],[Diff jour
Instantané]])</f>
        <v>12.589105581741647</v>
      </c>
      <c r="AD269" s="80">
        <f>Tableau1[[#This Row],[Conso HP + HC / jour_x000D_
Instantané]]*365</f>
        <v>4595.0235373357009</v>
      </c>
      <c r="AE269" s="79">
        <f>Tableau1[[#This Row],[Différence HP
Cumul]]+Tableau1[[#This Row],[Différence HC
Cumul]]</f>
        <v>18664</v>
      </c>
      <c r="AF269" s="77">
        <f>(Tableau1[[#This Row],[Conso HP + HC
Cumul]]-AE$6)/Tableau1[[#This Row],[Diff jour_x000D_
Cumul
depuis le 24/01]]</f>
        <v>35.560274981586119</v>
      </c>
      <c r="AG269" s="77">
        <f>(Tableau1[[#This Row],[Conso HP + HC
Cumul]]-AE$59)/Tableau1[[#This Row],[Diff jour_x000D_
Cumul
depuis
précédente facture
16/02/2021]]</f>
        <v>33.687868589847575</v>
      </c>
      <c r="AH269" s="80">
        <f>Tableau1[[#This Row],[Conso HP + HC
Cumul]]/(Tableau1[[#This Row],[Diff jour_x000D_
Cumul]]*24)</f>
        <v>1.5850082092509949</v>
      </c>
      <c r="AI269" s="80">
        <f>Tableau1[[#This Row],[Conso HP + HC
Cumul]]/Tableau1[[#This Row],[Diff jour_x000D_
Cumul]]</f>
        <v>38.040197022023875</v>
      </c>
      <c r="AJ269" s="80">
        <f>Tableau1[[#This Row],[Conso HP + HC / jour_x000D_
Cumul]]*365</f>
        <v>13884.671913038714</v>
      </c>
      <c r="AK269" s="83">
        <f>(Tableau1[[#This Row],[Différence HP
Cumul]]*0.1799)+(Tableau1[[#This Row],[Différence HC
Cumul]]*0.1346)</f>
        <v>3102.3427999999999</v>
      </c>
      <c r="AL269" s="83">
        <f>Tableau1[[#This Row],[Montant
Tarif HP/HC]]/Tableau1[[#This Row],[Diff jour_x000D_
Cumul]]</f>
        <v>6.3230674743815483</v>
      </c>
      <c r="AM269" s="83">
        <f>(Tableau1[[#This Row],[Montant
Tarif HP/HC]]-AK$6)/Tableau1[[#This Row],[Diff jour_x000D_
Cumul
depuis le 24/01]]</f>
        <v>5.917322563221223</v>
      </c>
      <c r="AN269" s="83">
        <f>(Tableau1[[#This Row],[Montant
Tarif HP/HC]]-AK$59)/Tableau1[[#This Row],[Diff jour_x000D_
Cumul
depuis
précédente facture
16/02/2021]]</f>
        <v>5.6050627789656682</v>
      </c>
      <c r="AO269" s="83">
        <f>Tableau1[[#This Row],[Conso HP + HC
Cumul]]*0.1599</f>
        <v>2984.3735999999999</v>
      </c>
      <c r="AP269" s="83">
        <f>Tableau1[[#This Row],[Montant
Tarif normal]]/Tableau1[[#This Row],[Diff jour_x000D_
Cumul]]</f>
        <v>6.0826275038216178</v>
      </c>
      <c r="AQ269" s="83">
        <f>(Tableau1[[#This Row],[Conso HP / an
Cumul]]*0.1799)+(Tableau1[[#This Row],[Conso HC / an_x000D_
Cumul]]*0.1346)</f>
        <v>2307.919628149265</v>
      </c>
      <c r="AR269" s="83">
        <f>Tableau1[[#This Row],[Conso HP + HC / an_x000D_
Cumul]]*0.1599</f>
        <v>2220.1590388948903</v>
      </c>
      <c r="AS269" s="79">
        <f>MONTH(Tableau1[[#This Row],[Date]])</f>
        <v>4</v>
      </c>
      <c r="AT269" s="79">
        <f>YEAR(Tableau1[[#This Row],[Date]])</f>
        <v>2022</v>
      </c>
    </row>
    <row r="270" spans="1:46" x14ac:dyDescent="0.2">
      <c r="A270" s="74">
        <v>44674.461111111108</v>
      </c>
      <c r="B270" s="75"/>
      <c r="C270" s="76">
        <f>IF(ISERROR(Tableau1[[#This Row],[Date]]-A269),"",Tableau1[[#This Row],[Date]]-A269)</f>
        <v>1.1138888888890506</v>
      </c>
      <c r="D270" s="77">
        <f>IF(ISERROR(Tableau1[[#This Row],[Date]]-A269),"",Tableau1[[#This Row],[Date]]-A269)</f>
        <v>1.1138888888890506</v>
      </c>
      <c r="E270" s="76">
        <f>Tableau1[[#This Row],[Date]]-$A$5</f>
        <v>491.75277777777228</v>
      </c>
      <c r="F270" s="77">
        <f>Tableau1[[#This Row],[Date]]-$A$5</f>
        <v>491.75277777777228</v>
      </c>
      <c r="G270" s="77">
        <f>Tableau1[[#This Row],[Diff jour_x000D_
Cumul]]-F$6</f>
        <v>453.6694444444438</v>
      </c>
      <c r="H270" s="77">
        <f>Tableau1[[#This Row],[Diff jour_x000D_
Cumul]]-F$59</f>
        <v>431.14999999999418</v>
      </c>
      <c r="I270" s="78">
        <v>192796</v>
      </c>
      <c r="J270" s="79">
        <f>IF(ISERROR(Tableau1[[#This Row],[Index HP
kWh]]-I269),"",Tableau1[[#This Row],[Index HP
kWh]]-I269)</f>
        <v>9</v>
      </c>
      <c r="K270" s="77">
        <f>IF(ISERROR(Tableau1[[#This Row],[Différence HP
Instantané]]/(Tableau1[[#This Row],[Diff jour
Instantané]]*24)),"",Tableau1[[#This Row],[Différence HP
Instantané]]/(Tableau1[[#This Row],[Diff jour
Instantané]]*24))</f>
        <v>0.33665835411466433</v>
      </c>
      <c r="L270" s="77">
        <f>Tableau1[[#This Row],[Différence HP
Instantané]]/Tableau1[[#This Row],[Diff jour
Instantané]]</f>
        <v>8.0798004987519452</v>
      </c>
      <c r="M270" s="77">
        <f>Tableau1[[#This Row],[Conso HP / jour
Instantané]]*365</f>
        <v>2949.1271820444599</v>
      </c>
      <c r="N270" s="79">
        <f>Tableau1[[#This Row],[Index HP
kWh]]-$I$5</f>
        <v>13037</v>
      </c>
      <c r="O270" s="80">
        <f>Tableau1[[#This Row],[Différence HP
Cumul]]/(Tableau1[[#This Row],[Diff jour_x000D_
Cumul]]*24)</f>
        <v>1.104637040970238</v>
      </c>
      <c r="P270" s="80">
        <f>Tableau1[[#This Row],[Différence HP
Cumul]]/Tableau1[[#This Row],[Diff jour_x000D_
Cumul]]</f>
        <v>26.511288983285709</v>
      </c>
      <c r="Q270" s="80">
        <f>Tableau1[[#This Row],[Conso HP / jour
Cumul]]*365</f>
        <v>9676.6204788992836</v>
      </c>
      <c r="R270" s="78">
        <v>125070</v>
      </c>
      <c r="S270" s="79">
        <f>Tableau1[[#This Row],[Index HC_x000D_
kWh]]-R269</f>
        <v>2</v>
      </c>
      <c r="T270" s="81">
        <f>Tableau1[[#This Row],[Différence_x000D_ HC
Instantané]]/(Tableau1[[#This Row],[Diff jour
Instantané]]*24)</f>
        <v>7.4812967581036519E-2</v>
      </c>
      <c r="U270" s="81">
        <f>Tableau1[[#This Row],[Différence_x000D_ HC
Instantané]]/Tableau1[[#This Row],[Diff jour
Instantané]]</f>
        <v>1.7955112219448766</v>
      </c>
      <c r="V270" s="81">
        <f>Tableau1[[#This Row],[Conso HC / jour_x000D_
Instantané]]*365</f>
        <v>655.36159600987992</v>
      </c>
      <c r="W270" s="79">
        <f>Tableau1[[#This Row],[Index HC_x000D_
kWh]]-$R$5</f>
        <v>5638</v>
      </c>
      <c r="X270" s="82">
        <f>Tableau1[[#This Row],[Différence HC
Cumul]]/(Tableau1[[#This Row],[Diff jour_x000D_
Cumul]]*24)</f>
        <v>0.47771294293090444</v>
      </c>
      <c r="Y270" s="82">
        <f>Tableau1[[#This Row],[Différence HC
Cumul]]/Tableau1[[#This Row],[Diff jour_x000D_
Cumul]]</f>
        <v>11.465110630341707</v>
      </c>
      <c r="Z270" s="82">
        <f>Tableau1[[#This Row],[Conso HC / jour_x000D_
Cumul]]*365</f>
        <v>4184.765380074723</v>
      </c>
      <c r="AA270" s="79">
        <f>Tableau1[[#This Row],[Différence HP
Instantané]]+Tableau1[[#This Row],[Différence_x000D_ HC
Instantané]]</f>
        <v>11</v>
      </c>
      <c r="AB270" s="80">
        <f>Tableau1[[#This Row],[Conso HP + HC
Instantané]]/(Tableau1[[#This Row],[Diff jour
Instantané]]*24)</f>
        <v>0.41147132169570089</v>
      </c>
      <c r="AC270" s="80">
        <f>IF(ISERROR(Tableau1[[#This Row],[Date]]-A269),"",Tableau1[[#This Row],[Conso HP + HC
Instantané]]/Tableau1[[#This Row],[Diff jour
Instantané]])</f>
        <v>9.8753117206968213</v>
      </c>
      <c r="AD270" s="80">
        <f>Tableau1[[#This Row],[Conso HP + HC / jour_x000D_
Instantané]]*365</f>
        <v>3604.4887780543399</v>
      </c>
      <c r="AE270" s="79">
        <f>Tableau1[[#This Row],[Différence HP
Cumul]]+Tableau1[[#This Row],[Différence HC
Cumul]]</f>
        <v>18675</v>
      </c>
      <c r="AF270" s="77">
        <f>(Tableau1[[#This Row],[Conso HP + HC
Cumul]]-AE$6)/Tableau1[[#This Row],[Diff jour_x000D_
Cumul
depuis le 24/01]]</f>
        <v>35.497211013892937</v>
      </c>
      <c r="AG270" s="77">
        <f>(Tableau1[[#This Row],[Conso HP + HC
Cumul]]-AE$59)/Tableau1[[#This Row],[Diff jour_x000D_
Cumul
depuis
précédente facture
16/02/2021]]</f>
        <v>33.626348138699285</v>
      </c>
      <c r="AH270" s="80">
        <f>Tableau1[[#This Row],[Conso HP + HC
Cumul]]/(Tableau1[[#This Row],[Diff jour_x000D_
Cumul]]*24)</f>
        <v>1.5823499839011423</v>
      </c>
      <c r="AI270" s="80">
        <f>Tableau1[[#This Row],[Conso HP + HC
Cumul]]/Tableau1[[#This Row],[Diff jour_x000D_
Cumul]]</f>
        <v>37.976399613627414</v>
      </c>
      <c r="AJ270" s="80">
        <f>Tableau1[[#This Row],[Conso HP + HC / jour_x000D_
Cumul]]*365</f>
        <v>13861.385858974007</v>
      </c>
      <c r="AK270" s="83">
        <f>(Tableau1[[#This Row],[Différence HP
Cumul]]*0.1799)+(Tableau1[[#This Row],[Différence HC
Cumul]]*0.1346)</f>
        <v>3104.2311</v>
      </c>
      <c r="AL270" s="83">
        <f>Tableau1[[#This Row],[Montant
Tarif HP/HC]]/Tableau1[[#This Row],[Diff jour_x000D_
Cumul]]</f>
        <v>6.3125847789370928</v>
      </c>
      <c r="AM270" s="83">
        <f>(Tableau1[[#This Row],[Montant
Tarif HP/HC]]-AK$6)/Tableau1[[#This Row],[Diff jour_x000D_
Cumul
depuis le 24/01]]</f>
        <v>5.9069561170945644</v>
      </c>
      <c r="AN270" s="83">
        <f>(Tableau1[[#This Row],[Montant
Tarif HP/HC]]-AK$59)/Tableau1[[#This Row],[Diff jour_x000D_
Cumul
depuis
précédente facture
16/02/2021]]</f>
        <v>5.5949616142874463</v>
      </c>
      <c r="AO270" s="83">
        <f>Tableau1[[#This Row],[Conso HP + HC
Cumul]]*0.1599</f>
        <v>2986.1324999999997</v>
      </c>
      <c r="AP270" s="83">
        <f>Tableau1[[#This Row],[Montant
Tarif normal]]/Tableau1[[#This Row],[Diff jour_x000D_
Cumul]]</f>
        <v>6.0724262982190229</v>
      </c>
      <c r="AQ270" s="83">
        <f>(Tableau1[[#This Row],[Conso HP / an
Cumul]]*0.1799)+(Tableau1[[#This Row],[Conso HC / an_x000D_
Cumul]]*0.1346)</f>
        <v>2304.0934443120386</v>
      </c>
      <c r="AR270" s="83">
        <f>Tableau1[[#This Row],[Conso HP + HC / an_x000D_
Cumul]]*0.1599</f>
        <v>2216.4355988499433</v>
      </c>
      <c r="AS270" s="79">
        <f>MONTH(Tableau1[[#This Row],[Date]])</f>
        <v>4</v>
      </c>
      <c r="AT270" s="79">
        <f>YEAR(Tableau1[[#This Row],[Date]])</f>
        <v>2022</v>
      </c>
    </row>
    <row r="271" spans="1:46" x14ac:dyDescent="0.2">
      <c r="A271" s="74">
        <v>44675.356249999997</v>
      </c>
      <c r="B271" s="75"/>
      <c r="C271" s="76">
        <f>IF(ISERROR(Tableau1[[#This Row],[Date]]-A270),"",Tableau1[[#This Row],[Date]]-A270)</f>
        <v>0.89513888888905058</v>
      </c>
      <c r="D271" s="77">
        <f>IF(ISERROR(Tableau1[[#This Row],[Date]]-A270),"",Tableau1[[#This Row],[Date]]-A270)</f>
        <v>0.89513888888905058</v>
      </c>
      <c r="E271" s="76">
        <f>Tableau1[[#This Row],[Date]]-$A$5</f>
        <v>492.64791666666133</v>
      </c>
      <c r="F271" s="77">
        <f>Tableau1[[#This Row],[Date]]-$A$5</f>
        <v>492.64791666666133</v>
      </c>
      <c r="G271" s="77">
        <f>Tableau1[[#This Row],[Diff jour_x000D_
Cumul]]-F$6</f>
        <v>454.56458333333285</v>
      </c>
      <c r="H271" s="77">
        <f>Tableau1[[#This Row],[Diff jour_x000D_
Cumul]]-F$59</f>
        <v>432.04513888888323</v>
      </c>
      <c r="I271" s="78">
        <v>192809</v>
      </c>
      <c r="J271" s="79">
        <f>IF(ISERROR(Tableau1[[#This Row],[Index HP
kWh]]-I270),"",Tableau1[[#This Row],[Index HP
kWh]]-I270)</f>
        <v>13</v>
      </c>
      <c r="K271" s="77">
        <f>IF(ISERROR(Tableau1[[#This Row],[Différence HP
Instantané]]/(Tableau1[[#This Row],[Diff jour
Instantané]]*24)),"",Tableau1[[#This Row],[Différence HP
Instantané]]/(Tableau1[[#This Row],[Diff jour
Instantané]]*24))</f>
        <v>0.60512024825435151</v>
      </c>
      <c r="L271" s="77">
        <f>Tableau1[[#This Row],[Différence HP
Instantané]]/Tableau1[[#This Row],[Diff jour
Instantané]]</f>
        <v>14.522885958104437</v>
      </c>
      <c r="M271" s="77">
        <f>Tableau1[[#This Row],[Conso HP / jour
Instantané]]*365</f>
        <v>5300.8533747081192</v>
      </c>
      <c r="N271" s="79">
        <f>Tableau1[[#This Row],[Index HP
kWh]]-$I$5</f>
        <v>13050</v>
      </c>
      <c r="O271" s="80">
        <f>Tableau1[[#This Row],[Différence HP
Cumul]]/(Tableau1[[#This Row],[Diff jour_x000D_
Cumul]]*24)</f>
        <v>1.1037294213666913</v>
      </c>
      <c r="P271" s="80">
        <f>Tableau1[[#This Row],[Différence HP
Cumul]]/Tableau1[[#This Row],[Diff jour_x000D_
Cumul]]</f>
        <v>26.489506112800587</v>
      </c>
      <c r="Q271" s="80">
        <f>Tableau1[[#This Row],[Conso HP / jour
Cumul]]*365</f>
        <v>9668.6697311722146</v>
      </c>
      <c r="R271" s="78">
        <v>125073</v>
      </c>
      <c r="S271" s="79">
        <f>Tableau1[[#This Row],[Index HC_x000D_
kWh]]-R270</f>
        <v>3</v>
      </c>
      <c r="T271" s="81">
        <f>Tableau1[[#This Row],[Différence_x000D_ HC
Instantané]]/(Tableau1[[#This Row],[Diff jour
Instantané]]*24)</f>
        <v>0.13964313421254265</v>
      </c>
      <c r="U271" s="81">
        <f>Tableau1[[#This Row],[Différence_x000D_ HC
Instantané]]/Tableau1[[#This Row],[Diff jour
Instantané]]</f>
        <v>3.3514352211010237</v>
      </c>
      <c r="V271" s="81">
        <f>Tableau1[[#This Row],[Conso HC / jour_x000D_
Instantané]]*365</f>
        <v>1223.2738557018736</v>
      </c>
      <c r="W271" s="79">
        <f>Tableau1[[#This Row],[Index HC_x000D_
kWh]]-$R$5</f>
        <v>5641</v>
      </c>
      <c r="X271" s="82">
        <f>Tableau1[[#This Row],[Différence HC
Cumul]]/(Tableau1[[#This Row],[Diff jour_x000D_
Cumul]]*24)</f>
        <v>0.47709867171873599</v>
      </c>
      <c r="Y271" s="82">
        <f>Tableau1[[#This Row],[Différence HC
Cumul]]/Tableau1[[#This Row],[Diff jour_x000D_
Cumul]]</f>
        <v>11.450368121249664</v>
      </c>
      <c r="Z271" s="82">
        <f>Tableau1[[#This Row],[Conso HC / jour_x000D_
Cumul]]*365</f>
        <v>4179.3843642561269</v>
      </c>
      <c r="AA271" s="79">
        <f>Tableau1[[#This Row],[Différence HP
Instantané]]+Tableau1[[#This Row],[Différence_x000D_ HC
Instantané]]</f>
        <v>16</v>
      </c>
      <c r="AB271" s="80">
        <f>Tableau1[[#This Row],[Conso HP + HC
Instantané]]/(Tableau1[[#This Row],[Diff jour
Instantané]]*24)</f>
        <v>0.74476338246689422</v>
      </c>
      <c r="AC271" s="80">
        <f>IF(ISERROR(Tableau1[[#This Row],[Date]]-A270),"",Tableau1[[#This Row],[Conso HP + HC
Instantané]]/Tableau1[[#This Row],[Diff jour
Instantané]])</f>
        <v>17.874321179205459</v>
      </c>
      <c r="AD271" s="80">
        <f>Tableau1[[#This Row],[Conso HP + HC / jour_x000D_
Instantané]]*365</f>
        <v>6524.127230409993</v>
      </c>
      <c r="AE271" s="79">
        <f>Tableau1[[#This Row],[Différence HP
Cumul]]+Tableau1[[#This Row],[Différence HC
Cumul]]</f>
        <v>18691</v>
      </c>
      <c r="AF271" s="77">
        <f>(Tableau1[[#This Row],[Conso HP + HC
Cumul]]-AE$6)/Tableau1[[#This Row],[Diff jour_x000D_
Cumul
depuis le 24/01]]</f>
        <v>35.462507619471054</v>
      </c>
      <c r="AG271" s="77">
        <f>(Tableau1[[#This Row],[Conso HP + HC
Cumul]]-AE$59)/Tableau1[[#This Row],[Diff jour_x000D_
Cumul
depuis
précédente facture
16/02/2021]]</f>
        <v>33.593712076767112</v>
      </c>
      <c r="AH271" s="80">
        <f>Tableau1[[#This Row],[Conso HP + HC
Cumul]]/(Tableau1[[#This Row],[Diff jour_x000D_
Cumul]]*24)</f>
        <v>1.5808280930854273</v>
      </c>
      <c r="AI271" s="80">
        <f>Tableau1[[#This Row],[Conso HP + HC
Cumul]]/Tableau1[[#This Row],[Diff jour_x000D_
Cumul]]</f>
        <v>37.939874234050251</v>
      </c>
      <c r="AJ271" s="80">
        <f>Tableau1[[#This Row],[Conso HP + HC / jour_x000D_
Cumul]]*365</f>
        <v>13848.054095428342</v>
      </c>
      <c r="AK271" s="83">
        <f>(Tableau1[[#This Row],[Différence HP
Cumul]]*0.1799)+(Tableau1[[#This Row],[Différence HC
Cumul]]*0.1346)</f>
        <v>3106.9736000000003</v>
      </c>
      <c r="AL271" s="83">
        <f>Tableau1[[#This Row],[Montant
Tarif HP/HC]]/Tableau1[[#This Row],[Diff jour_x000D_
Cumul]]</f>
        <v>6.3066816988130308</v>
      </c>
      <c r="AM271" s="83">
        <f>(Tableau1[[#This Row],[Montant
Tarif HP/HC]]-AK$6)/Tableau1[[#This Row],[Diff jour_x000D_
Cumul
depuis le 24/01]]</f>
        <v>5.9013572512156847</v>
      </c>
      <c r="AN271" s="83">
        <f>(Tableau1[[#This Row],[Montant
Tarif HP/HC]]-AK$59)/Tableau1[[#This Row],[Diff jour_x000D_
Cumul
depuis
précédente facture
16/02/2021]]</f>
        <v>5.5897173295615099</v>
      </c>
      <c r="AO271" s="83">
        <f>Tableau1[[#This Row],[Conso HP + HC
Cumul]]*0.1599</f>
        <v>2988.6908999999996</v>
      </c>
      <c r="AP271" s="83">
        <f>Tableau1[[#This Row],[Montant
Tarif normal]]/Tableau1[[#This Row],[Diff jour_x000D_
Cumul]]</f>
        <v>6.0665858900246343</v>
      </c>
      <c r="AQ271" s="83">
        <f>(Tableau1[[#This Row],[Conso HP / an
Cumul]]*0.1799)+(Tableau1[[#This Row],[Conso HC / an_x000D_
Cumul]]*0.1346)</f>
        <v>2301.9388200667563</v>
      </c>
      <c r="AR271" s="83">
        <f>Tableau1[[#This Row],[Conso HP + HC / an_x000D_
Cumul]]*0.1599</f>
        <v>2214.3038498589917</v>
      </c>
      <c r="AS271" s="79">
        <f>MONTH(Tableau1[[#This Row],[Date]])</f>
        <v>4</v>
      </c>
      <c r="AT271" s="79">
        <f>YEAR(Tableau1[[#This Row],[Date]])</f>
        <v>2022</v>
      </c>
    </row>
    <row r="272" spans="1:46" x14ac:dyDescent="0.2">
      <c r="A272" s="74">
        <v>44677.357638888891</v>
      </c>
      <c r="B272" s="75"/>
      <c r="C272" s="76">
        <f>IF(ISERROR(Tableau1[[#This Row],[Date]]-A271),"",Tableau1[[#This Row],[Date]]-A271)</f>
        <v>2.0013888888934162</v>
      </c>
      <c r="D272" s="77">
        <f>IF(ISERROR(Tableau1[[#This Row],[Date]]-A271),"",Tableau1[[#This Row],[Date]]-A271)</f>
        <v>2.0013888888934162</v>
      </c>
      <c r="E272" s="76">
        <f>Tableau1[[#This Row],[Date]]-$A$5</f>
        <v>494.64930555555475</v>
      </c>
      <c r="F272" s="77">
        <f>Tableau1[[#This Row],[Date]]-$A$5</f>
        <v>494.64930555555475</v>
      </c>
      <c r="G272" s="77">
        <f>Tableau1[[#This Row],[Diff jour_x000D_
Cumul]]-F$6</f>
        <v>456.56597222222626</v>
      </c>
      <c r="H272" s="77">
        <f>Tableau1[[#This Row],[Diff jour_x000D_
Cumul]]-F$59</f>
        <v>434.04652777777665</v>
      </c>
      <c r="I272" s="78">
        <v>192845</v>
      </c>
      <c r="J272" s="79">
        <f>IF(ISERROR(Tableau1[[#This Row],[Index HP
kWh]]-I271),"",Tableau1[[#This Row],[Index HP
kWh]]-I271)</f>
        <v>36</v>
      </c>
      <c r="K272" s="77">
        <f>IF(ISERROR(Tableau1[[#This Row],[Différence HP
Instantané]]/(Tableau1[[#This Row],[Diff jour
Instantané]]*24)),"",Tableau1[[#This Row],[Différence HP
Instantané]]/(Tableau1[[#This Row],[Diff jour
Instantané]]*24))</f>
        <v>0.74947952810378693</v>
      </c>
      <c r="L272" s="77">
        <f>Tableau1[[#This Row],[Différence HP
Instantané]]/Tableau1[[#This Row],[Diff jour
Instantané]]</f>
        <v>17.987508674490886</v>
      </c>
      <c r="M272" s="77">
        <f>Tableau1[[#This Row],[Conso HP / jour
Instantané]]*365</f>
        <v>6565.4406661891735</v>
      </c>
      <c r="N272" s="79">
        <f>Tableau1[[#This Row],[Index HP
kWh]]-$I$5</f>
        <v>13086</v>
      </c>
      <c r="O272" s="80">
        <f>Tableau1[[#This Row],[Différence HP
Cumul]]/(Tableau1[[#This Row],[Diff jour_x000D_
Cumul]]*24)</f>
        <v>1.1022960992285518</v>
      </c>
      <c r="P272" s="80">
        <f>Tableau1[[#This Row],[Différence HP
Cumul]]/Tableau1[[#This Row],[Diff jour_x000D_
Cumul]]</f>
        <v>26.455106381485244</v>
      </c>
      <c r="Q272" s="80">
        <f>Tableau1[[#This Row],[Conso HP / jour
Cumul]]*365</f>
        <v>9656.1138292421147</v>
      </c>
      <c r="R272" s="78">
        <v>125080</v>
      </c>
      <c r="S272" s="79">
        <f>Tableau1[[#This Row],[Index HC_x000D_
kWh]]-R271</f>
        <v>7</v>
      </c>
      <c r="T272" s="81">
        <f>Tableau1[[#This Row],[Différence_x000D_ HC
Instantané]]/(Tableau1[[#This Row],[Diff jour
Instantané]]*24)</f>
        <v>0.14573213046462524</v>
      </c>
      <c r="U272" s="81">
        <f>Tableau1[[#This Row],[Différence_x000D_ HC
Instantané]]/Tableau1[[#This Row],[Diff jour
Instantané]]</f>
        <v>3.4975711311510058</v>
      </c>
      <c r="V272" s="81">
        <f>Tableau1[[#This Row],[Conso HC / jour_x000D_
Instantané]]*365</f>
        <v>1276.613462870117</v>
      </c>
      <c r="W272" s="79">
        <f>Tableau1[[#This Row],[Index HC_x000D_
kWh]]-$R$5</f>
        <v>5648</v>
      </c>
      <c r="X272" s="82">
        <f>Tableau1[[#This Row],[Différence HC
Cumul]]/(Tableau1[[#This Row],[Diff jour_x000D_
Cumul]]*24)</f>
        <v>0.475757937371455</v>
      </c>
      <c r="Y272" s="82">
        <f>Tableau1[[#This Row],[Différence HC
Cumul]]/Tableau1[[#This Row],[Diff jour_x000D_
Cumul]]</f>
        <v>11.418190496914921</v>
      </c>
      <c r="Z272" s="82">
        <f>Tableau1[[#This Row],[Conso HC / jour_x000D_
Cumul]]*365</f>
        <v>4167.6395313739458</v>
      </c>
      <c r="AA272" s="79">
        <f>Tableau1[[#This Row],[Différence HP
Instantané]]+Tableau1[[#This Row],[Différence_x000D_ HC
Instantané]]</f>
        <v>43</v>
      </c>
      <c r="AB272" s="80">
        <f>Tableau1[[#This Row],[Conso HP + HC
Instantané]]/(Tableau1[[#This Row],[Diff jour
Instantané]]*24)</f>
        <v>0.89521165856841223</v>
      </c>
      <c r="AC272" s="80">
        <f>IF(ISERROR(Tableau1[[#This Row],[Date]]-A271),"",Tableau1[[#This Row],[Conso HP + HC
Instantané]]/Tableau1[[#This Row],[Diff jour
Instantané]])</f>
        <v>21.485079805641892</v>
      </c>
      <c r="AD272" s="80">
        <f>Tableau1[[#This Row],[Conso HP + HC / jour_x000D_
Instantané]]*365</f>
        <v>7842.0541290592901</v>
      </c>
      <c r="AE272" s="79">
        <f>Tableau1[[#This Row],[Différence HP
Cumul]]+Tableau1[[#This Row],[Différence HC
Cumul]]</f>
        <v>18734</v>
      </c>
      <c r="AF272" s="77">
        <f>(Tableau1[[#This Row],[Conso HP + HC
Cumul]]-AE$6)/Tableau1[[#This Row],[Diff jour_x000D_
Cumul
depuis le 24/01]]</f>
        <v>35.401236586534125</v>
      </c>
      <c r="AG272" s="77">
        <f>(Tableau1[[#This Row],[Conso HP + HC
Cumul]]-AE$59)/Tableau1[[#This Row],[Diff jour_x000D_
Cumul
depuis
précédente facture
16/02/2021]]</f>
        <v>33.537879163620218</v>
      </c>
      <c r="AH272" s="80">
        <f>Tableau1[[#This Row],[Conso HP + HC
Cumul]]/(Tableau1[[#This Row],[Diff jour_x000D_
Cumul]]*24)</f>
        <v>1.5780540366000069</v>
      </c>
      <c r="AI272" s="80">
        <f>Tableau1[[#This Row],[Conso HP + HC
Cumul]]/Tableau1[[#This Row],[Diff jour_x000D_
Cumul]]</f>
        <v>37.873296878400161</v>
      </c>
      <c r="AJ272" s="80">
        <f>Tableau1[[#This Row],[Conso HP + HC / jour_x000D_
Cumul]]*365</f>
        <v>13823.75336061606</v>
      </c>
      <c r="AK272" s="83">
        <f>(Tableau1[[#This Row],[Différence HP
Cumul]]*0.1799)+(Tableau1[[#This Row],[Différence HC
Cumul]]*0.1346)</f>
        <v>3114.3922000000002</v>
      </c>
      <c r="AL272" s="83">
        <f>Tableau1[[#This Row],[Montant
Tarif HP/HC]]/Tableau1[[#This Row],[Diff jour_x000D_
Cumul]]</f>
        <v>6.2961620789139436</v>
      </c>
      <c r="AM272" s="83">
        <f>(Tableau1[[#This Row],[Montant
Tarif HP/HC]]-AK$6)/Tableau1[[#This Row],[Diff jour_x000D_
Cumul
depuis le 24/01]]</f>
        <v>5.8917369310446581</v>
      </c>
      <c r="AN272" s="83">
        <f>(Tableau1[[#This Row],[Montant
Tarif HP/HC]]-AK$59)/Tableau1[[#This Row],[Diff jour_x000D_
Cumul
depuis
précédente facture
16/02/2021]]</f>
        <v>5.5810348544943009</v>
      </c>
      <c r="AO272" s="83">
        <f>Tableau1[[#This Row],[Conso HP + HC
Cumul]]*0.1599</f>
        <v>2995.5665999999997</v>
      </c>
      <c r="AP272" s="83">
        <f>Tableau1[[#This Row],[Montant
Tarif normal]]/Tableau1[[#This Row],[Diff jour_x000D_
Cumul]]</f>
        <v>6.0559401708561857</v>
      </c>
      <c r="AQ272" s="83">
        <f>(Tableau1[[#This Row],[Conso HP / an
Cumul]]*0.1799)+(Tableau1[[#This Row],[Conso HC / an_x000D_
Cumul]]*0.1346)</f>
        <v>2298.0991588035895</v>
      </c>
      <c r="AR272" s="83">
        <f>Tableau1[[#This Row],[Conso HP + HC / an_x000D_
Cumul]]*0.1599</f>
        <v>2210.4181623625077</v>
      </c>
      <c r="AS272" s="79">
        <f>MONTH(Tableau1[[#This Row],[Date]])</f>
        <v>4</v>
      </c>
      <c r="AT272" s="79">
        <f>YEAR(Tableau1[[#This Row],[Date]])</f>
        <v>2022</v>
      </c>
    </row>
    <row r="273" spans="1:46" x14ac:dyDescent="0.2">
      <c r="A273" s="74">
        <v>44678.388888888891</v>
      </c>
      <c r="B273" s="75"/>
      <c r="C273" s="76">
        <f>IF(ISERROR(Tableau1[[#This Row],[Date]]-A272),"",Tableau1[[#This Row],[Date]]-A272)</f>
        <v>1.03125</v>
      </c>
      <c r="D273" s="77">
        <f>IF(ISERROR(Tableau1[[#This Row],[Date]]-A272),"",Tableau1[[#This Row],[Date]]-A272)</f>
        <v>1.03125</v>
      </c>
      <c r="E273" s="76">
        <f>Tableau1[[#This Row],[Date]]-$A$5</f>
        <v>495.68055555555475</v>
      </c>
      <c r="F273" s="77">
        <f>Tableau1[[#This Row],[Date]]-$A$5</f>
        <v>495.68055555555475</v>
      </c>
      <c r="G273" s="77">
        <f>Tableau1[[#This Row],[Diff jour_x000D_
Cumul]]-F$6</f>
        <v>457.59722222222626</v>
      </c>
      <c r="H273" s="77">
        <f>Tableau1[[#This Row],[Diff jour_x000D_
Cumul]]-F$59</f>
        <v>435.07777777777665</v>
      </c>
      <c r="I273" s="78">
        <v>192867</v>
      </c>
      <c r="J273" s="79">
        <f>IF(ISERROR(Tableau1[[#This Row],[Index HP
kWh]]-I272),"",Tableau1[[#This Row],[Index HP
kWh]]-I272)</f>
        <v>22</v>
      </c>
      <c r="K273" s="77">
        <f>IF(ISERROR(Tableau1[[#This Row],[Différence HP
Instantané]]/(Tableau1[[#This Row],[Diff jour
Instantané]]*24)),"",Tableau1[[#This Row],[Différence HP
Instantané]]/(Tableau1[[#This Row],[Diff jour
Instantané]]*24))</f>
        <v>0.88888888888888884</v>
      </c>
      <c r="L273" s="77">
        <f>Tableau1[[#This Row],[Différence HP
Instantané]]/Tableau1[[#This Row],[Diff jour
Instantané]]</f>
        <v>21.333333333333332</v>
      </c>
      <c r="M273" s="77">
        <f>Tableau1[[#This Row],[Conso HP / jour
Instantané]]*365</f>
        <v>7786.6666666666661</v>
      </c>
      <c r="N273" s="79">
        <f>Tableau1[[#This Row],[Index HP
kWh]]-$I$5</f>
        <v>13108</v>
      </c>
      <c r="O273" s="80">
        <f>Tableau1[[#This Row],[Différence HP
Cumul]]/(Tableau1[[#This Row],[Diff jour_x000D_
Cumul]]*24)</f>
        <v>1.1018521112947985</v>
      </c>
      <c r="P273" s="80">
        <f>Tableau1[[#This Row],[Différence HP
Cumul]]/Tableau1[[#This Row],[Diff jour_x000D_
Cumul]]</f>
        <v>26.444450671075163</v>
      </c>
      <c r="Q273" s="80">
        <f>Tableau1[[#This Row],[Conso HP / jour
Cumul]]*365</f>
        <v>9652.2244949424348</v>
      </c>
      <c r="R273" s="78">
        <v>125085</v>
      </c>
      <c r="S273" s="79">
        <f>Tableau1[[#This Row],[Index HC_x000D_
kWh]]-R272</f>
        <v>5</v>
      </c>
      <c r="T273" s="81">
        <f>Tableau1[[#This Row],[Différence_x000D_ HC
Instantané]]/(Tableau1[[#This Row],[Diff jour
Instantané]]*24)</f>
        <v>0.20202020202020202</v>
      </c>
      <c r="U273" s="81">
        <f>Tableau1[[#This Row],[Différence_x000D_ HC
Instantané]]/Tableau1[[#This Row],[Diff jour
Instantané]]</f>
        <v>4.8484848484848486</v>
      </c>
      <c r="V273" s="81">
        <f>Tableau1[[#This Row],[Conso HC / jour_x000D_
Instantané]]*365</f>
        <v>1769.6969696969697</v>
      </c>
      <c r="W273" s="79">
        <f>Tableau1[[#This Row],[Index HC_x000D_
kWh]]-$R$5</f>
        <v>5653</v>
      </c>
      <c r="X273" s="82">
        <f>Tableau1[[#This Row],[Différence HC
Cumul]]/(Tableau1[[#This Row],[Diff jour_x000D_
Cumul]]*24)</f>
        <v>0.47518843341085565</v>
      </c>
      <c r="Y273" s="82">
        <f>Tableau1[[#This Row],[Différence HC
Cumul]]/Tableau1[[#This Row],[Diff jour_x000D_
Cumul]]</f>
        <v>11.404522401860536</v>
      </c>
      <c r="Z273" s="82">
        <f>Tableau1[[#This Row],[Conso HC / jour_x000D_
Cumul]]*365</f>
        <v>4162.6506766790953</v>
      </c>
      <c r="AA273" s="79">
        <f>Tableau1[[#This Row],[Différence HP
Instantané]]+Tableau1[[#This Row],[Différence_x000D_ HC
Instantané]]</f>
        <v>27</v>
      </c>
      <c r="AB273" s="80">
        <f>Tableau1[[#This Row],[Conso HP + HC
Instantané]]/(Tableau1[[#This Row],[Diff jour
Instantané]]*24)</f>
        <v>1.0909090909090908</v>
      </c>
      <c r="AC273" s="80">
        <f>IF(ISERROR(Tableau1[[#This Row],[Date]]-A272),"",Tableau1[[#This Row],[Conso HP + HC
Instantané]]/Tableau1[[#This Row],[Diff jour
Instantané]])</f>
        <v>26.181818181818183</v>
      </c>
      <c r="AD273" s="80">
        <f>Tableau1[[#This Row],[Conso HP + HC / jour_x000D_
Instantané]]*365</f>
        <v>9556.3636363636379</v>
      </c>
      <c r="AE273" s="79">
        <f>Tableau1[[#This Row],[Différence HP
Cumul]]+Tableau1[[#This Row],[Différence HC
Cumul]]</f>
        <v>18761</v>
      </c>
      <c r="AF273" s="77">
        <f>(Tableau1[[#This Row],[Conso HP + HC
Cumul]]-AE$6)/Tableau1[[#This Row],[Diff jour_x000D_
Cumul
depuis le 24/01]]</f>
        <v>35.380459525904932</v>
      </c>
      <c r="AG273" s="77">
        <f>(Tableau1[[#This Row],[Conso HP + HC
Cumul]]-AE$59)/Tableau1[[#This Row],[Diff jour_x000D_
Cumul
depuis
précédente facture
16/02/2021]]</f>
        <v>33.520443343463583</v>
      </c>
      <c r="AH273" s="80">
        <f>Tableau1[[#This Row],[Conso HP + HC
Cumul]]/(Tableau1[[#This Row],[Diff jour_x000D_
Cumul]]*24)</f>
        <v>1.5770405447056541</v>
      </c>
      <c r="AI273" s="80">
        <f>Tableau1[[#This Row],[Conso HP + HC
Cumul]]/Tableau1[[#This Row],[Diff jour_x000D_
Cumul]]</f>
        <v>37.848973072935699</v>
      </c>
      <c r="AJ273" s="80">
        <f>Tableau1[[#This Row],[Conso HP + HC / jour_x000D_
Cumul]]*365</f>
        <v>13814.87517162153</v>
      </c>
      <c r="AK273" s="83">
        <f>(Tableau1[[#This Row],[Différence HP
Cumul]]*0.1799)+(Tableau1[[#This Row],[Différence HC
Cumul]]*0.1346)</f>
        <v>3119.0229999999997</v>
      </c>
      <c r="AL273" s="83">
        <f>Tableau1[[#This Row],[Montant
Tarif HP/HC]]/Tableau1[[#This Row],[Diff jour_x000D_
Cumul]]</f>
        <v>6.2924053910168496</v>
      </c>
      <c r="AM273" s="83">
        <f>(Tableau1[[#This Row],[Montant
Tarif HP/HC]]-AK$6)/Tableau1[[#This Row],[Diff jour_x000D_
Cumul
depuis le 24/01]]</f>
        <v>5.8885790147812624</v>
      </c>
      <c r="AN273" s="83">
        <f>(Tableau1[[#This Row],[Montant
Tarif HP/HC]]-AK$59)/Tableau1[[#This Row],[Diff jour_x000D_
Cumul
depuis
précédente facture
16/02/2021]]</f>
        <v>5.5784499323237364</v>
      </c>
      <c r="AO273" s="83">
        <f>Tableau1[[#This Row],[Conso HP + HC
Cumul]]*0.1599</f>
        <v>2999.8838999999998</v>
      </c>
      <c r="AP273" s="83">
        <f>Tableau1[[#This Row],[Montant
Tarif normal]]/Tableau1[[#This Row],[Diff jour_x000D_
Cumul]]</f>
        <v>6.052050794362418</v>
      </c>
      <c r="AQ273" s="83">
        <f>(Tableau1[[#This Row],[Conso HP / an
Cumul]]*0.1799)+(Tableau1[[#This Row],[Conso HC / an_x000D_
Cumul]]*0.1346)</f>
        <v>2296.7279677211504</v>
      </c>
      <c r="AR273" s="83">
        <f>Tableau1[[#This Row],[Conso HP + HC / an_x000D_
Cumul]]*0.1599</f>
        <v>2208.9985399422826</v>
      </c>
      <c r="AS273" s="79">
        <f>MONTH(Tableau1[[#This Row],[Date]])</f>
        <v>4</v>
      </c>
      <c r="AT273" s="79">
        <f>YEAR(Tableau1[[#This Row],[Date]])</f>
        <v>2022</v>
      </c>
    </row>
    <row r="274" spans="1:46" x14ac:dyDescent="0.2">
      <c r="A274" s="74">
        <v>44679.313888888886</v>
      </c>
      <c r="B274" s="75"/>
      <c r="C274" s="76">
        <f>IF(ISERROR(Tableau1[[#This Row],[Date]]-A273),"",Tableau1[[#This Row],[Date]]-A273)</f>
        <v>0.92499999999563443</v>
      </c>
      <c r="D274" s="77">
        <f>IF(ISERROR(Tableau1[[#This Row],[Date]]-A273),"",Tableau1[[#This Row],[Date]]-A273)</f>
        <v>0.92499999999563443</v>
      </c>
      <c r="E274" s="76">
        <f>Tableau1[[#This Row],[Date]]-$A$5</f>
        <v>496.60555555555038</v>
      </c>
      <c r="F274" s="77">
        <f>Tableau1[[#This Row],[Date]]-$A$5</f>
        <v>496.60555555555038</v>
      </c>
      <c r="G274" s="77">
        <f>Tableau1[[#This Row],[Diff jour_x000D_
Cumul]]-F$6</f>
        <v>458.5222222222219</v>
      </c>
      <c r="H274" s="77">
        <f>Tableau1[[#This Row],[Diff jour_x000D_
Cumul]]-F$59</f>
        <v>436.00277777777228</v>
      </c>
      <c r="I274" s="78">
        <v>192878</v>
      </c>
      <c r="J274" s="79">
        <f>IF(ISERROR(Tableau1[[#This Row],[Index HP
kWh]]-I273),"",Tableau1[[#This Row],[Index HP
kWh]]-I273)</f>
        <v>11</v>
      </c>
      <c r="K274" s="77">
        <f>IF(ISERROR(Tableau1[[#This Row],[Différence HP
Instantané]]/(Tableau1[[#This Row],[Diff jour
Instantané]]*24)),"",Tableau1[[#This Row],[Différence HP
Instantané]]/(Tableau1[[#This Row],[Diff jour
Instantané]]*24))</f>
        <v>0.495495495497834</v>
      </c>
      <c r="L274" s="77">
        <f>Tableau1[[#This Row],[Différence HP
Instantané]]/Tableau1[[#This Row],[Diff jour
Instantané]]</f>
        <v>11.891891891948017</v>
      </c>
      <c r="M274" s="77">
        <f>Tableau1[[#This Row],[Conso HP / jour
Instantané]]*365</f>
        <v>4340.5405405610263</v>
      </c>
      <c r="N274" s="79">
        <f>Tableau1[[#This Row],[Index HP
kWh]]-$I$5</f>
        <v>13119</v>
      </c>
      <c r="O274" s="80">
        <f>Tableau1[[#This Row],[Différence HP
Cumul]]/(Tableau1[[#This Row],[Diff jour_x000D_
Cumul]]*24)</f>
        <v>1.1007226839991613</v>
      </c>
      <c r="P274" s="80">
        <f>Tableau1[[#This Row],[Différence HP
Cumul]]/Tableau1[[#This Row],[Diff jour_x000D_
Cumul]]</f>
        <v>26.417344415979869</v>
      </c>
      <c r="Q274" s="80">
        <f>Tableau1[[#This Row],[Conso HP / jour
Cumul]]*365</f>
        <v>9642.330711832652</v>
      </c>
      <c r="R274" s="78">
        <v>125087</v>
      </c>
      <c r="S274" s="79">
        <f>Tableau1[[#This Row],[Index HC_x000D_
kWh]]-R273</f>
        <v>2</v>
      </c>
      <c r="T274" s="81">
        <f>Tableau1[[#This Row],[Différence_x000D_ HC
Instantané]]/(Tableau1[[#This Row],[Diff jour
Instantané]]*24)</f>
        <v>9.0090090090515274E-2</v>
      </c>
      <c r="U274" s="81">
        <f>Tableau1[[#This Row],[Différence_x000D_ HC
Instantané]]/Tableau1[[#This Row],[Diff jour
Instantané]]</f>
        <v>2.1621621621723666</v>
      </c>
      <c r="V274" s="81">
        <f>Tableau1[[#This Row],[Conso HC / jour_x000D_
Instantané]]*365</f>
        <v>789.18918919291377</v>
      </c>
      <c r="W274" s="79">
        <f>Tableau1[[#This Row],[Index HC_x000D_
kWh]]-$R$5</f>
        <v>5655</v>
      </c>
      <c r="X274" s="82">
        <f>Tableau1[[#This Row],[Différence HC
Cumul]]/(Tableau1[[#This Row],[Diff jour_x000D_
Cumul]]*24)</f>
        <v>0.47447113179474482</v>
      </c>
      <c r="Y274" s="82">
        <f>Tableau1[[#This Row],[Différence HC
Cumul]]/Tableau1[[#This Row],[Diff jour_x000D_
Cumul]]</f>
        <v>11.387307163073874</v>
      </c>
      <c r="Z274" s="82">
        <f>Tableau1[[#This Row],[Conso HC / jour_x000D_
Cumul]]*365</f>
        <v>4156.3671145219641</v>
      </c>
      <c r="AA274" s="79">
        <f>Tableau1[[#This Row],[Différence HP
Instantané]]+Tableau1[[#This Row],[Différence_x000D_ HC
Instantané]]</f>
        <v>13</v>
      </c>
      <c r="AB274" s="80">
        <f>Tableau1[[#This Row],[Conso HP + HC
Instantané]]/(Tableau1[[#This Row],[Diff jour
Instantané]]*24)</f>
        <v>0.58558558558834928</v>
      </c>
      <c r="AC274" s="80">
        <f>IF(ISERROR(Tableau1[[#This Row],[Date]]-A273),"",Tableau1[[#This Row],[Conso HP + HC
Instantané]]/Tableau1[[#This Row],[Diff jour
Instantané]])</f>
        <v>14.054054054120384</v>
      </c>
      <c r="AD274" s="80">
        <f>Tableau1[[#This Row],[Conso HP + HC / jour_x000D_
Instantané]]*365</f>
        <v>5129.7297297539399</v>
      </c>
      <c r="AE274" s="79">
        <f>Tableau1[[#This Row],[Différence HP
Cumul]]+Tableau1[[#This Row],[Différence HC
Cumul]]</f>
        <v>18774</v>
      </c>
      <c r="AF274" s="77">
        <f>(Tableau1[[#This Row],[Conso HP + HC
Cumul]]-AE$6)/Tableau1[[#This Row],[Diff jour_x000D_
Cumul
depuis le 24/01]]</f>
        <v>35.337436692756953</v>
      </c>
      <c r="AG274" s="77">
        <f>(Tableau1[[#This Row],[Conso HP + HC
Cumul]]-AE$59)/Tableau1[[#This Row],[Diff jour_x000D_
Cumul
depuis
précédente facture
16/02/2021]]</f>
        <v>33.479144500863697</v>
      </c>
      <c r="AH274" s="80">
        <f>Tableau1[[#This Row],[Conso HP + HC
Cumul]]/(Tableau1[[#This Row],[Diff jour_x000D_
Cumul]]*24)</f>
        <v>1.575193815793906</v>
      </c>
      <c r="AI274" s="80">
        <f>Tableau1[[#This Row],[Conso HP + HC
Cumul]]/Tableau1[[#This Row],[Diff jour_x000D_
Cumul]]</f>
        <v>37.804651579053747</v>
      </c>
      <c r="AJ274" s="80">
        <f>Tableau1[[#This Row],[Conso HP + HC / jour_x000D_
Cumul]]*365</f>
        <v>13798.697826354617</v>
      </c>
      <c r="AK274" s="83">
        <f>(Tableau1[[#This Row],[Différence HP
Cumul]]*0.1799)+(Tableau1[[#This Row],[Différence HC
Cumul]]*0.1346)</f>
        <v>3121.2710999999999</v>
      </c>
      <c r="AL274" s="83">
        <f>Tableau1[[#This Row],[Montant
Tarif HP/HC]]/Tableau1[[#This Row],[Diff jour_x000D_
Cumul]]</f>
        <v>6.285211804584522</v>
      </c>
      <c r="AM274" s="83">
        <f>(Tableau1[[#This Row],[Montant
Tarif HP/HC]]-AK$6)/Tableau1[[#This Row],[Diff jour_x000D_
Cumul
depuis le 24/01]]</f>
        <v>5.8816026122567706</v>
      </c>
      <c r="AN274" s="83">
        <f>(Tableau1[[#This Row],[Montant
Tarif HP/HC]]-AK$59)/Tableau1[[#This Row],[Diff jour_x000D_
Cumul
depuis
précédente facture
16/02/2021]]</f>
        <v>5.5717711533438941</v>
      </c>
      <c r="AO274" s="83">
        <f>Tableau1[[#This Row],[Conso HP + HC
Cumul]]*0.1599</f>
        <v>3001.9625999999998</v>
      </c>
      <c r="AP274" s="83">
        <f>Tableau1[[#This Row],[Montant
Tarif normal]]/Tableau1[[#This Row],[Diff jour_x000D_
Cumul]]</f>
        <v>6.0449637874906932</v>
      </c>
      <c r="AQ274" s="83">
        <f>(Tableau1[[#This Row],[Conso HP / an
Cumul]]*0.1799)+(Tableau1[[#This Row],[Conso HC / an_x000D_
Cumul]]*0.1346)</f>
        <v>2294.1023086733503</v>
      </c>
      <c r="AR274" s="83">
        <f>Tableau1[[#This Row],[Conso HP + HC / an_x000D_
Cumul]]*0.1599</f>
        <v>2206.4117824341029</v>
      </c>
      <c r="AS274" s="79">
        <f>MONTH(Tableau1[[#This Row],[Date]])</f>
        <v>4</v>
      </c>
      <c r="AT274" s="79">
        <f>YEAR(Tableau1[[#This Row],[Date]])</f>
        <v>2022</v>
      </c>
    </row>
    <row r="275" spans="1:46" x14ac:dyDescent="0.2">
      <c r="A275" s="74">
        <v>44680.336111111108</v>
      </c>
      <c r="B275" s="75"/>
      <c r="C275" s="76">
        <f>IF(ISERROR(Tableau1[[#This Row],[Date]]-A274),"",Tableau1[[#This Row],[Date]]-A274)</f>
        <v>1.0222222222218988</v>
      </c>
      <c r="D275" s="77">
        <f>IF(ISERROR(Tableau1[[#This Row],[Date]]-A274),"",Tableau1[[#This Row],[Date]]-A274)</f>
        <v>1.0222222222218988</v>
      </c>
      <c r="E275" s="76">
        <f>Tableau1[[#This Row],[Date]]-$A$5</f>
        <v>497.62777777777228</v>
      </c>
      <c r="F275" s="77">
        <f>Tableau1[[#This Row],[Date]]-$A$5</f>
        <v>497.62777777777228</v>
      </c>
      <c r="G275" s="77">
        <f>Tableau1[[#This Row],[Diff jour_x000D_
Cumul]]-F$6</f>
        <v>459.5444444444438</v>
      </c>
      <c r="H275" s="77">
        <f>Tableau1[[#This Row],[Diff jour_x000D_
Cumul]]-F$59</f>
        <v>437.02499999999418</v>
      </c>
      <c r="I275" s="78">
        <v>192886</v>
      </c>
      <c r="J275" s="79">
        <f>IF(ISERROR(Tableau1[[#This Row],[Index HP
kWh]]-I274),"",Tableau1[[#This Row],[Index HP
kWh]]-I274)</f>
        <v>8</v>
      </c>
      <c r="K275" s="77">
        <f>IF(ISERROR(Tableau1[[#This Row],[Différence HP
Instantané]]/(Tableau1[[#This Row],[Diff jour
Instantané]]*24)),"",Tableau1[[#This Row],[Différence HP
Instantané]]/(Tableau1[[#This Row],[Diff jour
Instantané]]*24))</f>
        <v>0.32608695652184227</v>
      </c>
      <c r="L275" s="77">
        <f>Tableau1[[#This Row],[Différence HP
Instantané]]/Tableau1[[#This Row],[Diff jour
Instantané]]</f>
        <v>7.8260869565242146</v>
      </c>
      <c r="M275" s="77">
        <f>Tableau1[[#This Row],[Conso HP / jour
Instantané]]*365</f>
        <v>2856.5217391313381</v>
      </c>
      <c r="N275" s="79">
        <f>Tableau1[[#This Row],[Index HP
kWh]]-$I$5</f>
        <v>13127</v>
      </c>
      <c r="O275" s="80">
        <f>Tableau1[[#This Row],[Différence HP
Cumul]]/(Tableau1[[#This Row],[Diff jour_x000D_
Cumul]]*24)</f>
        <v>1.0991314346957353</v>
      </c>
      <c r="P275" s="80">
        <f>Tableau1[[#This Row],[Différence HP
Cumul]]/Tableau1[[#This Row],[Diff jour_x000D_
Cumul]]</f>
        <v>26.379154432697643</v>
      </c>
      <c r="Q275" s="80">
        <f>Tableau1[[#This Row],[Conso HP / jour
Cumul]]*365</f>
        <v>9628.3913679346388</v>
      </c>
      <c r="R275" s="78">
        <v>125090</v>
      </c>
      <c r="S275" s="79">
        <f>Tableau1[[#This Row],[Index HC_x000D_
kWh]]-R274</f>
        <v>3</v>
      </c>
      <c r="T275" s="81">
        <f>Tableau1[[#This Row],[Différence_x000D_ HC
Instantané]]/(Tableau1[[#This Row],[Diff jour
Instantané]]*24)</f>
        <v>0.12228260869569085</v>
      </c>
      <c r="U275" s="81">
        <f>Tableau1[[#This Row],[Différence_x000D_ HC
Instantané]]/Tableau1[[#This Row],[Diff jour
Instantané]]</f>
        <v>2.9347826086965805</v>
      </c>
      <c r="V275" s="81">
        <f>Tableau1[[#This Row],[Conso HC / jour_x000D_
Instantané]]*365</f>
        <v>1071.1956521742518</v>
      </c>
      <c r="W275" s="79">
        <f>Tableau1[[#This Row],[Index HC_x000D_
kWh]]-$R$5</f>
        <v>5658</v>
      </c>
      <c r="X275" s="82">
        <f>Tableau1[[#This Row],[Différence HC
Cumul]]/(Tableau1[[#This Row],[Diff jour_x000D_
Cumul]]*24)</f>
        <v>0.47374766949862646</v>
      </c>
      <c r="Y275" s="82">
        <f>Tableau1[[#This Row],[Différence HC
Cumul]]/Tableau1[[#This Row],[Diff jour_x000D_
Cumul]]</f>
        <v>11.369944067967035</v>
      </c>
      <c r="Z275" s="82">
        <f>Tableau1[[#This Row],[Conso HC / jour_x000D_
Cumul]]*365</f>
        <v>4150.0295848079677</v>
      </c>
      <c r="AA275" s="79">
        <f>Tableau1[[#This Row],[Différence HP
Instantané]]+Tableau1[[#This Row],[Différence_x000D_ HC
Instantané]]</f>
        <v>11</v>
      </c>
      <c r="AB275" s="80">
        <f>Tableau1[[#This Row],[Conso HP + HC
Instantané]]/(Tableau1[[#This Row],[Diff jour
Instantané]]*24)</f>
        <v>0.44836956521753313</v>
      </c>
      <c r="AC275" s="80">
        <f>IF(ISERROR(Tableau1[[#This Row],[Date]]-A274),"",Tableau1[[#This Row],[Conso HP + HC
Instantané]]/Tableau1[[#This Row],[Diff jour
Instantané]])</f>
        <v>10.760869565220796</v>
      </c>
      <c r="AD275" s="80">
        <f>Tableau1[[#This Row],[Conso HP + HC / jour_x000D_
Instantané]]*365</f>
        <v>3927.7173913055904</v>
      </c>
      <c r="AE275" s="79">
        <f>Tableau1[[#This Row],[Différence HP
Cumul]]+Tableau1[[#This Row],[Différence HC
Cumul]]</f>
        <v>18785</v>
      </c>
      <c r="AF275" s="77">
        <f>(Tableau1[[#This Row],[Conso HP + HC
Cumul]]-AE$6)/Tableau1[[#This Row],[Diff jour_x000D_
Cumul
depuis le 24/01]]</f>
        <v>35.282767958606399</v>
      </c>
      <c r="AG275" s="77">
        <f>(Tableau1[[#This Row],[Conso HP + HC
Cumul]]-AE$59)/Tableau1[[#This Row],[Diff jour_x000D_
Cumul
depuis
précédente facture
16/02/2021]]</f>
        <v>33.426005377267195</v>
      </c>
      <c r="AH275" s="80">
        <f>Tableau1[[#This Row],[Conso HP + HC
Cumul]]/(Tableau1[[#This Row],[Diff jour_x000D_
Cumul]]*24)</f>
        <v>1.5728791041943617</v>
      </c>
      <c r="AI275" s="80">
        <f>Tableau1[[#This Row],[Conso HP + HC
Cumul]]/Tableau1[[#This Row],[Diff jour_x000D_
Cumul]]</f>
        <v>37.74909850066468</v>
      </c>
      <c r="AJ275" s="80">
        <f>Tableau1[[#This Row],[Conso HP + HC / jour_x000D_
Cumul]]*365</f>
        <v>13778.420952742608</v>
      </c>
      <c r="AK275" s="83">
        <f>(Tableau1[[#This Row],[Différence HP
Cumul]]*0.1799)+(Tableau1[[#This Row],[Différence HC
Cumul]]*0.1346)</f>
        <v>3123.1141000000002</v>
      </c>
      <c r="AL275" s="83">
        <f>Tableau1[[#This Row],[Montant
Tarif HP/HC]]/Tableau1[[#This Row],[Diff jour_x000D_
Cumul]]</f>
        <v>6.27600435399067</v>
      </c>
      <c r="AM275" s="83">
        <f>(Tableau1[[#This Row],[Montant
Tarif HP/HC]]-AK$6)/Tableau1[[#This Row],[Diff jour_x000D_
Cumul
depuis le 24/01]]</f>
        <v>5.8725299209362012</v>
      </c>
      <c r="AN275" s="83">
        <f>(Tableau1[[#This Row],[Montant
Tarif HP/HC]]-AK$59)/Tableau1[[#This Row],[Diff jour_x000D_
Cumul
depuis
précédente facture
16/02/2021]]</f>
        <v>5.562955666151896</v>
      </c>
      <c r="AO275" s="83">
        <f>Tableau1[[#This Row],[Conso HP + HC
Cumul]]*0.1599</f>
        <v>3003.7214999999997</v>
      </c>
      <c r="AP275" s="83">
        <f>Tableau1[[#This Row],[Montant
Tarif normal]]/Tableau1[[#This Row],[Diff jour_x000D_
Cumul]]</f>
        <v>6.0360808502562815</v>
      </c>
      <c r="AQ275" s="83">
        <f>(Tableau1[[#This Row],[Conso HP / an
Cumul]]*0.1799)+(Tableau1[[#This Row],[Conso HC / an_x000D_
Cumul]]*0.1346)</f>
        <v>2290.7415892065942</v>
      </c>
      <c r="AR275" s="83">
        <f>Tableau1[[#This Row],[Conso HP + HC / an_x000D_
Cumul]]*0.1599</f>
        <v>2203.1695103435427</v>
      </c>
      <c r="AS275" s="79">
        <f>MONTH(Tableau1[[#This Row],[Date]])</f>
        <v>4</v>
      </c>
      <c r="AT275" s="79">
        <f>YEAR(Tableau1[[#This Row],[Date]])</f>
        <v>2022</v>
      </c>
    </row>
    <row r="276" spans="1:46" x14ac:dyDescent="0.2">
      <c r="A276" s="74">
        <v>44681.359722222223</v>
      </c>
      <c r="B276" s="75"/>
      <c r="C276" s="76">
        <f>IF(ISERROR(Tableau1[[#This Row],[Date]]-A275),"",Tableau1[[#This Row],[Date]]-A275)</f>
        <v>1.023611111115315</v>
      </c>
      <c r="D276" s="77">
        <f>IF(ISERROR(Tableau1[[#This Row],[Date]]-A275),"",Tableau1[[#This Row],[Date]]-A275)</f>
        <v>1.023611111115315</v>
      </c>
      <c r="E276" s="76">
        <f>Tableau1[[#This Row],[Date]]-$A$5</f>
        <v>498.6513888888876</v>
      </c>
      <c r="F276" s="77">
        <f>Tableau1[[#This Row],[Date]]-$A$5</f>
        <v>498.6513888888876</v>
      </c>
      <c r="G276" s="77">
        <f>Tableau1[[#This Row],[Diff jour_x000D_
Cumul]]-F$6</f>
        <v>460.56805555555911</v>
      </c>
      <c r="H276" s="77">
        <f>Tableau1[[#This Row],[Diff jour_x000D_
Cumul]]-F$59</f>
        <v>438.04861111110949</v>
      </c>
      <c r="I276" s="78">
        <v>192893</v>
      </c>
      <c r="J276" s="79">
        <f>IF(ISERROR(Tableau1[[#This Row],[Index HP
kWh]]-I275),"",Tableau1[[#This Row],[Index HP
kWh]]-I275)</f>
        <v>7</v>
      </c>
      <c r="K276" s="77">
        <f>IF(ISERROR(Tableau1[[#This Row],[Différence HP
Instantané]]/(Tableau1[[#This Row],[Diff jour
Instantané]]*24)),"",Tableau1[[#This Row],[Différence HP
Instantané]]/(Tableau1[[#This Row],[Diff jour
Instantané]]*24))</f>
        <v>0.28493894165418937</v>
      </c>
      <c r="L276" s="77">
        <f>Tableau1[[#This Row],[Différence HP
Instantané]]/Tableau1[[#This Row],[Diff jour
Instantané]]</f>
        <v>6.8385345997005444</v>
      </c>
      <c r="M276" s="77">
        <f>Tableau1[[#This Row],[Conso HP / jour
Instantané]]*365</f>
        <v>2496.0651288906988</v>
      </c>
      <c r="N276" s="79">
        <f>Tableau1[[#This Row],[Index HP
kWh]]-$I$5</f>
        <v>13134</v>
      </c>
      <c r="O276" s="80">
        <f>Tableau1[[#This Row],[Différence HP
Cumul]]/(Tableau1[[#This Row],[Diff jour_x000D_
Cumul]]*24)</f>
        <v>1.0974600937528751</v>
      </c>
      <c r="P276" s="80">
        <f>Tableau1[[#This Row],[Différence HP
Cumul]]/Tableau1[[#This Row],[Diff jour_x000D_
Cumul]]</f>
        <v>26.339042250069003</v>
      </c>
      <c r="Q276" s="80">
        <f>Tableau1[[#This Row],[Conso HP / jour
Cumul]]*365</f>
        <v>9613.7504212751865</v>
      </c>
      <c r="R276" s="78">
        <v>125092</v>
      </c>
      <c r="S276" s="79">
        <f>Tableau1[[#This Row],[Index HC_x000D_
kWh]]-R275</f>
        <v>2</v>
      </c>
      <c r="T276" s="81">
        <f>Tableau1[[#This Row],[Différence_x000D_ HC
Instantané]]/(Tableau1[[#This Row],[Diff jour
Instantané]]*24)</f>
        <v>8.1411126186911237E-2</v>
      </c>
      <c r="U276" s="81">
        <f>Tableau1[[#This Row],[Différence_x000D_ HC
Instantané]]/Tableau1[[#This Row],[Diff jour
Instantané]]</f>
        <v>1.9538670284858697</v>
      </c>
      <c r="V276" s="81">
        <f>Tableau1[[#This Row],[Conso HC / jour_x000D_
Instantané]]*365</f>
        <v>713.16146539734245</v>
      </c>
      <c r="W276" s="79">
        <f>Tableau1[[#This Row],[Index HC_x000D_
kWh]]-$R$5</f>
        <v>5660</v>
      </c>
      <c r="X276" s="82">
        <f>Tableau1[[#This Row],[Différence HC
Cumul]]/(Tableau1[[#This Row],[Diff jour_x000D_
Cumul]]*24)</f>
        <v>0.47294229714034364</v>
      </c>
      <c r="Y276" s="82">
        <f>Tableau1[[#This Row],[Différence HC
Cumul]]/Tableau1[[#This Row],[Diff jour_x000D_
Cumul]]</f>
        <v>11.350615131368247</v>
      </c>
      <c r="Z276" s="82">
        <f>Tableau1[[#This Row],[Conso HC / jour_x000D_
Cumul]]*365</f>
        <v>4142.9745229494101</v>
      </c>
      <c r="AA276" s="79">
        <f>Tableau1[[#This Row],[Différence HP
Instantané]]+Tableau1[[#This Row],[Différence_x000D_ HC
Instantané]]</f>
        <v>9</v>
      </c>
      <c r="AB276" s="80">
        <f>Tableau1[[#This Row],[Conso HP + HC
Instantané]]/(Tableau1[[#This Row],[Diff jour
Instantané]]*24)</f>
        <v>0.36635006784110058</v>
      </c>
      <c r="AC276" s="80">
        <f>IF(ISERROR(Tableau1[[#This Row],[Date]]-A275),"",Tableau1[[#This Row],[Conso HP + HC
Instantané]]/Tableau1[[#This Row],[Diff jour
Instantané]])</f>
        <v>8.7924016281864148</v>
      </c>
      <c r="AD276" s="80">
        <f>Tableau1[[#This Row],[Conso HP + HC / jour_x000D_
Instantané]]*365</f>
        <v>3209.2265942880413</v>
      </c>
      <c r="AE276" s="79">
        <f>Tableau1[[#This Row],[Différence HP
Cumul]]+Tableau1[[#This Row],[Différence HC
Cumul]]</f>
        <v>18794</v>
      </c>
      <c r="AF276" s="77">
        <f>(Tableau1[[#This Row],[Conso HP + HC
Cumul]]-AE$6)/Tableau1[[#This Row],[Diff jour_x000D_
Cumul
depuis le 24/01]]</f>
        <v>35.223893199520852</v>
      </c>
      <c r="AG276" s="77">
        <f>(Tableau1[[#This Row],[Conso HP + HC
Cumul]]-AE$59)/Tableau1[[#This Row],[Diff jour_x000D_
Cumul
depuis
précédente facture
16/02/2021]]</f>
        <v>33.368442746397498</v>
      </c>
      <c r="AH276" s="80">
        <f>Tableau1[[#This Row],[Conso HP + HC
Cumul]]/(Tableau1[[#This Row],[Diff jour_x000D_
Cumul]]*24)</f>
        <v>1.5704023908932188</v>
      </c>
      <c r="AI276" s="80">
        <f>Tableau1[[#This Row],[Conso HP + HC
Cumul]]/Tableau1[[#This Row],[Diff jour_x000D_
Cumul]]</f>
        <v>37.68965738143725</v>
      </c>
      <c r="AJ276" s="80">
        <f>Tableau1[[#This Row],[Conso HP + HC / jour_x000D_
Cumul]]*365</f>
        <v>13756.724944224596</v>
      </c>
      <c r="AK276" s="83">
        <f>(Tableau1[[#This Row],[Différence HP
Cumul]]*0.1799)+(Tableau1[[#This Row],[Différence HC
Cumul]]*0.1346)</f>
        <v>3124.6426000000001</v>
      </c>
      <c r="AL276" s="83">
        <f>Tableau1[[#This Row],[Montant
Tarif HP/HC]]/Tableau1[[#This Row],[Diff jour_x000D_
Cumul]]</f>
        <v>6.2661864974695805</v>
      </c>
      <c r="AM276" s="83">
        <f>(Tableau1[[#This Row],[Montant
Tarif HP/HC]]-AK$6)/Tableau1[[#This Row],[Diff jour_x000D_
Cumul
depuis le 24/01]]</f>
        <v>5.862796968719139</v>
      </c>
      <c r="AN276" s="83">
        <f>(Tableau1[[#This Row],[Montant
Tarif HP/HC]]-AK$59)/Tableau1[[#This Row],[Diff jour_x000D_
Cumul
depuis
précédente facture
16/02/2021]]</f>
        <v>5.553445755322711</v>
      </c>
      <c r="AO276" s="83">
        <f>Tableau1[[#This Row],[Conso HP + HC
Cumul]]*0.1599</f>
        <v>3005.1605999999997</v>
      </c>
      <c r="AP276" s="83">
        <f>Tableau1[[#This Row],[Montant
Tarif normal]]/Tableau1[[#This Row],[Diff jour_x000D_
Cumul]]</f>
        <v>6.0265762152918159</v>
      </c>
      <c r="AQ276" s="83">
        <f>(Tableau1[[#This Row],[Conso HP / an
Cumul]]*0.1799)+(Tableau1[[#This Row],[Conso HC / an_x000D_
Cumul]]*0.1346)</f>
        <v>2287.1580715763967</v>
      </c>
      <c r="AR276" s="83">
        <f>Tableau1[[#This Row],[Conso HP + HC / an_x000D_
Cumul]]*0.1599</f>
        <v>2199.7003185815129</v>
      </c>
      <c r="AS276" s="79">
        <f>MONTH(Tableau1[[#This Row],[Date]])</f>
        <v>4</v>
      </c>
      <c r="AT276" s="79">
        <f>YEAR(Tableau1[[#This Row],[Date]])</f>
        <v>2022</v>
      </c>
    </row>
    <row r="277" spans="1:46" x14ac:dyDescent="0.2">
      <c r="A277" s="74">
        <v>44682.336805555555</v>
      </c>
      <c r="B277" s="75"/>
      <c r="C277" s="76">
        <f>IF(ISERROR(Tableau1[[#This Row],[Date]]-A276),"",Tableau1[[#This Row],[Date]]-A276)</f>
        <v>0.97708333333139308</v>
      </c>
      <c r="D277" s="77">
        <f>IF(ISERROR(Tableau1[[#This Row],[Date]]-A276),"",Tableau1[[#This Row],[Date]]-A276)</f>
        <v>0.97708333333139308</v>
      </c>
      <c r="E277" s="76">
        <f>Tableau1[[#This Row],[Date]]-$A$5</f>
        <v>499.62847222221899</v>
      </c>
      <c r="F277" s="77">
        <f>Tableau1[[#This Row],[Date]]-$A$5</f>
        <v>499.62847222221899</v>
      </c>
      <c r="G277" s="77">
        <f>Tableau1[[#This Row],[Diff jour_x000D_
Cumul]]-F$6</f>
        <v>461.54513888889051</v>
      </c>
      <c r="H277" s="77">
        <f>Tableau1[[#This Row],[Diff jour_x000D_
Cumul]]-F$59</f>
        <v>439.02569444444089</v>
      </c>
      <c r="I277" s="78">
        <v>192901</v>
      </c>
      <c r="J277" s="79">
        <f>IF(ISERROR(Tableau1[[#This Row],[Index HP
kWh]]-I276),"",Tableau1[[#This Row],[Index HP
kWh]]-I276)</f>
        <v>8</v>
      </c>
      <c r="K277" s="77">
        <f>IF(ISERROR(Tableau1[[#This Row],[Différence HP
Instantané]]/(Tableau1[[#This Row],[Diff jour
Instantané]]*24)),"",Tableau1[[#This Row],[Différence HP
Instantané]]/(Tableau1[[#This Row],[Diff jour
Instantané]]*24))</f>
        <v>0.34115138592818278</v>
      </c>
      <c r="L277" s="77">
        <f>Tableau1[[#This Row],[Différence HP
Instantané]]/Tableau1[[#This Row],[Diff jour
Instantané]]</f>
        <v>8.1876332622763872</v>
      </c>
      <c r="M277" s="77">
        <f>Tableau1[[#This Row],[Conso HP / jour
Instantané]]*365</f>
        <v>2988.4861407308813</v>
      </c>
      <c r="N277" s="79">
        <f>Tableau1[[#This Row],[Index HP
kWh]]-$I$5</f>
        <v>13142</v>
      </c>
      <c r="O277" s="80">
        <f>Tableau1[[#This Row],[Différence HP
Cumul]]/(Tableau1[[#This Row],[Diff jour_x000D_
Cumul]]*24)</f>
        <v>1.0959810414683204</v>
      </c>
      <c r="P277" s="80">
        <f>Tableau1[[#This Row],[Différence HP
Cumul]]/Tableau1[[#This Row],[Diff jour_x000D_
Cumul]]</f>
        <v>26.30354499523969</v>
      </c>
      <c r="Q277" s="80">
        <f>Tableau1[[#This Row],[Conso HP / jour
Cumul]]*365</f>
        <v>9600.7939232624867</v>
      </c>
      <c r="R277" s="78">
        <v>125094</v>
      </c>
      <c r="S277" s="79">
        <f>Tableau1[[#This Row],[Index HC_x000D_
kWh]]-R276</f>
        <v>2</v>
      </c>
      <c r="T277" s="81">
        <f>Tableau1[[#This Row],[Différence_x000D_ HC
Instantané]]/(Tableau1[[#This Row],[Diff jour
Instantané]]*24)</f>
        <v>8.5287846482045696E-2</v>
      </c>
      <c r="U277" s="81">
        <f>Tableau1[[#This Row],[Différence_x000D_ HC
Instantané]]/Tableau1[[#This Row],[Diff jour
Instantané]]</f>
        <v>2.0469083155690968</v>
      </c>
      <c r="V277" s="81">
        <f>Tableau1[[#This Row],[Conso HC / jour_x000D_
Instantané]]*365</f>
        <v>747.12153518272032</v>
      </c>
      <c r="W277" s="79">
        <f>Tableau1[[#This Row],[Index HC_x000D_
kWh]]-$R$5</f>
        <v>5662</v>
      </c>
      <c r="X277" s="82">
        <f>Tableau1[[#This Row],[Différence HC
Cumul]]/(Tableau1[[#This Row],[Diff jour_x000D_
Cumul]]*24)</f>
        <v>0.47218419242076015</v>
      </c>
      <c r="Y277" s="82">
        <f>Tableau1[[#This Row],[Différence HC
Cumul]]/Tableau1[[#This Row],[Diff jour_x000D_
Cumul]]</f>
        <v>11.332420618098244</v>
      </c>
      <c r="Z277" s="82">
        <f>Tableau1[[#This Row],[Conso HC / jour_x000D_
Cumul]]*365</f>
        <v>4136.333525605859</v>
      </c>
      <c r="AA277" s="79">
        <f>Tableau1[[#This Row],[Différence HP
Instantané]]+Tableau1[[#This Row],[Différence_x000D_ HC
Instantané]]</f>
        <v>10</v>
      </c>
      <c r="AB277" s="80">
        <f>Tableau1[[#This Row],[Conso HP + HC
Instantané]]/(Tableau1[[#This Row],[Diff jour
Instantané]]*24)</f>
        <v>0.42643923241022846</v>
      </c>
      <c r="AC277" s="80">
        <f>IF(ISERROR(Tableau1[[#This Row],[Date]]-A276),"",Tableau1[[#This Row],[Conso HP + HC
Instantané]]/Tableau1[[#This Row],[Diff jour
Instantané]])</f>
        <v>10.234541577845484</v>
      </c>
      <c r="AD277" s="80">
        <f>Tableau1[[#This Row],[Conso HP + HC / jour_x000D_
Instantané]]*365</f>
        <v>3735.6076759136017</v>
      </c>
      <c r="AE277" s="79">
        <f>Tableau1[[#This Row],[Différence HP
Cumul]]+Tableau1[[#This Row],[Différence HC
Cumul]]</f>
        <v>18804</v>
      </c>
      <c r="AF277" s="77">
        <f>(Tableau1[[#This Row],[Conso HP + HC
Cumul]]-AE$6)/Tableau1[[#This Row],[Diff jour_x000D_
Cumul
depuis le 24/01]]</f>
        <v>35.170991160428692</v>
      </c>
      <c r="AG277" s="77">
        <f>(Tableau1[[#This Row],[Conso HP + HC
Cumul]]-AE$59)/Tableau1[[#This Row],[Diff jour_x000D_
Cumul
depuis
précédente facture
16/02/2021]]</f>
        <v>33.316956581572157</v>
      </c>
      <c r="AH277" s="80">
        <f>Tableau1[[#This Row],[Conso HP + HC
Cumul]]/(Tableau1[[#This Row],[Diff jour_x000D_
Cumul]]*24)</f>
        <v>1.5681652338890806</v>
      </c>
      <c r="AI277" s="80">
        <f>Tableau1[[#This Row],[Conso HP + HC
Cumul]]/Tableau1[[#This Row],[Diff jour_x000D_
Cumul]]</f>
        <v>37.63596561333793</v>
      </c>
      <c r="AJ277" s="80">
        <f>Tableau1[[#This Row],[Conso HP + HC / jour_x000D_
Cumul]]*365</f>
        <v>13737.127448868345</v>
      </c>
      <c r="AK277" s="83">
        <f>(Tableau1[[#This Row],[Différence HP
Cumul]]*0.1799)+(Tableau1[[#This Row],[Différence HC
Cumul]]*0.1346)</f>
        <v>3126.3510000000001</v>
      </c>
      <c r="AL277" s="83">
        <f>Tableau1[[#This Row],[Montant
Tarif HP/HC]]/Tableau1[[#This Row],[Diff jour_x000D_
Cumul]]</f>
        <v>6.2573515598396439</v>
      </c>
      <c r="AM277" s="83">
        <f>(Tableau1[[#This Row],[Montant
Tarif HP/HC]]-AK$6)/Tableau1[[#This Row],[Diff jour_x000D_
Cumul
depuis le 24/01]]</f>
        <v>5.8540870054541836</v>
      </c>
      <c r="AN277" s="83">
        <f>(Tableau1[[#This Row],[Montant
Tarif HP/HC]]-AK$59)/Tableau1[[#This Row],[Diff jour_x000D_
Cumul
depuis
précédente facture
16/02/2021]]</f>
        <v>5.5449775054295234</v>
      </c>
      <c r="AO277" s="83">
        <f>Tableau1[[#This Row],[Conso HP + HC
Cumul]]*0.1599</f>
        <v>3006.7595999999999</v>
      </c>
      <c r="AP277" s="83">
        <f>Tableau1[[#This Row],[Montant
Tarif normal]]/Tableau1[[#This Row],[Diff jour_x000D_
Cumul]]</f>
        <v>6.0179909015727349</v>
      </c>
      <c r="AQ277" s="83">
        <f>(Tableau1[[#This Row],[Conso HP / an
Cumul]]*0.1799)+(Tableau1[[#This Row],[Conso HC / an_x000D_
Cumul]]*0.1346)</f>
        <v>2283.93331934147</v>
      </c>
      <c r="AR277" s="83">
        <f>Tableau1[[#This Row],[Conso HP + HC / an_x000D_
Cumul]]*0.1599</f>
        <v>2196.5666790740484</v>
      </c>
      <c r="AS277" s="79">
        <f>MONTH(Tableau1[[#This Row],[Date]])</f>
        <v>5</v>
      </c>
      <c r="AT277" s="79">
        <f>YEAR(Tableau1[[#This Row],[Date]])</f>
        <v>2022</v>
      </c>
    </row>
    <row r="278" spans="1:46" x14ac:dyDescent="0.2">
      <c r="A278" s="74">
        <v>44683.318055555559</v>
      </c>
      <c r="B278" s="75"/>
      <c r="C278" s="76">
        <f>IF(ISERROR(Tableau1[[#This Row],[Date]]-A277),"",Tableau1[[#This Row],[Date]]-A277)</f>
        <v>0.98125000000436557</v>
      </c>
      <c r="D278" s="77">
        <f>IF(ISERROR(Tableau1[[#This Row],[Date]]-A277),"",Tableau1[[#This Row],[Date]]-A277)</f>
        <v>0.98125000000436557</v>
      </c>
      <c r="E278" s="76">
        <f>Tableau1[[#This Row],[Date]]-$A$5</f>
        <v>500.60972222222335</v>
      </c>
      <c r="F278" s="77">
        <f>Tableau1[[#This Row],[Date]]-$A$5</f>
        <v>500.60972222222335</v>
      </c>
      <c r="G278" s="77">
        <f>Tableau1[[#This Row],[Diff jour_x000D_
Cumul]]-F$6</f>
        <v>462.52638888889487</v>
      </c>
      <c r="H278" s="77">
        <f>Tableau1[[#This Row],[Diff jour_x000D_
Cumul]]-F$59</f>
        <v>440.00694444444525</v>
      </c>
      <c r="I278" s="78">
        <v>192916</v>
      </c>
      <c r="J278" s="79">
        <f>IF(ISERROR(Tableau1[[#This Row],[Index HP
kWh]]-I277),"",Tableau1[[#This Row],[Index HP
kWh]]-I277)</f>
        <v>15</v>
      </c>
      <c r="K278" s="77">
        <f>IF(ISERROR(Tableau1[[#This Row],[Différence HP
Instantané]]/(Tableau1[[#This Row],[Diff jour
Instantané]]*24)),"",Tableau1[[#This Row],[Différence HP
Instantané]]/(Tableau1[[#This Row],[Diff jour
Instantané]]*24))</f>
        <v>0.63694267515640191</v>
      </c>
      <c r="L278" s="77">
        <f>Tableau1[[#This Row],[Différence HP
Instantané]]/Tableau1[[#This Row],[Diff jour
Instantané]]</f>
        <v>15.286624203753647</v>
      </c>
      <c r="M278" s="77">
        <f>Tableau1[[#This Row],[Conso HP / jour
Instantané]]*365</f>
        <v>5579.6178343700813</v>
      </c>
      <c r="N278" s="79">
        <f>Tableau1[[#This Row],[Index HP
kWh]]-$I$5</f>
        <v>13157</v>
      </c>
      <c r="O278" s="80">
        <f>Tableau1[[#This Row],[Différence HP
Cumul]]/(Tableau1[[#This Row],[Diff jour_x000D_
Cumul]]*24)</f>
        <v>1.0950812758885669</v>
      </c>
      <c r="P278" s="80">
        <f>Tableau1[[#This Row],[Différence HP
Cumul]]/Tableau1[[#This Row],[Diff jour_x000D_
Cumul]]</f>
        <v>26.281950621325603</v>
      </c>
      <c r="Q278" s="80">
        <f>Tableau1[[#This Row],[Conso HP / jour
Cumul]]*365</f>
        <v>9592.9119767838456</v>
      </c>
      <c r="R278" s="78">
        <v>125097</v>
      </c>
      <c r="S278" s="79">
        <f>Tableau1[[#This Row],[Index HC_x000D_
kWh]]-R277</f>
        <v>3</v>
      </c>
      <c r="T278" s="81">
        <f>Tableau1[[#This Row],[Différence_x000D_ HC
Instantané]]/(Tableau1[[#This Row],[Diff jour
Instantané]]*24)</f>
        <v>0.12738853503128039</v>
      </c>
      <c r="U278" s="81">
        <f>Tableau1[[#This Row],[Différence_x000D_ HC
Instantané]]/Tableau1[[#This Row],[Diff jour
Instantané]]</f>
        <v>3.0573248407507294</v>
      </c>
      <c r="V278" s="81">
        <f>Tableau1[[#This Row],[Conso HC / jour_x000D_
Instantané]]*365</f>
        <v>1115.9235668740162</v>
      </c>
      <c r="W278" s="79">
        <f>Tableau1[[#This Row],[Index HC_x000D_
kWh]]-$R$5</f>
        <v>5665</v>
      </c>
      <c r="X278" s="82">
        <f>Tableau1[[#This Row],[Différence HC
Cumul]]/(Tableau1[[#This Row],[Diff jour_x000D_
Cumul]]*24)</f>
        <v>0.47150835508920957</v>
      </c>
      <c r="Y278" s="82">
        <f>Tableau1[[#This Row],[Différence HC
Cumul]]/Tableau1[[#This Row],[Diff jour_x000D_
Cumul]]</f>
        <v>11.316200522141029</v>
      </c>
      <c r="Z278" s="82">
        <f>Tableau1[[#This Row],[Conso HC / jour_x000D_
Cumul]]*365</f>
        <v>4130.4131905814756</v>
      </c>
      <c r="AA278" s="79">
        <f>Tableau1[[#This Row],[Différence HP
Instantané]]+Tableau1[[#This Row],[Différence_x000D_ HC
Instantané]]</f>
        <v>18</v>
      </c>
      <c r="AB278" s="80">
        <f>Tableau1[[#This Row],[Conso HP + HC
Instantané]]/(Tableau1[[#This Row],[Diff jour
Instantané]]*24)</f>
        <v>0.76433121018768235</v>
      </c>
      <c r="AC278" s="80">
        <f>IF(ISERROR(Tableau1[[#This Row],[Date]]-A277),"",Tableau1[[#This Row],[Conso HP + HC
Instantané]]/Tableau1[[#This Row],[Diff jour
Instantané]])</f>
        <v>18.343949044504374</v>
      </c>
      <c r="AD278" s="80">
        <f>Tableau1[[#This Row],[Conso HP + HC / jour_x000D_
Instantané]]*365</f>
        <v>6695.5414012440961</v>
      </c>
      <c r="AE278" s="79">
        <f>Tableau1[[#This Row],[Différence HP
Cumul]]+Tableau1[[#This Row],[Différence HC
Cumul]]</f>
        <v>18822</v>
      </c>
      <c r="AF278" s="77">
        <f>(Tableau1[[#This Row],[Conso HP + HC
Cumul]]-AE$6)/Tableau1[[#This Row],[Diff jour_x000D_
Cumul
depuis le 24/01]]</f>
        <v>35.135292580903339</v>
      </c>
      <c r="AG278" s="77">
        <f>(Tableau1[[#This Row],[Conso HP + HC
Cumul]]-AE$59)/Tableau1[[#This Row],[Diff jour_x000D_
Cumul
depuis
précédente facture
16/02/2021]]</f>
        <v>33.283565600290338</v>
      </c>
      <c r="AH278" s="80">
        <f>Tableau1[[#This Row],[Conso HP + HC
Cumul]]/(Tableau1[[#This Row],[Diff jour_x000D_
Cumul]]*24)</f>
        <v>1.5665896309777763</v>
      </c>
      <c r="AI278" s="80">
        <f>Tableau1[[#This Row],[Conso HP + HC
Cumul]]/Tableau1[[#This Row],[Diff jour_x000D_
Cumul]]</f>
        <v>37.59815114346663</v>
      </c>
      <c r="AJ278" s="80">
        <f>Tableau1[[#This Row],[Conso HP + HC / jour_x000D_
Cumul]]*365</f>
        <v>13723.325167365319</v>
      </c>
      <c r="AK278" s="83">
        <f>(Tableau1[[#This Row],[Différence HP
Cumul]]*0.1799)+(Tableau1[[#This Row],[Différence HC
Cumul]]*0.1346)</f>
        <v>3129.4533000000001</v>
      </c>
      <c r="AL278" s="83">
        <f>Tableau1[[#This Row],[Montant
Tarif HP/HC]]/Tableau1[[#This Row],[Diff jour_x000D_
Cumul]]</f>
        <v>6.2512835070566588</v>
      </c>
      <c r="AM278" s="83">
        <f>(Tableau1[[#This Row],[Montant
Tarif HP/HC]]-AK$6)/Tableau1[[#This Row],[Diff jour_x000D_
Cumul
depuis le 24/01]]</f>
        <v>5.8483748494829868</v>
      </c>
      <c r="AN278" s="83">
        <f>(Tableau1[[#This Row],[Montant
Tarif HP/HC]]-AK$59)/Tableau1[[#This Row],[Diff jour_x000D_
Cumul
depuis
précédente facture
16/02/2021]]</f>
        <v>5.5396623411877872</v>
      </c>
      <c r="AO278" s="83">
        <f>Tableau1[[#This Row],[Conso HP + HC
Cumul]]*0.1599</f>
        <v>3009.6378</v>
      </c>
      <c r="AP278" s="83">
        <f>Tableau1[[#This Row],[Montant
Tarif normal]]/Tableau1[[#This Row],[Diff jour_x000D_
Cumul]]</f>
        <v>6.0119443678403144</v>
      </c>
      <c r="AQ278" s="83">
        <f>(Tableau1[[#This Row],[Conso HP / an
Cumul]]*0.1799)+(Tableau1[[#This Row],[Conso HC / an_x000D_
Cumul]]*0.1346)</f>
        <v>2281.7184800756804</v>
      </c>
      <c r="AR278" s="83">
        <f>Tableau1[[#This Row],[Conso HP + HC / an_x000D_
Cumul]]*0.1599</f>
        <v>2194.3596942617146</v>
      </c>
      <c r="AS278" s="79">
        <f>MONTH(Tableau1[[#This Row],[Date]])</f>
        <v>5</v>
      </c>
      <c r="AT278" s="79">
        <f>YEAR(Tableau1[[#This Row],[Date]])</f>
        <v>2022</v>
      </c>
    </row>
    <row r="279" spans="1:46" x14ac:dyDescent="0.2">
      <c r="A279" s="74">
        <v>44684.311111111114</v>
      </c>
      <c r="B279" s="75"/>
      <c r="C279" s="76">
        <f>IF(ISERROR(Tableau1[[#This Row],[Date]]-A278),"",Tableau1[[#This Row],[Date]]-A278)</f>
        <v>0.99305555555474712</v>
      </c>
      <c r="D279" s="77">
        <f>IF(ISERROR(Tableau1[[#This Row],[Date]]-A278),"",Tableau1[[#This Row],[Date]]-A278)</f>
        <v>0.99305555555474712</v>
      </c>
      <c r="E279" s="76">
        <f>Tableau1[[#This Row],[Date]]-$A$5</f>
        <v>501.6027777777781</v>
      </c>
      <c r="F279" s="77">
        <f>Tableau1[[#This Row],[Date]]-$A$5</f>
        <v>501.6027777777781</v>
      </c>
      <c r="G279" s="77">
        <f>Tableau1[[#This Row],[Diff jour_x000D_
Cumul]]-F$6</f>
        <v>463.51944444444962</v>
      </c>
      <c r="H279" s="77">
        <f>Tableau1[[#This Row],[Diff jour_x000D_
Cumul]]-F$59</f>
        <v>441</v>
      </c>
      <c r="I279" s="78">
        <v>192924</v>
      </c>
      <c r="J279" s="79">
        <f>IF(ISERROR(Tableau1[[#This Row],[Index HP
kWh]]-I278),"",Tableau1[[#This Row],[Index HP
kWh]]-I278)</f>
        <v>8</v>
      </c>
      <c r="K279" s="77">
        <f>IF(ISERROR(Tableau1[[#This Row],[Différence HP
Instantané]]/(Tableau1[[#This Row],[Diff jour
Instantané]]*24)),"",Tableau1[[#This Row],[Différence HP
Instantané]]/(Tableau1[[#This Row],[Diff jour
Instantané]]*24))</f>
        <v>0.3356643356646089</v>
      </c>
      <c r="L279" s="77">
        <f>Tableau1[[#This Row],[Différence HP
Instantané]]/Tableau1[[#This Row],[Diff jour
Instantané]]</f>
        <v>8.055944055950615</v>
      </c>
      <c r="M279" s="77">
        <f>Tableau1[[#This Row],[Conso HP / jour
Instantané]]*365</f>
        <v>2940.4195804219744</v>
      </c>
      <c r="N279" s="79">
        <f>Tableau1[[#This Row],[Index HP
kWh]]-$I$5</f>
        <v>13165</v>
      </c>
      <c r="O279" s="80">
        <f>Tableau1[[#This Row],[Différence HP
Cumul]]/(Tableau1[[#This Row],[Diff jour_x000D_
Cumul]]*24)</f>
        <v>1.0935778089125407</v>
      </c>
      <c r="P279" s="80">
        <f>Tableau1[[#This Row],[Différence HP
Cumul]]/Tableau1[[#This Row],[Diff jour_x000D_
Cumul]]</f>
        <v>26.245867413900978</v>
      </c>
      <c r="Q279" s="80">
        <f>Tableau1[[#This Row],[Conso HP / jour
Cumul]]*365</f>
        <v>9579.7416060738578</v>
      </c>
      <c r="R279" s="78">
        <v>125100</v>
      </c>
      <c r="S279" s="79">
        <f>Tableau1[[#This Row],[Index HC_x000D_
kWh]]-R278</f>
        <v>3</v>
      </c>
      <c r="T279" s="81">
        <f>Tableau1[[#This Row],[Différence_x000D_ HC
Instantané]]/(Tableau1[[#This Row],[Diff jour
Instantané]]*24)</f>
        <v>0.12587412587422836</v>
      </c>
      <c r="U279" s="81">
        <f>Tableau1[[#This Row],[Différence_x000D_ HC
Instantané]]/Tableau1[[#This Row],[Diff jour
Instantané]]</f>
        <v>3.0209790209814802</v>
      </c>
      <c r="V279" s="81">
        <f>Tableau1[[#This Row],[Conso HC / jour_x000D_
Instantané]]*365</f>
        <v>1102.6573426582402</v>
      </c>
      <c r="W279" s="79">
        <f>Tableau1[[#This Row],[Index HC_x000D_
kWh]]-$R$5</f>
        <v>5668</v>
      </c>
      <c r="X279" s="82">
        <f>Tableau1[[#This Row],[Différence HC
Cumul]]/(Tableau1[[#This Row],[Diff jour_x000D_
Cumul]]*24)</f>
        <v>0.47082408058612085</v>
      </c>
      <c r="Y279" s="82">
        <f>Tableau1[[#This Row],[Différence HC
Cumul]]/Tableau1[[#This Row],[Diff jour_x000D_
Cumul]]</f>
        <v>11.299777934066901</v>
      </c>
      <c r="Z279" s="82">
        <f>Tableau1[[#This Row],[Conso HC / jour_x000D_
Cumul]]*365</f>
        <v>4124.4189459344188</v>
      </c>
      <c r="AA279" s="79">
        <f>Tableau1[[#This Row],[Différence HP
Instantané]]+Tableau1[[#This Row],[Différence_x000D_ HC
Instantané]]</f>
        <v>11</v>
      </c>
      <c r="AB279" s="80">
        <f>Tableau1[[#This Row],[Conso HP + HC
Instantané]]/(Tableau1[[#This Row],[Diff jour
Instantané]]*24)</f>
        <v>0.46153846153883726</v>
      </c>
      <c r="AC279" s="80">
        <f>IF(ISERROR(Tableau1[[#This Row],[Date]]-A278),"",Tableau1[[#This Row],[Conso HP + HC
Instantané]]/Tableau1[[#This Row],[Diff jour
Instantané]])</f>
        <v>11.076923076932095</v>
      </c>
      <c r="AD279" s="80">
        <f>Tableau1[[#This Row],[Conso HP + HC / jour_x000D_
Instantané]]*365</f>
        <v>4043.0769230802148</v>
      </c>
      <c r="AE279" s="79">
        <f>Tableau1[[#This Row],[Différence HP
Cumul]]+Tableau1[[#This Row],[Différence HC
Cumul]]</f>
        <v>18833</v>
      </c>
      <c r="AF279" s="77">
        <f>(Tableau1[[#This Row],[Conso HP + HC
Cumul]]-AE$6)/Tableau1[[#This Row],[Diff jour_x000D_
Cumul
depuis le 24/01]]</f>
        <v>35.083749333300979</v>
      </c>
      <c r="AG279" s="77">
        <f>(Tableau1[[#This Row],[Conso HP + HC
Cumul]]-AE$59)/Tableau1[[#This Row],[Diff jour_x000D_
Cumul
depuis
précédente facture
16/02/2021]]</f>
        <v>33.233560090702944</v>
      </c>
      <c r="AH279" s="80">
        <f>Tableau1[[#This Row],[Conso HP + HC
Cumul]]/(Tableau1[[#This Row],[Diff jour_x000D_
Cumul]]*24)</f>
        <v>1.5644018894986615</v>
      </c>
      <c r="AI279" s="80">
        <f>Tableau1[[#This Row],[Conso HP + HC
Cumul]]/Tableau1[[#This Row],[Diff jour_x000D_
Cumul]]</f>
        <v>37.545645347967877</v>
      </c>
      <c r="AJ279" s="80">
        <f>Tableau1[[#This Row],[Conso HP + HC / jour_x000D_
Cumul]]*365</f>
        <v>13704.160552008276</v>
      </c>
      <c r="AK279" s="83">
        <f>(Tableau1[[#This Row],[Différence HP
Cumul]]*0.1799)+(Tableau1[[#This Row],[Différence HC
Cumul]]*0.1346)</f>
        <v>3131.2963</v>
      </c>
      <c r="AL279" s="83">
        <f>Tableau1[[#This Row],[Montant
Tarif HP/HC]]/Tableau1[[#This Row],[Diff jour_x000D_
Cumul]]</f>
        <v>6.2425816576861903</v>
      </c>
      <c r="AM279" s="83">
        <f>(Tableau1[[#This Row],[Montant
Tarif HP/HC]]-AK$6)/Tableau1[[#This Row],[Diff jour_x000D_
Cumul
depuis le 24/01]]</f>
        <v>5.8398212468612076</v>
      </c>
      <c r="AN279" s="83">
        <f>(Tableau1[[#This Row],[Montant
Tarif HP/HC]]-AK$59)/Tableau1[[#This Row],[Diff jour_x000D_
Cumul
depuis
précédente facture
16/02/2021]]</f>
        <v>5.5313671201814056</v>
      </c>
      <c r="AO279" s="83">
        <f>Tableau1[[#This Row],[Conso HP + HC
Cumul]]*0.1599</f>
        <v>3011.3966999999998</v>
      </c>
      <c r="AP279" s="83">
        <f>Tableau1[[#This Row],[Montant
Tarif normal]]/Tableau1[[#This Row],[Diff jour_x000D_
Cumul]]</f>
        <v>6.0035486911400637</v>
      </c>
      <c r="AQ279" s="83">
        <f>(Tableau1[[#This Row],[Conso HP / an
Cumul]]*0.1799)+(Tableau1[[#This Row],[Conso HC / an_x000D_
Cumul]]*0.1346)</f>
        <v>2278.54230505546</v>
      </c>
      <c r="AR279" s="83">
        <f>Tableau1[[#This Row],[Conso HP + HC / an_x000D_
Cumul]]*0.1599</f>
        <v>2191.295272266123</v>
      </c>
      <c r="AS279" s="79">
        <f>MONTH(Tableau1[[#This Row],[Date]])</f>
        <v>5</v>
      </c>
      <c r="AT279" s="79">
        <f>YEAR(Tableau1[[#This Row],[Date]])</f>
        <v>2022</v>
      </c>
    </row>
    <row r="280" spans="1:46" x14ac:dyDescent="0.2">
      <c r="A280" s="74">
        <v>44685.341666666667</v>
      </c>
      <c r="B280" s="75"/>
      <c r="C280" s="76">
        <f>IF(ISERROR(Tableau1[[#This Row],[Date]]-A279),"",Tableau1[[#This Row],[Date]]-A279)</f>
        <v>1.0305555555532919</v>
      </c>
      <c r="D280" s="77">
        <f>IF(ISERROR(Tableau1[[#This Row],[Date]]-A279),"",Tableau1[[#This Row],[Date]]-A279)</f>
        <v>1.0305555555532919</v>
      </c>
      <c r="E280" s="76">
        <f>Tableau1[[#This Row],[Date]]-$A$5</f>
        <v>502.63333333333139</v>
      </c>
      <c r="F280" s="77">
        <f>Tableau1[[#This Row],[Date]]-$A$5</f>
        <v>502.63333333333139</v>
      </c>
      <c r="G280" s="77">
        <f>Tableau1[[#This Row],[Diff jour_x000D_
Cumul]]-F$6</f>
        <v>464.55000000000291</v>
      </c>
      <c r="H280" s="77">
        <f>Tableau1[[#This Row],[Diff jour_x000D_
Cumul]]-F$59</f>
        <v>442.03055555555329</v>
      </c>
      <c r="I280" s="78">
        <v>192933</v>
      </c>
      <c r="J280" s="79">
        <f>IF(ISERROR(Tableau1[[#This Row],[Index HP
kWh]]-I279),"",Tableau1[[#This Row],[Index HP
kWh]]-I279)</f>
        <v>9</v>
      </c>
      <c r="K280" s="77">
        <f>IF(ISERROR(Tableau1[[#This Row],[Différence HP
Instantané]]/(Tableau1[[#This Row],[Diff jour
Instantané]]*24)),"",Tableau1[[#This Row],[Différence HP
Instantané]]/(Tableau1[[#This Row],[Diff jour
Instantané]]*24))</f>
        <v>0.36388140161804994</v>
      </c>
      <c r="L280" s="77">
        <f>Tableau1[[#This Row],[Différence HP
Instantané]]/Tableau1[[#This Row],[Diff jour
Instantané]]</f>
        <v>8.7331536388331994</v>
      </c>
      <c r="M280" s="77">
        <f>Tableau1[[#This Row],[Conso HP / jour
Instantané]]*365</f>
        <v>3187.6010781741179</v>
      </c>
      <c r="N280" s="79">
        <f>Tableau1[[#This Row],[Index HP
kWh]]-$I$5</f>
        <v>13174</v>
      </c>
      <c r="O280" s="80">
        <f>Tableau1[[#This Row],[Différence HP
Cumul]]/(Tableau1[[#This Row],[Diff jour_x000D_
Cumul]]*24)</f>
        <v>1.0920817030307091</v>
      </c>
      <c r="P280" s="80">
        <f>Tableau1[[#This Row],[Différence HP
Cumul]]/Tableau1[[#This Row],[Diff jour_x000D_
Cumul]]</f>
        <v>26.209960872737021</v>
      </c>
      <c r="Q280" s="80">
        <f>Tableau1[[#This Row],[Conso HP / jour
Cumul]]*365</f>
        <v>9566.6357185490124</v>
      </c>
      <c r="R280" s="78">
        <v>125102</v>
      </c>
      <c r="S280" s="79">
        <f>Tableau1[[#This Row],[Index HC_x000D_
kWh]]-R279</f>
        <v>2</v>
      </c>
      <c r="T280" s="81">
        <f>Tableau1[[#This Row],[Différence_x000D_ HC
Instantané]]/(Tableau1[[#This Row],[Diff jour
Instantané]]*24)</f>
        <v>8.0862533692899988E-2</v>
      </c>
      <c r="U280" s="81">
        <f>Tableau1[[#This Row],[Différence_x000D_ HC
Instantané]]/Tableau1[[#This Row],[Diff jour
Instantané]]</f>
        <v>1.9407008086295998</v>
      </c>
      <c r="V280" s="81">
        <f>Tableau1[[#This Row],[Conso HC / jour_x000D_
Instantané]]*365</f>
        <v>708.35579514980395</v>
      </c>
      <c r="W280" s="79">
        <f>Tableau1[[#This Row],[Index HC_x000D_
kWh]]-$R$5</f>
        <v>5670</v>
      </c>
      <c r="X280" s="82">
        <f>Tableau1[[#This Row],[Différence HC
Cumul]]/(Tableau1[[#This Row],[Diff jour_x000D_
Cumul]]*24)</f>
        <v>0.47002453743617134</v>
      </c>
      <c r="Y280" s="82">
        <f>Tableau1[[#This Row],[Différence HC
Cumul]]/Tableau1[[#This Row],[Diff jour_x000D_
Cumul]]</f>
        <v>11.280588898468112</v>
      </c>
      <c r="Z280" s="82">
        <f>Tableau1[[#This Row],[Conso HC / jour_x000D_
Cumul]]*365</f>
        <v>4117.4149479408607</v>
      </c>
      <c r="AA280" s="79">
        <f>Tableau1[[#This Row],[Différence HP
Instantané]]+Tableau1[[#This Row],[Différence_x000D_ HC
Instantané]]</f>
        <v>11</v>
      </c>
      <c r="AB280" s="80">
        <f>Tableau1[[#This Row],[Conso HP + HC
Instantané]]/(Tableau1[[#This Row],[Diff jour
Instantané]]*24)</f>
        <v>0.44474393531094991</v>
      </c>
      <c r="AC280" s="80">
        <f>IF(ISERROR(Tableau1[[#This Row],[Date]]-A279),"",Tableau1[[#This Row],[Conso HP + HC
Instantané]]/Tableau1[[#This Row],[Diff jour
Instantané]])</f>
        <v>10.673854447462798</v>
      </c>
      <c r="AD280" s="80">
        <f>Tableau1[[#This Row],[Conso HP + HC / jour_x000D_
Instantané]]*365</f>
        <v>3895.9568733239212</v>
      </c>
      <c r="AE280" s="79">
        <f>Tableau1[[#This Row],[Différence HP
Cumul]]+Tableau1[[#This Row],[Différence HC
Cumul]]</f>
        <v>18844</v>
      </c>
      <c r="AF280" s="77">
        <f>(Tableau1[[#This Row],[Conso HP + HC
Cumul]]-AE$6)/Tableau1[[#This Row],[Diff jour_x000D_
Cumul
depuis le 24/01]]</f>
        <v>35.029598536217627</v>
      </c>
      <c r="AG280" s="77">
        <f>(Tableau1[[#This Row],[Conso HP + HC
Cumul]]-AE$59)/Tableau1[[#This Row],[Diff jour_x000D_
Cumul
depuis
précédente facture
16/02/2021]]</f>
        <v>33.180964111329828</v>
      </c>
      <c r="AH280" s="80">
        <f>Tableau1[[#This Row],[Conso HP + HC
Cumul]]/(Tableau1[[#This Row],[Diff jour_x000D_
Cumul]]*24)</f>
        <v>1.5621062404668804</v>
      </c>
      <c r="AI280" s="80">
        <f>Tableau1[[#This Row],[Conso HP + HC
Cumul]]/Tableau1[[#This Row],[Diff jour_x000D_
Cumul]]</f>
        <v>37.490549771205131</v>
      </c>
      <c r="AJ280" s="80">
        <f>Tableau1[[#This Row],[Conso HP + HC / jour_x000D_
Cumul]]*365</f>
        <v>13684.050666489873</v>
      </c>
      <c r="AK280" s="83">
        <f>(Tableau1[[#This Row],[Différence HP
Cumul]]*0.1799)+(Tableau1[[#This Row],[Différence HC
Cumul]]*0.1346)</f>
        <v>3133.1846000000005</v>
      </c>
      <c r="AL280" s="83">
        <f>Tableau1[[#This Row],[Montant
Tarif HP/HC]]/Tableau1[[#This Row],[Diff jour_x000D_
Cumul]]</f>
        <v>6.2335392267391985</v>
      </c>
      <c r="AM280" s="83">
        <f>(Tableau1[[#This Row],[Montant
Tarif HP/HC]]-AK$6)/Tableau1[[#This Row],[Diff jour_x000D_
Cumul
depuis le 24/01]]</f>
        <v>5.8309310085028168</v>
      </c>
      <c r="AN280" s="83">
        <f>(Tableau1[[#This Row],[Montant
Tarif HP/HC]]-AK$59)/Tableau1[[#This Row],[Diff jour_x000D_
Cumul
depuis
précédente facture
16/02/2021]]</f>
        <v>5.5227430984535051</v>
      </c>
      <c r="AO280" s="83">
        <f>Tableau1[[#This Row],[Conso HP + HC
Cumul]]*0.1599</f>
        <v>3013.1555999999996</v>
      </c>
      <c r="AP280" s="83">
        <f>Tableau1[[#This Row],[Montant
Tarif normal]]/Tableau1[[#This Row],[Diff jour_x000D_
Cumul]]</f>
        <v>5.9947389084156999</v>
      </c>
      <c r="AQ280" s="83">
        <f>(Tableau1[[#This Row],[Conso HP / an
Cumul]]*0.1799)+(Tableau1[[#This Row],[Conso HC / an_x000D_
Cumul]]*0.1346)</f>
        <v>2275.2418177598074</v>
      </c>
      <c r="AR280" s="83">
        <f>Tableau1[[#This Row],[Conso HP + HC / an_x000D_
Cumul]]*0.1599</f>
        <v>2188.0797015717303</v>
      </c>
      <c r="AS280" s="79">
        <f>MONTH(Tableau1[[#This Row],[Date]])</f>
        <v>5</v>
      </c>
      <c r="AT280" s="79">
        <f>YEAR(Tableau1[[#This Row],[Date]])</f>
        <v>2022</v>
      </c>
    </row>
    <row r="281" spans="1:46" x14ac:dyDescent="0.2">
      <c r="A281" s="74">
        <v>44686.306944444441</v>
      </c>
      <c r="B281" s="75"/>
      <c r="C281" s="76">
        <f>IF(ISERROR(Tableau1[[#This Row],[Date]]-A280),"",Tableau1[[#This Row],[Date]]-A280)</f>
        <v>0.96527777777373558</v>
      </c>
      <c r="D281" s="77">
        <f>IF(ISERROR(Tableau1[[#This Row],[Date]]-A280),"",Tableau1[[#This Row],[Date]]-A280)</f>
        <v>0.96527777777373558</v>
      </c>
      <c r="E281" s="76">
        <f>Tableau1[[#This Row],[Date]]-$A$5</f>
        <v>503.59861111110513</v>
      </c>
      <c r="F281" s="77">
        <f>Tableau1[[#This Row],[Date]]-$A$5</f>
        <v>503.59861111110513</v>
      </c>
      <c r="G281" s="77">
        <f>Tableau1[[#This Row],[Diff jour_x000D_
Cumul]]-F$6</f>
        <v>465.51527777777665</v>
      </c>
      <c r="H281" s="77">
        <f>Tableau1[[#This Row],[Diff jour_x000D_
Cumul]]-F$59</f>
        <v>442.99583333332703</v>
      </c>
      <c r="I281" s="78">
        <v>192942</v>
      </c>
      <c r="J281" s="79">
        <f>IF(ISERROR(Tableau1[[#This Row],[Index HP
kWh]]-I280),"",Tableau1[[#This Row],[Index HP
kWh]]-I280)</f>
        <v>9</v>
      </c>
      <c r="K281" s="77">
        <f>IF(ISERROR(Tableau1[[#This Row],[Différence HP
Instantané]]/(Tableau1[[#This Row],[Diff jour
Instantané]]*24)),"",Tableau1[[#This Row],[Différence HP
Instantané]]/(Tableau1[[#This Row],[Diff jour
Instantané]]*24))</f>
        <v>0.38848920863472036</v>
      </c>
      <c r="L281" s="77">
        <f>Tableau1[[#This Row],[Différence HP
Instantané]]/Tableau1[[#This Row],[Diff jour
Instantané]]</f>
        <v>9.3237410072332896</v>
      </c>
      <c r="M281" s="77">
        <f>Tableau1[[#This Row],[Conso HP / jour
Instantané]]*365</f>
        <v>3403.1654676401508</v>
      </c>
      <c r="N281" s="79">
        <f>Tableau1[[#This Row],[Index HP
kWh]]-$I$5</f>
        <v>13183</v>
      </c>
      <c r="O281" s="80">
        <f>Tableau1[[#This Row],[Différence HP
Cumul]]/(Tableau1[[#This Row],[Diff jour_x000D_
Cumul]]*24)</f>
        <v>1.0907330849359325</v>
      </c>
      <c r="P281" s="80">
        <f>Tableau1[[#This Row],[Différence HP
Cumul]]/Tableau1[[#This Row],[Diff jour_x000D_
Cumul]]</f>
        <v>26.177594038462381</v>
      </c>
      <c r="Q281" s="80">
        <f>Tableau1[[#This Row],[Conso HP / jour
Cumul]]*365</f>
        <v>9554.8218240387687</v>
      </c>
      <c r="R281" s="78">
        <v>125106</v>
      </c>
      <c r="S281" s="79">
        <f>Tableau1[[#This Row],[Index HC_x000D_
kWh]]-R280</f>
        <v>4</v>
      </c>
      <c r="T281" s="81">
        <f>Tableau1[[#This Row],[Différence_x000D_ HC
Instantané]]/(Tableau1[[#This Row],[Diff jour
Instantané]]*24)</f>
        <v>0.17266187050432016</v>
      </c>
      <c r="U281" s="81">
        <f>Tableau1[[#This Row],[Différence_x000D_ HC
Instantané]]/Tableau1[[#This Row],[Diff jour
Instantané]]</f>
        <v>4.1438848921036842</v>
      </c>
      <c r="V281" s="81">
        <f>Tableau1[[#This Row],[Conso HC / jour_x000D_
Instantané]]*365</f>
        <v>1512.5179856178447</v>
      </c>
      <c r="W281" s="79">
        <f>Tableau1[[#This Row],[Index HC_x000D_
kWh]]-$R$5</f>
        <v>5674</v>
      </c>
      <c r="X281" s="82">
        <f>Tableau1[[#This Row],[Différence HC
Cumul]]/(Tableau1[[#This Row],[Diff jour_x000D_
Cumul]]*24)</f>
        <v>0.46945456450932876</v>
      </c>
      <c r="Y281" s="82">
        <f>Tableau1[[#This Row],[Différence HC
Cumul]]/Tableau1[[#This Row],[Diff jour_x000D_
Cumul]]</f>
        <v>11.266909548223889</v>
      </c>
      <c r="Z281" s="82">
        <f>Tableau1[[#This Row],[Conso HC / jour_x000D_
Cumul]]*365</f>
        <v>4112.4219851017197</v>
      </c>
      <c r="AA281" s="79">
        <f>Tableau1[[#This Row],[Différence HP
Instantané]]+Tableau1[[#This Row],[Différence_x000D_ HC
Instantané]]</f>
        <v>13</v>
      </c>
      <c r="AB281" s="80">
        <f>Tableau1[[#This Row],[Conso HP + HC
Instantané]]/(Tableau1[[#This Row],[Diff jour
Instantané]]*24)</f>
        <v>0.5611510791390405</v>
      </c>
      <c r="AC281" s="80">
        <f>IF(ISERROR(Tableau1[[#This Row],[Date]]-A280),"",Tableau1[[#This Row],[Conso HP + HC
Instantané]]/Tableau1[[#This Row],[Diff jour
Instantané]])</f>
        <v>13.467625899336973</v>
      </c>
      <c r="AD281" s="80">
        <f>Tableau1[[#This Row],[Conso HP + HC / jour_x000D_
Instantané]]*365</f>
        <v>4915.6834532579951</v>
      </c>
      <c r="AE281" s="79">
        <f>Tableau1[[#This Row],[Différence HP
Cumul]]+Tableau1[[#This Row],[Différence HC
Cumul]]</f>
        <v>18857</v>
      </c>
      <c r="AF281" s="77">
        <f>(Tableau1[[#This Row],[Conso HP + HC
Cumul]]-AE$6)/Tableau1[[#This Row],[Diff jour_x000D_
Cumul
depuis le 24/01]]</f>
        <v>34.98488831074296</v>
      </c>
      <c r="AG281" s="77">
        <f>(Tableau1[[#This Row],[Conso HP + HC
Cumul]]-AE$59)/Tableau1[[#This Row],[Diff jour_x000D_
Cumul
depuis
précédente facture
16/02/2021]]</f>
        <v>33.13800919873259</v>
      </c>
      <c r="AH281" s="80">
        <f>Tableau1[[#This Row],[Conso HP + HC
Cumul]]/(Tableau1[[#This Row],[Diff jour_x000D_
Cumul]]*24)</f>
        <v>1.5601876494452613</v>
      </c>
      <c r="AI281" s="80">
        <f>Tableau1[[#This Row],[Conso HP + HC
Cumul]]/Tableau1[[#This Row],[Diff jour_x000D_
Cumul]]</f>
        <v>37.444503586686267</v>
      </c>
      <c r="AJ281" s="80">
        <f>Tableau1[[#This Row],[Conso HP + HC / jour_x000D_
Cumul]]*365</f>
        <v>13667.243809140487</v>
      </c>
      <c r="AK281" s="83">
        <f>(Tableau1[[#This Row],[Différence HP
Cumul]]*0.1799)+(Tableau1[[#This Row],[Différence HC
Cumul]]*0.1346)</f>
        <v>3135.3421000000003</v>
      </c>
      <c r="AL281" s="83">
        <f>Tableau1[[#This Row],[Montant
Tarif HP/HC]]/Tableau1[[#This Row],[Diff jour_x000D_
Cumul]]</f>
        <v>6.2258751927103182</v>
      </c>
      <c r="AM281" s="83">
        <f>(Tableau1[[#This Row],[Montant
Tarif HP/HC]]-AK$6)/Tableau1[[#This Row],[Diff jour_x000D_
Cumul
depuis le 24/01]]</f>
        <v>5.8234748232991667</v>
      </c>
      <c r="AN281" s="83">
        <f>(Tableau1[[#This Row],[Montant
Tarif HP/HC]]-AK$59)/Tableau1[[#This Row],[Diff jour_x000D_
Cumul
depuis
précédente facture
16/02/2021]]</f>
        <v>5.5155794166612591</v>
      </c>
      <c r="AO281" s="83">
        <f>Tableau1[[#This Row],[Conso HP + HC
Cumul]]*0.1599</f>
        <v>3015.2342999999996</v>
      </c>
      <c r="AP281" s="83">
        <f>Tableau1[[#This Row],[Montant
Tarif normal]]/Tableau1[[#This Row],[Diff jour_x000D_
Cumul]]</f>
        <v>5.987376123511134</v>
      </c>
      <c r="AQ281" s="83">
        <f>(Tableau1[[#This Row],[Conso HP / an
Cumul]]*0.1799)+(Tableau1[[#This Row],[Conso HC / an_x000D_
Cumul]]*0.1346)</f>
        <v>2272.4444453392662</v>
      </c>
      <c r="AR281" s="83">
        <f>Tableau1[[#This Row],[Conso HP + HC / an_x000D_
Cumul]]*0.1599</f>
        <v>2185.3922850815638</v>
      </c>
      <c r="AS281" s="79">
        <f>MONTH(Tableau1[[#This Row],[Date]])</f>
        <v>5</v>
      </c>
      <c r="AT281" s="79">
        <f>YEAR(Tableau1[[#This Row],[Date]])</f>
        <v>2022</v>
      </c>
    </row>
    <row r="282" spans="1:46" x14ac:dyDescent="0.2">
      <c r="A282" s="74">
        <v>44687.322916666664</v>
      </c>
      <c r="B282" s="75"/>
      <c r="C282" s="76">
        <f>IF(ISERROR(Tableau1[[#This Row],[Date]]-A281),"",Tableau1[[#This Row],[Date]]-A281)</f>
        <v>1.015972222223354</v>
      </c>
      <c r="D282" s="77">
        <f>IF(ISERROR(Tableau1[[#This Row],[Date]]-A281),"",Tableau1[[#This Row],[Date]]-A281)</f>
        <v>1.015972222223354</v>
      </c>
      <c r="E282" s="76">
        <f>Tableau1[[#This Row],[Date]]-$A$5</f>
        <v>504.61458333332848</v>
      </c>
      <c r="F282" s="77">
        <f>Tableau1[[#This Row],[Date]]-$A$5</f>
        <v>504.61458333332848</v>
      </c>
      <c r="G282" s="77">
        <f>Tableau1[[#This Row],[Diff jour_x000D_
Cumul]]-F$6</f>
        <v>466.53125</v>
      </c>
      <c r="H282" s="77">
        <f>Tableau1[[#This Row],[Diff jour_x000D_
Cumul]]-F$59</f>
        <v>444.01180555555038</v>
      </c>
      <c r="I282" s="78">
        <v>192951</v>
      </c>
      <c r="J282" s="79">
        <f>IF(ISERROR(Tableau1[[#This Row],[Index HP
kWh]]-I281),"",Tableau1[[#This Row],[Index HP
kWh]]-I281)</f>
        <v>9</v>
      </c>
      <c r="K282" s="77">
        <f>IF(ISERROR(Tableau1[[#This Row],[Différence HP
Instantané]]/(Tableau1[[#This Row],[Diff jour
Instantané]]*24)),"",Tableau1[[#This Row],[Différence HP
Instantané]]/(Tableau1[[#This Row],[Diff jour
Instantané]]*24))</f>
        <v>0.36910457963048421</v>
      </c>
      <c r="L282" s="77">
        <f>Tableau1[[#This Row],[Différence HP
Instantané]]/Tableau1[[#This Row],[Diff jour
Instantané]]</f>
        <v>8.8585099111316215</v>
      </c>
      <c r="M282" s="77">
        <f>Tableau1[[#This Row],[Conso HP / jour
Instantané]]*365</f>
        <v>3233.3561175630416</v>
      </c>
      <c r="N282" s="79">
        <f>Tableau1[[#This Row],[Index HP
kWh]]-$I$5</f>
        <v>13192</v>
      </c>
      <c r="O282" s="80">
        <f>Tableau1[[#This Row],[Différence HP
Cumul]]/(Tableau1[[#This Row],[Diff jour_x000D_
Cumul]]*24)</f>
        <v>1.0892801849596538</v>
      </c>
      <c r="P282" s="80">
        <f>Tableau1[[#This Row],[Différence HP
Cumul]]/Tableau1[[#This Row],[Diff jour_x000D_
Cumul]]</f>
        <v>26.142724439031689</v>
      </c>
      <c r="Q282" s="80">
        <f>Tableau1[[#This Row],[Conso HP / jour
Cumul]]*365</f>
        <v>9542.0944202465671</v>
      </c>
      <c r="R282" s="78">
        <v>125110</v>
      </c>
      <c r="S282" s="79">
        <f>Tableau1[[#This Row],[Index HC_x000D_
kWh]]-R281</f>
        <v>4</v>
      </c>
      <c r="T282" s="81">
        <f>Tableau1[[#This Row],[Différence_x000D_ HC
Instantané]]/(Tableau1[[#This Row],[Diff jour
Instantané]]*24)</f>
        <v>0.16404647983577078</v>
      </c>
      <c r="U282" s="81">
        <f>Tableau1[[#This Row],[Différence_x000D_ HC
Instantané]]/Tableau1[[#This Row],[Diff jour
Instantané]]</f>
        <v>3.9371155160584985</v>
      </c>
      <c r="V282" s="81">
        <f>Tableau1[[#This Row],[Conso HC / jour_x000D_
Instantané]]*365</f>
        <v>1437.047163361352</v>
      </c>
      <c r="W282" s="79">
        <f>Tableau1[[#This Row],[Index HC_x000D_
kWh]]-$R$5</f>
        <v>5678</v>
      </c>
      <c r="X282" s="82">
        <f>Tableau1[[#This Row],[Différence HC
Cumul]]/(Tableau1[[#This Row],[Diff jour_x000D_
Cumul]]*24)</f>
        <v>0.46883966723778914</v>
      </c>
      <c r="Y282" s="82">
        <f>Tableau1[[#This Row],[Différence HC
Cumul]]/Tableau1[[#This Row],[Diff jour_x000D_
Cumul]]</f>
        <v>11.252152013706938</v>
      </c>
      <c r="Z282" s="82">
        <f>Tableau1[[#This Row],[Conso HC / jour_x000D_
Cumul]]*365</f>
        <v>4107.0354850030326</v>
      </c>
      <c r="AA282" s="79">
        <f>Tableau1[[#This Row],[Différence HP
Instantané]]+Tableau1[[#This Row],[Différence_x000D_ HC
Instantané]]</f>
        <v>13</v>
      </c>
      <c r="AB282" s="80">
        <f>Tableau1[[#This Row],[Conso HP + HC
Instantané]]/(Tableau1[[#This Row],[Diff jour
Instantané]]*24)</f>
        <v>0.53315105946625496</v>
      </c>
      <c r="AC282" s="80">
        <f>IF(ISERROR(Tableau1[[#This Row],[Date]]-A281),"",Tableau1[[#This Row],[Conso HP + HC
Instantané]]/Tableau1[[#This Row],[Diff jour
Instantané]])</f>
        <v>12.795625427190119</v>
      </c>
      <c r="AD282" s="80">
        <f>Tableau1[[#This Row],[Conso HP + HC / jour_x000D_
Instantané]]*365</f>
        <v>4670.4032809243936</v>
      </c>
      <c r="AE282" s="79">
        <f>Tableau1[[#This Row],[Différence HP
Cumul]]+Tableau1[[#This Row],[Différence HC
Cumul]]</f>
        <v>18870</v>
      </c>
      <c r="AF282" s="77">
        <f>(Tableau1[[#This Row],[Conso HP + HC
Cumul]]-AE$6)/Tableau1[[#This Row],[Diff jour_x000D_
Cumul
depuis le 24/01]]</f>
        <v>34.936566414361309</v>
      </c>
      <c r="AG282" s="77">
        <f>(Tableau1[[#This Row],[Conso HP + HC
Cumul]]-AE$59)/Tableau1[[#This Row],[Diff jour_x000D_
Cumul
depuis
précédente facture
16/02/2021]]</f>
        <v>33.09146247049901</v>
      </c>
      <c r="AH282" s="80">
        <f>Tableau1[[#This Row],[Conso HP + HC
Cumul]]/(Tableau1[[#This Row],[Diff jour_x000D_
Cumul]]*24)</f>
        <v>1.5581198521974429</v>
      </c>
      <c r="AI282" s="80">
        <f>Tableau1[[#This Row],[Conso HP + HC
Cumul]]/Tableau1[[#This Row],[Diff jour_x000D_
Cumul]]</f>
        <v>37.394876452738629</v>
      </c>
      <c r="AJ282" s="80">
        <f>Tableau1[[#This Row],[Conso HP + HC / jour_x000D_
Cumul]]*365</f>
        <v>13649.1299052496</v>
      </c>
      <c r="AK282" s="83">
        <f>(Tableau1[[#This Row],[Différence HP
Cumul]]*0.1799)+(Tableau1[[#This Row],[Différence HC
Cumul]]*0.1346)</f>
        <v>3137.4996000000001</v>
      </c>
      <c r="AL282" s="83">
        <f>Tableau1[[#This Row],[Montant
Tarif HP/HC]]/Tableau1[[#This Row],[Diff jour_x000D_
Cumul]]</f>
        <v>6.2176157876267553</v>
      </c>
      <c r="AM282" s="83">
        <f>(Tableau1[[#This Row],[Montant
Tarif HP/HC]]-AK$6)/Tableau1[[#This Row],[Diff jour_x000D_
Cumul
depuis le 24/01]]</f>
        <v>5.8154175095451803</v>
      </c>
      <c r="AN282" s="83">
        <f>(Tableau1[[#This Row],[Montant
Tarif HP/HC]]-AK$59)/Tableau1[[#This Row],[Diff jour_x000D_
Cumul
depuis
précédente facture
16/02/2021]]</f>
        <v>5.5078179665518796</v>
      </c>
      <c r="AO282" s="83">
        <f>Tableau1[[#This Row],[Conso HP + HC
Cumul]]*0.1599</f>
        <v>3017.3129999999996</v>
      </c>
      <c r="AP282" s="83">
        <f>Tableau1[[#This Row],[Montant
Tarif normal]]/Tableau1[[#This Row],[Diff jour_x000D_
Cumul]]</f>
        <v>5.9794407447929059</v>
      </c>
      <c r="AQ282" s="83">
        <f>(Tableau1[[#This Row],[Conso HP / an
Cumul]]*0.1799)+(Tableau1[[#This Row],[Conso HC / an_x000D_
Cumul]]*0.1346)</f>
        <v>2269.4297624837654</v>
      </c>
      <c r="AR282" s="83">
        <f>Tableau1[[#This Row],[Conso HP + HC / an_x000D_
Cumul]]*0.1599</f>
        <v>2182.4958718494108</v>
      </c>
      <c r="AS282" s="79">
        <f>MONTH(Tableau1[[#This Row],[Date]])</f>
        <v>5</v>
      </c>
      <c r="AT282" s="79">
        <f>YEAR(Tableau1[[#This Row],[Date]])</f>
        <v>2022</v>
      </c>
    </row>
    <row r="283" spans="1:46" x14ac:dyDescent="0.2">
      <c r="A283" s="74">
        <v>44688.351388888892</v>
      </c>
      <c r="B283" s="75"/>
      <c r="C283" s="76">
        <f>IF(ISERROR(Tableau1[[#This Row],[Date]]-A282),"",Tableau1[[#This Row],[Date]]-A282)</f>
        <v>1.0284722222277196</v>
      </c>
      <c r="D283" s="77">
        <f>IF(ISERROR(Tableau1[[#This Row],[Date]]-A282),"",Tableau1[[#This Row],[Date]]-A282)</f>
        <v>1.0284722222277196</v>
      </c>
      <c r="E283" s="76">
        <f>Tableau1[[#This Row],[Date]]-$A$5</f>
        <v>505.6430555555562</v>
      </c>
      <c r="F283" s="77">
        <f>Tableau1[[#This Row],[Date]]-$A$5</f>
        <v>505.6430555555562</v>
      </c>
      <c r="G283" s="77">
        <f>Tableau1[[#This Row],[Diff jour_x000D_
Cumul]]-F$6</f>
        <v>467.55972222222772</v>
      </c>
      <c r="H283" s="77">
        <f>Tableau1[[#This Row],[Diff jour_x000D_
Cumul]]-F$59</f>
        <v>445.0402777777781</v>
      </c>
      <c r="I283" s="78">
        <v>192960</v>
      </c>
      <c r="J283" s="79">
        <f>IF(ISERROR(Tableau1[[#This Row],[Index HP
kWh]]-I282),"",Tableau1[[#This Row],[Index HP
kWh]]-I282)</f>
        <v>9</v>
      </c>
      <c r="K283" s="77">
        <f>IF(ISERROR(Tableau1[[#This Row],[Différence HP
Instantané]]/(Tableau1[[#This Row],[Diff jour
Instantané]]*24)),"",Tableau1[[#This Row],[Différence HP
Instantané]]/(Tableau1[[#This Row],[Diff jour
Instantané]]*24))</f>
        <v>0.36461850101088022</v>
      </c>
      <c r="L283" s="77">
        <f>Tableau1[[#This Row],[Différence HP
Instantané]]/Tableau1[[#This Row],[Diff jour
Instantané]]</f>
        <v>8.7508440242611254</v>
      </c>
      <c r="M283" s="77">
        <f>Tableau1[[#This Row],[Conso HP / jour
Instantané]]*365</f>
        <v>3194.0580688553109</v>
      </c>
      <c r="N283" s="79">
        <f>Tableau1[[#This Row],[Index HP
kWh]]-$I$5</f>
        <v>13201</v>
      </c>
      <c r="O283" s="80">
        <f>Tableau1[[#This Row],[Différence HP
Cumul]]/(Tableau1[[#This Row],[Diff jour_x000D_
Cumul]]*24)</f>
        <v>1.0878062313390799</v>
      </c>
      <c r="P283" s="80">
        <f>Tableau1[[#This Row],[Différence HP
Cumul]]/Tableau1[[#This Row],[Diff jour_x000D_
Cumul]]</f>
        <v>26.107349552137922</v>
      </c>
      <c r="Q283" s="80">
        <f>Tableau1[[#This Row],[Conso HP / jour
Cumul]]*365</f>
        <v>9529.1825865303417</v>
      </c>
      <c r="R283" s="78">
        <v>125112</v>
      </c>
      <c r="S283" s="79">
        <f>Tableau1[[#This Row],[Index HC_x000D_
kWh]]-R282</f>
        <v>2</v>
      </c>
      <c r="T283" s="81">
        <f>Tableau1[[#This Row],[Différence_x000D_ HC
Instantané]]/(Tableau1[[#This Row],[Diff jour
Instantané]]*24)</f>
        <v>8.1026333557973382E-2</v>
      </c>
      <c r="U283" s="81">
        <f>Tableau1[[#This Row],[Différence_x000D_ HC
Instantané]]/Tableau1[[#This Row],[Diff jour
Instantané]]</f>
        <v>1.9446320053913611</v>
      </c>
      <c r="V283" s="81">
        <f>Tableau1[[#This Row],[Conso HC / jour_x000D_
Instantané]]*365</f>
        <v>709.79068196784681</v>
      </c>
      <c r="W283" s="79">
        <f>Tableau1[[#This Row],[Index HC_x000D_
kWh]]-$R$5</f>
        <v>5680</v>
      </c>
      <c r="X283" s="82">
        <f>Tableau1[[#This Row],[Différence HC
Cumul]]/(Tableau1[[#This Row],[Diff jour_x000D_
Cumul]]*24)</f>
        <v>0.4680508593292913</v>
      </c>
      <c r="Y283" s="82">
        <f>Tableau1[[#This Row],[Différence HC
Cumul]]/Tableau1[[#This Row],[Diff jour_x000D_
Cumul]]</f>
        <v>11.233220623902991</v>
      </c>
      <c r="Z283" s="82">
        <f>Tableau1[[#This Row],[Conso HC / jour_x000D_
Cumul]]*365</f>
        <v>4100.1255277245918</v>
      </c>
      <c r="AA283" s="79">
        <f>Tableau1[[#This Row],[Différence HP
Instantané]]+Tableau1[[#This Row],[Différence_x000D_ HC
Instantané]]</f>
        <v>11</v>
      </c>
      <c r="AB283" s="80">
        <f>Tableau1[[#This Row],[Conso HP + HC
Instantané]]/(Tableau1[[#This Row],[Diff jour
Instantané]]*24)</f>
        <v>0.44564483456885357</v>
      </c>
      <c r="AC283" s="80">
        <f>IF(ISERROR(Tableau1[[#This Row],[Date]]-A282),"",Tableau1[[#This Row],[Conso HP + HC
Instantané]]/Tableau1[[#This Row],[Diff jour
Instantané]])</f>
        <v>10.695476029652486</v>
      </c>
      <c r="AD283" s="80">
        <f>Tableau1[[#This Row],[Conso HP + HC / jour_x000D_
Instantané]]*365</f>
        <v>3903.8487508231574</v>
      </c>
      <c r="AE283" s="79">
        <f>Tableau1[[#This Row],[Différence HP
Cumul]]+Tableau1[[#This Row],[Différence HC
Cumul]]</f>
        <v>18881</v>
      </c>
      <c r="AF283" s="77">
        <f>(Tableau1[[#This Row],[Conso HP + HC
Cumul]]-AE$6)/Tableau1[[#This Row],[Diff jour_x000D_
Cumul
depuis le 24/01]]</f>
        <v>34.88324426766593</v>
      </c>
      <c r="AG283" s="77">
        <f>(Tableau1[[#This Row],[Conso HP + HC
Cumul]]-AE$59)/Tableau1[[#This Row],[Diff jour_x000D_
Cumul
depuis
précédente facture
16/02/2021]]</f>
        <v>33.039706143950745</v>
      </c>
      <c r="AH283" s="80">
        <f>Tableau1[[#This Row],[Conso HP + HC
Cumul]]/(Tableau1[[#This Row],[Diff jour_x000D_
Cumul]]*24)</f>
        <v>1.5558570906683713</v>
      </c>
      <c r="AI283" s="80">
        <f>Tableau1[[#This Row],[Conso HP + HC
Cumul]]/Tableau1[[#This Row],[Diff jour_x000D_
Cumul]]</f>
        <v>37.340570176040913</v>
      </c>
      <c r="AJ283" s="80">
        <f>Tableau1[[#This Row],[Conso HP + HC / jour_x000D_
Cumul]]*365</f>
        <v>13629.308114254933</v>
      </c>
      <c r="AK283" s="83">
        <f>(Tableau1[[#This Row],[Différence HP
Cumul]]*0.1799)+(Tableau1[[#This Row],[Différence HC
Cumul]]*0.1346)</f>
        <v>3139.3878999999997</v>
      </c>
      <c r="AL283" s="83">
        <f>Tableau1[[#This Row],[Montant
Tarif HP/HC]]/Tableau1[[#This Row],[Diff jour_x000D_
Cumul]]</f>
        <v>6.2087036804069538</v>
      </c>
      <c r="AM283" s="83">
        <f>(Tableau1[[#This Row],[Montant
Tarif HP/HC]]-AK$6)/Tableau1[[#This Row],[Diff jour_x000D_
Cumul
depuis le 24/01]]</f>
        <v>5.8066641991664074</v>
      </c>
      <c r="AN283" s="83">
        <f>(Tableau1[[#This Row],[Montant
Tarif HP/HC]]-AK$59)/Tableau1[[#This Row],[Diff jour_x000D_
Cumul
depuis
précédente facture
16/02/2021]]</f>
        <v>5.4993325822569066</v>
      </c>
      <c r="AO283" s="83">
        <f>Tableau1[[#This Row],[Conso HP + HC
Cumul]]*0.1599</f>
        <v>3019.0718999999999</v>
      </c>
      <c r="AP283" s="83">
        <f>Tableau1[[#This Row],[Montant
Tarif normal]]/Tableau1[[#This Row],[Diff jour_x000D_
Cumul]]</f>
        <v>5.970757171148942</v>
      </c>
      <c r="AQ283" s="83">
        <f>(Tableau1[[#This Row],[Conso HP / an
Cumul]]*0.1799)+(Tableau1[[#This Row],[Conso HC / an_x000D_
Cumul]]*0.1346)</f>
        <v>2266.1768433485386</v>
      </c>
      <c r="AR283" s="83">
        <f>Tableau1[[#This Row],[Conso HP + HC / an_x000D_
Cumul]]*0.1599</f>
        <v>2179.3263674693635</v>
      </c>
      <c r="AS283" s="79">
        <f>MONTH(Tableau1[[#This Row],[Date]])</f>
        <v>5</v>
      </c>
      <c r="AT283" s="79">
        <f>YEAR(Tableau1[[#This Row],[Date]])</f>
        <v>2022</v>
      </c>
    </row>
    <row r="284" spans="1:46" x14ac:dyDescent="0.2">
      <c r="A284" s="74">
        <v>44689.48333333333</v>
      </c>
      <c r="B284" s="75"/>
      <c r="C284" s="76">
        <f>IF(ISERROR(Tableau1[[#This Row],[Date]]-A283),"",Tableau1[[#This Row],[Date]]-A283)</f>
        <v>1.1319444444379769</v>
      </c>
      <c r="D284" s="77">
        <f>IF(ISERROR(Tableau1[[#This Row],[Date]]-A283),"",Tableau1[[#This Row],[Date]]-A283)</f>
        <v>1.1319444444379769</v>
      </c>
      <c r="E284" s="76">
        <f>Tableau1[[#This Row],[Date]]-$A$5</f>
        <v>506.77499999999418</v>
      </c>
      <c r="F284" s="77">
        <f>Tableau1[[#This Row],[Date]]-$A$5</f>
        <v>506.77499999999418</v>
      </c>
      <c r="G284" s="77">
        <f>Tableau1[[#This Row],[Diff jour_x000D_
Cumul]]-F$6</f>
        <v>468.6916666666657</v>
      </c>
      <c r="H284" s="77">
        <f>Tableau1[[#This Row],[Diff jour_x000D_
Cumul]]-F$59</f>
        <v>446.17222222221608</v>
      </c>
      <c r="I284" s="78">
        <v>192968</v>
      </c>
      <c r="J284" s="79">
        <f>IF(ISERROR(Tableau1[[#This Row],[Index HP
kWh]]-I283),"",Tableau1[[#This Row],[Index HP
kWh]]-I283)</f>
        <v>8</v>
      </c>
      <c r="K284" s="77">
        <f>IF(ISERROR(Tableau1[[#This Row],[Différence HP
Instantané]]/(Tableau1[[#This Row],[Diff jour
Instantané]]*24)),"",Tableau1[[#This Row],[Différence HP
Instantané]]/(Tableau1[[#This Row],[Diff jour
Instantané]]*24))</f>
        <v>0.29447852760904453</v>
      </c>
      <c r="L284" s="77">
        <f>Tableau1[[#This Row],[Différence HP
Instantané]]/Tableau1[[#This Row],[Diff jour
Instantané]]</f>
        <v>7.0674846626170682</v>
      </c>
      <c r="M284" s="77">
        <f>Tableau1[[#This Row],[Conso HP / jour
Instantané]]*365</f>
        <v>2579.6319018552299</v>
      </c>
      <c r="N284" s="79">
        <f>Tableau1[[#This Row],[Index HP
kWh]]-$I$5</f>
        <v>13209</v>
      </c>
      <c r="O284" s="80">
        <f>Tableau1[[#This Row],[Différence HP
Cumul]]/(Tableau1[[#This Row],[Diff jour_x000D_
Cumul]]*24)</f>
        <v>1.0860342361008462</v>
      </c>
      <c r="P284" s="80">
        <f>Tableau1[[#This Row],[Différence HP
Cumul]]/Tableau1[[#This Row],[Diff jour_x000D_
Cumul]]</f>
        <v>26.064821666420308</v>
      </c>
      <c r="Q284" s="80">
        <f>Tableau1[[#This Row],[Conso HP / jour
Cumul]]*365</f>
        <v>9513.6599082434132</v>
      </c>
      <c r="R284" s="78">
        <v>125115</v>
      </c>
      <c r="S284" s="79">
        <f>Tableau1[[#This Row],[Index HC_x000D_
kWh]]-R283</f>
        <v>3</v>
      </c>
      <c r="T284" s="81">
        <f>Tableau1[[#This Row],[Différence_x000D_ HC
Instantané]]/(Tableau1[[#This Row],[Diff jour
Instantané]]*24)</f>
        <v>0.11042944785339169</v>
      </c>
      <c r="U284" s="81">
        <f>Tableau1[[#This Row],[Différence_x000D_ HC
Instantané]]/Tableau1[[#This Row],[Diff jour
Instantané]]</f>
        <v>2.6503067484814005</v>
      </c>
      <c r="V284" s="81">
        <f>Tableau1[[#This Row],[Conso HC / jour_x000D_
Instantané]]*365</f>
        <v>967.36196319571116</v>
      </c>
      <c r="W284" s="79">
        <f>Tableau1[[#This Row],[Index HC_x000D_
kWh]]-$R$5</f>
        <v>5683</v>
      </c>
      <c r="X284" s="82">
        <f>Tableau1[[#This Row],[Différence HC
Cumul]]/(Tableau1[[#This Row],[Diff jour_x000D_
Cumul]]*24)</f>
        <v>0.46725206781445294</v>
      </c>
      <c r="Y284" s="82">
        <f>Tableau1[[#This Row],[Différence HC
Cumul]]/Tableau1[[#This Row],[Diff jour_x000D_
Cumul]]</f>
        <v>11.214049627546871</v>
      </c>
      <c r="Z284" s="82">
        <f>Tableau1[[#This Row],[Conso HC / jour_x000D_
Cumul]]*365</f>
        <v>4093.128114054608</v>
      </c>
      <c r="AA284" s="79">
        <f>Tableau1[[#This Row],[Différence HP
Instantané]]+Tableau1[[#This Row],[Différence_x000D_ HC
Instantané]]</f>
        <v>11</v>
      </c>
      <c r="AB284" s="80">
        <f>Tableau1[[#This Row],[Conso HP + HC
Instantané]]/(Tableau1[[#This Row],[Diff jour
Instantané]]*24)</f>
        <v>0.40490797546243618</v>
      </c>
      <c r="AC284" s="80">
        <f>IF(ISERROR(Tableau1[[#This Row],[Date]]-A283),"",Tableau1[[#This Row],[Conso HP + HC
Instantané]]/Tableau1[[#This Row],[Diff jour
Instantané]])</f>
        <v>9.7177914110984691</v>
      </c>
      <c r="AD284" s="80">
        <f>Tableau1[[#This Row],[Conso HP + HC / jour_x000D_
Instantané]]*365</f>
        <v>3546.9938650509412</v>
      </c>
      <c r="AE284" s="79">
        <f>Tableau1[[#This Row],[Différence HP
Cumul]]+Tableau1[[#This Row],[Différence HC
Cumul]]</f>
        <v>18892</v>
      </c>
      <c r="AF284" s="77">
        <f>(Tableau1[[#This Row],[Conso HP + HC
Cumul]]-AE$6)/Tableau1[[#This Row],[Diff jour_x000D_
Cumul
depuis le 24/01]]</f>
        <v>34.822466795868003</v>
      </c>
      <c r="AG284" s="77">
        <f>(Tableau1[[#This Row],[Conso HP + HC
Cumul]]-AE$59)/Tableau1[[#This Row],[Diff jour_x000D_
Cumul
depuis
précédente facture
16/02/2021]]</f>
        <v>32.980538157911575</v>
      </c>
      <c r="AH284" s="80">
        <f>Tableau1[[#This Row],[Conso HP + HC
Cumul]]/(Tableau1[[#This Row],[Diff jour_x000D_
Cumul]]*24)</f>
        <v>1.5532863039152991</v>
      </c>
      <c r="AI284" s="80">
        <f>Tableau1[[#This Row],[Conso HP + HC
Cumul]]/Tableau1[[#This Row],[Diff jour_x000D_
Cumul]]</f>
        <v>37.278871293967178</v>
      </c>
      <c r="AJ284" s="80">
        <f>Tableau1[[#This Row],[Conso HP + HC / jour_x000D_
Cumul]]*365</f>
        <v>13606.78802229802</v>
      </c>
      <c r="AK284" s="83">
        <f>(Tableau1[[#This Row],[Différence HP
Cumul]]*0.1799)+(Tableau1[[#This Row],[Différence HC
Cumul]]*0.1346)</f>
        <v>3141.2309</v>
      </c>
      <c r="AL284" s="83">
        <f>Tableau1[[#This Row],[Montant
Tarif HP/HC]]/Tableau1[[#This Row],[Diff jour_x000D_
Cumul]]</f>
        <v>6.1984724976568222</v>
      </c>
      <c r="AM284" s="83">
        <f>(Tableau1[[#This Row],[Montant
Tarif HP/HC]]-AK$6)/Tableau1[[#This Row],[Diff jour_x000D_
Cumul
depuis le 24/01]]</f>
        <v>5.7965726579307768</v>
      </c>
      <c r="AN284" s="83">
        <f>(Tableau1[[#This Row],[Montant
Tarif HP/HC]]-AK$59)/Tableau1[[#This Row],[Diff jour_x000D_
Cumul
depuis
précédente facture
16/02/2021]]</f>
        <v>5.4895113994347726</v>
      </c>
      <c r="AO284" s="83">
        <f>Tableau1[[#This Row],[Conso HP + HC
Cumul]]*0.1599</f>
        <v>3020.8307999999997</v>
      </c>
      <c r="AP284" s="83">
        <f>Tableau1[[#This Row],[Montant
Tarif normal]]/Tableau1[[#This Row],[Diff jour_x000D_
Cumul]]</f>
        <v>5.9608915199053509</v>
      </c>
      <c r="AQ284" s="83">
        <f>(Tableau1[[#This Row],[Conso HP / an
Cumul]]*0.1799)+(Tableau1[[#This Row],[Conso HC / an_x000D_
Cumul]]*0.1346)</f>
        <v>2262.4424616447404</v>
      </c>
      <c r="AR284" s="83">
        <f>Tableau1[[#This Row],[Conso HP + HC / an_x000D_
Cumul]]*0.1599</f>
        <v>2175.7254047654533</v>
      </c>
      <c r="AS284" s="79">
        <f>MONTH(Tableau1[[#This Row],[Date]])</f>
        <v>5</v>
      </c>
      <c r="AT284" s="79">
        <f>YEAR(Tableau1[[#This Row],[Date]])</f>
        <v>2022</v>
      </c>
    </row>
    <row r="285" spans="1:46" x14ac:dyDescent="0.2">
      <c r="A285" s="74">
        <v>44690.322916666664</v>
      </c>
      <c r="B285" s="75"/>
      <c r="C285" s="76">
        <f>IF(ISERROR(Tableau1[[#This Row],[Date]]-A284),"",Tableau1[[#This Row],[Date]]-A284)</f>
        <v>0.83958333333430346</v>
      </c>
      <c r="D285" s="77">
        <f>IF(ISERROR(Tableau1[[#This Row],[Date]]-A284),"",Tableau1[[#This Row],[Date]]-A284)</f>
        <v>0.83958333333430346</v>
      </c>
      <c r="E285" s="76">
        <f>Tableau1[[#This Row],[Date]]-$A$5</f>
        <v>507.61458333332848</v>
      </c>
      <c r="F285" s="77">
        <f>Tableau1[[#This Row],[Date]]-$A$5</f>
        <v>507.61458333332848</v>
      </c>
      <c r="G285" s="77">
        <f>Tableau1[[#This Row],[Diff jour_x000D_
Cumul]]-F$6</f>
        <v>469.53125</v>
      </c>
      <c r="H285" s="77">
        <f>Tableau1[[#This Row],[Diff jour_x000D_
Cumul]]-F$59</f>
        <v>447.01180555555038</v>
      </c>
      <c r="I285" s="78">
        <v>192975</v>
      </c>
      <c r="J285" s="79">
        <f>IF(ISERROR(Tableau1[[#This Row],[Index HP
kWh]]-I284),"",Tableau1[[#This Row],[Index HP
kWh]]-I284)</f>
        <v>7</v>
      </c>
      <c r="K285" s="77">
        <f>IF(ISERROR(Tableau1[[#This Row],[Différence HP
Instantané]]/(Tableau1[[#This Row],[Diff jour
Instantané]]*24)),"",Tableau1[[#This Row],[Différence HP
Instantané]]/(Tableau1[[#This Row],[Diff jour
Instantané]]*24))</f>
        <v>0.34739454094252664</v>
      </c>
      <c r="L285" s="77">
        <f>Tableau1[[#This Row],[Différence HP
Instantané]]/Tableau1[[#This Row],[Diff jour
Instantané]]</f>
        <v>8.3374689826206385</v>
      </c>
      <c r="M285" s="77">
        <f>Tableau1[[#This Row],[Conso HP / jour
Instantané]]*365</f>
        <v>3043.176178656533</v>
      </c>
      <c r="N285" s="79">
        <f>Tableau1[[#This Row],[Index HP
kWh]]-$I$5</f>
        <v>13216</v>
      </c>
      <c r="O285" s="80">
        <f>Tableau1[[#This Row],[Différence HP
Cumul]]/(Tableau1[[#This Row],[Diff jour_x000D_
Cumul]]*24)</f>
        <v>1.0848125423241983</v>
      </c>
      <c r="P285" s="80">
        <f>Tableau1[[#This Row],[Différence HP
Cumul]]/Tableau1[[#This Row],[Diff jour_x000D_
Cumul]]</f>
        <v>26.03550101578076</v>
      </c>
      <c r="Q285" s="80">
        <f>Tableau1[[#This Row],[Conso HP / jour
Cumul]]*365</f>
        <v>9502.9578707599776</v>
      </c>
      <c r="R285" s="78">
        <v>125117</v>
      </c>
      <c r="S285" s="79">
        <f>Tableau1[[#This Row],[Index HC_x000D_
kWh]]-R284</f>
        <v>2</v>
      </c>
      <c r="T285" s="81">
        <f>Tableau1[[#This Row],[Différence_x000D_ HC
Instantané]]/(Tableau1[[#This Row],[Diff jour
Instantané]]*24)</f>
        <v>9.9255583126436175E-2</v>
      </c>
      <c r="U285" s="81">
        <f>Tableau1[[#This Row],[Différence_x000D_ HC
Instantané]]/Tableau1[[#This Row],[Diff jour
Instantané]]</f>
        <v>2.3821339950344682</v>
      </c>
      <c r="V285" s="81">
        <f>Tableau1[[#This Row],[Conso HC / jour_x000D_
Instantané]]*365</f>
        <v>869.47890818758094</v>
      </c>
      <c r="W285" s="79">
        <f>Tableau1[[#This Row],[Index HC_x000D_
kWh]]-$R$5</f>
        <v>5685</v>
      </c>
      <c r="X285" s="82">
        <f>Tableau1[[#This Row],[Différence HC
Cumul]]/(Tableau1[[#This Row],[Diff jour_x000D_
Cumul]]*24)</f>
        <v>0.46664340973918483</v>
      </c>
      <c r="Y285" s="82">
        <f>Tableau1[[#This Row],[Différence HC
Cumul]]/Tableau1[[#This Row],[Diff jour_x000D_
Cumul]]</f>
        <v>11.199441833740437</v>
      </c>
      <c r="Z285" s="82">
        <f>Tableau1[[#This Row],[Conso HC / jour_x000D_
Cumul]]*365</f>
        <v>4087.7962693152595</v>
      </c>
      <c r="AA285" s="79">
        <f>Tableau1[[#This Row],[Différence HP
Instantané]]+Tableau1[[#This Row],[Différence_x000D_ HC
Instantané]]</f>
        <v>9</v>
      </c>
      <c r="AB285" s="80">
        <f>Tableau1[[#This Row],[Conso HP + HC
Instantané]]/(Tableau1[[#This Row],[Diff jour
Instantané]]*24)</f>
        <v>0.44665012406896282</v>
      </c>
      <c r="AC285" s="80">
        <f>IF(ISERROR(Tableau1[[#This Row],[Date]]-A284),"",Tableau1[[#This Row],[Conso HP + HC
Instantané]]/Tableau1[[#This Row],[Diff jour
Instantané]])</f>
        <v>10.719602977655107</v>
      </c>
      <c r="AD285" s="80">
        <f>Tableau1[[#This Row],[Conso HP + HC / jour_x000D_
Instantané]]*365</f>
        <v>3912.6550868441141</v>
      </c>
      <c r="AE285" s="79">
        <f>Tableau1[[#This Row],[Différence HP
Cumul]]+Tableau1[[#This Row],[Différence HC
Cumul]]</f>
        <v>18901</v>
      </c>
      <c r="AF285" s="77">
        <f>(Tableau1[[#This Row],[Conso HP + HC
Cumul]]-AE$6)/Tableau1[[#This Row],[Diff jour_x000D_
Cumul
depuis le 24/01]]</f>
        <v>34.779367720465892</v>
      </c>
      <c r="AG285" s="77">
        <f>(Tableau1[[#This Row],[Conso HP + HC
Cumul]]-AE$59)/Tableau1[[#This Row],[Diff jour_x000D_
Cumul
depuis
précédente facture
16/02/2021]]</f>
        <v>32.938727382604306</v>
      </c>
      <c r="AH285" s="80">
        <f>Tableau1[[#This Row],[Conso HP + HC
Cumul]]/(Tableau1[[#This Row],[Diff jour_x000D_
Cumul]]*24)</f>
        <v>1.551455952063383</v>
      </c>
      <c r="AI285" s="80">
        <f>Tableau1[[#This Row],[Conso HP + HC
Cumul]]/Tableau1[[#This Row],[Diff jour_x000D_
Cumul]]</f>
        <v>37.234942849521197</v>
      </c>
      <c r="AJ285" s="80">
        <f>Tableau1[[#This Row],[Conso HP + HC / jour_x000D_
Cumul]]*365</f>
        <v>13590.754140075236</v>
      </c>
      <c r="AK285" s="83">
        <f>(Tableau1[[#This Row],[Différence HP
Cumul]]*0.1799)+(Tableau1[[#This Row],[Différence HC
Cumul]]*0.1346)</f>
        <v>3142.7593999999999</v>
      </c>
      <c r="AL285" s="83">
        <f>Tableau1[[#This Row],[Montant
Tarif HP/HC]]/Tableau1[[#This Row],[Diff jour_x000D_
Cumul]]</f>
        <v>6.1912315035604211</v>
      </c>
      <c r="AM285" s="83">
        <f>(Tableau1[[#This Row],[Montant
Tarif HP/HC]]-AK$6)/Tableau1[[#This Row],[Diff jour_x000D_
Cumul
depuis le 24/01]]</f>
        <v>5.7894630016638935</v>
      </c>
      <c r="AN285" s="83">
        <f>(Tableau1[[#This Row],[Montant
Tarif HP/HC]]-AK$59)/Tableau1[[#This Row],[Diff jour_x000D_
Cumul
depuis
précédente facture
16/02/2021]]</f>
        <v>5.4826203011666061</v>
      </c>
      <c r="AO285" s="83">
        <f>Tableau1[[#This Row],[Conso HP + HC
Cumul]]*0.1599</f>
        <v>3022.2698999999998</v>
      </c>
      <c r="AP285" s="83">
        <f>Tableau1[[#This Row],[Montant
Tarif normal]]/Tableau1[[#This Row],[Diff jour_x000D_
Cumul]]</f>
        <v>5.953867361638439</v>
      </c>
      <c r="AQ285" s="83">
        <f>(Tableau1[[#This Row],[Conso HP / an
Cumul]]*0.1799)+(Tableau1[[#This Row],[Conso HC / an_x000D_
Cumul]]*0.1346)</f>
        <v>2259.7994987995539</v>
      </c>
      <c r="AR285" s="83">
        <f>Tableau1[[#This Row],[Conso HP + HC / an_x000D_
Cumul]]*0.1599</f>
        <v>2173.1615869980301</v>
      </c>
      <c r="AS285" s="79">
        <f>MONTH(Tableau1[[#This Row],[Date]])</f>
        <v>5</v>
      </c>
      <c r="AT285" s="79">
        <f>YEAR(Tableau1[[#This Row],[Date]])</f>
        <v>2022</v>
      </c>
    </row>
    <row r="286" spans="1:46" x14ac:dyDescent="0.2">
      <c r="A286" s="74">
        <v>44691.3125</v>
      </c>
      <c r="B286" s="75"/>
      <c r="C286" s="76">
        <f>IF(ISERROR(Tableau1[[#This Row],[Date]]-A285),"",Tableau1[[#This Row],[Date]]-A285)</f>
        <v>0.98958333333575865</v>
      </c>
      <c r="D286" s="77">
        <f>IF(ISERROR(Tableau1[[#This Row],[Date]]-A285),"",Tableau1[[#This Row],[Date]]-A285)</f>
        <v>0.98958333333575865</v>
      </c>
      <c r="E286" s="76">
        <f>Tableau1[[#This Row],[Date]]-$A$5</f>
        <v>508.60416666666424</v>
      </c>
      <c r="F286" s="77">
        <f>Tableau1[[#This Row],[Date]]-$A$5</f>
        <v>508.60416666666424</v>
      </c>
      <c r="G286" s="77">
        <f>Tableau1[[#This Row],[Diff jour_x000D_
Cumul]]-F$6</f>
        <v>470.52083333333576</v>
      </c>
      <c r="H286" s="77">
        <f>Tableau1[[#This Row],[Diff jour_x000D_
Cumul]]-F$59</f>
        <v>448.00138888888614</v>
      </c>
      <c r="I286" s="78">
        <v>192980</v>
      </c>
      <c r="J286" s="79">
        <f>IF(ISERROR(Tableau1[[#This Row],[Index HP
kWh]]-I285),"",Tableau1[[#This Row],[Index HP
kWh]]-I285)</f>
        <v>5</v>
      </c>
      <c r="K286" s="77">
        <f>IF(ISERROR(Tableau1[[#This Row],[Différence HP
Instantané]]/(Tableau1[[#This Row],[Diff jour
Instantané]]*24)),"",Tableau1[[#This Row],[Différence HP
Instantané]]/(Tableau1[[#This Row],[Diff jour
Instantané]]*24))</f>
        <v>0.21052631578895772</v>
      </c>
      <c r="L286" s="77">
        <f>Tableau1[[#This Row],[Différence HP
Instantané]]/Tableau1[[#This Row],[Diff jour
Instantané]]</f>
        <v>5.0526315789349852</v>
      </c>
      <c r="M286" s="77">
        <f>Tableau1[[#This Row],[Conso HP / jour
Instantané]]*365</f>
        <v>1844.2105263112696</v>
      </c>
      <c r="N286" s="79">
        <f>Tableau1[[#This Row],[Index HP
kWh]]-$I$5</f>
        <v>13221</v>
      </c>
      <c r="O286" s="80">
        <f>Tableau1[[#This Row],[Différence HP
Cumul]]/(Tableau1[[#This Row],[Diff jour_x000D_
Cumul]]*24)</f>
        <v>1.0831114570106142</v>
      </c>
      <c r="P286" s="80">
        <f>Tableau1[[#This Row],[Différence HP
Cumul]]/Tableau1[[#This Row],[Diff jour_x000D_
Cumul]]</f>
        <v>25.994674968254742</v>
      </c>
      <c r="Q286" s="80">
        <f>Tableau1[[#This Row],[Conso HP / jour
Cumul]]*365</f>
        <v>9488.0563634129812</v>
      </c>
      <c r="R286" s="78">
        <v>125120</v>
      </c>
      <c r="S286" s="79">
        <f>Tableau1[[#This Row],[Index HC_x000D_
kWh]]-R285</f>
        <v>3</v>
      </c>
      <c r="T286" s="81">
        <f>Tableau1[[#This Row],[Différence_x000D_ HC
Instantané]]/(Tableau1[[#This Row],[Diff jour
Instantané]]*24)</f>
        <v>0.12631578947337463</v>
      </c>
      <c r="U286" s="81">
        <f>Tableau1[[#This Row],[Différence_x000D_ HC
Instantané]]/Tableau1[[#This Row],[Diff jour
Instantané]]</f>
        <v>3.0315789473609911</v>
      </c>
      <c r="V286" s="81">
        <f>Tableau1[[#This Row],[Conso HC / jour_x000D_
Instantané]]*365</f>
        <v>1106.5263157867616</v>
      </c>
      <c r="W286" s="79">
        <f>Tableau1[[#This Row],[Index HC_x000D_
kWh]]-$R$5</f>
        <v>5688</v>
      </c>
      <c r="X286" s="82">
        <f>Tableau1[[#This Row],[Différence HC
Cumul]]/(Tableau1[[#This Row],[Diff jour_x000D_
Cumul]]*24)</f>
        <v>0.46598123950354542</v>
      </c>
      <c r="Y286" s="82">
        <f>Tableau1[[#This Row],[Différence HC
Cumul]]/Tableau1[[#This Row],[Diff jour_x000D_
Cumul]]</f>
        <v>11.18354974808509</v>
      </c>
      <c r="Z286" s="82">
        <f>Tableau1[[#This Row],[Conso HC / jour_x000D_
Cumul]]*365</f>
        <v>4081.9956580510579</v>
      </c>
      <c r="AA286" s="79">
        <f>Tableau1[[#This Row],[Différence HP
Instantané]]+Tableau1[[#This Row],[Différence_x000D_ HC
Instantané]]</f>
        <v>8</v>
      </c>
      <c r="AB286" s="80">
        <f>Tableau1[[#This Row],[Conso HP + HC
Instantané]]/(Tableau1[[#This Row],[Diff jour
Instantané]]*24)</f>
        <v>0.33684210526233233</v>
      </c>
      <c r="AC286" s="80">
        <f>IF(ISERROR(Tableau1[[#This Row],[Date]]-A285),"",Tableau1[[#This Row],[Conso HP + HC
Instantané]]/Tableau1[[#This Row],[Diff jour
Instantané]])</f>
        <v>8.0842105262959763</v>
      </c>
      <c r="AD286" s="80">
        <f>Tableau1[[#This Row],[Conso HP + HC / jour_x000D_
Instantané]]*365</f>
        <v>2950.7368420980315</v>
      </c>
      <c r="AE286" s="79">
        <f>Tableau1[[#This Row],[Différence HP
Cumul]]+Tableau1[[#This Row],[Différence HC
Cumul]]</f>
        <v>18909</v>
      </c>
      <c r="AF286" s="77">
        <f>(Tableau1[[#This Row],[Conso HP + HC
Cumul]]-AE$6)/Tableau1[[#This Row],[Diff jour_x000D_
Cumul
depuis le 24/01]]</f>
        <v>34.72322337834828</v>
      </c>
      <c r="AG286" s="77">
        <f>(Tableau1[[#This Row],[Conso HP + HC
Cumul]]-AE$59)/Tableau1[[#This Row],[Diff jour_x000D_
Cumul
depuis
précédente facture
16/02/2021]]</f>
        <v>32.883826625041664</v>
      </c>
      <c r="AH286" s="80">
        <f>Tableau1[[#This Row],[Conso HP + HC
Cumul]]/(Tableau1[[#This Row],[Diff jour_x000D_
Cumul]]*24)</f>
        <v>1.5490926965141596</v>
      </c>
      <c r="AI286" s="80">
        <f>Tableau1[[#This Row],[Conso HP + HC
Cumul]]/Tableau1[[#This Row],[Diff jour_x000D_
Cumul]]</f>
        <v>37.178224716339834</v>
      </c>
      <c r="AJ286" s="80">
        <f>Tableau1[[#This Row],[Conso HP + HC / jour_x000D_
Cumul]]*365</f>
        <v>13570.05202146404</v>
      </c>
      <c r="AK286" s="83">
        <f>(Tableau1[[#This Row],[Différence HP
Cumul]]*0.1799)+(Tableau1[[#This Row],[Différence HC
Cumul]]*0.1346)</f>
        <v>3144.0626999999999</v>
      </c>
      <c r="AL286" s="83">
        <f>Tableau1[[#This Row],[Montant
Tarif HP/HC]]/Tableau1[[#This Row],[Diff jour_x000D_
Cumul]]</f>
        <v>6.181747822881281</v>
      </c>
      <c r="AM286" s="83">
        <f>(Tableau1[[#This Row],[Montant
Tarif HP/HC]]-AK$6)/Tableau1[[#This Row],[Diff jour_x000D_
Cumul
depuis le 24/01]]</f>
        <v>5.7800567102058586</v>
      </c>
      <c r="AN286" s="83">
        <f>(Tableau1[[#This Row],[Montant
Tarif HP/HC]]-AK$59)/Tableau1[[#This Row],[Diff jour_x000D_
Cumul
depuis
précédente facture
16/02/2021]]</f>
        <v>5.4734189688152339</v>
      </c>
      <c r="AO286" s="83">
        <f>Tableau1[[#This Row],[Conso HP + HC
Cumul]]*0.1599</f>
        <v>3023.5490999999997</v>
      </c>
      <c r="AP286" s="83">
        <f>Tableau1[[#This Row],[Montant
Tarif normal]]/Tableau1[[#This Row],[Diff jour_x000D_
Cumul]]</f>
        <v>5.944798132142739</v>
      </c>
      <c r="AQ286" s="83">
        <f>(Tableau1[[#This Row],[Conso HP / an
Cumul]]*0.1799)+(Tableau1[[#This Row],[Conso HC / an_x000D_
Cumul]]*0.1346)</f>
        <v>2256.3379553516679</v>
      </c>
      <c r="AR286" s="83">
        <f>Tableau1[[#This Row],[Conso HP + HC / an_x000D_
Cumul]]*0.1599</f>
        <v>2169.8513182320999</v>
      </c>
      <c r="AS286" s="79">
        <f>MONTH(Tableau1[[#This Row],[Date]])</f>
        <v>5</v>
      </c>
      <c r="AT286" s="79">
        <f>YEAR(Tableau1[[#This Row],[Date]])</f>
        <v>2022</v>
      </c>
    </row>
    <row r="287" spans="1:46" x14ac:dyDescent="0.2">
      <c r="A287" s="74">
        <v>44692.36041666667</v>
      </c>
      <c r="B287" s="75"/>
      <c r="C287" s="76">
        <f>IF(ISERROR(Tableau1[[#This Row],[Date]]-A286),"",Tableau1[[#This Row],[Date]]-A286)</f>
        <v>1.0479166666700621</v>
      </c>
      <c r="D287" s="77">
        <f>IF(ISERROR(Tableau1[[#This Row],[Date]]-A286),"",Tableau1[[#This Row],[Date]]-A286)</f>
        <v>1.0479166666700621</v>
      </c>
      <c r="E287" s="76">
        <f>Tableau1[[#This Row],[Date]]-$A$5</f>
        <v>509.6520833333343</v>
      </c>
      <c r="F287" s="77">
        <f>Tableau1[[#This Row],[Date]]-$A$5</f>
        <v>509.6520833333343</v>
      </c>
      <c r="G287" s="77">
        <f>Tableau1[[#This Row],[Diff jour_x000D_
Cumul]]-F$6</f>
        <v>471.56875000000582</v>
      </c>
      <c r="H287" s="77">
        <f>Tableau1[[#This Row],[Diff jour_x000D_
Cumul]]-F$59</f>
        <v>449.0493055555562</v>
      </c>
      <c r="I287" s="78">
        <v>192988</v>
      </c>
      <c r="J287" s="79">
        <f>IF(ISERROR(Tableau1[[#This Row],[Index HP
kWh]]-I286),"",Tableau1[[#This Row],[Index HP
kWh]]-I286)</f>
        <v>8</v>
      </c>
      <c r="K287" s="77">
        <f>IF(ISERROR(Tableau1[[#This Row],[Différence HP
Instantané]]/(Tableau1[[#This Row],[Diff jour
Instantané]]*24)),"",Tableau1[[#This Row],[Différence HP
Instantané]]/(Tableau1[[#This Row],[Diff jour
Instantané]]*24))</f>
        <v>0.31809145129121585</v>
      </c>
      <c r="L287" s="77">
        <f>Tableau1[[#This Row],[Différence HP
Instantané]]/Tableau1[[#This Row],[Diff jour
Instantané]]</f>
        <v>7.6341948309891805</v>
      </c>
      <c r="M287" s="77">
        <f>Tableau1[[#This Row],[Conso HP / jour
Instantané]]*365</f>
        <v>2786.4811133110511</v>
      </c>
      <c r="N287" s="79">
        <f>Tableau1[[#This Row],[Index HP
kWh]]-$I$5</f>
        <v>13229</v>
      </c>
      <c r="O287" s="80">
        <f>Tableau1[[#This Row],[Différence HP
Cumul]]/(Tableau1[[#This Row],[Diff jour_x000D_
Cumul]]*24)</f>
        <v>1.0815384678273148</v>
      </c>
      <c r="P287" s="80">
        <f>Tableau1[[#This Row],[Différence HP
Cumul]]/Tableau1[[#This Row],[Diff jour_x000D_
Cumul]]</f>
        <v>25.956923227855555</v>
      </c>
      <c r="Q287" s="80">
        <f>Tableau1[[#This Row],[Conso HP / jour
Cumul]]*365</f>
        <v>9474.2769781672778</v>
      </c>
      <c r="R287" s="78">
        <v>125122</v>
      </c>
      <c r="S287" s="79">
        <f>Tableau1[[#This Row],[Index HC_x000D_
kWh]]-R286</f>
        <v>2</v>
      </c>
      <c r="T287" s="81">
        <f>Tableau1[[#This Row],[Différence_x000D_ HC
Instantané]]/(Tableau1[[#This Row],[Diff jour
Instantané]]*24)</f>
        <v>7.9522862822803964E-2</v>
      </c>
      <c r="U287" s="81">
        <f>Tableau1[[#This Row],[Différence_x000D_ HC
Instantané]]/Tableau1[[#This Row],[Diff jour
Instantané]]</f>
        <v>1.9085487077472951</v>
      </c>
      <c r="V287" s="81">
        <f>Tableau1[[#This Row],[Conso HC / jour_x000D_
Instantané]]*365</f>
        <v>696.62027832776278</v>
      </c>
      <c r="W287" s="79">
        <f>Tableau1[[#This Row],[Index HC_x000D_
kWh]]-$R$5</f>
        <v>5690</v>
      </c>
      <c r="X287" s="82">
        <f>Tableau1[[#This Row],[Différence HC
Cumul]]/(Tableau1[[#This Row],[Diff jour_x000D_
Cumul]]*24)</f>
        <v>0.46518662649765069</v>
      </c>
      <c r="Y287" s="82">
        <f>Tableau1[[#This Row],[Différence HC
Cumul]]/Tableau1[[#This Row],[Diff jour_x000D_
Cumul]]</f>
        <v>11.164479035943616</v>
      </c>
      <c r="Z287" s="82">
        <f>Tableau1[[#This Row],[Conso HC / jour_x000D_
Cumul]]*365</f>
        <v>4075.0348481194201</v>
      </c>
      <c r="AA287" s="79">
        <f>Tableau1[[#This Row],[Différence HP
Instantané]]+Tableau1[[#This Row],[Différence_x000D_ HC
Instantané]]</f>
        <v>10</v>
      </c>
      <c r="AB287" s="80">
        <f>Tableau1[[#This Row],[Conso HP + HC
Instantané]]/(Tableau1[[#This Row],[Diff jour
Instantané]]*24)</f>
        <v>0.39761431411401982</v>
      </c>
      <c r="AC287" s="80">
        <f>IF(ISERROR(Tableau1[[#This Row],[Date]]-A286),"",Tableau1[[#This Row],[Conso HP + HC
Instantané]]/Tableau1[[#This Row],[Diff jour
Instantané]])</f>
        <v>9.5427435387364756</v>
      </c>
      <c r="AD287" s="80">
        <f>Tableau1[[#This Row],[Conso HP + HC / jour_x000D_
Instantané]]*365</f>
        <v>3483.1013916388138</v>
      </c>
      <c r="AE287" s="79">
        <f>Tableau1[[#This Row],[Différence HP
Cumul]]+Tableau1[[#This Row],[Différence HC
Cumul]]</f>
        <v>18919</v>
      </c>
      <c r="AF287" s="77">
        <f>(Tableau1[[#This Row],[Conso HP + HC
Cumul]]-AE$6)/Tableau1[[#This Row],[Diff jour_x000D_
Cumul
depuis le 24/01]]</f>
        <v>34.667267498110931</v>
      </c>
      <c r="AG287" s="77">
        <f>(Tableau1[[#This Row],[Conso HP + HC
Cumul]]-AE$59)/Tableau1[[#This Row],[Diff jour_x000D_
Cumul
depuis
précédente facture
16/02/2021]]</f>
        <v>32.829357083096802</v>
      </c>
      <c r="AH287" s="80">
        <f>Tableau1[[#This Row],[Conso HP + HC
Cumul]]/(Tableau1[[#This Row],[Diff jour_x000D_
Cumul]]*24)</f>
        <v>1.5467250943249655</v>
      </c>
      <c r="AI287" s="80">
        <f>Tableau1[[#This Row],[Conso HP + HC
Cumul]]/Tableau1[[#This Row],[Diff jour_x000D_
Cumul]]</f>
        <v>37.121402263799169</v>
      </c>
      <c r="AJ287" s="80">
        <f>Tableau1[[#This Row],[Conso HP + HC / jour_x000D_
Cumul]]*365</f>
        <v>13549.311826286697</v>
      </c>
      <c r="AK287" s="83">
        <f>(Tableau1[[#This Row],[Différence HP
Cumul]]*0.1799)+(Tableau1[[#This Row],[Différence HC
Cumul]]*0.1346)</f>
        <v>3145.7710999999999</v>
      </c>
      <c r="AL287" s="83">
        <f>Tableau1[[#This Row],[Montant
Tarif HP/HC]]/Tableau1[[#This Row],[Diff jour_x000D_
Cumul]]</f>
        <v>6.1723893669292247</v>
      </c>
      <c r="AM287" s="83">
        <f>(Tableau1[[#This Row],[Montant
Tarif HP/HC]]-AK$6)/Tableau1[[#This Row],[Diff jour_x000D_
Cumul
depuis le 24/01]]</f>
        <v>5.7708351115292658</v>
      </c>
      <c r="AN287" s="83">
        <f>(Tableau1[[#This Row],[Montant
Tarif HP/HC]]-AK$59)/Tableau1[[#This Row],[Diff jour_x000D_
Cumul
depuis
précédente facture
16/02/2021]]</f>
        <v>5.464450494949971</v>
      </c>
      <c r="AO287" s="83">
        <f>Tableau1[[#This Row],[Conso HP + HC
Cumul]]*0.1599</f>
        <v>3025.1480999999999</v>
      </c>
      <c r="AP287" s="83">
        <f>Tableau1[[#This Row],[Montant
Tarif normal]]/Tableau1[[#This Row],[Diff jour_x000D_
Cumul]]</f>
        <v>5.9357122219814871</v>
      </c>
      <c r="AQ287" s="83">
        <f>(Tableau1[[#This Row],[Conso HP / an
Cumul]]*0.1799)+(Tableau1[[#This Row],[Conso HC / an_x000D_
Cumul]]*0.1346)</f>
        <v>2252.9221189291675</v>
      </c>
      <c r="AR287" s="83">
        <f>Tableau1[[#This Row],[Conso HP + HC / an_x000D_
Cumul]]*0.1599</f>
        <v>2166.5349610232429</v>
      </c>
      <c r="AS287" s="79">
        <f>MONTH(Tableau1[[#This Row],[Date]])</f>
        <v>5</v>
      </c>
      <c r="AT287" s="79">
        <f>YEAR(Tableau1[[#This Row],[Date]])</f>
        <v>2022</v>
      </c>
    </row>
    <row r="288" spans="1:46" x14ac:dyDescent="0.2">
      <c r="A288" s="74">
        <v>44693.302083333336</v>
      </c>
      <c r="B288" s="75"/>
      <c r="C288" s="76">
        <f>IF(ISERROR(Tableau1[[#This Row],[Date]]-A287),"",Tableau1[[#This Row],[Date]]-A287)</f>
        <v>0.94166666666569654</v>
      </c>
      <c r="D288" s="77">
        <f>IF(ISERROR(Tableau1[[#This Row],[Date]]-A287),"",Tableau1[[#This Row],[Date]]-A287)</f>
        <v>0.94166666666569654</v>
      </c>
      <c r="E288" s="76">
        <f>Tableau1[[#This Row],[Date]]-$A$5</f>
        <v>510.59375</v>
      </c>
      <c r="F288" s="77">
        <f>Tableau1[[#This Row],[Date]]-$A$5</f>
        <v>510.59375</v>
      </c>
      <c r="G288" s="77">
        <f>Tableau1[[#This Row],[Diff jour_x000D_
Cumul]]-F$6</f>
        <v>472.51041666667152</v>
      </c>
      <c r="H288" s="77">
        <f>Tableau1[[#This Row],[Diff jour_x000D_
Cumul]]-F$59</f>
        <v>449.9909722222219</v>
      </c>
      <c r="I288" s="78">
        <v>192996</v>
      </c>
      <c r="J288" s="79">
        <f>IF(ISERROR(Tableau1[[#This Row],[Index HP
kWh]]-I287),"",Tableau1[[#This Row],[Index HP
kWh]]-I287)</f>
        <v>8</v>
      </c>
      <c r="K288" s="77">
        <f>IF(ISERROR(Tableau1[[#This Row],[Différence HP
Instantané]]/(Tableau1[[#This Row],[Diff jour
Instantané]]*24)),"",Tableau1[[#This Row],[Différence HP
Instantané]]/(Tableau1[[#This Row],[Diff jour
Instantané]]*24))</f>
        <v>0.35398230088532046</v>
      </c>
      <c r="L288" s="77">
        <f>Tableau1[[#This Row],[Différence HP
Instantané]]/Tableau1[[#This Row],[Diff jour
Instantané]]</f>
        <v>8.4955752212476909</v>
      </c>
      <c r="M288" s="77">
        <f>Tableau1[[#This Row],[Conso HP / jour
Instantané]]*365</f>
        <v>3100.8849557554072</v>
      </c>
      <c r="N288" s="79">
        <f>Tableau1[[#This Row],[Index HP
kWh]]-$I$5</f>
        <v>13237</v>
      </c>
      <c r="O288" s="80">
        <f>Tableau1[[#This Row],[Différence HP
Cumul]]/(Tableau1[[#This Row],[Diff jour_x000D_
Cumul]]*24)</f>
        <v>1.0801966664626559</v>
      </c>
      <c r="P288" s="80">
        <f>Tableau1[[#This Row],[Différence HP
Cumul]]/Tableau1[[#This Row],[Diff jour_x000D_
Cumul]]</f>
        <v>25.924719995103739</v>
      </c>
      <c r="Q288" s="80">
        <f>Tableau1[[#This Row],[Conso HP / jour
Cumul]]*365</f>
        <v>9462.5227982128654</v>
      </c>
      <c r="R288" s="78">
        <v>125124</v>
      </c>
      <c r="S288" s="79">
        <f>Tableau1[[#This Row],[Index HC_x000D_
kWh]]-R287</f>
        <v>2</v>
      </c>
      <c r="T288" s="81">
        <f>Tableau1[[#This Row],[Différence_x000D_ HC
Instantané]]/(Tableau1[[#This Row],[Diff jour
Instantané]]*24)</f>
        <v>8.8495575221330114E-2</v>
      </c>
      <c r="U288" s="81">
        <f>Tableau1[[#This Row],[Différence_x000D_ HC
Instantané]]/Tableau1[[#This Row],[Diff jour
Instantané]]</f>
        <v>2.1238938053119227</v>
      </c>
      <c r="V288" s="81">
        <f>Tableau1[[#This Row],[Conso HC / jour_x000D_
Instantané]]*365</f>
        <v>775.2212389388518</v>
      </c>
      <c r="W288" s="79">
        <f>Tableau1[[#This Row],[Index HC_x000D_
kWh]]-$R$5</f>
        <v>5692</v>
      </c>
      <c r="X288" s="82">
        <f>Tableau1[[#This Row],[Différence HC
Cumul]]/(Tableau1[[#This Row],[Diff jour_x000D_
Cumul]]*24)</f>
        <v>0.46449191096966358</v>
      </c>
      <c r="Y288" s="82">
        <f>Tableau1[[#This Row],[Différence HC
Cumul]]/Tableau1[[#This Row],[Diff jour_x000D_
Cumul]]</f>
        <v>11.147805863271927</v>
      </c>
      <c r="Z288" s="82">
        <f>Tableau1[[#This Row],[Conso HC / jour_x000D_
Cumul]]*365</f>
        <v>4068.9491400942534</v>
      </c>
      <c r="AA288" s="79">
        <f>Tableau1[[#This Row],[Différence HP
Instantané]]+Tableau1[[#This Row],[Différence_x000D_ HC
Instantané]]</f>
        <v>10</v>
      </c>
      <c r="AB288" s="80">
        <f>Tableau1[[#This Row],[Conso HP + HC
Instantané]]/(Tableau1[[#This Row],[Diff jour
Instantané]]*24)</f>
        <v>0.44247787610665051</v>
      </c>
      <c r="AC288" s="80">
        <f>IF(ISERROR(Tableau1[[#This Row],[Date]]-A287),"",Tableau1[[#This Row],[Conso HP + HC
Instantané]]/Tableau1[[#This Row],[Diff jour
Instantané]])</f>
        <v>10.619469026559614</v>
      </c>
      <c r="AD288" s="80">
        <f>Tableau1[[#This Row],[Conso HP + HC / jour_x000D_
Instantané]]*365</f>
        <v>3876.1061946942591</v>
      </c>
      <c r="AE288" s="79">
        <f>Tableau1[[#This Row],[Différence HP
Cumul]]+Tableau1[[#This Row],[Différence HC
Cumul]]</f>
        <v>18929</v>
      </c>
      <c r="AF288" s="77">
        <f>(Tableau1[[#This Row],[Conso HP + HC
Cumul]]-AE$6)/Tableau1[[#This Row],[Diff jour_x000D_
Cumul
depuis le 24/01]]</f>
        <v>34.619342607085024</v>
      </c>
      <c r="AG288" s="77">
        <f>(Tableau1[[#This Row],[Conso HP + HC
Cumul]]-AE$59)/Tableau1[[#This Row],[Diff jour_x000D_
Cumul
depuis
précédente facture
16/02/2021]]</f>
        <v>32.782879903454877</v>
      </c>
      <c r="AH288" s="80">
        <f>Tableau1[[#This Row],[Conso HP + HC
Cumul]]/(Tableau1[[#This Row],[Diff jour_x000D_
Cumul]]*24)</f>
        <v>1.5446885774323194</v>
      </c>
      <c r="AI288" s="80">
        <f>Tableau1[[#This Row],[Conso HP + HC
Cumul]]/Tableau1[[#This Row],[Diff jour_x000D_
Cumul]]</f>
        <v>37.072525858375663</v>
      </c>
      <c r="AJ288" s="80">
        <f>Tableau1[[#This Row],[Conso HP + HC / jour_x000D_
Cumul]]*365</f>
        <v>13531.471938307117</v>
      </c>
      <c r="AK288" s="83">
        <f>(Tableau1[[#This Row],[Différence HP
Cumul]]*0.1799)+(Tableau1[[#This Row],[Différence HC
Cumul]]*0.1346)</f>
        <v>3147.4794999999999</v>
      </c>
      <c r="AL288" s="83">
        <f>Tableau1[[#This Row],[Montant
Tarif HP/HC]]/Tableau1[[#This Row],[Diff jour_x000D_
Cumul]]</f>
        <v>6.1643517963155636</v>
      </c>
      <c r="AM288" s="83">
        <f>(Tableau1[[#This Row],[Montant
Tarif HP/HC]]-AK$6)/Tableau1[[#This Row],[Diff jour_x000D_
Cumul
depuis le 24/01]]</f>
        <v>5.762949987874987</v>
      </c>
      <c r="AN288" s="83">
        <f>(Tableau1[[#This Row],[Montant
Tarif HP/HC]]-AK$59)/Tableau1[[#This Row],[Diff jour_x000D_
Cumul
depuis
précédente facture
16/02/2021]]</f>
        <v>5.4568119175230398</v>
      </c>
      <c r="AO288" s="83">
        <f>Tableau1[[#This Row],[Conso HP + HC
Cumul]]*0.1599</f>
        <v>3026.7470999999996</v>
      </c>
      <c r="AP288" s="83">
        <f>Tableau1[[#This Row],[Montant
Tarif normal]]/Tableau1[[#This Row],[Diff jour_x000D_
Cumul]]</f>
        <v>5.9278968847542686</v>
      </c>
      <c r="AQ288" s="83">
        <f>(Tableau1[[#This Row],[Conso HP / an
Cumul]]*0.1799)+(Tableau1[[#This Row],[Conso HC / an_x000D_
Cumul]]*0.1346)</f>
        <v>2249.9884056551809</v>
      </c>
      <c r="AR288" s="83">
        <f>Tableau1[[#This Row],[Conso HP + HC / an_x000D_
Cumul]]*0.1599</f>
        <v>2163.682362935308</v>
      </c>
      <c r="AS288" s="79">
        <f>MONTH(Tableau1[[#This Row],[Date]])</f>
        <v>5</v>
      </c>
      <c r="AT288" s="79">
        <f>YEAR(Tableau1[[#This Row],[Date]])</f>
        <v>2022</v>
      </c>
    </row>
    <row r="289" spans="1:46" x14ac:dyDescent="0.2">
      <c r="A289" s="74">
        <v>44694.348611111112</v>
      </c>
      <c r="B289" s="75"/>
      <c r="C289" s="76">
        <f>IF(ISERROR(Tableau1[[#This Row],[Date]]-A288),"",Tableau1[[#This Row],[Date]]-A288)</f>
        <v>1.046527777776646</v>
      </c>
      <c r="D289" s="77">
        <f>IF(ISERROR(Tableau1[[#This Row],[Date]]-A288),"",Tableau1[[#This Row],[Date]]-A288)</f>
        <v>1.046527777776646</v>
      </c>
      <c r="E289" s="76">
        <f>Tableau1[[#This Row],[Date]]-$A$5</f>
        <v>511.64027777777665</v>
      </c>
      <c r="F289" s="77">
        <f>Tableau1[[#This Row],[Date]]-$A$5</f>
        <v>511.64027777777665</v>
      </c>
      <c r="G289" s="77">
        <f>Tableau1[[#This Row],[Diff jour_x000D_
Cumul]]-F$6</f>
        <v>473.55694444444816</v>
      </c>
      <c r="H289" s="77">
        <f>Tableau1[[#This Row],[Diff jour_x000D_
Cumul]]-F$59</f>
        <v>451.03749999999854</v>
      </c>
      <c r="I289" s="78">
        <v>193003</v>
      </c>
      <c r="J289" s="79">
        <f>IF(ISERROR(Tableau1[[#This Row],[Index HP
kWh]]-I288),"",Tableau1[[#This Row],[Index HP
kWh]]-I288)</f>
        <v>7</v>
      </c>
      <c r="K289" s="77">
        <f>IF(ISERROR(Tableau1[[#This Row],[Différence HP
Instantané]]/(Tableau1[[#This Row],[Diff jour
Instantané]]*24)),"",Tableau1[[#This Row],[Différence HP
Instantané]]/(Tableau1[[#This Row],[Diff jour
Instantané]]*24))</f>
        <v>0.27869940278729544</v>
      </c>
      <c r="L289" s="77">
        <f>Tableau1[[#This Row],[Différence HP
Instantané]]/Tableau1[[#This Row],[Diff jour
Instantané]]</f>
        <v>6.6887856668950905</v>
      </c>
      <c r="M289" s="77">
        <f>Tableau1[[#This Row],[Conso HP / jour
Instantané]]*365</f>
        <v>2441.406768416708</v>
      </c>
      <c r="N289" s="79">
        <f>Tableau1[[#This Row],[Index HP
kWh]]-$I$5</f>
        <v>13244</v>
      </c>
      <c r="O289" s="80">
        <f>Tableau1[[#This Row],[Différence HP
Cumul]]/(Tableau1[[#This Row],[Diff jour_x000D_
Cumul]]*24)</f>
        <v>1.0785572545815363</v>
      </c>
      <c r="P289" s="80">
        <f>Tableau1[[#This Row],[Différence HP
Cumul]]/Tableau1[[#This Row],[Diff jour_x000D_
Cumul]]</f>
        <v>25.885374109956867</v>
      </c>
      <c r="Q289" s="80">
        <f>Tableau1[[#This Row],[Conso HP / jour
Cumul]]*365</f>
        <v>9448.1615501342567</v>
      </c>
      <c r="R289" s="78">
        <v>125126</v>
      </c>
      <c r="S289" s="79">
        <f>Tableau1[[#This Row],[Index HC_x000D_
kWh]]-R288</f>
        <v>2</v>
      </c>
      <c r="T289" s="81">
        <f>Tableau1[[#This Row],[Différence_x000D_ HC
Instantané]]/(Tableau1[[#This Row],[Diff jour
Instantané]]*24)</f>
        <v>7.9628400796370125E-2</v>
      </c>
      <c r="U289" s="81">
        <f>Tableau1[[#This Row],[Différence_x000D_ HC
Instantané]]/Tableau1[[#This Row],[Diff jour
Instantané]]</f>
        <v>1.911081619112883</v>
      </c>
      <c r="V289" s="81">
        <f>Tableau1[[#This Row],[Conso HC / jour_x000D_
Instantané]]*365</f>
        <v>697.54479097620231</v>
      </c>
      <c r="W289" s="79">
        <f>Tableau1[[#This Row],[Index HC_x000D_
kWh]]-$R$5</f>
        <v>5694</v>
      </c>
      <c r="X289" s="82">
        <f>Tableau1[[#This Row],[Différence HC
Cumul]]/(Tableau1[[#This Row],[Diff jour_x000D_
Cumul]]*24)</f>
        <v>0.46370469703920769</v>
      </c>
      <c r="Y289" s="82">
        <f>Tableau1[[#This Row],[Différence HC
Cumul]]/Tableau1[[#This Row],[Diff jour_x000D_
Cumul]]</f>
        <v>11.128912728940985</v>
      </c>
      <c r="Z289" s="82">
        <f>Tableau1[[#This Row],[Conso HC / jour_x000D_
Cumul]]*365</f>
        <v>4062.0531460634597</v>
      </c>
      <c r="AA289" s="79">
        <f>Tableau1[[#This Row],[Différence HP
Instantané]]+Tableau1[[#This Row],[Différence_x000D_ HC
Instantané]]</f>
        <v>9</v>
      </c>
      <c r="AB289" s="80">
        <f>Tableau1[[#This Row],[Conso HP + HC
Instantané]]/(Tableau1[[#This Row],[Diff jour
Instantané]]*24)</f>
        <v>0.35832780358366556</v>
      </c>
      <c r="AC289" s="80">
        <f>IF(ISERROR(Tableau1[[#This Row],[Date]]-A288),"",Tableau1[[#This Row],[Conso HP + HC
Instantané]]/Tableau1[[#This Row],[Diff jour
Instantané]])</f>
        <v>8.5998672860079743</v>
      </c>
      <c r="AD289" s="80">
        <f>Tableau1[[#This Row],[Conso HP + HC / jour_x000D_
Instantané]]*365</f>
        <v>3138.9515593929104</v>
      </c>
      <c r="AE289" s="79">
        <f>Tableau1[[#This Row],[Différence HP
Cumul]]+Tableau1[[#This Row],[Différence HC
Cumul]]</f>
        <v>18938</v>
      </c>
      <c r="AF289" s="77">
        <f>(Tableau1[[#This Row],[Conso HP + HC
Cumul]]-AE$6)/Tableau1[[#This Row],[Diff jour_x000D_
Cumul
depuis le 24/01]]</f>
        <v>34.561841383618386</v>
      </c>
      <c r="AG289" s="77">
        <f>(Tableau1[[#This Row],[Conso HP + HC
Cumul]]-AE$59)/Tableau1[[#This Row],[Diff jour_x000D_
Cumul
depuis
précédente facture
16/02/2021]]</f>
        <v>32.726768838511319</v>
      </c>
      <c r="AH289" s="80">
        <f>Tableau1[[#This Row],[Conso HP + HC
Cumul]]/(Tableau1[[#This Row],[Diff jour_x000D_
Cumul]]*24)</f>
        <v>1.5422619516207439</v>
      </c>
      <c r="AI289" s="80">
        <f>Tableau1[[#This Row],[Conso HP + HC
Cumul]]/Tableau1[[#This Row],[Diff jour_x000D_
Cumul]]</f>
        <v>37.014286838897853</v>
      </c>
      <c r="AJ289" s="80">
        <f>Tableau1[[#This Row],[Conso HP + HC / jour_x000D_
Cumul]]*365</f>
        <v>13510.214696197716</v>
      </c>
      <c r="AK289" s="83">
        <f>(Tableau1[[#This Row],[Différence HP
Cumul]]*0.1799)+(Tableau1[[#This Row],[Différence HC
Cumul]]*0.1346)</f>
        <v>3149.0079999999998</v>
      </c>
      <c r="AL289" s="83">
        <f>Tableau1[[#This Row],[Montant
Tarif HP/HC]]/Tableau1[[#This Row],[Diff jour_x000D_
Cumul]]</f>
        <v>6.1547304556966971</v>
      </c>
      <c r="AM289" s="83">
        <f>(Tableau1[[#This Row],[Montant
Tarif HP/HC]]-AK$6)/Tableau1[[#This Row],[Diff jour_x000D_
Cumul
depuis le 24/01]]</f>
        <v>5.7534419713691136</v>
      </c>
      <c r="AN289" s="83">
        <f>(Tableau1[[#This Row],[Montant
Tarif HP/HC]]-AK$59)/Tableau1[[#This Row],[Diff jour_x000D_
Cumul
depuis
précédente facture
16/02/2021]]</f>
        <v>5.447539506138642</v>
      </c>
      <c r="AO289" s="83">
        <f>Tableau1[[#This Row],[Conso HP + HC
Cumul]]*0.1599</f>
        <v>3028.1861999999996</v>
      </c>
      <c r="AP289" s="83">
        <f>Tableau1[[#This Row],[Montant
Tarif normal]]/Tableau1[[#This Row],[Diff jour_x000D_
Cumul]]</f>
        <v>5.9185844655397659</v>
      </c>
      <c r="AQ289" s="83">
        <f>(Tableau1[[#This Row],[Conso HP / an
Cumul]]*0.1799)+(Tableau1[[#This Row],[Conso HC / an_x000D_
Cumul]]*0.1346)</f>
        <v>2246.4766163292943</v>
      </c>
      <c r="AR289" s="83">
        <f>Tableau1[[#This Row],[Conso HP + HC / an_x000D_
Cumul]]*0.1599</f>
        <v>2160.2833299220147</v>
      </c>
      <c r="AS289" s="79">
        <f>MONTH(Tableau1[[#This Row],[Date]])</f>
        <v>5</v>
      </c>
      <c r="AT289" s="79">
        <f>YEAR(Tableau1[[#This Row],[Date]])</f>
        <v>2022</v>
      </c>
    </row>
    <row r="290" spans="1:46" x14ac:dyDescent="0.2">
      <c r="A290" s="74">
        <v>44695.335416666669</v>
      </c>
      <c r="B290" s="75"/>
      <c r="C290" s="76">
        <f>IF(ISERROR(Tableau1[[#This Row],[Date]]-A289),"",Tableau1[[#This Row],[Date]]-A289)</f>
        <v>0.98680555555620231</v>
      </c>
      <c r="D290" s="77">
        <f>IF(ISERROR(Tableau1[[#This Row],[Date]]-A289),"",Tableau1[[#This Row],[Date]]-A289)</f>
        <v>0.98680555555620231</v>
      </c>
      <c r="E290" s="76">
        <f>Tableau1[[#This Row],[Date]]-$A$5</f>
        <v>512.62708333333285</v>
      </c>
      <c r="F290" s="77">
        <f>Tableau1[[#This Row],[Date]]-$A$5</f>
        <v>512.62708333333285</v>
      </c>
      <c r="G290" s="77">
        <f>Tableau1[[#This Row],[Diff jour_x000D_
Cumul]]-F$6</f>
        <v>474.54375000000437</v>
      </c>
      <c r="H290" s="77">
        <f>Tableau1[[#This Row],[Diff jour_x000D_
Cumul]]-F$59</f>
        <v>452.02430555555475</v>
      </c>
      <c r="I290" s="78">
        <v>193011</v>
      </c>
      <c r="J290" s="79">
        <f>IF(ISERROR(Tableau1[[#This Row],[Index HP
kWh]]-I289),"",Tableau1[[#This Row],[Index HP
kWh]]-I289)</f>
        <v>8</v>
      </c>
      <c r="K290" s="77">
        <f>IF(ISERROR(Tableau1[[#This Row],[Différence HP
Instantané]]/(Tableau1[[#This Row],[Diff jour
Instantané]]*24)),"",Tableau1[[#This Row],[Différence HP
Instantané]]/(Tableau1[[#This Row],[Diff jour
Instantané]]*24))</f>
        <v>0.33779028852898341</v>
      </c>
      <c r="L290" s="77">
        <f>Tableau1[[#This Row],[Différence HP
Instantané]]/Tableau1[[#This Row],[Diff jour
Instantané]]</f>
        <v>8.1069669246956018</v>
      </c>
      <c r="M290" s="77">
        <f>Tableau1[[#This Row],[Conso HP / jour
Instantané]]*365</f>
        <v>2959.0429275138945</v>
      </c>
      <c r="N290" s="79">
        <f>Tableau1[[#This Row],[Index HP
kWh]]-$I$5</f>
        <v>13252</v>
      </c>
      <c r="O290" s="80">
        <f>Tableau1[[#This Row],[Différence HP
Cumul]]/(Tableau1[[#This Row],[Diff jour_x000D_
Cumul]]*24)</f>
        <v>1.0771312804548476</v>
      </c>
      <c r="P290" s="80">
        <f>Tableau1[[#This Row],[Différence HP
Cumul]]/Tableau1[[#This Row],[Diff jour_x000D_
Cumul]]</f>
        <v>25.851150730916341</v>
      </c>
      <c r="Q290" s="80">
        <f>Tableau1[[#This Row],[Conso HP / jour
Cumul]]*365</f>
        <v>9435.6700167844647</v>
      </c>
      <c r="R290" s="78">
        <v>125128</v>
      </c>
      <c r="S290" s="79">
        <f>Tableau1[[#This Row],[Index HC_x000D_
kWh]]-R289</f>
        <v>2</v>
      </c>
      <c r="T290" s="81">
        <f>Tableau1[[#This Row],[Différence_x000D_ HC
Instantané]]/(Tableau1[[#This Row],[Diff jour
Instantané]]*24)</f>
        <v>8.4447572132245852E-2</v>
      </c>
      <c r="U290" s="81">
        <f>Tableau1[[#This Row],[Différence_x000D_ HC
Instantané]]/Tableau1[[#This Row],[Diff jour
Instantané]]</f>
        <v>2.0267417311739004</v>
      </c>
      <c r="V290" s="81">
        <f>Tableau1[[#This Row],[Conso HC / jour_x000D_
Instantané]]*365</f>
        <v>739.76073187847362</v>
      </c>
      <c r="W290" s="79">
        <f>Tableau1[[#This Row],[Index HC_x000D_
kWh]]-$R$5</f>
        <v>5696</v>
      </c>
      <c r="X290" s="82">
        <f>Tableau1[[#This Row],[Différence HC
Cumul]]/(Tableau1[[#This Row],[Diff jour_x000D_
Cumul]]*24)</f>
        <v>0.46297462824259067</v>
      </c>
      <c r="Y290" s="82">
        <f>Tableau1[[#This Row],[Différence HC
Cumul]]/Tableau1[[#This Row],[Diff jour_x000D_
Cumul]]</f>
        <v>11.111391077822176</v>
      </c>
      <c r="Z290" s="82">
        <f>Tableau1[[#This Row],[Conso HC / jour_x000D_
Cumul]]*365</f>
        <v>4055.6577434050946</v>
      </c>
      <c r="AA290" s="79">
        <f>Tableau1[[#This Row],[Différence HP
Instantané]]+Tableau1[[#This Row],[Différence_x000D_ HC
Instantané]]</f>
        <v>10</v>
      </c>
      <c r="AB290" s="80">
        <f>Tableau1[[#This Row],[Conso HP + HC
Instantané]]/(Tableau1[[#This Row],[Diff jour
Instantané]]*24)</f>
        <v>0.42223786066122926</v>
      </c>
      <c r="AC290" s="80">
        <f>IF(ISERROR(Tableau1[[#This Row],[Date]]-A289),"",Tableau1[[#This Row],[Conso HP + HC
Instantané]]/Tableau1[[#This Row],[Diff jour
Instantané]])</f>
        <v>10.133708655869501</v>
      </c>
      <c r="AD290" s="80">
        <f>Tableau1[[#This Row],[Conso HP + HC / jour_x000D_
Instantané]]*365</f>
        <v>3698.803659392368</v>
      </c>
      <c r="AE290" s="79">
        <f>Tableau1[[#This Row],[Différence HP
Cumul]]+Tableau1[[#This Row],[Différence HC
Cumul]]</f>
        <v>18948</v>
      </c>
      <c r="AF290" s="77">
        <f>(Tableau1[[#This Row],[Conso HP + HC
Cumul]]-AE$6)/Tableau1[[#This Row],[Diff jour_x000D_
Cumul
depuis le 24/01]]</f>
        <v>34.511043502311111</v>
      </c>
      <c r="AG290" s="77">
        <f>(Tableau1[[#This Row],[Conso HP + HC
Cumul]]-AE$59)/Tableau1[[#This Row],[Diff jour_x000D_
Cumul
depuis
précédente facture
16/02/2021]]</f>
        <v>32.677446363964634</v>
      </c>
      <c r="AH290" s="80">
        <f>Tableau1[[#This Row],[Conso HP + HC
Cumul]]/(Tableau1[[#This Row],[Diff jour_x000D_
Cumul]]*24)</f>
        <v>1.5401059086974382</v>
      </c>
      <c r="AI290" s="80">
        <f>Tableau1[[#This Row],[Conso HP + HC
Cumul]]/Tableau1[[#This Row],[Diff jour_x000D_
Cumul]]</f>
        <v>36.962541808738521</v>
      </c>
      <c r="AJ290" s="80">
        <f>Tableau1[[#This Row],[Conso HP + HC / jour_x000D_
Cumul]]*365</f>
        <v>13491.327760189561</v>
      </c>
      <c r="AK290" s="83">
        <f>(Tableau1[[#This Row],[Différence HP
Cumul]]*0.1799)+(Tableau1[[#This Row],[Différence HC
Cumul]]*0.1346)</f>
        <v>3150.7163999999998</v>
      </c>
      <c r="AL290" s="83">
        <f>Tableau1[[#This Row],[Montant
Tarif HP/HC]]/Tableau1[[#This Row],[Diff jour_x000D_
Cumul]]</f>
        <v>6.1462152555667142</v>
      </c>
      <c r="AM290" s="83">
        <f>(Tableau1[[#This Row],[Montant
Tarif HP/HC]]-AK$6)/Tableau1[[#This Row],[Diff jour_x000D_
Cumul
depuis le 24/01]]</f>
        <v>5.7450778774348512</v>
      </c>
      <c r="AN290" s="83">
        <f>(Tableau1[[#This Row],[Montant
Tarif HP/HC]]-AK$59)/Tableau1[[#This Row],[Diff jour_x000D_
Cumul
depuis
précédente facture
16/02/2021]]</f>
        <v>5.4394265303457532</v>
      </c>
      <c r="AO290" s="83">
        <f>Tableau1[[#This Row],[Conso HP + HC
Cumul]]*0.1599</f>
        <v>3029.7851999999998</v>
      </c>
      <c r="AP290" s="83">
        <f>Tableau1[[#This Row],[Montant
Tarif normal]]/Tableau1[[#This Row],[Diff jour_x000D_
Cumul]]</f>
        <v>5.9103104352172888</v>
      </c>
      <c r="AQ290" s="83">
        <f>(Tableau1[[#This Row],[Conso HP / an
Cumul]]*0.1799)+(Tableau1[[#This Row],[Conso HC / an_x000D_
Cumul]]*0.1346)</f>
        <v>2243.3685682818509</v>
      </c>
      <c r="AR290" s="83">
        <f>Tableau1[[#This Row],[Conso HP + HC / an_x000D_
Cumul]]*0.1599</f>
        <v>2157.2633088543107</v>
      </c>
      <c r="AS290" s="79">
        <f>MONTH(Tableau1[[#This Row],[Date]])</f>
        <v>5</v>
      </c>
      <c r="AT290" s="79">
        <f>YEAR(Tableau1[[#This Row],[Date]])</f>
        <v>2022</v>
      </c>
    </row>
    <row r="291" spans="1:46" x14ac:dyDescent="0.2">
      <c r="A291" s="74">
        <v>44696.374305555553</v>
      </c>
      <c r="B291" s="75"/>
      <c r="C291" s="76">
        <f>IF(ISERROR(Tableau1[[#This Row],[Date]]-A290),"",Tableau1[[#This Row],[Date]]-A290)</f>
        <v>1.038888888884685</v>
      </c>
      <c r="D291" s="77">
        <f>IF(ISERROR(Tableau1[[#This Row],[Date]]-A290),"",Tableau1[[#This Row],[Date]]-A290)</f>
        <v>1.038888888884685</v>
      </c>
      <c r="E291" s="76">
        <f>Tableau1[[#This Row],[Date]]-$A$5</f>
        <v>513.66597222221753</v>
      </c>
      <c r="F291" s="77">
        <f>Tableau1[[#This Row],[Date]]-$A$5</f>
        <v>513.66597222221753</v>
      </c>
      <c r="G291" s="77">
        <f>Tableau1[[#This Row],[Diff jour_x000D_
Cumul]]-F$6</f>
        <v>475.58263888888905</v>
      </c>
      <c r="H291" s="77">
        <f>Tableau1[[#This Row],[Diff jour_x000D_
Cumul]]-F$59</f>
        <v>453.06319444443943</v>
      </c>
      <c r="I291" s="78">
        <v>193021</v>
      </c>
      <c r="J291" s="79">
        <f>IF(ISERROR(Tableau1[[#This Row],[Index HP
kWh]]-I290),"",Tableau1[[#This Row],[Index HP
kWh]]-I290)</f>
        <v>10</v>
      </c>
      <c r="K291" s="77">
        <f>IF(ISERROR(Tableau1[[#This Row],[Différence HP
Instantané]]/(Tableau1[[#This Row],[Diff jour
Instantané]]*24)),"",Tableau1[[#This Row],[Différence HP
Instantané]]/(Tableau1[[#This Row],[Diff jour
Instantané]]*24))</f>
        <v>0.40106951871820046</v>
      </c>
      <c r="L291" s="77">
        <f>Tableau1[[#This Row],[Différence HP
Instantané]]/Tableau1[[#This Row],[Diff jour
Instantané]]</f>
        <v>9.6256684492368123</v>
      </c>
      <c r="M291" s="77">
        <f>Tableau1[[#This Row],[Conso HP / jour
Instantané]]*365</f>
        <v>3513.3689839714366</v>
      </c>
      <c r="N291" s="79">
        <f>Tableau1[[#This Row],[Index HP
kWh]]-$I$5</f>
        <v>13262</v>
      </c>
      <c r="O291" s="80">
        <f>Tableau1[[#This Row],[Différence HP
Cumul]]/(Tableau1[[#This Row],[Diff jour_x000D_
Cumul]]*24)</f>
        <v>1.0757639462523707</v>
      </c>
      <c r="P291" s="80">
        <f>Tableau1[[#This Row],[Différence HP
Cumul]]/Tableau1[[#This Row],[Diff jour_x000D_
Cumul]]</f>
        <v>25.818334710056895</v>
      </c>
      <c r="Q291" s="80">
        <f>Tableau1[[#This Row],[Conso HP / jour
Cumul]]*365</f>
        <v>9423.6921691707666</v>
      </c>
      <c r="R291" s="78">
        <v>125131</v>
      </c>
      <c r="S291" s="79">
        <f>Tableau1[[#This Row],[Index HC_x000D_
kWh]]-R290</f>
        <v>3</v>
      </c>
      <c r="T291" s="81">
        <f>Tableau1[[#This Row],[Différence_x000D_ HC
Instantané]]/(Tableau1[[#This Row],[Diff jour
Instantané]]*24)</f>
        <v>0.12032085561546015</v>
      </c>
      <c r="U291" s="81">
        <f>Tableau1[[#This Row],[Différence_x000D_ HC
Instantané]]/Tableau1[[#This Row],[Diff jour
Instantané]]</f>
        <v>2.8877005347710436</v>
      </c>
      <c r="V291" s="81">
        <f>Tableau1[[#This Row],[Conso HC / jour_x000D_
Instantané]]*365</f>
        <v>1054.0106951914308</v>
      </c>
      <c r="W291" s="79">
        <f>Tableau1[[#This Row],[Index HC_x000D_
kWh]]-$R$5</f>
        <v>5699</v>
      </c>
      <c r="X291" s="82">
        <f>Tableau1[[#This Row],[Différence HC
Cumul]]/(Tableau1[[#This Row],[Diff jour_x000D_
Cumul]]*24)</f>
        <v>0.46228161134762935</v>
      </c>
      <c r="Y291" s="82">
        <f>Tableau1[[#This Row],[Différence HC
Cumul]]/Tableau1[[#This Row],[Diff jour_x000D_
Cumul]]</f>
        <v>11.094758672343104</v>
      </c>
      <c r="Z291" s="82">
        <f>Tableau1[[#This Row],[Conso HC / jour_x000D_
Cumul]]*365</f>
        <v>4049.586915405233</v>
      </c>
      <c r="AA291" s="79">
        <f>Tableau1[[#This Row],[Différence HP
Instantané]]+Tableau1[[#This Row],[Différence_x000D_ HC
Instantané]]</f>
        <v>13</v>
      </c>
      <c r="AB291" s="80">
        <f>Tableau1[[#This Row],[Conso HP + HC
Instantané]]/(Tableau1[[#This Row],[Diff jour
Instantané]]*24)</f>
        <v>0.52139037433366064</v>
      </c>
      <c r="AC291" s="80">
        <f>IF(ISERROR(Tableau1[[#This Row],[Date]]-A290),"",Tableau1[[#This Row],[Conso HP + HC
Instantané]]/Tableau1[[#This Row],[Diff jour
Instantané]])</f>
        <v>12.513368984007855</v>
      </c>
      <c r="AD291" s="80">
        <f>Tableau1[[#This Row],[Conso HP + HC / jour_x000D_
Instantané]]*365</f>
        <v>4567.3796791628665</v>
      </c>
      <c r="AE291" s="79">
        <f>Tableau1[[#This Row],[Différence HP
Cumul]]+Tableau1[[#This Row],[Différence HC
Cumul]]</f>
        <v>18961</v>
      </c>
      <c r="AF291" s="77">
        <f>(Tableau1[[#This Row],[Conso HP + HC
Cumul]]-AE$6)/Tableau1[[#This Row],[Diff jour_x000D_
Cumul
depuis le 24/01]]</f>
        <v>34.462990571506573</v>
      </c>
      <c r="AG291" s="77">
        <f>(Tableau1[[#This Row],[Conso HP + HC
Cumul]]-AE$59)/Tableau1[[#This Row],[Diff jour_x000D_
Cumul
depuis
précédente facture
16/02/2021]]</f>
        <v>32.631209467651885</v>
      </c>
      <c r="AH291" s="80">
        <f>Tableau1[[#This Row],[Conso HP + HC
Cumul]]/(Tableau1[[#This Row],[Diff jour_x000D_
Cumul]]*24)</f>
        <v>1.5380455576000001</v>
      </c>
      <c r="AI291" s="80">
        <f>Tableau1[[#This Row],[Conso HP + HC
Cumul]]/Tableau1[[#This Row],[Diff jour_x000D_
Cumul]]</f>
        <v>36.9130933824</v>
      </c>
      <c r="AJ291" s="80">
        <f>Tableau1[[#This Row],[Conso HP + HC / jour_x000D_
Cumul]]*365</f>
        <v>13473.279084575999</v>
      </c>
      <c r="AK291" s="83">
        <f>(Tableau1[[#This Row],[Différence HP
Cumul]]*0.1799)+(Tableau1[[#This Row],[Différence HC
Cumul]]*0.1346)</f>
        <v>3152.9191999999998</v>
      </c>
      <c r="AL291" s="83">
        <f>Tableau1[[#This Row],[Montant
Tarif HP/HC]]/Tableau1[[#This Row],[Diff jour_x000D_
Cumul]]</f>
        <v>6.1380729316366169</v>
      </c>
      <c r="AM291" s="83">
        <f>(Tableau1[[#This Row],[Montant
Tarif HP/HC]]-AK$6)/Tableau1[[#This Row],[Diff jour_x000D_
Cumul
depuis le 24/01]]</f>
        <v>5.737159805443321</v>
      </c>
      <c r="AN291" s="83">
        <f>(Tableau1[[#This Row],[Montant
Tarif HP/HC]]-AK$59)/Tableau1[[#This Row],[Diff jour_x000D_
Cumul
depuis
précédente facture
16/02/2021]]</f>
        <v>5.4318157603106609</v>
      </c>
      <c r="AO291" s="83">
        <f>Tableau1[[#This Row],[Conso HP + HC
Cumul]]*0.1599</f>
        <v>3031.8638999999998</v>
      </c>
      <c r="AP291" s="83">
        <f>Tableau1[[#This Row],[Montant
Tarif normal]]/Tableau1[[#This Row],[Diff jour_x000D_
Cumul]]</f>
        <v>5.9024036318457593</v>
      </c>
      <c r="AQ291" s="83">
        <f>(Tableau1[[#This Row],[Conso HP / an
Cumul]]*0.1799)+(Tableau1[[#This Row],[Conso HC / an_x000D_
Cumul]]*0.1346)</f>
        <v>2240.3966200473651</v>
      </c>
      <c r="AR291" s="83">
        <f>Tableau1[[#This Row],[Conso HP + HC / an_x000D_
Cumul]]*0.1599</f>
        <v>2154.3773256237023</v>
      </c>
      <c r="AS291" s="79">
        <f>MONTH(Tableau1[[#This Row],[Date]])</f>
        <v>5</v>
      </c>
      <c r="AT291" s="79">
        <f>YEAR(Tableau1[[#This Row],[Date]])</f>
        <v>2022</v>
      </c>
    </row>
    <row r="292" spans="1:46" x14ac:dyDescent="0.2">
      <c r="A292" s="74">
        <v>44697.314583333333</v>
      </c>
      <c r="B292" s="75"/>
      <c r="C292" s="76">
        <f>IF(ISERROR(Tableau1[[#This Row],[Date]]-A291),"",Tableau1[[#This Row],[Date]]-A291)</f>
        <v>0.94027777777955635</v>
      </c>
      <c r="D292" s="77">
        <f>IF(ISERROR(Tableau1[[#This Row],[Date]]-A291),"",Tableau1[[#This Row],[Date]]-A291)</f>
        <v>0.94027777777955635</v>
      </c>
      <c r="E292" s="76">
        <f>Tableau1[[#This Row],[Date]]-$A$5</f>
        <v>514.60624999999709</v>
      </c>
      <c r="F292" s="77">
        <f>Tableau1[[#This Row],[Date]]-$A$5</f>
        <v>514.60624999999709</v>
      </c>
      <c r="G292" s="77">
        <f>Tableau1[[#This Row],[Diff jour_x000D_
Cumul]]-F$6</f>
        <v>476.52291666666861</v>
      </c>
      <c r="H292" s="77">
        <f>Tableau1[[#This Row],[Diff jour_x000D_
Cumul]]-F$59</f>
        <v>454.00347222221899</v>
      </c>
      <c r="I292" s="78">
        <v>193028</v>
      </c>
      <c r="J292" s="79">
        <f>IF(ISERROR(Tableau1[[#This Row],[Index HP
kWh]]-I291),"",Tableau1[[#This Row],[Index HP
kWh]]-I291)</f>
        <v>7</v>
      </c>
      <c r="K292" s="77">
        <f>IF(ISERROR(Tableau1[[#This Row],[Différence HP
Instantané]]/(Tableau1[[#This Row],[Diff jour
Instantané]]*24)),"",Tableau1[[#This Row],[Différence HP
Instantané]]/(Tableau1[[#This Row],[Diff jour
Instantané]]*24))</f>
        <v>0.31019202363309123</v>
      </c>
      <c r="L292" s="77">
        <f>Tableau1[[#This Row],[Différence HP
Instantané]]/Tableau1[[#This Row],[Diff jour
Instantané]]</f>
        <v>7.44460856719419</v>
      </c>
      <c r="M292" s="77">
        <f>Tableau1[[#This Row],[Conso HP / jour
Instantané]]*365</f>
        <v>2717.2821270258792</v>
      </c>
      <c r="N292" s="79">
        <f>Tableau1[[#This Row],[Index HP
kWh]]-$I$5</f>
        <v>13269</v>
      </c>
      <c r="O292" s="80">
        <f>Tableau1[[#This Row],[Différence HP
Cumul]]/(Tableau1[[#This Row],[Diff jour_x000D_
Cumul]]*24)</f>
        <v>1.074365109246153</v>
      </c>
      <c r="P292" s="80">
        <f>Tableau1[[#This Row],[Différence HP
Cumul]]/Tableau1[[#This Row],[Diff jour_x000D_
Cumul]]</f>
        <v>25.784762621907671</v>
      </c>
      <c r="Q292" s="80">
        <f>Tableau1[[#This Row],[Conso HP / jour
Cumul]]*365</f>
        <v>9411.4383569962993</v>
      </c>
      <c r="R292" s="78">
        <v>125134</v>
      </c>
      <c r="S292" s="79">
        <f>Tableau1[[#This Row],[Index HC_x000D_
kWh]]-R291</f>
        <v>3</v>
      </c>
      <c r="T292" s="81">
        <f>Tableau1[[#This Row],[Différence_x000D_ HC
Instantané]]/(Tableau1[[#This Row],[Diff jour
Instantané]]*24)</f>
        <v>0.13293943869989625</v>
      </c>
      <c r="U292" s="81">
        <f>Tableau1[[#This Row],[Différence_x000D_ HC
Instantané]]/Tableau1[[#This Row],[Diff jour
Instantané]]</f>
        <v>3.1905465287975101</v>
      </c>
      <c r="V292" s="81">
        <f>Tableau1[[#This Row],[Conso HC / jour_x000D_
Instantané]]*365</f>
        <v>1164.5494830110913</v>
      </c>
      <c r="W292" s="79">
        <f>Tableau1[[#This Row],[Index HC_x000D_
kWh]]-$R$5</f>
        <v>5702</v>
      </c>
      <c r="X292" s="82">
        <f>Tableau1[[#This Row],[Différence HC
Cumul]]/(Tableau1[[#This Row],[Diff jour_x000D_
Cumul]]*24)</f>
        <v>0.46167984421746661</v>
      </c>
      <c r="Y292" s="82">
        <f>Tableau1[[#This Row],[Différence HC
Cumul]]/Tableau1[[#This Row],[Diff jour_x000D_
Cumul]]</f>
        <v>11.080316261219199</v>
      </c>
      <c r="Z292" s="82">
        <f>Tableau1[[#This Row],[Conso HC / jour_x000D_
Cumul]]*365</f>
        <v>4044.3154353450077</v>
      </c>
      <c r="AA292" s="79">
        <f>Tableau1[[#This Row],[Différence HP
Instantané]]+Tableau1[[#This Row],[Différence_x000D_ HC
Instantané]]</f>
        <v>10</v>
      </c>
      <c r="AB292" s="80">
        <f>Tableau1[[#This Row],[Conso HP + HC
Instantané]]/(Tableau1[[#This Row],[Diff jour
Instantané]]*24)</f>
        <v>0.4431314623329875</v>
      </c>
      <c r="AC292" s="80">
        <f>IF(ISERROR(Tableau1[[#This Row],[Date]]-A291),"",Tableau1[[#This Row],[Conso HP + HC
Instantané]]/Tableau1[[#This Row],[Diff jour
Instantané]])</f>
        <v>10.635155095991701</v>
      </c>
      <c r="AD292" s="80">
        <f>Tableau1[[#This Row],[Conso HP + HC / jour_x000D_
Instantané]]*365</f>
        <v>3881.8316100369707</v>
      </c>
      <c r="AE292" s="79">
        <f>Tableau1[[#This Row],[Différence HP
Cumul]]+Tableau1[[#This Row],[Différence HC
Cumul]]</f>
        <v>18971</v>
      </c>
      <c r="AF292" s="77">
        <f>(Tableau1[[#This Row],[Conso HP + HC
Cumul]]-AE$6)/Tableau1[[#This Row],[Diff jour_x000D_
Cumul
depuis le 24/01]]</f>
        <v>34.415973348605867</v>
      </c>
      <c r="AG292" s="77">
        <f>(Tableau1[[#This Row],[Conso HP + HC
Cumul]]-AE$59)/Tableau1[[#This Row],[Diff jour_x000D_
Cumul
depuis
précédente facture
16/02/2021]]</f>
        <v>32.585653866450713</v>
      </c>
      <c r="AH292" s="80">
        <f>Tableau1[[#This Row],[Conso HP + HC
Cumul]]/(Tableau1[[#This Row],[Diff jour_x000D_
Cumul]]*24)</f>
        <v>1.5360449534636196</v>
      </c>
      <c r="AI292" s="80">
        <f>Tableau1[[#This Row],[Conso HP + HC
Cumul]]/Tableau1[[#This Row],[Diff jour_x000D_
Cumul]]</f>
        <v>36.86507888312687</v>
      </c>
      <c r="AJ292" s="80">
        <f>Tableau1[[#This Row],[Conso HP + HC / jour_x000D_
Cumul]]*365</f>
        <v>13455.753792341307</v>
      </c>
      <c r="AK292" s="83">
        <f>(Tableau1[[#This Row],[Différence HP
Cumul]]*0.1799)+(Tableau1[[#This Row],[Différence HC
Cumul]]*0.1346)</f>
        <v>3154.5823</v>
      </c>
      <c r="AL292" s="83">
        <f>Tableau1[[#This Row],[Montant
Tarif HP/HC]]/Tableau1[[#This Row],[Diff jour_x000D_
Cumul]]</f>
        <v>6.1300893644412948</v>
      </c>
      <c r="AM292" s="83">
        <f>(Tableau1[[#This Row],[Montant
Tarif HP/HC]]-AK$6)/Tableau1[[#This Row],[Diff jour_x000D_
Cumul
depuis le 24/01]]</f>
        <v>5.7293292819949837</v>
      </c>
      <c r="AN292" s="83">
        <f>(Tableau1[[#This Row],[Montant
Tarif HP/HC]]-AK$59)/Tableau1[[#This Row],[Diff jour_x000D_
Cumul
depuis
précédente facture
16/02/2021]]</f>
        <v>5.4242292199796944</v>
      </c>
      <c r="AO292" s="83">
        <f>Tableau1[[#This Row],[Conso HP + HC
Cumul]]*0.1599</f>
        <v>3033.4628999999995</v>
      </c>
      <c r="AP292" s="83">
        <f>Tableau1[[#This Row],[Montant
Tarif normal]]/Tableau1[[#This Row],[Diff jour_x000D_
Cumul]]</f>
        <v>5.8947261134119859</v>
      </c>
      <c r="AQ292" s="83">
        <f>(Tableau1[[#This Row],[Conso HP / an
Cumul]]*0.1799)+(Tableau1[[#This Row],[Conso HC / an_x000D_
Cumul]]*0.1346)</f>
        <v>2237.4826180210721</v>
      </c>
      <c r="AR292" s="83">
        <f>Tableau1[[#This Row],[Conso HP + HC / an_x000D_
Cumul]]*0.1599</f>
        <v>2151.5750313953749</v>
      </c>
      <c r="AS292" s="79">
        <f>MONTH(Tableau1[[#This Row],[Date]])</f>
        <v>5</v>
      </c>
      <c r="AT292" s="79">
        <f>YEAR(Tableau1[[#This Row],[Date]])</f>
        <v>2022</v>
      </c>
    </row>
    <row r="293" spans="1:46" x14ac:dyDescent="0.2">
      <c r="A293" s="74">
        <v>44698.313194444447</v>
      </c>
      <c r="B293" s="75"/>
      <c r="C293" s="76">
        <f>IF(ISERROR(Tableau1[[#This Row],[Date]]-A292),"",Tableau1[[#This Row],[Date]]-A292)</f>
        <v>0.99861111111385981</v>
      </c>
      <c r="D293" s="77">
        <f>IF(ISERROR(Tableau1[[#This Row],[Date]]-A292),"",Tableau1[[#This Row],[Date]]-A292)</f>
        <v>0.99861111111385981</v>
      </c>
      <c r="E293" s="76">
        <f>Tableau1[[#This Row],[Date]]-$A$5</f>
        <v>515.60486111111095</v>
      </c>
      <c r="F293" s="77">
        <f>Tableau1[[#This Row],[Date]]-$A$5</f>
        <v>515.60486111111095</v>
      </c>
      <c r="G293" s="77">
        <f>Tableau1[[#This Row],[Diff jour_x000D_
Cumul]]-F$6</f>
        <v>477.52152777778247</v>
      </c>
      <c r="H293" s="77">
        <f>Tableau1[[#This Row],[Diff jour_x000D_
Cumul]]-F$59</f>
        <v>455.00208333333285</v>
      </c>
      <c r="I293" s="78">
        <v>193034</v>
      </c>
      <c r="J293" s="79">
        <f>IF(ISERROR(Tableau1[[#This Row],[Index HP
kWh]]-I292),"",Tableau1[[#This Row],[Index HP
kWh]]-I292)</f>
        <v>6</v>
      </c>
      <c r="K293" s="77">
        <f>IF(ISERROR(Tableau1[[#This Row],[Différence HP
Instantané]]/(Tableau1[[#This Row],[Diff jour
Instantané]]*24)),"",Tableau1[[#This Row],[Différence HP
Instantané]]/(Tableau1[[#This Row],[Diff jour
Instantané]]*24))</f>
        <v>0.2503477051453471</v>
      </c>
      <c r="L293" s="77">
        <f>Tableau1[[#This Row],[Différence HP
Instantané]]/Tableau1[[#This Row],[Diff jour
Instantané]]</f>
        <v>6.0083449234883295</v>
      </c>
      <c r="M293" s="77">
        <f>Tableau1[[#This Row],[Conso HP / jour
Instantané]]*365</f>
        <v>2193.0458970732402</v>
      </c>
      <c r="N293" s="79">
        <f>Tableau1[[#This Row],[Index HP
kWh]]-$I$5</f>
        <v>13275</v>
      </c>
      <c r="O293" s="80">
        <f>Tableau1[[#This Row],[Différence HP
Cumul]]/(Tableau1[[#This Row],[Diff jour_x000D_
Cumul]]*24)</f>
        <v>1.0727691721292822</v>
      </c>
      <c r="P293" s="80">
        <f>Tableau1[[#This Row],[Différence HP
Cumul]]/Tableau1[[#This Row],[Diff jour_x000D_
Cumul]]</f>
        <v>25.746460131102772</v>
      </c>
      <c r="Q293" s="80">
        <f>Tableau1[[#This Row],[Conso HP / jour
Cumul]]*365</f>
        <v>9397.457947852512</v>
      </c>
      <c r="R293" s="78">
        <v>125138</v>
      </c>
      <c r="S293" s="79">
        <f>Tableau1[[#This Row],[Index HC_x000D_
kWh]]-R292</f>
        <v>4</v>
      </c>
      <c r="T293" s="81">
        <f>Tableau1[[#This Row],[Différence_x000D_ HC
Instantané]]/(Tableau1[[#This Row],[Diff jour
Instantané]]*24)</f>
        <v>0.16689847009689804</v>
      </c>
      <c r="U293" s="81">
        <f>Tableau1[[#This Row],[Différence_x000D_ HC
Instantané]]/Tableau1[[#This Row],[Diff jour
Instantané]]</f>
        <v>4.0055632823255536</v>
      </c>
      <c r="V293" s="81">
        <f>Tableau1[[#This Row],[Conso HC / jour_x000D_
Instantané]]*365</f>
        <v>1462.030598048827</v>
      </c>
      <c r="W293" s="79">
        <f>Tableau1[[#This Row],[Index HC_x000D_
kWh]]-$R$5</f>
        <v>5706</v>
      </c>
      <c r="X293" s="82">
        <f>Tableau1[[#This Row],[Différence HC
Cumul]]/(Tableau1[[#This Row],[Diff jour_x000D_
Cumul]]*24)</f>
        <v>0.46110891873217957</v>
      </c>
      <c r="Y293" s="82">
        <f>Tableau1[[#This Row],[Différence HC
Cumul]]/Tableau1[[#This Row],[Diff jour_x000D_
Cumul]]</f>
        <v>11.06661404957231</v>
      </c>
      <c r="Z293" s="82">
        <f>Tableau1[[#This Row],[Conso HC / jour_x000D_
Cumul]]*365</f>
        <v>4039.314128093893</v>
      </c>
      <c r="AA293" s="79">
        <f>Tableau1[[#This Row],[Différence HP
Instantané]]+Tableau1[[#This Row],[Différence_x000D_ HC
Instantané]]</f>
        <v>10</v>
      </c>
      <c r="AB293" s="80">
        <f>Tableau1[[#This Row],[Conso HP + HC
Instantané]]/(Tableau1[[#This Row],[Diff jour
Instantané]]*24)</f>
        <v>0.41724617524224511</v>
      </c>
      <c r="AC293" s="80">
        <f>IF(ISERROR(Tableau1[[#This Row],[Date]]-A292),"",Tableau1[[#This Row],[Conso HP + HC
Instantané]]/Tableau1[[#This Row],[Diff jour
Instantané]])</f>
        <v>10.013908205813882</v>
      </c>
      <c r="AD293" s="80">
        <f>Tableau1[[#This Row],[Conso HP + HC / jour_x000D_
Instantané]]*365</f>
        <v>3655.0764951220672</v>
      </c>
      <c r="AE293" s="79">
        <f>Tableau1[[#This Row],[Différence HP
Cumul]]+Tableau1[[#This Row],[Différence HC
Cumul]]</f>
        <v>18981</v>
      </c>
      <c r="AF293" s="77">
        <f>(Tableau1[[#This Row],[Conso HP + HC
Cumul]]-AE$6)/Tableau1[[#This Row],[Diff jour_x000D_
Cumul
depuis le 24/01]]</f>
        <v>34.364942825439471</v>
      </c>
      <c r="AG293" s="77">
        <f>(Tableau1[[#This Row],[Conso HP + HC
Cumul]]-AE$59)/Tableau1[[#This Row],[Diff jour_x000D_
Cumul
depuis
précédente facture
16/02/2021]]</f>
        <v>32.536114761379331</v>
      </c>
      <c r="AH293" s="80">
        <f>Tableau1[[#This Row],[Conso HP + HC
Cumul]]/(Tableau1[[#This Row],[Diff jour_x000D_
Cumul]]*24)</f>
        <v>1.5338780908614618</v>
      </c>
      <c r="AI293" s="80">
        <f>Tableau1[[#This Row],[Conso HP + HC
Cumul]]/Tableau1[[#This Row],[Diff jour_x000D_
Cumul]]</f>
        <v>36.813074180675081</v>
      </c>
      <c r="AJ293" s="80">
        <f>Tableau1[[#This Row],[Conso HP + HC / jour_x000D_
Cumul]]*365</f>
        <v>13436.772075946405</v>
      </c>
      <c r="AK293" s="83">
        <f>(Tableau1[[#This Row],[Différence HP
Cumul]]*0.1799)+(Tableau1[[#This Row],[Différence HC
Cumul]]*0.1346)</f>
        <v>3156.2001</v>
      </c>
      <c r="AL293" s="83">
        <f>Tableau1[[#This Row],[Montant
Tarif HP/HC]]/Tableau1[[#This Row],[Diff jour_x000D_
Cumul]]</f>
        <v>6.1213544286578214</v>
      </c>
      <c r="AM293" s="83">
        <f>(Tableau1[[#This Row],[Montant
Tarif HP/HC]]-AK$6)/Tableau1[[#This Row],[Diff jour_x000D_
Cumul
depuis le 24/01]]</f>
        <v>5.7207358016144729</v>
      </c>
      <c r="AN293" s="83">
        <f>(Tableau1[[#This Row],[Montant
Tarif HP/HC]]-AK$59)/Tableau1[[#This Row],[Diff jour_x000D_
Cumul
depuis
précédente facture
16/02/2021]]</f>
        <v>5.4158800371793223</v>
      </c>
      <c r="AO293" s="83">
        <f>Tableau1[[#This Row],[Conso HP + HC
Cumul]]*0.1599</f>
        <v>3035.0618999999997</v>
      </c>
      <c r="AP293" s="83">
        <f>Tableau1[[#This Row],[Montant
Tarif normal]]/Tableau1[[#This Row],[Diff jour_x000D_
Cumul]]</f>
        <v>5.8864105614899449</v>
      </c>
      <c r="AQ293" s="83">
        <f>(Tableau1[[#This Row],[Conso HP / an
Cumul]]*0.1799)+(Tableau1[[#This Row],[Conso HC / an_x000D_
Cumul]]*0.1346)</f>
        <v>2234.2943664601053</v>
      </c>
      <c r="AR293" s="83">
        <f>Tableau1[[#This Row],[Conso HP + HC / an_x000D_
Cumul]]*0.1599</f>
        <v>2148.5398549438301</v>
      </c>
      <c r="AS293" s="79">
        <f>MONTH(Tableau1[[#This Row],[Date]])</f>
        <v>5</v>
      </c>
      <c r="AT293" s="79">
        <f>YEAR(Tableau1[[#This Row],[Date]])</f>
        <v>2022</v>
      </c>
    </row>
    <row r="294" spans="1:46" x14ac:dyDescent="0.2">
      <c r="A294" s="74">
        <v>44699.352777777778</v>
      </c>
      <c r="B294" s="75"/>
      <c r="C294" s="76">
        <f>IF(ISERROR(Tableau1[[#This Row],[Date]]-A293),"",Tableau1[[#This Row],[Date]]-A293)</f>
        <v>1.0395833333313931</v>
      </c>
      <c r="D294" s="77">
        <f>IF(ISERROR(Tableau1[[#This Row],[Date]]-A293),"",Tableau1[[#This Row],[Date]]-A293)</f>
        <v>1.0395833333313931</v>
      </c>
      <c r="E294" s="76">
        <f>Tableau1[[#This Row],[Date]]-$A$5</f>
        <v>516.64444444444234</v>
      </c>
      <c r="F294" s="77">
        <f>Tableau1[[#This Row],[Date]]-$A$5</f>
        <v>516.64444444444234</v>
      </c>
      <c r="G294" s="77">
        <f>Tableau1[[#This Row],[Diff jour_x000D_
Cumul]]-F$6</f>
        <v>478.56111111111386</v>
      </c>
      <c r="H294" s="77">
        <f>Tableau1[[#This Row],[Diff jour_x000D_
Cumul]]-F$59</f>
        <v>456.04166666666424</v>
      </c>
      <c r="I294" s="78">
        <v>193040</v>
      </c>
      <c r="J294" s="79">
        <f>IF(ISERROR(Tableau1[[#This Row],[Index HP
kWh]]-I293),"",Tableau1[[#This Row],[Index HP
kWh]]-I293)</f>
        <v>6</v>
      </c>
      <c r="K294" s="77">
        <f>IF(ISERROR(Tableau1[[#This Row],[Différence HP
Instantané]]/(Tableau1[[#This Row],[Diff jour
Instantané]]*24)),"",Tableau1[[#This Row],[Différence HP
Instantané]]/(Tableau1[[#This Row],[Diff jour
Instantané]]*24))</f>
        <v>0.24048096192429652</v>
      </c>
      <c r="L294" s="77">
        <f>Tableau1[[#This Row],[Différence HP
Instantané]]/Tableau1[[#This Row],[Diff jour
Instantané]]</f>
        <v>5.771543086183117</v>
      </c>
      <c r="M294" s="77">
        <f>Tableau1[[#This Row],[Conso HP / jour
Instantané]]*365</f>
        <v>2106.6132264568378</v>
      </c>
      <c r="N294" s="79">
        <f>Tableau1[[#This Row],[Index HP
kWh]]-$I$5</f>
        <v>13281</v>
      </c>
      <c r="O294" s="80">
        <f>Tableau1[[#This Row],[Différence HP
Cumul]]/(Tableau1[[#This Row],[Diff jour_x000D_
Cumul]]*24)</f>
        <v>1.0710944556755173</v>
      </c>
      <c r="P294" s="80">
        <f>Tableau1[[#This Row],[Différence HP
Cumul]]/Tableau1[[#This Row],[Diff jour_x000D_
Cumul]]</f>
        <v>25.706266936212415</v>
      </c>
      <c r="Q294" s="80">
        <f>Tableau1[[#This Row],[Conso HP / jour
Cumul]]*365</f>
        <v>9382.7874317175319</v>
      </c>
      <c r="R294" s="78">
        <v>125142</v>
      </c>
      <c r="S294" s="79">
        <f>Tableau1[[#This Row],[Index HC_x000D_
kWh]]-R293</f>
        <v>4</v>
      </c>
      <c r="T294" s="81">
        <f>Tableau1[[#This Row],[Différence_x000D_ HC
Instantané]]/(Tableau1[[#This Row],[Diff jour
Instantané]]*24)</f>
        <v>0.16032064128286436</v>
      </c>
      <c r="U294" s="81">
        <f>Tableau1[[#This Row],[Différence_x000D_ HC
Instantané]]/Tableau1[[#This Row],[Diff jour
Instantané]]</f>
        <v>3.8476953907887443</v>
      </c>
      <c r="V294" s="81">
        <f>Tableau1[[#This Row],[Conso HC / jour_x000D_
Instantané]]*365</f>
        <v>1404.4088176378916</v>
      </c>
      <c r="W294" s="79">
        <f>Tableau1[[#This Row],[Index HC_x000D_
kWh]]-$R$5</f>
        <v>5710</v>
      </c>
      <c r="X294" s="82">
        <f>Tableau1[[#This Row],[Différence HC
Cumul]]/(Tableau1[[#This Row],[Diff jour_x000D_
Cumul]]*24)</f>
        <v>0.46050367757753208</v>
      </c>
      <c r="Y294" s="82">
        <f>Tableau1[[#This Row],[Différence HC
Cumul]]/Tableau1[[#This Row],[Diff jour_x000D_
Cumul]]</f>
        <v>11.052088261860771</v>
      </c>
      <c r="Z294" s="82">
        <f>Tableau1[[#This Row],[Conso HC / jour_x000D_
Cumul]]*365</f>
        <v>4034.0122155791814</v>
      </c>
      <c r="AA294" s="79">
        <f>Tableau1[[#This Row],[Différence HP
Instantané]]+Tableau1[[#This Row],[Différence_x000D_ HC
Instantané]]</f>
        <v>10</v>
      </c>
      <c r="AB294" s="80">
        <f>Tableau1[[#This Row],[Conso HP + HC
Instantané]]/(Tableau1[[#This Row],[Diff jour
Instantané]]*24)</f>
        <v>0.40080160320716085</v>
      </c>
      <c r="AC294" s="80">
        <f>IF(ISERROR(Tableau1[[#This Row],[Date]]-A293),"",Tableau1[[#This Row],[Conso HP + HC
Instantané]]/Tableau1[[#This Row],[Diff jour
Instantané]])</f>
        <v>9.6192384769718604</v>
      </c>
      <c r="AD294" s="80">
        <f>Tableau1[[#This Row],[Conso HP + HC / jour_x000D_
Instantané]]*365</f>
        <v>3511.0220440947292</v>
      </c>
      <c r="AE294" s="79">
        <f>Tableau1[[#This Row],[Différence HP
Cumul]]+Tableau1[[#This Row],[Différence HC
Cumul]]</f>
        <v>18991</v>
      </c>
      <c r="AF294" s="77">
        <f>(Tableau1[[#This Row],[Conso HP + HC
Cumul]]-AE$6)/Tableau1[[#This Row],[Diff jour_x000D_
Cumul
depuis le 24/01]]</f>
        <v>34.311187471703171</v>
      </c>
      <c r="AG294" s="77">
        <f>(Tableau1[[#This Row],[Conso HP + HC
Cumul]]-AE$59)/Tableau1[[#This Row],[Diff jour_x000D_
Cumul
depuis
précédente facture
16/02/2021]]</f>
        <v>32.483873915029868</v>
      </c>
      <c r="AH294" s="80">
        <f>Tableau1[[#This Row],[Conso HP + HC
Cumul]]/(Tableau1[[#This Row],[Diff jour_x000D_
Cumul]]*24)</f>
        <v>1.5315981332530493</v>
      </c>
      <c r="AI294" s="80">
        <f>Tableau1[[#This Row],[Conso HP + HC
Cumul]]/Tableau1[[#This Row],[Diff jour_x000D_
Cumul]]</f>
        <v>36.758355198073183</v>
      </c>
      <c r="AJ294" s="80">
        <f>Tableau1[[#This Row],[Conso HP + HC / jour_x000D_
Cumul]]*365</f>
        <v>13416.799647296712</v>
      </c>
      <c r="AK294" s="83">
        <f>(Tableau1[[#This Row],[Différence HP
Cumul]]*0.1799)+(Tableau1[[#This Row],[Différence HC
Cumul]]*0.1346)</f>
        <v>3157.8179</v>
      </c>
      <c r="AL294" s="83">
        <f>Tableau1[[#This Row],[Montant
Tarif HP/HC]]/Tableau1[[#This Row],[Diff jour_x000D_
Cumul]]</f>
        <v>6.1121685018710732</v>
      </c>
      <c r="AM294" s="83">
        <f>(Tableau1[[#This Row],[Montant
Tarif HP/HC]]-AK$6)/Tableau1[[#This Row],[Diff jour_x000D_
Cumul
depuis le 24/01]]</f>
        <v>5.7116891375767311</v>
      </c>
      <c r="AN294" s="83">
        <f>(Tableau1[[#This Row],[Montant
Tarif HP/HC]]-AK$59)/Tableau1[[#This Row],[Diff jour_x000D_
Cumul
depuis
précédente facture
16/02/2021]]</f>
        <v>5.4070815897670457</v>
      </c>
      <c r="AO294" s="83">
        <f>Tableau1[[#This Row],[Conso HP + HC
Cumul]]*0.1599</f>
        <v>3036.6608999999999</v>
      </c>
      <c r="AP294" s="83">
        <f>Tableau1[[#This Row],[Montant
Tarif normal]]/Tableau1[[#This Row],[Diff jour_x000D_
Cumul]]</f>
        <v>5.877660996171902</v>
      </c>
      <c r="AQ294" s="83">
        <f>(Tableau1[[#This Row],[Conso HP / an
Cumul]]*0.1799)+(Tableau1[[#This Row],[Conso HC / an_x000D_
Cumul]]*0.1346)</f>
        <v>2230.9415031829417</v>
      </c>
      <c r="AR294" s="83">
        <f>Tableau1[[#This Row],[Conso HP + HC / an_x000D_
Cumul]]*0.1599</f>
        <v>2145.3462636027439</v>
      </c>
      <c r="AS294" s="79">
        <f>MONTH(Tableau1[[#This Row],[Date]])</f>
        <v>5</v>
      </c>
      <c r="AT294" s="79">
        <f>YEAR(Tableau1[[#This Row],[Date]])</f>
        <v>2022</v>
      </c>
    </row>
    <row r="295" spans="1:46" x14ac:dyDescent="0.2">
      <c r="A295" s="74">
        <v>44700.306944444441</v>
      </c>
      <c r="B295" s="75"/>
      <c r="C295" s="76">
        <f>IF(ISERROR(Tableau1[[#This Row],[Date]]-A294),"",Tableau1[[#This Row],[Date]]-A294)</f>
        <v>0.95416666666278616</v>
      </c>
      <c r="D295" s="77">
        <f>IF(ISERROR(Tableau1[[#This Row],[Date]]-A294),"",Tableau1[[#This Row],[Date]]-A294)</f>
        <v>0.95416666666278616</v>
      </c>
      <c r="E295" s="76">
        <f>Tableau1[[#This Row],[Date]]-$A$5</f>
        <v>517.59861111110513</v>
      </c>
      <c r="F295" s="77">
        <f>Tableau1[[#This Row],[Date]]-$A$5</f>
        <v>517.59861111110513</v>
      </c>
      <c r="G295" s="77">
        <f>Tableau1[[#This Row],[Diff jour_x000D_
Cumul]]-F$6</f>
        <v>479.51527777777665</v>
      </c>
      <c r="H295" s="77">
        <f>Tableau1[[#This Row],[Diff jour_x000D_
Cumul]]-F$59</f>
        <v>456.99583333332703</v>
      </c>
      <c r="I295" s="78">
        <v>193048</v>
      </c>
      <c r="J295" s="79">
        <f>IF(ISERROR(Tableau1[[#This Row],[Index HP
kWh]]-I294),"",Tableau1[[#This Row],[Index HP
kWh]]-I294)</f>
        <v>8</v>
      </c>
      <c r="K295" s="77">
        <f>IF(ISERROR(Tableau1[[#This Row],[Différence HP
Instantané]]/(Tableau1[[#This Row],[Diff jour
Instantané]]*24)),"",Tableau1[[#This Row],[Différence HP
Instantané]]/(Tableau1[[#This Row],[Diff jour
Instantané]]*24))</f>
        <v>0.3493449781673596</v>
      </c>
      <c r="L295" s="77">
        <f>Tableau1[[#This Row],[Différence HP
Instantané]]/Tableau1[[#This Row],[Diff jour
Instantané]]</f>
        <v>8.3842794760166317</v>
      </c>
      <c r="M295" s="77">
        <f>Tableau1[[#This Row],[Conso HP / jour
Instantané]]*365</f>
        <v>3060.2620087460705</v>
      </c>
      <c r="N295" s="79">
        <f>Tableau1[[#This Row],[Index HP
kWh]]-$I$5</f>
        <v>13289</v>
      </c>
      <c r="O295" s="80">
        <f>Tableau1[[#This Row],[Différence HP
Cumul]]/(Tableau1[[#This Row],[Diff jour_x000D_
Cumul]]*24)</f>
        <v>1.0697639472886395</v>
      </c>
      <c r="P295" s="80">
        <f>Tableau1[[#This Row],[Différence HP
Cumul]]/Tableau1[[#This Row],[Diff jour_x000D_
Cumul]]</f>
        <v>25.674334734927349</v>
      </c>
      <c r="Q295" s="80">
        <f>Tableau1[[#This Row],[Conso HP / jour
Cumul]]*365</f>
        <v>9371.1321782484829</v>
      </c>
      <c r="R295" s="78">
        <v>125145</v>
      </c>
      <c r="S295" s="79">
        <f>Tableau1[[#This Row],[Index HC_x000D_
kWh]]-R294</f>
        <v>3</v>
      </c>
      <c r="T295" s="81">
        <f>Tableau1[[#This Row],[Différence_x000D_ HC
Instantané]]/(Tableau1[[#This Row],[Diff jour
Instantané]]*24)</f>
        <v>0.13100436681275987</v>
      </c>
      <c r="U295" s="81">
        <f>Tableau1[[#This Row],[Différence_x000D_ HC
Instantané]]/Tableau1[[#This Row],[Diff jour
Instantané]]</f>
        <v>3.1441048035062367</v>
      </c>
      <c r="V295" s="81">
        <f>Tableau1[[#This Row],[Conso HC / jour_x000D_
Instantané]]*365</f>
        <v>1147.5982532797764</v>
      </c>
      <c r="W295" s="79">
        <f>Tableau1[[#This Row],[Index HC_x000D_
kWh]]-$R$5</f>
        <v>5713</v>
      </c>
      <c r="X295" s="82">
        <f>Tableau1[[#This Row],[Différence HC
Cumul]]/(Tableau1[[#This Row],[Diff jour_x000D_
Cumul]]*24)</f>
        <v>0.45989626238693643</v>
      </c>
      <c r="Y295" s="82">
        <f>Tableau1[[#This Row],[Différence HC
Cumul]]/Tableau1[[#This Row],[Diff jour_x000D_
Cumul]]</f>
        <v>11.037510297286474</v>
      </c>
      <c r="Z295" s="82">
        <f>Tableau1[[#This Row],[Conso HC / jour_x000D_
Cumul]]*365</f>
        <v>4028.6912585095629</v>
      </c>
      <c r="AA295" s="79">
        <f>Tableau1[[#This Row],[Différence HP
Instantané]]+Tableau1[[#This Row],[Différence_x000D_ HC
Instantané]]</f>
        <v>11</v>
      </c>
      <c r="AB295" s="80">
        <f>Tableau1[[#This Row],[Conso HP + HC
Instantané]]/(Tableau1[[#This Row],[Diff jour
Instantané]]*24)</f>
        <v>0.4803493449801195</v>
      </c>
      <c r="AC295" s="80">
        <f>IF(ISERROR(Tableau1[[#This Row],[Date]]-A294),"",Tableau1[[#This Row],[Conso HP + HC
Instantané]]/Tableau1[[#This Row],[Diff jour
Instantané]])</f>
        <v>11.528384279522868</v>
      </c>
      <c r="AD295" s="80">
        <f>Tableau1[[#This Row],[Conso HP + HC / jour_x000D_
Instantané]]*365</f>
        <v>4207.8602620258471</v>
      </c>
      <c r="AE295" s="79">
        <f>Tableau1[[#This Row],[Différence HP
Cumul]]+Tableau1[[#This Row],[Différence HC
Cumul]]</f>
        <v>19002</v>
      </c>
      <c r="AF295" s="77">
        <f>(Tableau1[[#This Row],[Conso HP + HC
Cumul]]-AE$6)/Tableau1[[#This Row],[Diff jour_x000D_
Cumul
depuis le 24/01]]</f>
        <v>34.265852959151538</v>
      </c>
      <c r="AG295" s="77">
        <f>(Tableau1[[#This Row],[Conso HP + HC
Cumul]]-AE$59)/Tableau1[[#This Row],[Diff jour_x000D_
Cumul
depuis
précédente facture
16/02/2021]]</f>
        <v>32.440120715907774</v>
      </c>
      <c r="AH295" s="80">
        <f>Tableau1[[#This Row],[Conso HP + HC
Cumul]]/(Tableau1[[#This Row],[Diff jour_x000D_
Cumul]]*24)</f>
        <v>1.529660209675576</v>
      </c>
      <c r="AI295" s="80">
        <f>Tableau1[[#This Row],[Conso HP + HC
Cumul]]/Tableau1[[#This Row],[Diff jour_x000D_
Cumul]]</f>
        <v>36.711845032213823</v>
      </c>
      <c r="AJ295" s="80">
        <f>Tableau1[[#This Row],[Conso HP + HC / jour_x000D_
Cumul]]*365</f>
        <v>13399.823436758046</v>
      </c>
      <c r="AK295" s="83">
        <f>(Tableau1[[#This Row],[Différence HP
Cumul]]*0.1799)+(Tableau1[[#This Row],[Différence HC
Cumul]]*0.1346)</f>
        <v>3159.6608999999999</v>
      </c>
      <c r="AL295" s="83">
        <f>Tableau1[[#This Row],[Montant
Tarif HP/HC]]/Tableau1[[#This Row],[Diff jour_x000D_
Cumul]]</f>
        <v>6.1044617048281893</v>
      </c>
      <c r="AM295" s="83">
        <f>(Tableau1[[#This Row],[Montant
Tarif HP/HC]]-AK$6)/Tableau1[[#This Row],[Diff jour_x000D_
Cumul
depuis le 24/01]]</f>
        <v>5.7041671595448085</v>
      </c>
      <c r="AN295" s="83">
        <f>(Tableau1[[#This Row],[Montant
Tarif HP/HC]]-AK$59)/Tableau1[[#This Row],[Diff jour_x000D_
Cumul
depuis
précédente facture
16/02/2021]]</f>
        <v>5.3998249436994152</v>
      </c>
      <c r="AO295" s="83">
        <f>Tableau1[[#This Row],[Conso HP + HC
Cumul]]*0.1599</f>
        <v>3038.4197999999997</v>
      </c>
      <c r="AP295" s="83">
        <f>Tableau1[[#This Row],[Montant
Tarif normal]]/Tableau1[[#This Row],[Diff jour_x000D_
Cumul]]</f>
        <v>5.8702240206509897</v>
      </c>
      <c r="AQ295" s="83">
        <f>(Tableau1[[#This Row],[Conso HP / an
Cumul]]*0.1799)+(Tableau1[[#This Row],[Conso HC / an_x000D_
Cumul]]*0.1346)</f>
        <v>2228.1285222622892</v>
      </c>
      <c r="AR295" s="83">
        <f>Tableau1[[#This Row],[Conso HP + HC / an_x000D_
Cumul]]*0.1599</f>
        <v>2142.6317675376113</v>
      </c>
      <c r="AS295" s="79">
        <f>MONTH(Tableau1[[#This Row],[Date]])</f>
        <v>5</v>
      </c>
      <c r="AT295" s="79">
        <f>YEAR(Tableau1[[#This Row],[Date]])</f>
        <v>2022</v>
      </c>
    </row>
    <row r="296" spans="1:46" x14ac:dyDescent="0.2">
      <c r="A296" s="74">
        <v>44701.344444444447</v>
      </c>
      <c r="B296" s="75"/>
      <c r="C296" s="76">
        <f>IF(ISERROR(Tableau1[[#This Row],[Date]]-A295),"",Tableau1[[#This Row],[Date]]-A295)</f>
        <v>1.0375000000058208</v>
      </c>
      <c r="D296" s="77">
        <f>IF(ISERROR(Tableau1[[#This Row],[Date]]-A295),"",Tableau1[[#This Row],[Date]]-A295)</f>
        <v>1.0375000000058208</v>
      </c>
      <c r="E296" s="76">
        <f>Tableau1[[#This Row],[Date]]-$A$5</f>
        <v>518.63611111111095</v>
      </c>
      <c r="F296" s="77">
        <f>Tableau1[[#This Row],[Date]]-$A$5</f>
        <v>518.63611111111095</v>
      </c>
      <c r="G296" s="77">
        <f>Tableau1[[#This Row],[Diff jour_x000D_
Cumul]]-F$6</f>
        <v>480.55277777778247</v>
      </c>
      <c r="H296" s="77">
        <f>Tableau1[[#This Row],[Diff jour_x000D_
Cumul]]-F$59</f>
        <v>458.03333333333285</v>
      </c>
      <c r="I296" s="78">
        <v>193054</v>
      </c>
      <c r="J296" s="79">
        <f>IF(ISERROR(Tableau1[[#This Row],[Index HP
kWh]]-I295),"",Tableau1[[#This Row],[Index HP
kWh]]-I295)</f>
        <v>6</v>
      </c>
      <c r="K296" s="77">
        <f>IF(ISERROR(Tableau1[[#This Row],[Différence HP
Instantané]]/(Tableau1[[#This Row],[Diff jour
Instantané]]*24)),"",Tableau1[[#This Row],[Différence HP
Instantané]]/(Tableau1[[#This Row],[Diff jour
Instantané]]*24))</f>
        <v>0.24096385542033485</v>
      </c>
      <c r="L296" s="77">
        <f>Tableau1[[#This Row],[Différence HP
Instantané]]/Tableau1[[#This Row],[Diff jour
Instantané]]</f>
        <v>5.7831325300880367</v>
      </c>
      <c r="M296" s="77">
        <f>Tableau1[[#This Row],[Conso HP / jour
Instantané]]*365</f>
        <v>2110.8433734821333</v>
      </c>
      <c r="N296" s="79">
        <f>Tableau1[[#This Row],[Index HP
kWh]]-$I$5</f>
        <v>13295</v>
      </c>
      <c r="O296" s="80">
        <f>Tableau1[[#This Row],[Différence HP
Cumul]]/(Tableau1[[#This Row],[Diff jour_x000D_
Cumul]]*24)</f>
        <v>1.0681059831074027</v>
      </c>
      <c r="P296" s="80">
        <f>Tableau1[[#This Row],[Différence HP
Cumul]]/Tableau1[[#This Row],[Diff jour_x000D_
Cumul]]</f>
        <v>25.634543594577668</v>
      </c>
      <c r="Q296" s="80">
        <f>Tableau1[[#This Row],[Conso HP / jour
Cumul]]*365</f>
        <v>9356.6084120208488</v>
      </c>
      <c r="R296" s="78">
        <v>125148</v>
      </c>
      <c r="S296" s="79">
        <f>Tableau1[[#This Row],[Index HC_x000D_
kWh]]-R295</f>
        <v>3</v>
      </c>
      <c r="T296" s="81">
        <f>Tableau1[[#This Row],[Différence_x000D_ HC
Instantané]]/(Tableau1[[#This Row],[Diff jour
Instantané]]*24)</f>
        <v>0.12048192771016743</v>
      </c>
      <c r="U296" s="81">
        <f>Tableau1[[#This Row],[Différence_x000D_ HC
Instantané]]/Tableau1[[#This Row],[Diff jour
Instantané]]</f>
        <v>2.8915662650440184</v>
      </c>
      <c r="V296" s="81">
        <f>Tableau1[[#This Row],[Conso HC / jour_x000D_
Instantané]]*365</f>
        <v>1055.4216867410667</v>
      </c>
      <c r="W296" s="79">
        <f>Tableau1[[#This Row],[Index HC_x000D_
kWh]]-$R$5</f>
        <v>5716</v>
      </c>
      <c r="X296" s="82">
        <f>Tableau1[[#This Row],[Différence HC
Cumul]]/(Tableau1[[#This Row],[Diff jour_x000D_
Cumul]]*24)</f>
        <v>0.45921728465151668</v>
      </c>
      <c r="Y296" s="82">
        <f>Tableau1[[#This Row],[Différence HC
Cumul]]/Tableau1[[#This Row],[Diff jour_x000D_
Cumul]]</f>
        <v>11.021214831636399</v>
      </c>
      <c r="Z296" s="82">
        <f>Tableau1[[#This Row],[Conso HC / jour_x000D_
Cumul]]*365</f>
        <v>4022.7434135472859</v>
      </c>
      <c r="AA296" s="79">
        <f>Tableau1[[#This Row],[Différence HP
Instantané]]+Tableau1[[#This Row],[Différence_x000D_ HC
Instantané]]</f>
        <v>9</v>
      </c>
      <c r="AB296" s="80">
        <f>Tableau1[[#This Row],[Conso HP + HC
Instantané]]/(Tableau1[[#This Row],[Diff jour
Instantané]]*24)</f>
        <v>0.3614457831305023</v>
      </c>
      <c r="AC296" s="80">
        <f>IF(ISERROR(Tableau1[[#This Row],[Date]]-A295),"",Tableau1[[#This Row],[Conso HP + HC
Instantané]]/Tableau1[[#This Row],[Diff jour
Instantané]])</f>
        <v>8.6746987951320538</v>
      </c>
      <c r="AD296" s="80">
        <f>Tableau1[[#This Row],[Conso HP + HC / jour_x000D_
Instantané]]*365</f>
        <v>3166.2650602231997</v>
      </c>
      <c r="AE296" s="79">
        <f>Tableau1[[#This Row],[Différence HP
Cumul]]+Tableau1[[#This Row],[Différence HC
Cumul]]</f>
        <v>19011</v>
      </c>
      <c r="AF296" s="77">
        <f>(Tableau1[[#This Row],[Conso HP + HC
Cumul]]-AE$6)/Tableau1[[#This Row],[Diff jour_x000D_
Cumul
depuis le 24/01]]</f>
        <v>34.210602373423789</v>
      </c>
      <c r="AG296" s="77">
        <f>(Tableau1[[#This Row],[Conso HP + HC
Cumul]]-AE$59)/Tableau1[[#This Row],[Diff jour_x000D_
Cumul
depuis
précédente facture
16/02/2021]]</f>
        <v>32.386289207481298</v>
      </c>
      <c r="AH296" s="80">
        <f>Tableau1[[#This Row],[Conso HP + HC
Cumul]]/(Tableau1[[#This Row],[Diff jour_x000D_
Cumul]]*24)</f>
        <v>1.5273232677589195</v>
      </c>
      <c r="AI296" s="80">
        <f>Tableau1[[#This Row],[Conso HP + HC
Cumul]]/Tableau1[[#This Row],[Diff jour_x000D_
Cumul]]</f>
        <v>36.655758426214064</v>
      </c>
      <c r="AJ296" s="80">
        <f>Tableau1[[#This Row],[Conso HP + HC / jour_x000D_
Cumul]]*365</f>
        <v>13379.351825568134</v>
      </c>
      <c r="AK296" s="83">
        <f>(Tableau1[[#This Row],[Différence HP
Cumul]]*0.1799)+(Tableau1[[#This Row],[Différence HC
Cumul]]*0.1346)</f>
        <v>3161.1441</v>
      </c>
      <c r="AL296" s="83">
        <f>Tableau1[[#This Row],[Montant
Tarif HP/HC]]/Tableau1[[#This Row],[Diff jour_x000D_
Cumul]]</f>
        <v>6.0951099090027814</v>
      </c>
      <c r="AM296" s="83">
        <f>(Tableau1[[#This Row],[Montant
Tarif HP/HC]]-AK$6)/Tableau1[[#This Row],[Diff jour_x000D_
Cumul
depuis le 24/01]]</f>
        <v>5.69493846785236</v>
      </c>
      <c r="AN296" s="83">
        <f>(Tableau1[[#This Row],[Montant
Tarif HP/HC]]-AK$59)/Tableau1[[#This Row],[Diff jour_x000D_
Cumul
depuis
précédente facture
16/02/2021]]</f>
        <v>5.3908318899643461</v>
      </c>
      <c r="AO296" s="83">
        <f>Tableau1[[#This Row],[Conso HP + HC
Cumul]]*0.1599</f>
        <v>3039.8588999999997</v>
      </c>
      <c r="AP296" s="83">
        <f>Tableau1[[#This Row],[Montant
Tarif normal]]/Tableau1[[#This Row],[Diff jour_x000D_
Cumul]]</f>
        <v>5.8612557723516288</v>
      </c>
      <c r="AQ296" s="83">
        <f>(Tableau1[[#This Row],[Conso HP / an
Cumul]]*0.1799)+(Tableau1[[#This Row],[Conso HC / an_x000D_
Cumul]]*0.1346)</f>
        <v>2224.7151167860152</v>
      </c>
      <c r="AR296" s="83">
        <f>Tableau1[[#This Row],[Conso HP + HC / an_x000D_
Cumul]]*0.1599</f>
        <v>2139.3583569083444</v>
      </c>
      <c r="AS296" s="79">
        <f>MONTH(Tableau1[[#This Row],[Date]])</f>
        <v>5</v>
      </c>
      <c r="AT296" s="79">
        <f>YEAR(Tableau1[[#This Row],[Date]])</f>
        <v>2022</v>
      </c>
    </row>
    <row r="297" spans="1:46" x14ac:dyDescent="0.2">
      <c r="A297" s="74">
        <v>44702.284722222219</v>
      </c>
      <c r="B297" s="75"/>
      <c r="C297" s="76">
        <f>IF(ISERROR(Tableau1[[#This Row],[Date]]-A296),"",Tableau1[[#This Row],[Date]]-A296)</f>
        <v>0.94027777777228039</v>
      </c>
      <c r="D297" s="77">
        <f>IF(ISERROR(Tableau1[[#This Row],[Date]]-A296),"",Tableau1[[#This Row],[Date]]-A296)</f>
        <v>0.94027777777228039</v>
      </c>
      <c r="E297" s="76">
        <f>Tableau1[[#This Row],[Date]]-$A$5</f>
        <v>519.57638888888323</v>
      </c>
      <c r="F297" s="77">
        <f>Tableau1[[#This Row],[Date]]-$A$5</f>
        <v>519.57638888888323</v>
      </c>
      <c r="G297" s="77">
        <f>Tableau1[[#This Row],[Diff jour_x000D_
Cumul]]-F$6</f>
        <v>481.49305555555475</v>
      </c>
      <c r="H297" s="77">
        <f>Tableau1[[#This Row],[Diff jour_x000D_
Cumul]]-F$59</f>
        <v>458.97361111110513</v>
      </c>
      <c r="I297" s="78">
        <v>193059</v>
      </c>
      <c r="J297" s="79">
        <f>IF(ISERROR(Tableau1[[#This Row],[Index HP
kWh]]-I296),"",Tableau1[[#This Row],[Index HP
kWh]]-I296)</f>
        <v>5</v>
      </c>
      <c r="K297" s="77">
        <f>IF(ISERROR(Tableau1[[#This Row],[Différence HP
Instantané]]/(Tableau1[[#This Row],[Diff jour
Instantané]]*24)),"",Tableau1[[#This Row],[Différence HP
Instantané]]/(Tableau1[[#This Row],[Diff jour
Instantané]]*24))</f>
        <v>0.22156573116820824</v>
      </c>
      <c r="L297" s="77">
        <f>Tableau1[[#This Row],[Différence HP
Instantané]]/Tableau1[[#This Row],[Diff jour
Instantané]]</f>
        <v>5.317577548036998</v>
      </c>
      <c r="M297" s="77">
        <f>Tableau1[[#This Row],[Conso HP / jour
Instantané]]*365</f>
        <v>1940.9158050335043</v>
      </c>
      <c r="N297" s="79">
        <f>Tableau1[[#This Row],[Index HP
kWh]]-$I$5</f>
        <v>13300</v>
      </c>
      <c r="O297" s="80">
        <f>Tableau1[[#This Row],[Différence HP
Cumul]]/(Tableau1[[#This Row],[Diff jour_x000D_
Cumul]]*24)</f>
        <v>1.0665739985832592</v>
      </c>
      <c r="P297" s="80">
        <f>Tableau1[[#This Row],[Différence HP
Cumul]]/Tableau1[[#This Row],[Diff jour_x000D_
Cumul]]</f>
        <v>25.59777596599822</v>
      </c>
      <c r="Q297" s="80">
        <f>Tableau1[[#This Row],[Conso HP / jour
Cumul]]*365</f>
        <v>9343.1882275893513</v>
      </c>
      <c r="R297" s="78">
        <v>125152</v>
      </c>
      <c r="S297" s="79">
        <f>Tableau1[[#This Row],[Index HC_x000D_
kWh]]-R296</f>
        <v>4</v>
      </c>
      <c r="T297" s="81">
        <f>Tableau1[[#This Row],[Différence_x000D_ HC
Instantané]]/(Tableau1[[#This Row],[Diff jour
Instantané]]*24)</f>
        <v>0.17725258493456661</v>
      </c>
      <c r="U297" s="81">
        <f>Tableau1[[#This Row],[Différence_x000D_ HC
Instantané]]/Tableau1[[#This Row],[Diff jour
Instantané]]</f>
        <v>4.2540620384295984</v>
      </c>
      <c r="V297" s="81">
        <f>Tableau1[[#This Row],[Conso HC / jour_x000D_
Instantané]]*365</f>
        <v>1552.7326440268034</v>
      </c>
      <c r="W297" s="79">
        <f>Tableau1[[#This Row],[Index HC_x000D_
kWh]]-$R$5</f>
        <v>5720</v>
      </c>
      <c r="X297" s="82">
        <f>Tableau1[[#This Row],[Différence HC
Cumul]]/(Tableau1[[#This Row],[Diff jour_x000D_
Cumul]]*24)</f>
        <v>0.45870701292452953</v>
      </c>
      <c r="Y297" s="82">
        <f>Tableau1[[#This Row],[Différence HC
Cumul]]/Tableau1[[#This Row],[Diff jour_x000D_
Cumul]]</f>
        <v>11.008968310188708</v>
      </c>
      <c r="Z297" s="82">
        <f>Tableau1[[#This Row],[Conso HC / jour_x000D_
Cumul]]*365</f>
        <v>4018.2734332188784</v>
      </c>
      <c r="AA297" s="79">
        <f>Tableau1[[#This Row],[Différence HP
Instantané]]+Tableau1[[#This Row],[Différence_x000D_ HC
Instantané]]</f>
        <v>9</v>
      </c>
      <c r="AB297" s="80">
        <f>Tableau1[[#This Row],[Conso HP + HC
Instantané]]/(Tableau1[[#This Row],[Diff jour
Instantané]]*24)</f>
        <v>0.39881831610277485</v>
      </c>
      <c r="AC297" s="80">
        <f>IF(ISERROR(Tableau1[[#This Row],[Date]]-A296),"",Tableau1[[#This Row],[Conso HP + HC
Instantané]]/Tableau1[[#This Row],[Diff jour
Instantané]])</f>
        <v>9.5716395864665955</v>
      </c>
      <c r="AD297" s="80">
        <f>Tableau1[[#This Row],[Conso HP + HC / jour_x000D_
Instantané]]*365</f>
        <v>3493.6484490603075</v>
      </c>
      <c r="AE297" s="79">
        <f>Tableau1[[#This Row],[Différence HP
Cumul]]+Tableau1[[#This Row],[Différence HC
Cumul]]</f>
        <v>19020</v>
      </c>
      <c r="AF297" s="77">
        <f>(Tableau1[[#This Row],[Conso HP + HC
Cumul]]-AE$6)/Tableau1[[#This Row],[Diff jour_x000D_
Cumul
depuis le 24/01]]</f>
        <v>34.162486478690475</v>
      </c>
      <c r="AG297" s="77">
        <f>(Tableau1[[#This Row],[Conso HP + HC
Cumul]]-AE$59)/Tableau1[[#This Row],[Diff jour_x000D_
Cumul
depuis
précédente facture
16/02/2021]]</f>
        <v>32.339549901501655</v>
      </c>
      <c r="AH297" s="80">
        <f>Tableau1[[#This Row],[Conso HP + HC
Cumul]]/(Tableau1[[#This Row],[Diff jour_x000D_
Cumul]]*24)</f>
        <v>1.5252810115077886</v>
      </c>
      <c r="AI297" s="80">
        <f>Tableau1[[#This Row],[Conso HP + HC
Cumul]]/Tableau1[[#This Row],[Diff jour_x000D_
Cumul]]</f>
        <v>36.60674427618693</v>
      </c>
      <c r="AJ297" s="80">
        <f>Tableau1[[#This Row],[Conso HP + HC / jour_x000D_
Cumul]]*365</f>
        <v>13361.461660808229</v>
      </c>
      <c r="AK297" s="83">
        <f>(Tableau1[[#This Row],[Différence HP
Cumul]]*0.1799)+(Tableau1[[#This Row],[Différence HC
Cumul]]*0.1346)</f>
        <v>3162.5820000000003</v>
      </c>
      <c r="AL297" s="83">
        <f>Tableau1[[#This Row],[Montant
Tarif HP/HC]]/Tableau1[[#This Row],[Diff jour_x000D_
Cumul]]</f>
        <v>6.0868470308344804</v>
      </c>
      <c r="AM297" s="83">
        <f>(Tableau1[[#This Row],[Montant
Tarif HP/HC]]-AK$6)/Tableau1[[#This Row],[Diff jour_x000D_
Cumul
depuis le 24/01]]</f>
        <v>5.6868035133770922</v>
      </c>
      <c r="AN297" s="83">
        <f>(Tableau1[[#This Row],[Montant
Tarif HP/HC]]-AK$59)/Tableau1[[#This Row],[Diff jour_x000D_
Cumul
depuis
précédente facture
16/02/2021]]</f>
        <v>5.3829208045730761</v>
      </c>
      <c r="AO297" s="83">
        <f>Tableau1[[#This Row],[Conso HP + HC
Cumul]]*0.1599</f>
        <v>3041.2979999999998</v>
      </c>
      <c r="AP297" s="83">
        <f>Tableau1[[#This Row],[Montant
Tarif normal]]/Tableau1[[#This Row],[Diff jour_x000D_
Cumul]]</f>
        <v>5.8534184097622894</v>
      </c>
      <c r="AQ297" s="83">
        <f>(Tableau1[[#This Row],[Conso HP / an
Cumul]]*0.1799)+(Tableau1[[#This Row],[Conso HC / an_x000D_
Cumul]]*0.1346)</f>
        <v>2221.6991662545852</v>
      </c>
      <c r="AR297" s="83">
        <f>Tableau1[[#This Row],[Conso HP + HC / an_x000D_
Cumul]]*0.1599</f>
        <v>2136.4977195632355</v>
      </c>
      <c r="AS297" s="79">
        <f>MONTH(Tableau1[[#This Row],[Date]])</f>
        <v>5</v>
      </c>
      <c r="AT297" s="79">
        <f>YEAR(Tableau1[[#This Row],[Date]])</f>
        <v>2022</v>
      </c>
    </row>
    <row r="298" spans="1:46" x14ac:dyDescent="0.2">
      <c r="A298" s="74">
        <v>44704.321527777778</v>
      </c>
      <c r="B298" s="75"/>
      <c r="C298" s="76">
        <f>IF(ISERROR(Tableau1[[#This Row],[Date]]-A297),"",Tableau1[[#This Row],[Date]]-A297)</f>
        <v>2.0368055555591127</v>
      </c>
      <c r="D298" s="77">
        <f>IF(ISERROR(Tableau1[[#This Row],[Date]]-A297),"",Tableau1[[#This Row],[Date]]-A297)</f>
        <v>2.0368055555591127</v>
      </c>
      <c r="E298" s="76">
        <f>Tableau1[[#This Row],[Date]]-$A$5</f>
        <v>521.61319444444234</v>
      </c>
      <c r="F298" s="77">
        <f>Tableau1[[#This Row],[Date]]-$A$5</f>
        <v>521.61319444444234</v>
      </c>
      <c r="G298" s="77">
        <f>Tableau1[[#This Row],[Diff jour_x000D_
Cumul]]-F$6</f>
        <v>483.52986111111386</v>
      </c>
      <c r="H298" s="77">
        <f>Tableau1[[#This Row],[Diff jour_x000D_
Cumul]]-F$59</f>
        <v>461.01041666666424</v>
      </c>
      <c r="I298" s="78">
        <v>193069</v>
      </c>
      <c r="J298" s="79">
        <f>IF(ISERROR(Tableau1[[#This Row],[Index HP
kWh]]-I297),"",Tableau1[[#This Row],[Index HP
kWh]]-I297)</f>
        <v>10</v>
      </c>
      <c r="K298" s="77">
        <f>IF(ISERROR(Tableau1[[#This Row],[Différence HP
Instantané]]/(Tableau1[[#This Row],[Diff jour
Instantané]]*24)),"",Tableau1[[#This Row],[Différence HP
Instantané]]/(Tableau1[[#This Row],[Diff jour
Instantané]]*24))</f>
        <v>0.20456870098839144</v>
      </c>
      <c r="L298" s="77">
        <f>Tableau1[[#This Row],[Différence HP
Instantané]]/Tableau1[[#This Row],[Diff jour
Instantané]]</f>
        <v>4.9096488237213949</v>
      </c>
      <c r="M298" s="77">
        <f>Tableau1[[#This Row],[Conso HP / jour
Instantané]]*365</f>
        <v>1792.021820658309</v>
      </c>
      <c r="N298" s="79">
        <f>Tableau1[[#This Row],[Index HP
kWh]]-$I$5</f>
        <v>13310</v>
      </c>
      <c r="O298" s="80">
        <f>Tableau1[[#This Row],[Différence HP
Cumul]]/(Tableau1[[#This Row],[Diff jour_x000D_
Cumul]]*24)</f>
        <v>1.0632080231866194</v>
      </c>
      <c r="P298" s="80">
        <f>Tableau1[[#This Row],[Différence HP
Cumul]]/Tableau1[[#This Row],[Diff jour_x000D_
Cumul]]</f>
        <v>25.516992556478868</v>
      </c>
      <c r="Q298" s="80">
        <f>Tableau1[[#This Row],[Conso HP / jour
Cumul]]*365</f>
        <v>9313.7022831147879</v>
      </c>
      <c r="R298" s="78">
        <v>125157</v>
      </c>
      <c r="S298" s="79">
        <f>Tableau1[[#This Row],[Index HC_x000D_
kWh]]-R297</f>
        <v>5</v>
      </c>
      <c r="T298" s="81">
        <f>Tableau1[[#This Row],[Différence_x000D_ HC
Instantané]]/(Tableau1[[#This Row],[Diff jour
Instantané]]*24)</f>
        <v>0.10228435049419572</v>
      </c>
      <c r="U298" s="81">
        <f>Tableau1[[#This Row],[Différence_x000D_ HC
Instantané]]/Tableau1[[#This Row],[Diff jour
Instantané]]</f>
        <v>2.4548244118606974</v>
      </c>
      <c r="V298" s="81">
        <f>Tableau1[[#This Row],[Conso HC / jour_x000D_
Instantané]]*365</f>
        <v>896.01091032915451</v>
      </c>
      <c r="W298" s="79">
        <f>Tableau1[[#This Row],[Index HC_x000D_
kWh]]-$R$5</f>
        <v>5725</v>
      </c>
      <c r="X298" s="82">
        <f>Tableau1[[#This Row],[Différence HC
Cumul]]/(Tableau1[[#This Row],[Diff jour_x000D_
Cumul]]*24)</f>
        <v>0.45731524663737017</v>
      </c>
      <c r="Y298" s="82">
        <f>Tableau1[[#This Row],[Différence HC
Cumul]]/Tableau1[[#This Row],[Diff jour_x000D_
Cumul]]</f>
        <v>10.975565919296884</v>
      </c>
      <c r="Z298" s="82">
        <f>Tableau1[[#This Row],[Conso HC / jour_x000D_
Cumul]]*365</f>
        <v>4006.0815605433627</v>
      </c>
      <c r="AA298" s="79">
        <f>Tableau1[[#This Row],[Différence HP
Instantané]]+Tableau1[[#This Row],[Différence_x000D_ HC
Instantané]]</f>
        <v>15</v>
      </c>
      <c r="AB298" s="80">
        <f>Tableau1[[#This Row],[Conso HP + HC
Instantané]]/(Tableau1[[#This Row],[Diff jour
Instantané]]*24)</f>
        <v>0.30685305148258718</v>
      </c>
      <c r="AC298" s="80">
        <f>IF(ISERROR(Tableau1[[#This Row],[Date]]-A297),"",Tableau1[[#This Row],[Conso HP + HC
Instantané]]/Tableau1[[#This Row],[Diff jour
Instantané]])</f>
        <v>7.3644732355820928</v>
      </c>
      <c r="AD298" s="80">
        <f>Tableau1[[#This Row],[Conso HP + HC / jour_x000D_
Instantané]]*365</f>
        <v>2688.0327309874638</v>
      </c>
      <c r="AE298" s="79">
        <f>Tableau1[[#This Row],[Différence HP
Cumul]]+Tableau1[[#This Row],[Différence HC
Cumul]]</f>
        <v>19035</v>
      </c>
      <c r="AF298" s="77">
        <f>(Tableau1[[#This Row],[Conso HP + HC
Cumul]]-AE$6)/Tableau1[[#This Row],[Diff jour_x000D_
Cumul
depuis le 24/01]]</f>
        <v>34.049603394022064</v>
      </c>
      <c r="AG298" s="77">
        <f>(Tableau1[[#This Row],[Conso HP + HC
Cumul]]-AE$59)/Tableau1[[#This Row],[Diff jour_x000D_
Cumul
depuis
précédente facture
16/02/2021]]</f>
        <v>32.229206679169565</v>
      </c>
      <c r="AH298" s="80">
        <f>Tableau1[[#This Row],[Conso HP + HC
Cumul]]/(Tableau1[[#This Row],[Diff jour_x000D_
Cumul]]*24)</f>
        <v>1.5205232698239897</v>
      </c>
      <c r="AI298" s="80">
        <f>Tableau1[[#This Row],[Conso HP + HC
Cumul]]/Tableau1[[#This Row],[Diff jour_x000D_
Cumul]]</f>
        <v>36.492558475775752</v>
      </c>
      <c r="AJ298" s="80">
        <f>Tableau1[[#This Row],[Conso HP + HC / jour_x000D_
Cumul]]*365</f>
        <v>13319.78384365815</v>
      </c>
      <c r="AK298" s="83">
        <f>(Tableau1[[#This Row],[Différence HP
Cumul]]*0.1799)+(Tableau1[[#This Row],[Différence HC
Cumul]]*0.1346)</f>
        <v>3165.0540000000001</v>
      </c>
      <c r="AL298" s="83">
        <f>Tableau1[[#This Row],[Montant
Tarif HP/HC]]/Tableau1[[#This Row],[Diff jour_x000D_
Cumul]]</f>
        <v>6.0678181336479096</v>
      </c>
      <c r="AM298" s="83">
        <f>(Tableau1[[#This Row],[Montant
Tarif HP/HC]]-AK$6)/Tableau1[[#This Row],[Diff jour_x000D_
Cumul
depuis le 24/01]]</f>
        <v>5.6679610101064908</v>
      </c>
      <c r="AN298" s="83">
        <f>(Tableau1[[#This Row],[Montant
Tarif HP/HC]]-AK$59)/Tableau1[[#This Row],[Diff jour_x000D_
Cumul
depuis
précédente facture
16/02/2021]]</f>
        <v>5.3645004767607665</v>
      </c>
      <c r="AO298" s="83">
        <f>Tableau1[[#This Row],[Conso HP + HC
Cumul]]*0.1599</f>
        <v>3043.6964999999996</v>
      </c>
      <c r="AP298" s="83">
        <f>Tableau1[[#This Row],[Montant
Tarif normal]]/Tableau1[[#This Row],[Diff jour_x000D_
Cumul]]</f>
        <v>5.8351601002765419</v>
      </c>
      <c r="AQ298" s="83">
        <f>(Tableau1[[#This Row],[Conso HP / an
Cumul]]*0.1799)+(Tableau1[[#This Row],[Conso HC / an_x000D_
Cumul]]*0.1346)</f>
        <v>2214.7536187814867</v>
      </c>
      <c r="AR298" s="83">
        <f>Tableau1[[#This Row],[Conso HP + HC / an_x000D_
Cumul]]*0.1599</f>
        <v>2129.8334366009381</v>
      </c>
      <c r="AS298" s="79">
        <f>MONTH(Tableau1[[#This Row],[Date]])</f>
        <v>5</v>
      </c>
      <c r="AT298" s="79">
        <f>YEAR(Tableau1[[#This Row],[Date]])</f>
        <v>2022</v>
      </c>
    </row>
    <row r="299" spans="1:46" x14ac:dyDescent="0.2">
      <c r="A299" s="74">
        <v>44705.320138888892</v>
      </c>
      <c r="B299" s="75"/>
      <c r="C299" s="76">
        <f>IF(ISERROR(Tableau1[[#This Row],[Date]]-A298),"",Tableau1[[#This Row],[Date]]-A298)</f>
        <v>0.99861111111385981</v>
      </c>
      <c r="D299" s="77">
        <f>IF(ISERROR(Tableau1[[#This Row],[Date]]-A298),"",Tableau1[[#This Row],[Date]]-A298)</f>
        <v>0.99861111111385981</v>
      </c>
      <c r="E299" s="76">
        <f>Tableau1[[#This Row],[Date]]-$A$5</f>
        <v>522.6118055555562</v>
      </c>
      <c r="F299" s="77">
        <f>Tableau1[[#This Row],[Date]]-$A$5</f>
        <v>522.6118055555562</v>
      </c>
      <c r="G299" s="77">
        <f>Tableau1[[#This Row],[Diff jour_x000D_
Cumul]]-F$6</f>
        <v>484.52847222222772</v>
      </c>
      <c r="H299" s="77">
        <f>Tableau1[[#This Row],[Diff jour_x000D_
Cumul]]-F$59</f>
        <v>462.0090277777781</v>
      </c>
      <c r="I299" s="78">
        <v>193077</v>
      </c>
      <c r="J299" s="79">
        <f>IF(ISERROR(Tableau1[[#This Row],[Index HP
kWh]]-I298),"",Tableau1[[#This Row],[Index HP
kWh]]-I298)</f>
        <v>8</v>
      </c>
      <c r="K299" s="77">
        <f>IF(ISERROR(Tableau1[[#This Row],[Différence HP
Instantané]]/(Tableau1[[#This Row],[Diff jour
Instantané]]*24)),"",Tableau1[[#This Row],[Différence HP
Instantané]]/(Tableau1[[#This Row],[Diff jour
Instantané]]*24))</f>
        <v>0.33379694019379608</v>
      </c>
      <c r="L299" s="77">
        <f>Tableau1[[#This Row],[Différence HP
Instantané]]/Tableau1[[#This Row],[Diff jour
Instantané]]</f>
        <v>8.0111265646511072</v>
      </c>
      <c r="M299" s="77">
        <f>Tableau1[[#This Row],[Conso HP / jour
Instantané]]*365</f>
        <v>2924.0611960976539</v>
      </c>
      <c r="N299" s="79">
        <f>Tableau1[[#This Row],[Index HP
kWh]]-$I$5</f>
        <v>13318</v>
      </c>
      <c r="O299" s="80">
        <f>Tableau1[[#This Row],[Différence HP
Cumul]]/(Tableau1[[#This Row],[Diff jour_x000D_
Cumul]]*24)</f>
        <v>1.061814258246174</v>
      </c>
      <c r="P299" s="80">
        <f>Tableau1[[#This Row],[Différence HP
Cumul]]/Tableau1[[#This Row],[Diff jour_x000D_
Cumul]]</f>
        <v>25.483542197908179</v>
      </c>
      <c r="Q299" s="80">
        <f>Tableau1[[#This Row],[Conso HP / jour
Cumul]]*365</f>
        <v>9301.492902236485</v>
      </c>
      <c r="R299" s="78">
        <v>125161</v>
      </c>
      <c r="S299" s="79">
        <f>Tableau1[[#This Row],[Index HC_x000D_
kWh]]-R298</f>
        <v>4</v>
      </c>
      <c r="T299" s="81">
        <f>Tableau1[[#This Row],[Différence_x000D_ HC
Instantané]]/(Tableau1[[#This Row],[Diff jour
Instantané]]*24)</f>
        <v>0.16689847009689804</v>
      </c>
      <c r="U299" s="81">
        <f>Tableau1[[#This Row],[Différence_x000D_ HC
Instantané]]/Tableau1[[#This Row],[Diff jour
Instantané]]</f>
        <v>4.0055632823255536</v>
      </c>
      <c r="V299" s="81">
        <f>Tableau1[[#This Row],[Conso HC / jour_x000D_
Instantané]]*365</f>
        <v>1462.030598048827</v>
      </c>
      <c r="W299" s="79">
        <f>Tableau1[[#This Row],[Index HC_x000D_
kWh]]-$R$5</f>
        <v>5729</v>
      </c>
      <c r="X299" s="82">
        <f>Tableau1[[#This Row],[Différence HC
Cumul]]/(Tableau1[[#This Row],[Diff jour_x000D_
Cumul]]*24)</f>
        <v>0.45676031577506615</v>
      </c>
      <c r="Y299" s="82">
        <f>Tableau1[[#This Row],[Différence HC
Cumul]]/Tableau1[[#This Row],[Diff jour_x000D_
Cumul]]</f>
        <v>10.962247578601588</v>
      </c>
      <c r="Z299" s="82">
        <f>Tableau1[[#This Row],[Conso HC / jour_x000D_
Cumul]]*365</f>
        <v>4001.2203661895796</v>
      </c>
      <c r="AA299" s="79">
        <f>Tableau1[[#This Row],[Différence HP
Instantané]]+Tableau1[[#This Row],[Différence_x000D_ HC
Instantané]]</f>
        <v>12</v>
      </c>
      <c r="AB299" s="80">
        <f>Tableau1[[#This Row],[Conso HP + HC
Instantané]]/(Tableau1[[#This Row],[Diff jour
Instantané]]*24)</f>
        <v>0.5006954102906942</v>
      </c>
      <c r="AC299" s="80">
        <f>IF(ISERROR(Tableau1[[#This Row],[Date]]-A298),"",Tableau1[[#This Row],[Conso HP + HC
Instantané]]/Tableau1[[#This Row],[Diff jour
Instantané]])</f>
        <v>12.016689846976659</v>
      </c>
      <c r="AD299" s="80">
        <f>Tableau1[[#This Row],[Conso HP + HC / jour_x000D_
Instantané]]*365</f>
        <v>4386.0917941464804</v>
      </c>
      <c r="AE299" s="79">
        <f>Tableau1[[#This Row],[Différence HP
Cumul]]+Tableau1[[#This Row],[Différence HC
Cumul]]</f>
        <v>19047</v>
      </c>
      <c r="AF299" s="77">
        <f>(Tableau1[[#This Row],[Conso HP + HC
Cumul]]-AE$6)/Tableau1[[#This Row],[Diff jour_x000D_
Cumul
depuis le 24/01]]</f>
        <v>34.004193653336692</v>
      </c>
      <c r="AG299" s="77">
        <f>(Tableau1[[#This Row],[Conso HP + HC
Cumul]]-AE$59)/Tableau1[[#This Row],[Diff jour_x000D_
Cumul
depuis
précédente facture
16/02/2021]]</f>
        <v>32.185518260375481</v>
      </c>
      <c r="AH299" s="80">
        <f>Tableau1[[#This Row],[Conso HP + HC
Cumul]]/(Tableau1[[#This Row],[Diff jour_x000D_
Cumul]]*24)</f>
        <v>1.5185745740212402</v>
      </c>
      <c r="AI299" s="80">
        <f>Tableau1[[#This Row],[Conso HP + HC
Cumul]]/Tableau1[[#This Row],[Diff jour_x000D_
Cumul]]</f>
        <v>36.445789776509763</v>
      </c>
      <c r="AJ299" s="80">
        <f>Tableau1[[#This Row],[Conso HP + HC / jour_x000D_
Cumul]]*365</f>
        <v>13302.713268426063</v>
      </c>
      <c r="AK299" s="83">
        <f>(Tableau1[[#This Row],[Différence HP
Cumul]]*0.1799)+(Tableau1[[#This Row],[Différence HC
Cumul]]*0.1346)</f>
        <v>3167.0315999999998</v>
      </c>
      <c r="AL299" s="83">
        <f>Tableau1[[#This Row],[Montant
Tarif HP/HC]]/Tableau1[[#This Row],[Diff jour_x000D_
Cumul]]</f>
        <v>6.060007765483455</v>
      </c>
      <c r="AM299" s="83">
        <f>(Tableau1[[#This Row],[Montant
Tarif HP/HC]]-AK$6)/Tableau1[[#This Row],[Diff jour_x000D_
Cumul
depuis le 24/01]]</f>
        <v>5.6603608605731441</v>
      </c>
      <c r="AN299" s="83">
        <f>(Tableau1[[#This Row],[Montant
Tarif HP/HC]]-AK$59)/Tableau1[[#This Row],[Diff jour_x000D_
Cumul
depuis
précédente facture
16/02/2021]]</f>
        <v>5.3571857933271465</v>
      </c>
      <c r="AO299" s="83">
        <f>Tableau1[[#This Row],[Conso HP + HC
Cumul]]*0.1599</f>
        <v>3045.6152999999999</v>
      </c>
      <c r="AP299" s="83">
        <f>Tableau1[[#This Row],[Montant
Tarif normal]]/Tableau1[[#This Row],[Diff jour_x000D_
Cumul]]</f>
        <v>5.8276817852639118</v>
      </c>
      <c r="AQ299" s="83">
        <f>(Tableau1[[#This Row],[Conso HP / an
Cumul]]*0.1799)+(Tableau1[[#This Row],[Conso HC / an_x000D_
Cumul]]*0.1346)</f>
        <v>2211.9028344014614</v>
      </c>
      <c r="AR299" s="83">
        <f>Tableau1[[#This Row],[Conso HP + HC / an_x000D_
Cumul]]*0.1599</f>
        <v>2127.1038516213275</v>
      </c>
      <c r="AS299" s="79">
        <f>MONTH(Tableau1[[#This Row],[Date]])</f>
        <v>5</v>
      </c>
      <c r="AT299" s="79">
        <f>YEAR(Tableau1[[#This Row],[Date]])</f>
        <v>2022</v>
      </c>
    </row>
    <row r="300" spans="1:46" x14ac:dyDescent="0.2">
      <c r="A300" s="74">
        <v>44706.347222222219</v>
      </c>
      <c r="B300" s="75"/>
      <c r="C300" s="76">
        <f>IF(ISERROR(Tableau1[[#This Row],[Date]]-A299),"",Tableau1[[#This Row],[Date]]-A299)</f>
        <v>1.0270833333270275</v>
      </c>
      <c r="D300" s="77">
        <f>IF(ISERROR(Tableau1[[#This Row],[Date]]-A299),"",Tableau1[[#This Row],[Date]]-A299)</f>
        <v>1.0270833333270275</v>
      </c>
      <c r="E300" s="76">
        <f>Tableau1[[#This Row],[Date]]-$A$5</f>
        <v>523.63888888888323</v>
      </c>
      <c r="F300" s="77">
        <f>Tableau1[[#This Row],[Date]]-$A$5</f>
        <v>523.63888888888323</v>
      </c>
      <c r="G300" s="77">
        <f>Tableau1[[#This Row],[Diff jour_x000D_
Cumul]]-F$6</f>
        <v>485.55555555555475</v>
      </c>
      <c r="H300" s="77">
        <f>Tableau1[[#This Row],[Diff jour_x000D_
Cumul]]-F$59</f>
        <v>463.03611111110513</v>
      </c>
      <c r="I300" s="78">
        <v>193082</v>
      </c>
      <c r="J300" s="79">
        <f>IF(ISERROR(Tableau1[[#This Row],[Index HP
kWh]]-I299),"",Tableau1[[#This Row],[Index HP
kWh]]-I299)</f>
        <v>5</v>
      </c>
      <c r="K300" s="77">
        <f>IF(ISERROR(Tableau1[[#This Row],[Différence HP
Instantané]]/(Tableau1[[#This Row],[Diff jour
Instantané]]*24)),"",Tableau1[[#This Row],[Différence HP
Instantané]]/(Tableau1[[#This Row],[Diff jour
Instantané]]*24))</f>
        <v>0.20283975659353742</v>
      </c>
      <c r="L300" s="77">
        <f>Tableau1[[#This Row],[Différence HP
Instantané]]/Tableau1[[#This Row],[Diff jour
Instantané]]</f>
        <v>4.8681541582448986</v>
      </c>
      <c r="M300" s="77">
        <f>Tableau1[[#This Row],[Conso HP / jour
Instantané]]*365</f>
        <v>1776.8762677593879</v>
      </c>
      <c r="N300" s="79">
        <f>Tableau1[[#This Row],[Index HP
kWh]]-$I$5</f>
        <v>13323</v>
      </c>
      <c r="O300" s="80">
        <f>Tableau1[[#This Row],[Différence HP
Cumul]]/(Tableau1[[#This Row],[Diff jour_x000D_
Cumul]]*24)</f>
        <v>1.0601294361041969</v>
      </c>
      <c r="P300" s="80">
        <f>Tableau1[[#This Row],[Différence HP
Cumul]]/Tableau1[[#This Row],[Diff jour_x000D_
Cumul]]</f>
        <v>25.443106466500726</v>
      </c>
      <c r="Q300" s="80">
        <f>Tableau1[[#This Row],[Conso HP / jour
Cumul]]*365</f>
        <v>9286.733860272765</v>
      </c>
      <c r="R300" s="78">
        <v>125164</v>
      </c>
      <c r="S300" s="79">
        <f>Tableau1[[#This Row],[Index HC_x000D_
kWh]]-R299</f>
        <v>3</v>
      </c>
      <c r="T300" s="81">
        <f>Tableau1[[#This Row],[Différence_x000D_ HC
Instantané]]/(Tableau1[[#This Row],[Diff jour
Instantané]]*24)</f>
        <v>0.12170385395612246</v>
      </c>
      <c r="U300" s="81">
        <f>Tableau1[[#This Row],[Différence_x000D_ HC
Instantané]]/Tableau1[[#This Row],[Diff jour
Instantané]]</f>
        <v>2.9208924949469393</v>
      </c>
      <c r="V300" s="81">
        <f>Tableau1[[#This Row],[Conso HC / jour_x000D_
Instantané]]*365</f>
        <v>1066.1257606556328</v>
      </c>
      <c r="W300" s="79">
        <f>Tableau1[[#This Row],[Index HC_x000D_
kWh]]-$R$5</f>
        <v>5732</v>
      </c>
      <c r="X300" s="82">
        <f>Tableau1[[#This Row],[Différence HC
Cumul]]/(Tableau1[[#This Row],[Diff jour_x000D_
Cumul]]*24)</f>
        <v>0.45610312450268381</v>
      </c>
      <c r="Y300" s="82">
        <f>Tableau1[[#This Row],[Différence HC
Cumul]]/Tableau1[[#This Row],[Diff jour_x000D_
Cumul]]</f>
        <v>10.946474988064413</v>
      </c>
      <c r="Z300" s="82">
        <f>Tableau1[[#This Row],[Conso HC / jour_x000D_
Cumul]]*365</f>
        <v>3995.4633706435106</v>
      </c>
      <c r="AA300" s="79">
        <f>Tableau1[[#This Row],[Différence HP
Instantané]]+Tableau1[[#This Row],[Différence_x000D_ HC
Instantané]]</f>
        <v>8</v>
      </c>
      <c r="AB300" s="80">
        <f>Tableau1[[#This Row],[Conso HP + HC
Instantané]]/(Tableau1[[#This Row],[Diff jour
Instantané]]*24)</f>
        <v>0.32454361054965991</v>
      </c>
      <c r="AC300" s="80">
        <f>IF(ISERROR(Tableau1[[#This Row],[Date]]-A299),"",Tableau1[[#This Row],[Conso HP + HC
Instantané]]/Tableau1[[#This Row],[Diff jour
Instantané]])</f>
        <v>7.7890466531918374</v>
      </c>
      <c r="AD300" s="80">
        <f>Tableau1[[#This Row],[Conso HP + HC / jour_x000D_
Instantané]]*365</f>
        <v>2843.0020284150205</v>
      </c>
      <c r="AE300" s="79">
        <f>Tableau1[[#This Row],[Différence HP
Cumul]]+Tableau1[[#This Row],[Différence HC
Cumul]]</f>
        <v>19055</v>
      </c>
      <c r="AF300" s="77">
        <f>(Tableau1[[#This Row],[Conso HP + HC
Cumul]]-AE$6)/Tableau1[[#This Row],[Diff jour_x000D_
Cumul
depuis le 24/01]]</f>
        <v>33.948741418764357</v>
      </c>
      <c r="AG300" s="77">
        <f>(Tableau1[[#This Row],[Conso HP + HC
Cumul]]-AE$59)/Tableau1[[#This Row],[Diff jour_x000D_
Cumul
depuis
précédente facture
16/02/2021]]</f>
        <v>32.131403238288769</v>
      </c>
      <c r="AH300" s="80">
        <f>Tableau1[[#This Row],[Conso HP + HC
Cumul]]/(Tableau1[[#This Row],[Diff jour_x000D_
Cumul]]*24)</f>
        <v>1.5162325606068807</v>
      </c>
      <c r="AI300" s="80">
        <f>Tableau1[[#This Row],[Conso HP + HC
Cumul]]/Tableau1[[#This Row],[Diff jour_x000D_
Cumul]]</f>
        <v>36.389581454565139</v>
      </c>
      <c r="AJ300" s="80">
        <f>Tableau1[[#This Row],[Conso HP + HC / jour_x000D_
Cumul]]*365</f>
        <v>13282.197230916276</v>
      </c>
      <c r="AK300" s="83">
        <f>(Tableau1[[#This Row],[Différence HP
Cumul]]*0.1799)+(Tableau1[[#This Row],[Différence HC
Cumul]]*0.1346)</f>
        <v>3168.3348999999998</v>
      </c>
      <c r="AL300" s="83">
        <f>Tableau1[[#This Row],[Montant
Tarif HP/HC]]/Tableau1[[#This Row],[Diff jour_x000D_
Cumul]]</f>
        <v>6.0506103867169498</v>
      </c>
      <c r="AM300" s="83">
        <f>(Tableau1[[#This Row],[Montant
Tarif HP/HC]]-AK$6)/Tableau1[[#This Row],[Diff jour_x000D_
Cumul
depuis le 24/01]]</f>
        <v>5.6510717848970344</v>
      </c>
      <c r="AN300" s="83">
        <f>(Tableau1[[#This Row],[Montant
Tarif HP/HC]]-AK$59)/Tableau1[[#This Row],[Diff jour_x000D_
Cumul
depuis
précédente facture
16/02/2021]]</f>
        <v>5.3481174374449525</v>
      </c>
      <c r="AO300" s="83">
        <f>Tableau1[[#This Row],[Conso HP + HC
Cumul]]*0.1599</f>
        <v>3046.8944999999999</v>
      </c>
      <c r="AP300" s="83">
        <f>Tableau1[[#This Row],[Montant
Tarif normal]]/Tableau1[[#This Row],[Diff jour_x000D_
Cumul]]</f>
        <v>5.8186940745849656</v>
      </c>
      <c r="AQ300" s="83">
        <f>(Tableau1[[#This Row],[Conso HP / an
Cumul]]*0.1799)+(Tableau1[[#This Row],[Conso HC / an_x000D_
Cumul]]*0.1346)</f>
        <v>2208.472791151687</v>
      </c>
      <c r="AR300" s="83">
        <f>Tableau1[[#This Row],[Conso HP + HC / an_x000D_
Cumul]]*0.1599</f>
        <v>2123.8233372235122</v>
      </c>
      <c r="AS300" s="79">
        <f>MONTH(Tableau1[[#This Row],[Date]])</f>
        <v>5</v>
      </c>
      <c r="AT300" s="79">
        <f>YEAR(Tableau1[[#This Row],[Date]])</f>
        <v>2022</v>
      </c>
    </row>
    <row r="301" spans="1:46" x14ac:dyDescent="0.2">
      <c r="A301" s="74">
        <v>44707.390277777777</v>
      </c>
      <c r="B301" s="75"/>
      <c r="C301" s="76">
        <f>IF(ISERROR(Tableau1[[#This Row],[Date]]-A300),"",Tableau1[[#This Row],[Date]]-A300)</f>
        <v>1.0430555555576575</v>
      </c>
      <c r="D301" s="77">
        <f>IF(ISERROR(Tableau1[[#This Row],[Date]]-A300),"",Tableau1[[#This Row],[Date]]-A300)</f>
        <v>1.0430555555576575</v>
      </c>
      <c r="E301" s="76">
        <f>Tableau1[[#This Row],[Date]]-$A$5</f>
        <v>524.68194444444089</v>
      </c>
      <c r="F301" s="77">
        <f>Tableau1[[#This Row],[Date]]-$A$5</f>
        <v>524.68194444444089</v>
      </c>
      <c r="G301" s="77">
        <f>Tableau1[[#This Row],[Diff jour_x000D_
Cumul]]-F$6</f>
        <v>486.5986111111124</v>
      </c>
      <c r="H301" s="77">
        <f>Tableau1[[#This Row],[Diff jour_x000D_
Cumul]]-F$59</f>
        <v>464.07916666666279</v>
      </c>
      <c r="I301" s="78">
        <v>193092</v>
      </c>
      <c r="J301" s="79">
        <f>IF(ISERROR(Tableau1[[#This Row],[Index HP
kWh]]-I300),"",Tableau1[[#This Row],[Index HP
kWh]]-I300)</f>
        <v>10</v>
      </c>
      <c r="K301" s="77">
        <f>IF(ISERROR(Tableau1[[#This Row],[Différence HP
Instantané]]/(Tableau1[[#This Row],[Diff jour
Instantané]]*24)),"",Tableau1[[#This Row],[Différence HP
Instantané]]/(Tableau1[[#This Row],[Diff jour
Instantané]]*24))</f>
        <v>0.39946737683008715</v>
      </c>
      <c r="L301" s="77">
        <f>Tableau1[[#This Row],[Différence HP
Instantané]]/Tableau1[[#This Row],[Diff jour
Instantané]]</f>
        <v>9.5872170439220916</v>
      </c>
      <c r="M301" s="77">
        <f>Tableau1[[#This Row],[Conso HP / jour
Instantané]]*365</f>
        <v>3499.3342210315636</v>
      </c>
      <c r="N301" s="79">
        <f>Tableau1[[#This Row],[Index HP
kWh]]-$I$5</f>
        <v>13333</v>
      </c>
      <c r="O301" s="80">
        <f>Tableau1[[#This Row],[Différence HP
Cumul]]/(Tableau1[[#This Row],[Diff jour_x000D_
Cumul]]*24)</f>
        <v>1.0588160552292334</v>
      </c>
      <c r="P301" s="80">
        <f>Tableau1[[#This Row],[Différence HP
Cumul]]/Tableau1[[#This Row],[Diff jour_x000D_
Cumul]]</f>
        <v>25.411585325501601</v>
      </c>
      <c r="Q301" s="80">
        <f>Tableau1[[#This Row],[Conso HP / jour
Cumul]]*365</f>
        <v>9275.2286438080846</v>
      </c>
      <c r="R301" s="78">
        <v>125166</v>
      </c>
      <c r="S301" s="79">
        <f>Tableau1[[#This Row],[Index HC_x000D_
kWh]]-R300</f>
        <v>2</v>
      </c>
      <c r="T301" s="81">
        <f>Tableau1[[#This Row],[Différence_x000D_ HC
Instantané]]/(Tableau1[[#This Row],[Diff jour
Instantané]]*24)</f>
        <v>7.989347536601743E-2</v>
      </c>
      <c r="U301" s="81">
        <f>Tableau1[[#This Row],[Différence_x000D_ HC
Instantané]]/Tableau1[[#This Row],[Diff jour
Instantané]]</f>
        <v>1.9174434087844183</v>
      </c>
      <c r="V301" s="81">
        <f>Tableau1[[#This Row],[Conso HC / jour_x000D_
Instantané]]*365</f>
        <v>699.86684420631263</v>
      </c>
      <c r="W301" s="79">
        <f>Tableau1[[#This Row],[Index HC_x000D_
kWh]]-$R$5</f>
        <v>5734</v>
      </c>
      <c r="X301" s="82">
        <f>Tableau1[[#This Row],[Différence HC
Cumul]]/(Tableau1[[#This Row],[Diff jour_x000D_
Cumul]]*24)</f>
        <v>0.45535522843204262</v>
      </c>
      <c r="Y301" s="82">
        <f>Tableau1[[#This Row],[Différence HC
Cumul]]/Tableau1[[#This Row],[Diff jour_x000D_
Cumul]]</f>
        <v>10.928525482369022</v>
      </c>
      <c r="Z301" s="82">
        <f>Tableau1[[#This Row],[Conso HC / jour_x000D_
Cumul]]*365</f>
        <v>3988.911801064693</v>
      </c>
      <c r="AA301" s="79">
        <f>Tableau1[[#This Row],[Différence HP
Instantané]]+Tableau1[[#This Row],[Différence_x000D_ HC
Instantané]]</f>
        <v>12</v>
      </c>
      <c r="AB301" s="80">
        <f>Tableau1[[#This Row],[Conso HP + HC
Instantané]]/(Tableau1[[#This Row],[Diff jour
Instantané]]*24)</f>
        <v>0.47936085219610458</v>
      </c>
      <c r="AC301" s="80">
        <f>IF(ISERROR(Tableau1[[#This Row],[Date]]-A300),"",Tableau1[[#This Row],[Conso HP + HC
Instantané]]/Tableau1[[#This Row],[Diff jour
Instantané]])</f>
        <v>11.50466045270651</v>
      </c>
      <c r="AD301" s="80">
        <f>Tableau1[[#This Row],[Conso HP + HC / jour_x000D_
Instantané]]*365</f>
        <v>4199.2010652378758</v>
      </c>
      <c r="AE301" s="79">
        <f>Tableau1[[#This Row],[Différence HP
Cumul]]+Tableau1[[#This Row],[Différence HC
Cumul]]</f>
        <v>19067</v>
      </c>
      <c r="AF301" s="77">
        <f>(Tableau1[[#This Row],[Conso HP + HC
Cumul]]-AE$6)/Tableau1[[#This Row],[Diff jour_x000D_
Cumul
depuis le 24/01]]</f>
        <v>33.90063108140113</v>
      </c>
      <c r="AG301" s="77">
        <f>(Tableau1[[#This Row],[Conso HP + HC
Cumul]]-AE$59)/Tableau1[[#This Row],[Diff jour_x000D_
Cumul
depuis
précédente facture
16/02/2021]]</f>
        <v>32.085042961420285</v>
      </c>
      <c r="AH301" s="80">
        <f>Tableau1[[#This Row],[Conso HP + HC
Cumul]]/(Tableau1[[#This Row],[Diff jour_x000D_
Cumul]]*24)</f>
        <v>1.514171283661276</v>
      </c>
      <c r="AI301" s="80">
        <f>Tableau1[[#This Row],[Conso HP + HC
Cumul]]/Tableau1[[#This Row],[Diff jour_x000D_
Cumul]]</f>
        <v>36.340110807870623</v>
      </c>
      <c r="AJ301" s="80">
        <f>Tableau1[[#This Row],[Conso HP + HC / jour_x000D_
Cumul]]*365</f>
        <v>13264.140444872777</v>
      </c>
      <c r="AK301" s="83">
        <f>(Tableau1[[#This Row],[Différence HP
Cumul]]*0.1799)+(Tableau1[[#This Row],[Différence HC
Cumul]]*0.1346)</f>
        <v>3170.4031000000004</v>
      </c>
      <c r="AL301" s="83">
        <f>Tableau1[[#This Row],[Montant
Tarif HP/HC]]/Tableau1[[#This Row],[Diff jour_x000D_
Cumul]]</f>
        <v>6.0425237299846088</v>
      </c>
      <c r="AM301" s="83">
        <f>(Tableau1[[#This Row],[Montant
Tarif HP/HC]]-AK$6)/Tableau1[[#This Row],[Diff jour_x000D_
Cumul
depuis le 24/01]]</f>
        <v>5.6432086678787705</v>
      </c>
      <c r="AN301" s="83">
        <f>(Tableau1[[#This Row],[Montant
Tarif HP/HC]]-AK$59)/Tableau1[[#This Row],[Diff jour_x000D_
Cumul
depuis
précédente facture
16/02/2021]]</f>
        <v>5.3405536770845945</v>
      </c>
      <c r="AO301" s="83">
        <f>Tableau1[[#This Row],[Conso HP + HC
Cumul]]*0.1599</f>
        <v>3048.8132999999998</v>
      </c>
      <c r="AP301" s="83">
        <f>Tableau1[[#This Row],[Montant
Tarif normal]]/Tableau1[[#This Row],[Diff jour_x000D_
Cumul]]</f>
        <v>5.810783718178512</v>
      </c>
      <c r="AQ301" s="83">
        <f>(Tableau1[[#This Row],[Conso HP / an
Cumul]]*0.1799)+(Tableau1[[#This Row],[Conso HC / an_x000D_
Cumul]]*0.1346)</f>
        <v>2205.5211614443824</v>
      </c>
      <c r="AR301" s="83">
        <f>Tableau1[[#This Row],[Conso HP + HC / an_x000D_
Cumul]]*0.1599</f>
        <v>2120.9360571351567</v>
      </c>
      <c r="AS301" s="79">
        <f>MONTH(Tableau1[[#This Row],[Date]])</f>
        <v>5</v>
      </c>
      <c r="AT301" s="79">
        <f>YEAR(Tableau1[[#This Row],[Date]])</f>
        <v>2022</v>
      </c>
    </row>
    <row r="302" spans="1:46" x14ac:dyDescent="0.2">
      <c r="A302" s="74">
        <v>44708.337500000001</v>
      </c>
      <c r="B302" s="75"/>
      <c r="C302" s="76">
        <f>IF(ISERROR(Tableau1[[#This Row],[Date]]-A301),"",Tableau1[[#This Row],[Date]]-A301)</f>
        <v>0.94722222222480923</v>
      </c>
      <c r="D302" s="77">
        <f>IF(ISERROR(Tableau1[[#This Row],[Date]]-A301),"",Tableau1[[#This Row],[Date]]-A301)</f>
        <v>0.94722222222480923</v>
      </c>
      <c r="E302" s="76">
        <f>Tableau1[[#This Row],[Date]]-$A$5</f>
        <v>525.6291666666657</v>
      </c>
      <c r="F302" s="77">
        <f>Tableau1[[#This Row],[Date]]-$A$5</f>
        <v>525.6291666666657</v>
      </c>
      <c r="G302" s="77">
        <f>Tableau1[[#This Row],[Diff jour_x000D_
Cumul]]-F$6</f>
        <v>487.54583333333721</v>
      </c>
      <c r="H302" s="77">
        <f>Tableau1[[#This Row],[Diff jour_x000D_
Cumul]]-F$59</f>
        <v>465.0263888888876</v>
      </c>
      <c r="I302" s="78">
        <v>193098</v>
      </c>
      <c r="J302" s="79">
        <f>IF(ISERROR(Tableau1[[#This Row],[Index HP
kWh]]-I301),"",Tableau1[[#This Row],[Index HP
kWh]]-I301)</f>
        <v>6</v>
      </c>
      <c r="K302" s="77">
        <f>IF(ISERROR(Tableau1[[#This Row],[Différence HP
Instantané]]/(Tableau1[[#This Row],[Diff jour
Instantané]]*24)),"",Tableau1[[#This Row],[Différence HP
Instantané]]/(Tableau1[[#This Row],[Diff jour
Instantané]]*24))</f>
        <v>0.26392961876760762</v>
      </c>
      <c r="L302" s="77">
        <f>Tableau1[[#This Row],[Différence HP
Instantané]]/Tableau1[[#This Row],[Diff jour
Instantané]]</f>
        <v>6.3343108504225825</v>
      </c>
      <c r="M302" s="77">
        <f>Tableau1[[#This Row],[Conso HP / jour
Instantané]]*365</f>
        <v>2312.0234604042425</v>
      </c>
      <c r="N302" s="79">
        <f>Tableau1[[#This Row],[Index HP
kWh]]-$I$5</f>
        <v>13339</v>
      </c>
      <c r="O302" s="80">
        <f>Tableau1[[#This Row],[Différence HP
Cumul]]/(Tableau1[[#This Row],[Diff jour_x000D_
Cumul]]*24)</f>
        <v>1.0573836117034368</v>
      </c>
      <c r="P302" s="80">
        <f>Tableau1[[#This Row],[Différence HP
Cumul]]/Tableau1[[#This Row],[Diff jour_x000D_
Cumul]]</f>
        <v>25.37720668088248</v>
      </c>
      <c r="Q302" s="80">
        <f>Tableau1[[#This Row],[Conso HP / jour
Cumul]]*365</f>
        <v>9262.6804385221058</v>
      </c>
      <c r="R302" s="78">
        <v>125168</v>
      </c>
      <c r="S302" s="79">
        <f>Tableau1[[#This Row],[Index HC_x000D_
kWh]]-R301</f>
        <v>2</v>
      </c>
      <c r="T302" s="81">
        <f>Tableau1[[#This Row],[Différence_x000D_ HC
Instantané]]/(Tableau1[[#This Row],[Diff jour
Instantané]]*24)</f>
        <v>8.797653958920254E-2</v>
      </c>
      <c r="U302" s="81">
        <f>Tableau1[[#This Row],[Différence_x000D_ HC
Instantané]]/Tableau1[[#This Row],[Diff jour
Instantané]]</f>
        <v>2.111436950140861</v>
      </c>
      <c r="V302" s="81">
        <f>Tableau1[[#This Row],[Conso HC / jour_x000D_
Instantané]]*365</f>
        <v>770.67448680141422</v>
      </c>
      <c r="W302" s="79">
        <f>Tableau1[[#This Row],[Index HC_x000D_
kWh]]-$R$5</f>
        <v>5736</v>
      </c>
      <c r="X302" s="82">
        <f>Tableau1[[#This Row],[Différence HC
Cumul]]/(Tableau1[[#This Row],[Diff jour_x000D_
Cumul]]*24)</f>
        <v>0.45469318515112928</v>
      </c>
      <c r="Y302" s="82">
        <f>Tableau1[[#This Row],[Différence HC
Cumul]]/Tableau1[[#This Row],[Diff jour_x000D_
Cumul]]</f>
        <v>10.912636443627102</v>
      </c>
      <c r="Z302" s="82">
        <f>Tableau1[[#This Row],[Conso HC / jour_x000D_
Cumul]]*365</f>
        <v>3983.1123019238921</v>
      </c>
      <c r="AA302" s="79">
        <f>Tableau1[[#This Row],[Différence HP
Instantané]]+Tableau1[[#This Row],[Différence_x000D_ HC
Instantané]]</f>
        <v>8</v>
      </c>
      <c r="AB302" s="80">
        <f>Tableau1[[#This Row],[Conso HP + HC
Instantané]]/(Tableau1[[#This Row],[Diff jour
Instantané]]*24)</f>
        <v>0.35190615835681016</v>
      </c>
      <c r="AC302" s="80">
        <f>IF(ISERROR(Tableau1[[#This Row],[Date]]-A301),"",Tableau1[[#This Row],[Conso HP + HC
Instantané]]/Tableau1[[#This Row],[Diff jour
Instantané]])</f>
        <v>8.4457478005634439</v>
      </c>
      <c r="AD302" s="80">
        <f>Tableau1[[#This Row],[Conso HP + HC / jour_x000D_
Instantané]]*365</f>
        <v>3082.6979472056569</v>
      </c>
      <c r="AE302" s="79">
        <f>Tableau1[[#This Row],[Différence HP
Cumul]]+Tableau1[[#This Row],[Différence HC
Cumul]]</f>
        <v>19075</v>
      </c>
      <c r="AF302" s="77">
        <f>(Tableau1[[#This Row],[Conso HP + HC
Cumul]]-AE$6)/Tableau1[[#This Row],[Diff jour_x000D_
Cumul
depuis le 24/01]]</f>
        <v>33.851176385125918</v>
      </c>
      <c r="AG302" s="77">
        <f>(Tableau1[[#This Row],[Conso HP + HC
Cumul]]-AE$59)/Tableau1[[#This Row],[Diff jour_x000D_
Cumul
depuis
précédente facture
16/02/2021]]</f>
        <v>32.036891574253644</v>
      </c>
      <c r="AH302" s="80">
        <f>Tableau1[[#This Row],[Conso HP + HC
Cumul]]/(Tableau1[[#This Row],[Diff jour_x000D_
Cumul]]*24)</f>
        <v>1.5120767968545659</v>
      </c>
      <c r="AI302" s="80">
        <f>Tableau1[[#This Row],[Conso HP + HC
Cumul]]/Tableau1[[#This Row],[Diff jour_x000D_
Cumul]]</f>
        <v>36.289843124509581</v>
      </c>
      <c r="AJ302" s="80">
        <f>Tableau1[[#This Row],[Conso HP + HC / jour_x000D_
Cumul]]*365</f>
        <v>13245.792740445997</v>
      </c>
      <c r="AK302" s="83">
        <f>(Tableau1[[#This Row],[Différence HP
Cumul]]*0.1799)+(Tableau1[[#This Row],[Différence HC
Cumul]]*0.1346)</f>
        <v>3171.7516999999998</v>
      </c>
      <c r="AL302" s="83">
        <f>Tableau1[[#This Row],[Montant
Tarif HP/HC]]/Tableau1[[#This Row],[Diff jour_x000D_
Cumul]]</f>
        <v>6.0342003472029662</v>
      </c>
      <c r="AM302" s="83">
        <f>(Tableau1[[#This Row],[Montant
Tarif HP/HC]]-AK$6)/Tableau1[[#This Row],[Diff jour_x000D_
Cumul
depuis le 24/01]]</f>
        <v>5.6350109305962235</v>
      </c>
      <c r="AN302" s="83">
        <f>(Tableau1[[#This Row],[Montant
Tarif HP/HC]]-AK$59)/Tableau1[[#This Row],[Diff jour_x000D_
Cumul
depuis
précédente facture
16/02/2021]]</f>
        <v>5.3325754392672007</v>
      </c>
      <c r="AO302" s="83">
        <f>Tableau1[[#This Row],[Conso HP + HC
Cumul]]*0.1599</f>
        <v>3050.0924999999997</v>
      </c>
      <c r="AP302" s="83">
        <f>Tableau1[[#This Row],[Montant
Tarif normal]]/Tableau1[[#This Row],[Diff jour_x000D_
Cumul]]</f>
        <v>5.8027459156090817</v>
      </c>
      <c r="AQ302" s="83">
        <f>(Tableau1[[#This Row],[Conso HP / an
Cumul]]*0.1799)+(Tableau1[[#This Row],[Conso HC / an_x000D_
Cumul]]*0.1346)</f>
        <v>2202.4831267290829</v>
      </c>
      <c r="AR302" s="83">
        <f>Tableau1[[#This Row],[Conso HP + HC / an_x000D_
Cumul]]*0.1599</f>
        <v>2118.0022591973147</v>
      </c>
      <c r="AS302" s="79">
        <f>MONTH(Tableau1[[#This Row],[Date]])</f>
        <v>5</v>
      </c>
      <c r="AT302" s="79">
        <f>YEAR(Tableau1[[#This Row],[Date]])</f>
        <v>2022</v>
      </c>
    </row>
    <row r="303" spans="1:46" x14ac:dyDescent="0.2">
      <c r="A303" s="74">
        <v>44709.306250000001</v>
      </c>
      <c r="B303" s="75"/>
      <c r="C303" s="76">
        <f>IF(ISERROR(Tableau1[[#This Row],[Date]]-A302),"",Tableau1[[#This Row],[Date]]-A302)</f>
        <v>0.96875</v>
      </c>
      <c r="D303" s="77">
        <f>IF(ISERROR(Tableau1[[#This Row],[Date]]-A302),"",Tableau1[[#This Row],[Date]]-A302)</f>
        <v>0.96875</v>
      </c>
      <c r="E303" s="76">
        <f>Tableau1[[#This Row],[Date]]-$A$5</f>
        <v>526.5979166666657</v>
      </c>
      <c r="F303" s="77">
        <f>Tableau1[[#This Row],[Date]]-$A$5</f>
        <v>526.5979166666657</v>
      </c>
      <c r="G303" s="77">
        <f>Tableau1[[#This Row],[Diff jour_x000D_
Cumul]]-F$6</f>
        <v>488.51458333333721</v>
      </c>
      <c r="H303" s="77">
        <f>Tableau1[[#This Row],[Diff jour_x000D_
Cumul]]-F$59</f>
        <v>465.9951388888876</v>
      </c>
      <c r="I303" s="78">
        <v>193106</v>
      </c>
      <c r="J303" s="79">
        <f>IF(ISERROR(Tableau1[[#This Row],[Index HP
kWh]]-I302),"",Tableau1[[#This Row],[Index HP
kWh]]-I302)</f>
        <v>8</v>
      </c>
      <c r="K303" s="77">
        <f>IF(ISERROR(Tableau1[[#This Row],[Différence HP
Instantané]]/(Tableau1[[#This Row],[Diff jour
Instantané]]*24)),"",Tableau1[[#This Row],[Différence HP
Instantané]]/(Tableau1[[#This Row],[Diff jour
Instantané]]*24))</f>
        <v>0.34408602150537637</v>
      </c>
      <c r="L303" s="77">
        <f>Tableau1[[#This Row],[Différence HP
Instantané]]/Tableau1[[#This Row],[Diff jour
Instantané]]</f>
        <v>8.258064516129032</v>
      </c>
      <c r="M303" s="77">
        <f>Tableau1[[#This Row],[Conso HP / jour
Instantané]]*365</f>
        <v>3014.1935483870966</v>
      </c>
      <c r="N303" s="79">
        <f>Tableau1[[#This Row],[Index HP
kWh]]-$I$5</f>
        <v>13347</v>
      </c>
      <c r="O303" s="80">
        <f>Tableau1[[#This Row],[Différence HP
Cumul]]/(Tableau1[[#This Row],[Diff jour_x000D_
Cumul]]*24)</f>
        <v>1.0560714017257018</v>
      </c>
      <c r="P303" s="80">
        <f>Tableau1[[#This Row],[Différence HP
Cumul]]/Tableau1[[#This Row],[Diff jour_x000D_
Cumul]]</f>
        <v>25.345713641416847</v>
      </c>
      <c r="Q303" s="80">
        <f>Tableau1[[#This Row],[Conso HP / jour
Cumul]]*365</f>
        <v>9251.1854791171481</v>
      </c>
      <c r="R303" s="78">
        <v>125171</v>
      </c>
      <c r="S303" s="79">
        <f>Tableau1[[#This Row],[Index HC_x000D_
kWh]]-R302</f>
        <v>3</v>
      </c>
      <c r="T303" s="81">
        <f>Tableau1[[#This Row],[Différence_x000D_ HC
Instantané]]/(Tableau1[[#This Row],[Diff jour
Instantané]]*24)</f>
        <v>0.12903225806451613</v>
      </c>
      <c r="U303" s="81">
        <f>Tableau1[[#This Row],[Différence_x000D_ HC
Instantané]]/Tableau1[[#This Row],[Diff jour
Instantané]]</f>
        <v>3.096774193548387</v>
      </c>
      <c r="V303" s="81">
        <f>Tableau1[[#This Row],[Conso HC / jour_x000D_
Instantané]]*365</f>
        <v>1130.3225806451612</v>
      </c>
      <c r="W303" s="79">
        <f>Tableau1[[#This Row],[Index HC_x000D_
kWh]]-$R$5</f>
        <v>5739</v>
      </c>
      <c r="X303" s="82">
        <f>Tableau1[[#This Row],[Différence HC
Cumul]]/(Tableau1[[#This Row],[Diff jour_x000D_
Cumul]]*24)</f>
        <v>0.45409408664897005</v>
      </c>
      <c r="Y303" s="82">
        <f>Tableau1[[#This Row],[Différence HC
Cumul]]/Tableau1[[#This Row],[Diff jour_x000D_
Cumul]]</f>
        <v>10.898258079575282</v>
      </c>
      <c r="Z303" s="82">
        <f>Tableau1[[#This Row],[Conso HC / jour_x000D_
Cumul]]*365</f>
        <v>3977.8641990449778</v>
      </c>
      <c r="AA303" s="79">
        <f>Tableau1[[#This Row],[Différence HP
Instantané]]+Tableau1[[#This Row],[Différence_x000D_ HC
Instantané]]</f>
        <v>11</v>
      </c>
      <c r="AB303" s="80">
        <f>Tableau1[[#This Row],[Conso HP + HC
Instantané]]/(Tableau1[[#This Row],[Diff jour
Instantané]]*24)</f>
        <v>0.4731182795698925</v>
      </c>
      <c r="AC303" s="80">
        <f>IF(ISERROR(Tableau1[[#This Row],[Date]]-A302),"",Tableau1[[#This Row],[Conso HP + HC
Instantané]]/Tableau1[[#This Row],[Diff jour
Instantané]])</f>
        <v>11.35483870967742</v>
      </c>
      <c r="AD303" s="80">
        <f>Tableau1[[#This Row],[Conso HP + HC / jour_x000D_
Instantané]]*365</f>
        <v>4144.5161290322585</v>
      </c>
      <c r="AE303" s="79">
        <f>Tableau1[[#This Row],[Différence HP
Cumul]]+Tableau1[[#This Row],[Différence HC
Cumul]]</f>
        <v>19086</v>
      </c>
      <c r="AF303" s="77">
        <f>(Tableau1[[#This Row],[Conso HP + HC
Cumul]]-AE$6)/Tableau1[[#This Row],[Diff jour_x000D_
Cumul
depuis le 24/01]]</f>
        <v>33.80656496948631</v>
      </c>
      <c r="AG303" s="77">
        <f>(Tableau1[[#This Row],[Conso HP + HC
Cumul]]-AE$59)/Tableau1[[#This Row],[Diff jour_x000D_
Cumul
depuis
précédente facture
16/02/2021]]</f>
        <v>31.993895978290276</v>
      </c>
      <c r="AH303" s="80">
        <f>Tableau1[[#This Row],[Conso HP + HC
Cumul]]/(Tableau1[[#This Row],[Diff jour_x000D_
Cumul]]*24)</f>
        <v>1.510165488374672</v>
      </c>
      <c r="AI303" s="80">
        <f>Tableau1[[#This Row],[Conso HP + HC
Cumul]]/Tableau1[[#This Row],[Diff jour_x000D_
Cumul]]</f>
        <v>36.243971720992128</v>
      </c>
      <c r="AJ303" s="80">
        <f>Tableau1[[#This Row],[Conso HP + HC / jour_x000D_
Cumul]]*365</f>
        <v>13229.049678162128</v>
      </c>
      <c r="AK303" s="83">
        <f>(Tableau1[[#This Row],[Différence HP
Cumul]]*0.1799)+(Tableau1[[#This Row],[Différence HC
Cumul]]*0.1346)</f>
        <v>3173.5947000000001</v>
      </c>
      <c r="AL303" s="83">
        <f>Tableau1[[#This Row],[Montant
Tarif HP/HC]]/Tableau1[[#This Row],[Diff jour_x000D_
Cumul]]</f>
        <v>6.0265994216017233</v>
      </c>
      <c r="AM303" s="83">
        <f>(Tableau1[[#This Row],[Montant
Tarif HP/HC]]-AK$6)/Tableau1[[#This Row],[Diff jour_x000D_
Cumul
depuis le 24/01]]</f>
        <v>5.6276090700123653</v>
      </c>
      <c r="AN303" s="83">
        <f>(Tableau1[[#This Row],[Montant
Tarif HP/HC]]-AK$59)/Tableau1[[#This Row],[Diff jour_x000D_
Cumul
depuis
précédente facture
16/02/2021]]</f>
        <v>5.3254446085364053</v>
      </c>
      <c r="AO303" s="83">
        <f>Tableau1[[#This Row],[Conso HP + HC
Cumul]]*0.1599</f>
        <v>3051.8513999999996</v>
      </c>
      <c r="AP303" s="83">
        <f>Tableau1[[#This Row],[Montant
Tarif normal]]/Tableau1[[#This Row],[Diff jour_x000D_
Cumul]]</f>
        <v>5.7954110781866399</v>
      </c>
      <c r="AQ303" s="83">
        <f>(Tableau1[[#This Row],[Conso HP / an
Cumul]]*0.1799)+(Tableau1[[#This Row],[Conso HC / an_x000D_
Cumul]]*0.1346)</f>
        <v>2199.708788884629</v>
      </c>
      <c r="AR303" s="83">
        <f>Tableau1[[#This Row],[Conso HP + HC / an_x000D_
Cumul]]*0.1599</f>
        <v>2115.3250435381242</v>
      </c>
      <c r="AS303" s="79">
        <f>MONTH(Tableau1[[#This Row],[Date]])</f>
        <v>5</v>
      </c>
      <c r="AT303" s="79">
        <f>YEAR(Tableau1[[#This Row],[Date]])</f>
        <v>2022</v>
      </c>
    </row>
    <row r="304" spans="1:46" x14ac:dyDescent="0.2">
      <c r="A304" s="74">
        <v>44710.356944444444</v>
      </c>
      <c r="B304" s="75"/>
      <c r="C304" s="76">
        <f>IF(ISERROR(Tableau1[[#This Row],[Date]]-A303),"",Tableau1[[#This Row],[Date]]-A303)</f>
        <v>1.0506944444423425</v>
      </c>
      <c r="D304" s="77">
        <f>IF(ISERROR(Tableau1[[#This Row],[Date]]-A303),"",Tableau1[[#This Row],[Date]]-A303)</f>
        <v>1.0506944444423425</v>
      </c>
      <c r="E304" s="76">
        <f>Tableau1[[#This Row],[Date]]-$A$5</f>
        <v>527.64861111110804</v>
      </c>
      <c r="F304" s="77">
        <f>Tableau1[[#This Row],[Date]]-$A$5</f>
        <v>527.64861111110804</v>
      </c>
      <c r="G304" s="77">
        <f>Tableau1[[#This Row],[Diff jour_x000D_
Cumul]]-F$6</f>
        <v>489.56527777777956</v>
      </c>
      <c r="H304" s="77">
        <f>Tableau1[[#This Row],[Diff jour_x000D_
Cumul]]-F$59</f>
        <v>467.04583333332994</v>
      </c>
      <c r="I304" s="78">
        <v>193115</v>
      </c>
      <c r="J304" s="79">
        <f>IF(ISERROR(Tableau1[[#This Row],[Index HP
kWh]]-I303),"",Tableau1[[#This Row],[Index HP
kWh]]-I303)</f>
        <v>9</v>
      </c>
      <c r="K304" s="77">
        <f>IF(ISERROR(Tableau1[[#This Row],[Différence HP
Instantané]]/(Tableau1[[#This Row],[Diff jour
Instantané]]*24)),"",Tableau1[[#This Row],[Différence HP
Instantané]]/(Tableau1[[#This Row],[Diff jour
Instantané]]*24))</f>
        <v>0.35690680766760097</v>
      </c>
      <c r="L304" s="77">
        <f>Tableau1[[#This Row],[Différence HP
Instantané]]/Tableau1[[#This Row],[Diff jour
Instantané]]</f>
        <v>8.5657633840224232</v>
      </c>
      <c r="M304" s="77">
        <f>Tableau1[[#This Row],[Conso HP / jour
Instantané]]*365</f>
        <v>3126.5036351681842</v>
      </c>
      <c r="N304" s="79">
        <f>Tableau1[[#This Row],[Index HP
kWh]]-$I$5</f>
        <v>13356</v>
      </c>
      <c r="O304" s="80">
        <f>Tableau1[[#This Row],[Différence HP
Cumul]]/(Tableau1[[#This Row],[Diff jour_x000D_
Cumul]]*24)</f>
        <v>1.0546791714814476</v>
      </c>
      <c r="P304" s="80">
        <f>Tableau1[[#This Row],[Différence HP
Cumul]]/Tableau1[[#This Row],[Diff jour_x000D_
Cumul]]</f>
        <v>25.312300115554745</v>
      </c>
      <c r="Q304" s="80">
        <f>Tableau1[[#This Row],[Conso HP / jour
Cumul]]*365</f>
        <v>9238.9895421774818</v>
      </c>
      <c r="R304" s="78">
        <v>125174</v>
      </c>
      <c r="S304" s="79">
        <f>Tableau1[[#This Row],[Index HC_x000D_
kWh]]-R303</f>
        <v>3</v>
      </c>
      <c r="T304" s="81">
        <f>Tableau1[[#This Row],[Différence_x000D_ HC
Instantané]]/(Tableau1[[#This Row],[Diff jour
Instantané]]*24)</f>
        <v>0.11896893588920032</v>
      </c>
      <c r="U304" s="81">
        <f>Tableau1[[#This Row],[Différence_x000D_ HC
Instantané]]/Tableau1[[#This Row],[Diff jour
Instantané]]</f>
        <v>2.8552544613408077</v>
      </c>
      <c r="V304" s="81">
        <f>Tableau1[[#This Row],[Conso HC / jour_x000D_
Instantané]]*365</f>
        <v>1042.1678783893949</v>
      </c>
      <c r="W304" s="79">
        <f>Tableau1[[#This Row],[Index HC_x000D_
kWh]]-$R$5</f>
        <v>5742</v>
      </c>
      <c r="X304" s="82">
        <f>Tableau1[[#This Row],[Différence HC
Cumul]]/(Tableau1[[#This Row],[Diff jour_x000D_
Cumul]]*24)</f>
        <v>0.45342675970698354</v>
      </c>
      <c r="Y304" s="82">
        <f>Tableau1[[#This Row],[Différence HC
Cumul]]/Tableau1[[#This Row],[Diff jour_x000D_
Cumul]]</f>
        <v>10.882242232967606</v>
      </c>
      <c r="Z304" s="82">
        <f>Tableau1[[#This Row],[Conso HC / jour_x000D_
Cumul]]*365</f>
        <v>3972.0184150331761</v>
      </c>
      <c r="AA304" s="79">
        <f>Tableau1[[#This Row],[Différence HP
Instantané]]+Tableau1[[#This Row],[Différence_x000D_ HC
Instantané]]</f>
        <v>12</v>
      </c>
      <c r="AB304" s="80">
        <f>Tableau1[[#This Row],[Conso HP + HC
Instantané]]/(Tableau1[[#This Row],[Diff jour
Instantané]]*24)</f>
        <v>0.47587574355680129</v>
      </c>
      <c r="AC304" s="80">
        <f>IF(ISERROR(Tableau1[[#This Row],[Date]]-A303),"",Tableau1[[#This Row],[Conso HP + HC
Instantané]]/Tableau1[[#This Row],[Diff jour
Instantané]])</f>
        <v>11.421017845363231</v>
      </c>
      <c r="AD304" s="80">
        <f>Tableau1[[#This Row],[Conso HP + HC / jour_x000D_
Instantané]]*365</f>
        <v>4168.6715135575796</v>
      </c>
      <c r="AE304" s="79">
        <f>Tableau1[[#This Row],[Différence HP
Cumul]]+Tableau1[[#This Row],[Différence HC
Cumul]]</f>
        <v>19098</v>
      </c>
      <c r="AF304" s="77">
        <f>(Tableau1[[#This Row],[Conso HP + HC
Cumul]]-AE$6)/Tableau1[[#This Row],[Diff jour_x000D_
Cumul
depuis le 24/01]]</f>
        <v>33.758521590867055</v>
      </c>
      <c r="AG304" s="77">
        <f>(Tableau1[[#This Row],[Conso HP + HC
Cumul]]-AE$59)/Tableau1[[#This Row],[Diff jour_x000D_
Cumul
depuis
précédente facture
16/02/2021]]</f>
        <v>31.947613992202996</v>
      </c>
      <c r="AH304" s="80">
        <f>Tableau1[[#This Row],[Conso HP + HC
Cumul]]/(Tableau1[[#This Row],[Diff jour_x000D_
Cumul]]*24)</f>
        <v>1.5081059311884313</v>
      </c>
      <c r="AI304" s="80">
        <f>Tableau1[[#This Row],[Conso HP + HC
Cumul]]/Tableau1[[#This Row],[Diff jour_x000D_
Cumul]]</f>
        <v>36.194542348522347</v>
      </c>
      <c r="AJ304" s="80">
        <f>Tableau1[[#This Row],[Conso HP + HC / jour_x000D_
Cumul]]*365</f>
        <v>13211.007957210657</v>
      </c>
      <c r="AK304" s="83">
        <f>(Tableau1[[#This Row],[Différence HP
Cumul]]*0.1799)+(Tableau1[[#This Row],[Différence HC
Cumul]]*0.1346)</f>
        <v>3175.6176</v>
      </c>
      <c r="AL304" s="83">
        <f>Tableau1[[#This Row],[Montant
Tarif HP/HC]]/Tableau1[[#This Row],[Diff jour_x000D_
Cumul]]</f>
        <v>6.0184325953457378</v>
      </c>
      <c r="AM304" s="83">
        <f>(Tableau1[[#This Row],[Montant
Tarif HP/HC]]-AK$6)/Tableau1[[#This Row],[Diff jour_x000D_
Cumul
depuis le 24/01]]</f>
        <v>5.6196632499921781</v>
      </c>
      <c r="AN304" s="83">
        <f>(Tableau1[[#This Row],[Montant
Tarif HP/HC]]-AK$59)/Tableau1[[#This Row],[Diff jour_x000D_
Cumul
depuis
précédente facture
16/02/2021]]</f>
        <v>5.3177954340670022</v>
      </c>
      <c r="AO304" s="83">
        <f>Tableau1[[#This Row],[Conso HP + HC
Cumul]]*0.1599</f>
        <v>3053.7701999999999</v>
      </c>
      <c r="AP304" s="83">
        <f>Tableau1[[#This Row],[Montant
Tarif normal]]/Tableau1[[#This Row],[Diff jour_x000D_
Cumul]]</f>
        <v>5.7875073215287234</v>
      </c>
      <c r="AQ304" s="83">
        <f>(Tableau1[[#This Row],[Conso HP / an
Cumul]]*0.1799)+(Tableau1[[#This Row],[Conso HC / an_x000D_
Cumul]]*0.1346)</f>
        <v>2196.7278973011944</v>
      </c>
      <c r="AR304" s="83">
        <f>Tableau1[[#This Row],[Conso HP + HC / an_x000D_
Cumul]]*0.1599</f>
        <v>2112.440172357984</v>
      </c>
      <c r="AS304" s="79">
        <f>MONTH(Tableau1[[#This Row],[Date]])</f>
        <v>5</v>
      </c>
      <c r="AT304" s="79">
        <f>YEAR(Tableau1[[#This Row],[Date]])</f>
        <v>2022</v>
      </c>
    </row>
    <row r="305" spans="1:46" x14ac:dyDescent="0.2">
      <c r="A305" s="74">
        <v>44711.320833333331</v>
      </c>
      <c r="B305" s="75"/>
      <c r="C305" s="76">
        <f>IF(ISERROR(Tableau1[[#This Row],[Date]]-A304),"",Tableau1[[#This Row],[Date]]-A304)</f>
        <v>0.96388888888759539</v>
      </c>
      <c r="D305" s="77">
        <f>IF(ISERROR(Tableau1[[#This Row],[Date]]-A304),"",Tableau1[[#This Row],[Date]]-A304)</f>
        <v>0.96388888888759539</v>
      </c>
      <c r="E305" s="76">
        <f>Tableau1[[#This Row],[Date]]-$A$5</f>
        <v>528.61249999999563</v>
      </c>
      <c r="F305" s="77">
        <f>Tableau1[[#This Row],[Date]]-$A$5</f>
        <v>528.61249999999563</v>
      </c>
      <c r="G305" s="77">
        <f>Tableau1[[#This Row],[Diff jour_x000D_
Cumul]]-F$6</f>
        <v>490.52916666666715</v>
      </c>
      <c r="H305" s="77">
        <f>Tableau1[[#This Row],[Diff jour_x000D_
Cumul]]-F$59</f>
        <v>468.00972222221753</v>
      </c>
      <c r="I305" s="78">
        <v>193124</v>
      </c>
      <c r="J305" s="79">
        <f>IF(ISERROR(Tableau1[[#This Row],[Index HP
kWh]]-I304),"",Tableau1[[#This Row],[Index HP
kWh]]-I304)</f>
        <v>9</v>
      </c>
      <c r="K305" s="77">
        <f>IF(ISERROR(Tableau1[[#This Row],[Différence HP
Instantané]]/(Tableau1[[#This Row],[Diff jour
Instantané]]*24)),"",Tableau1[[#This Row],[Différence HP
Instantané]]/(Tableau1[[#This Row],[Diff jour
Instantané]]*24))</f>
        <v>0.38904899135498894</v>
      </c>
      <c r="L305" s="77">
        <f>Tableau1[[#This Row],[Différence HP
Instantané]]/Tableau1[[#This Row],[Diff jour
Instantané]]</f>
        <v>9.3371757925197354</v>
      </c>
      <c r="M305" s="77">
        <f>Tableau1[[#This Row],[Conso HP / jour
Instantané]]*365</f>
        <v>3408.0691642697034</v>
      </c>
      <c r="N305" s="79">
        <f>Tableau1[[#This Row],[Index HP
kWh]]-$I$5</f>
        <v>13365</v>
      </c>
      <c r="O305" s="80">
        <f>Tableau1[[#This Row],[Différence HP
Cumul]]/(Tableau1[[#This Row],[Diff jour_x000D_
Cumul]]*24)</f>
        <v>1.0534654401853998</v>
      </c>
      <c r="P305" s="80">
        <f>Tableau1[[#This Row],[Différence HP
Cumul]]/Tableau1[[#This Row],[Diff jour_x000D_
Cumul]]</f>
        <v>25.283170564449591</v>
      </c>
      <c r="Q305" s="80">
        <f>Tableau1[[#This Row],[Conso HP / jour
Cumul]]*365</f>
        <v>9228.3572560241009</v>
      </c>
      <c r="R305" s="78">
        <v>125176</v>
      </c>
      <c r="S305" s="79">
        <f>Tableau1[[#This Row],[Index HC_x000D_
kWh]]-R304</f>
        <v>2</v>
      </c>
      <c r="T305" s="81">
        <f>Tableau1[[#This Row],[Différence_x000D_ HC
Instantané]]/(Tableau1[[#This Row],[Diff jour
Instantané]]*24)</f>
        <v>8.6455331412219769E-2</v>
      </c>
      <c r="U305" s="81">
        <f>Tableau1[[#This Row],[Différence_x000D_ HC
Instantané]]/Tableau1[[#This Row],[Diff jour
Instantané]]</f>
        <v>2.0749279538932743</v>
      </c>
      <c r="V305" s="81">
        <f>Tableau1[[#This Row],[Conso HC / jour_x000D_
Instantané]]*365</f>
        <v>757.34870317104514</v>
      </c>
      <c r="W305" s="79">
        <f>Tableau1[[#This Row],[Index HC_x000D_
kWh]]-$R$5</f>
        <v>5744</v>
      </c>
      <c r="X305" s="82">
        <f>Tableau1[[#This Row],[Différence HC
Cumul]]/(Tableau1[[#This Row],[Diff jour_x000D_
Cumul]]*24)</f>
        <v>0.45275761230265138</v>
      </c>
      <c r="Y305" s="82">
        <f>Tableau1[[#This Row],[Différence HC
Cumul]]/Tableau1[[#This Row],[Diff jour_x000D_
Cumul]]</f>
        <v>10.866182695263634</v>
      </c>
      <c r="Z305" s="82">
        <f>Tableau1[[#This Row],[Conso HC / jour_x000D_
Cumul]]*365</f>
        <v>3966.1566837712262</v>
      </c>
      <c r="AA305" s="79">
        <f>Tableau1[[#This Row],[Différence HP
Instantané]]+Tableau1[[#This Row],[Différence_x000D_ HC
Instantané]]</f>
        <v>11</v>
      </c>
      <c r="AB305" s="80">
        <f>Tableau1[[#This Row],[Conso HP + HC
Instantané]]/(Tableau1[[#This Row],[Diff jour
Instantané]]*24)</f>
        <v>0.47550432276720872</v>
      </c>
      <c r="AC305" s="80">
        <f>IF(ISERROR(Tableau1[[#This Row],[Date]]-A304),"",Tableau1[[#This Row],[Conso HP + HC
Instantané]]/Tableau1[[#This Row],[Diff jour
Instantané]])</f>
        <v>11.41210374641301</v>
      </c>
      <c r="AD305" s="80">
        <f>Tableau1[[#This Row],[Conso HP + HC / jour_x000D_
Instantané]]*365</f>
        <v>4165.4178674407485</v>
      </c>
      <c r="AE305" s="79">
        <f>Tableau1[[#This Row],[Différence HP
Cumul]]+Tableau1[[#This Row],[Différence HC
Cumul]]</f>
        <v>19109</v>
      </c>
      <c r="AF305" s="77">
        <f>(Tableau1[[#This Row],[Conso HP + HC
Cumul]]-AE$6)/Tableau1[[#This Row],[Diff jour_x000D_
Cumul
depuis le 24/01]]</f>
        <v>33.714610921878553</v>
      </c>
      <c r="AG305" s="77">
        <f>(Tableau1[[#This Row],[Conso HP + HC
Cumul]]-AE$59)/Tableau1[[#This Row],[Diff jour_x000D_
Cumul
depuis
précédente facture
16/02/2021]]</f>
        <v>31.905320105529942</v>
      </c>
      <c r="AH305" s="80">
        <f>Tableau1[[#This Row],[Conso HP + HC
Cumul]]/(Tableau1[[#This Row],[Diff jour_x000D_
Cumul]]*24)</f>
        <v>1.5062230524880511</v>
      </c>
      <c r="AI305" s="80">
        <f>Tableau1[[#This Row],[Conso HP + HC
Cumul]]/Tableau1[[#This Row],[Diff jour_x000D_
Cumul]]</f>
        <v>36.149353259713223</v>
      </c>
      <c r="AJ305" s="80">
        <f>Tableau1[[#This Row],[Conso HP + HC / jour_x000D_
Cumul]]*365</f>
        <v>13194.513939795326</v>
      </c>
      <c r="AK305" s="83">
        <f>(Tableau1[[#This Row],[Différence HP
Cumul]]*0.1799)+(Tableau1[[#This Row],[Différence HC
Cumul]]*0.1346)</f>
        <v>3177.5059000000001</v>
      </c>
      <c r="AL305" s="83">
        <f>Tableau1[[#This Row],[Montant
Tarif HP/HC]]/Tableau1[[#This Row],[Diff jour_x000D_
Cumul]]</f>
        <v>6.0110305753269673</v>
      </c>
      <c r="AM305" s="83">
        <f>(Tableau1[[#This Row],[Montant
Tarif HP/HC]]-AK$6)/Tableau1[[#This Row],[Diff jour_x000D_
Cumul
depuis le 24/01]]</f>
        <v>5.6124701385408562</v>
      </c>
      <c r="AN305" s="83">
        <f>(Tableau1[[#This Row],[Montant
Tarif HP/HC]]-AK$59)/Tableau1[[#This Row],[Diff jour_x000D_
Cumul
depuis
précédente facture
16/02/2021]]</f>
        <v>5.3108779197963534</v>
      </c>
      <c r="AO305" s="83">
        <f>Tableau1[[#This Row],[Conso HP + HC
Cumul]]*0.1599</f>
        <v>3055.5290999999997</v>
      </c>
      <c r="AP305" s="83">
        <f>Tableau1[[#This Row],[Montant
Tarif normal]]/Tableau1[[#This Row],[Diff jour_x000D_
Cumul]]</f>
        <v>5.7802815862281447</v>
      </c>
      <c r="AQ305" s="83">
        <f>(Tableau1[[#This Row],[Conso HP / an
Cumul]]*0.1799)+(Tableau1[[#This Row],[Conso HC / an_x000D_
Cumul]]*0.1346)</f>
        <v>2194.0261599943428</v>
      </c>
      <c r="AR305" s="83">
        <f>Tableau1[[#This Row],[Conso HP + HC / an_x000D_
Cumul]]*0.1599</f>
        <v>2109.8027789732723</v>
      </c>
      <c r="AS305" s="79">
        <f>MONTH(Tableau1[[#This Row],[Date]])</f>
        <v>5</v>
      </c>
      <c r="AT305" s="79">
        <f>YEAR(Tableau1[[#This Row],[Date]])</f>
        <v>2022</v>
      </c>
    </row>
    <row r="306" spans="1:46" x14ac:dyDescent="0.2">
      <c r="A306" s="74">
        <v>44712.322916666664</v>
      </c>
      <c r="B306" s="75"/>
      <c r="C306" s="76">
        <f>IF(ISERROR(Tableau1[[#This Row],[Date]]-A305),"",Tableau1[[#This Row],[Date]]-A305)</f>
        <v>1.0020833333328483</v>
      </c>
      <c r="D306" s="77">
        <f>IF(ISERROR(Tableau1[[#This Row],[Date]]-A305),"",Tableau1[[#This Row],[Date]]-A305)</f>
        <v>1.0020833333328483</v>
      </c>
      <c r="E306" s="76">
        <f>Tableau1[[#This Row],[Date]]-$A$5</f>
        <v>529.61458333332848</v>
      </c>
      <c r="F306" s="77">
        <f>Tableau1[[#This Row],[Date]]-$A$5</f>
        <v>529.61458333332848</v>
      </c>
      <c r="G306" s="77">
        <f>Tableau1[[#This Row],[Diff jour_x000D_
Cumul]]-F$6</f>
        <v>491.53125</v>
      </c>
      <c r="H306" s="77">
        <f>Tableau1[[#This Row],[Diff jour_x000D_
Cumul]]-F$59</f>
        <v>469.01180555555038</v>
      </c>
      <c r="I306" s="78">
        <v>193129</v>
      </c>
      <c r="J306" s="79">
        <f>IF(ISERROR(Tableau1[[#This Row],[Index HP
kWh]]-I305),"",Tableau1[[#This Row],[Index HP
kWh]]-I305)</f>
        <v>5</v>
      </c>
      <c r="K306" s="77">
        <f>IF(ISERROR(Tableau1[[#This Row],[Différence HP
Instantané]]/(Tableau1[[#This Row],[Diff jour
Instantané]]*24)),"",Tableau1[[#This Row],[Différence HP
Instantané]]/(Tableau1[[#This Row],[Diff jour
Instantané]]*24))</f>
        <v>0.20790020790030853</v>
      </c>
      <c r="L306" s="77">
        <f>Tableau1[[#This Row],[Différence HP
Instantané]]/Tableau1[[#This Row],[Diff jour
Instantané]]</f>
        <v>4.9896049896074048</v>
      </c>
      <c r="M306" s="77">
        <f>Tableau1[[#This Row],[Conso HP / jour
Instantané]]*365</f>
        <v>1821.2058212067027</v>
      </c>
      <c r="N306" s="79">
        <f>Tableau1[[#This Row],[Index HP
kWh]]-$I$5</f>
        <v>13370</v>
      </c>
      <c r="O306" s="80">
        <f>Tableau1[[#This Row],[Différence HP
Cumul]]/(Tableau1[[#This Row],[Diff jour_x000D_
Cumul]]*24)</f>
        <v>1.0518655468796194</v>
      </c>
      <c r="P306" s="80">
        <f>Tableau1[[#This Row],[Différence HP
Cumul]]/Tableau1[[#This Row],[Diff jour_x000D_
Cumul]]</f>
        <v>25.244773125110864</v>
      </c>
      <c r="Q306" s="80">
        <f>Tableau1[[#This Row],[Conso HP / jour
Cumul]]*365</f>
        <v>9214.3421906654658</v>
      </c>
      <c r="R306" s="78">
        <v>125178</v>
      </c>
      <c r="S306" s="79">
        <f>Tableau1[[#This Row],[Index HC_x000D_
kWh]]-R305</f>
        <v>2</v>
      </c>
      <c r="T306" s="81">
        <f>Tableau1[[#This Row],[Différence_x000D_ HC
Instantané]]/(Tableau1[[#This Row],[Diff jour
Instantané]]*24)</f>
        <v>8.316008316012341E-2</v>
      </c>
      <c r="U306" s="81">
        <f>Tableau1[[#This Row],[Différence_x000D_ HC
Instantané]]/Tableau1[[#This Row],[Diff jour
Instantané]]</f>
        <v>1.9958419958429618</v>
      </c>
      <c r="V306" s="81">
        <f>Tableau1[[#This Row],[Conso HC / jour_x000D_
Instantané]]*365</f>
        <v>728.48232848268105</v>
      </c>
      <c r="W306" s="79">
        <f>Tableau1[[#This Row],[Index HC_x000D_
kWh]]-$R$5</f>
        <v>5746</v>
      </c>
      <c r="X306" s="82">
        <f>Tableau1[[#This Row],[Différence HC
Cumul]]/(Tableau1[[#This Row],[Diff jour_x000D_
Cumul]]*24)</f>
        <v>0.45205829711071749</v>
      </c>
      <c r="Y306" s="82">
        <f>Tableau1[[#This Row],[Différence HC
Cumul]]/Tableau1[[#This Row],[Diff jour_x000D_
Cumul]]</f>
        <v>10.84939913065722</v>
      </c>
      <c r="Z306" s="82">
        <f>Tableau1[[#This Row],[Conso HC / jour_x000D_
Cumul]]*365</f>
        <v>3960.0306826898855</v>
      </c>
      <c r="AA306" s="79">
        <f>Tableau1[[#This Row],[Différence HP
Instantané]]+Tableau1[[#This Row],[Différence_x000D_ HC
Instantané]]</f>
        <v>7</v>
      </c>
      <c r="AB306" s="80">
        <f>Tableau1[[#This Row],[Conso HP + HC
Instantané]]/(Tableau1[[#This Row],[Diff jour
Instantané]]*24)</f>
        <v>0.29106029106043196</v>
      </c>
      <c r="AC306" s="80">
        <f>IF(ISERROR(Tableau1[[#This Row],[Date]]-A305),"",Tableau1[[#This Row],[Conso HP + HC
Instantané]]/Tableau1[[#This Row],[Diff jour
Instantané]])</f>
        <v>6.9854469854503671</v>
      </c>
      <c r="AD306" s="80">
        <f>Tableau1[[#This Row],[Conso HP + HC / jour_x000D_
Instantané]]*365</f>
        <v>2549.6881496893839</v>
      </c>
      <c r="AE306" s="79">
        <f>Tableau1[[#This Row],[Différence HP
Cumul]]+Tableau1[[#This Row],[Différence HC
Cumul]]</f>
        <v>19116</v>
      </c>
      <c r="AF306" s="77">
        <f>(Tableau1[[#This Row],[Conso HP + HC
Cumul]]-AE$6)/Tableau1[[#This Row],[Diff jour_x000D_
Cumul
depuis le 24/01]]</f>
        <v>33.660118252908639</v>
      </c>
      <c r="AG306" s="77">
        <f>(Tableau1[[#This Row],[Conso HP + HC
Cumul]]-AE$59)/Tableau1[[#This Row],[Diff jour_x000D_
Cumul
depuis
précédente facture
16/02/2021]]</f>
        <v>31.852076691981274</v>
      </c>
      <c r="AH306" s="80">
        <f>Tableau1[[#This Row],[Conso HP + HC
Cumul]]/(Tableau1[[#This Row],[Diff jour_x000D_
Cumul]]*24)</f>
        <v>1.5039238439903369</v>
      </c>
      <c r="AI306" s="80">
        <f>Tableau1[[#This Row],[Conso HP + HC
Cumul]]/Tableau1[[#This Row],[Diff jour_x000D_
Cumul]]</f>
        <v>36.094172255768086</v>
      </c>
      <c r="AJ306" s="80">
        <f>Tableau1[[#This Row],[Conso HP + HC / jour_x000D_
Cumul]]*365</f>
        <v>13174.372873355351</v>
      </c>
      <c r="AK306" s="83">
        <f>(Tableau1[[#This Row],[Différence HP
Cumul]]*0.1799)+(Tableau1[[#This Row],[Différence HC
Cumul]]*0.1346)</f>
        <v>3178.6745999999998</v>
      </c>
      <c r="AL306" s="83">
        <f>Tableau1[[#This Row],[Montant
Tarif HP/HC]]/Tableau1[[#This Row],[Diff jour_x000D_
Cumul]]</f>
        <v>6.0018638081939066</v>
      </c>
      <c r="AM306" s="83">
        <f>(Tableau1[[#This Row],[Montant
Tarif HP/HC]]-AK$6)/Tableau1[[#This Row],[Diff jour_x000D_
Cumul
depuis le 24/01]]</f>
        <v>5.603405683768834</v>
      </c>
      <c r="AN306" s="83">
        <f>(Tableau1[[#This Row],[Montant
Tarif HP/HC]]-AK$59)/Tableau1[[#This Row],[Diff jour_x000D_
Cumul
depuis
précédente facture
16/02/2021]]</f>
        <v>5.3020226155170214</v>
      </c>
      <c r="AO306" s="83">
        <f>Tableau1[[#This Row],[Conso HP + HC
Cumul]]*0.1599</f>
        <v>3056.6483999999996</v>
      </c>
      <c r="AP306" s="83">
        <f>Tableau1[[#This Row],[Montant
Tarif normal]]/Tableau1[[#This Row],[Diff jour_x000D_
Cumul]]</f>
        <v>5.7714581436973162</v>
      </c>
      <c r="AQ306" s="83">
        <f>(Tableau1[[#This Row],[Conso HP / an
Cumul]]*0.1799)+(Tableau1[[#This Row],[Conso HC / an_x000D_
Cumul]]*0.1346)</f>
        <v>2190.6802899907761</v>
      </c>
      <c r="AR306" s="83">
        <f>Tableau1[[#This Row],[Conso HP + HC / an_x000D_
Cumul]]*0.1599</f>
        <v>2106.5822224495205</v>
      </c>
      <c r="AS306" s="79">
        <f>MONTH(Tableau1[[#This Row],[Date]])</f>
        <v>5</v>
      </c>
      <c r="AT306" s="79">
        <f>YEAR(Tableau1[[#This Row],[Date]])</f>
        <v>2022</v>
      </c>
    </row>
    <row r="307" spans="1:46" x14ac:dyDescent="0.2">
      <c r="A307" s="74">
        <v>44713.322916666664</v>
      </c>
      <c r="B307" s="75"/>
      <c r="C307" s="76">
        <f>IF(ISERROR(Tableau1[[#This Row],[Date]]-A306),"",Tableau1[[#This Row],[Date]]-A306)</f>
        <v>1</v>
      </c>
      <c r="D307" s="77">
        <f>IF(ISERROR(Tableau1[[#This Row],[Date]]-A306),"",Tableau1[[#This Row],[Date]]-A306)</f>
        <v>1</v>
      </c>
      <c r="E307" s="76">
        <f>Tableau1[[#This Row],[Date]]-$A$5</f>
        <v>530.61458333332848</v>
      </c>
      <c r="F307" s="77">
        <f>Tableau1[[#This Row],[Date]]-$A$5</f>
        <v>530.61458333332848</v>
      </c>
      <c r="G307" s="77">
        <f>Tableau1[[#This Row],[Diff jour_x000D_
Cumul]]-F$6</f>
        <v>492.53125</v>
      </c>
      <c r="H307" s="77">
        <f>Tableau1[[#This Row],[Diff jour_x000D_
Cumul]]-F$59</f>
        <v>470.01180555555038</v>
      </c>
      <c r="I307" s="78">
        <v>193134</v>
      </c>
      <c r="J307" s="79">
        <f>IF(ISERROR(Tableau1[[#This Row],[Index HP
kWh]]-I306),"",Tableau1[[#This Row],[Index HP
kWh]]-I306)</f>
        <v>5</v>
      </c>
      <c r="K307" s="77">
        <f>IF(ISERROR(Tableau1[[#This Row],[Différence HP
Instantané]]/(Tableau1[[#This Row],[Diff jour
Instantané]]*24)),"",Tableau1[[#This Row],[Différence HP
Instantané]]/(Tableau1[[#This Row],[Diff jour
Instantané]]*24))</f>
        <v>0.20833333333333334</v>
      </c>
      <c r="L307" s="77">
        <f>Tableau1[[#This Row],[Différence HP
Instantané]]/Tableau1[[#This Row],[Diff jour
Instantané]]</f>
        <v>5</v>
      </c>
      <c r="M307" s="77">
        <f>Tableau1[[#This Row],[Conso HP / jour
Instantané]]*365</f>
        <v>1825</v>
      </c>
      <c r="N307" s="79">
        <f>Tableau1[[#This Row],[Index HP
kWh]]-$I$5</f>
        <v>13375</v>
      </c>
      <c r="O307" s="80">
        <f>Tableau1[[#This Row],[Différence HP
Cumul]]/(Tableau1[[#This Row],[Diff jour_x000D_
Cumul]]*24)</f>
        <v>1.0502758200985589</v>
      </c>
      <c r="P307" s="80">
        <f>Tableau1[[#This Row],[Différence HP
Cumul]]/Tableau1[[#This Row],[Diff jour_x000D_
Cumul]]</f>
        <v>25.206619682365414</v>
      </c>
      <c r="Q307" s="80">
        <f>Tableau1[[#This Row],[Conso HP / jour
Cumul]]*365</f>
        <v>9200.4161840633769</v>
      </c>
      <c r="R307" s="78">
        <v>125180</v>
      </c>
      <c r="S307" s="79">
        <f>Tableau1[[#This Row],[Index HC_x000D_
kWh]]-R306</f>
        <v>2</v>
      </c>
      <c r="T307" s="81">
        <f>Tableau1[[#This Row],[Différence_x000D_ HC
Instantané]]/(Tableau1[[#This Row],[Diff jour
Instantané]]*24)</f>
        <v>8.3333333333333329E-2</v>
      </c>
      <c r="U307" s="81">
        <f>Tableau1[[#This Row],[Différence_x000D_ HC
Instantané]]/Tableau1[[#This Row],[Diff jour
Instantané]]</f>
        <v>2</v>
      </c>
      <c r="V307" s="81">
        <f>Tableau1[[#This Row],[Conso HC / jour_x000D_
Instantané]]*365</f>
        <v>730</v>
      </c>
      <c r="W307" s="79">
        <f>Tableau1[[#This Row],[Index HC_x000D_
kWh]]-$R$5</f>
        <v>5748</v>
      </c>
      <c r="X307" s="82">
        <f>Tableau1[[#This Row],[Différence HC
Cumul]]/(Tableau1[[#This Row],[Diff jour_x000D_
Cumul]]*24)</f>
        <v>0.4513633954337582</v>
      </c>
      <c r="Y307" s="82">
        <f>Tableau1[[#This Row],[Différence HC
Cumul]]/Tableau1[[#This Row],[Diff jour_x000D_
Cumul]]</f>
        <v>10.832721490410197</v>
      </c>
      <c r="Z307" s="82">
        <f>Tableau1[[#This Row],[Conso HC / jour_x000D_
Cumul]]*365</f>
        <v>3953.9433439997219</v>
      </c>
      <c r="AA307" s="79">
        <f>Tableau1[[#This Row],[Différence HP
Instantané]]+Tableau1[[#This Row],[Différence_x000D_ HC
Instantané]]</f>
        <v>7</v>
      </c>
      <c r="AB307" s="80">
        <f>Tableau1[[#This Row],[Conso HP + HC
Instantané]]/(Tableau1[[#This Row],[Diff jour
Instantané]]*24)</f>
        <v>0.29166666666666669</v>
      </c>
      <c r="AC307" s="80">
        <f>IF(ISERROR(Tableau1[[#This Row],[Date]]-A306),"",Tableau1[[#This Row],[Conso HP + HC
Instantané]]/Tableau1[[#This Row],[Diff jour
Instantané]])</f>
        <v>7</v>
      </c>
      <c r="AD307" s="80">
        <f>Tableau1[[#This Row],[Conso HP + HC / jour_x000D_
Instantané]]*365</f>
        <v>2555</v>
      </c>
      <c r="AE307" s="79">
        <f>Tableau1[[#This Row],[Différence HP
Cumul]]+Tableau1[[#This Row],[Différence HC
Cumul]]</f>
        <v>19123</v>
      </c>
      <c r="AF307" s="77">
        <f>(Tableau1[[#This Row],[Conso HP + HC
Cumul]]-AE$6)/Tableau1[[#This Row],[Diff jour_x000D_
Cumul
depuis le 24/01]]</f>
        <v>33.605989467673368</v>
      </c>
      <c r="AG307" s="77">
        <f>(Tableau1[[#This Row],[Conso HP + HC
Cumul]]-AE$59)/Tableau1[[#This Row],[Diff jour_x000D_
Cumul
depuis
précédente facture
16/02/2021]]</f>
        <v>31.799201261197986</v>
      </c>
      <c r="AH307" s="80">
        <f>Tableau1[[#This Row],[Conso HP + HC
Cumul]]/(Tableau1[[#This Row],[Diff jour_x000D_
Cumul]]*24)</f>
        <v>1.5016392155323171</v>
      </c>
      <c r="AI307" s="80">
        <f>Tableau1[[#This Row],[Conso HP + HC
Cumul]]/Tableau1[[#This Row],[Diff jour_x000D_
Cumul]]</f>
        <v>36.039341172775607</v>
      </c>
      <c r="AJ307" s="80">
        <f>Tableau1[[#This Row],[Conso HP + HC / jour_x000D_
Cumul]]*365</f>
        <v>13154.359528063096</v>
      </c>
      <c r="AK307" s="83">
        <f>(Tableau1[[#This Row],[Différence HP
Cumul]]*0.1799)+(Tableau1[[#This Row],[Différence HC
Cumul]]*0.1346)</f>
        <v>3179.8433</v>
      </c>
      <c r="AL307" s="83">
        <f>Tableau1[[#This Row],[Montant
Tarif HP/HC]]/Tableau1[[#This Row],[Diff jour_x000D_
Cumul]]</f>
        <v>5.99275519346675</v>
      </c>
      <c r="AM307" s="83">
        <f>(Tableau1[[#This Row],[Montant
Tarif HP/HC]]-AK$6)/Tableau1[[#This Row],[Diff jour_x000D_
Cumul
depuis le 24/01]]</f>
        <v>5.5944017765370218</v>
      </c>
      <c r="AN307" s="83">
        <f>(Tableau1[[#This Row],[Montant
Tarif HP/HC]]-AK$59)/Tableau1[[#This Row],[Diff jour_x000D_
Cumul
depuis
précédente facture
16/02/2021]]</f>
        <v>5.2932285329713045</v>
      </c>
      <c r="AO307" s="83">
        <f>Tableau1[[#This Row],[Conso HP + HC
Cumul]]*0.1599</f>
        <v>3057.7676999999999</v>
      </c>
      <c r="AP307" s="83">
        <f>Tableau1[[#This Row],[Montant
Tarif normal]]/Tableau1[[#This Row],[Diff jour_x000D_
Cumul]]</f>
        <v>5.7626906535268194</v>
      </c>
      <c r="AQ307" s="83">
        <f>(Tableau1[[#This Row],[Conso HP / an
Cumul]]*0.1799)+(Tableau1[[#This Row],[Conso HC / an_x000D_
Cumul]]*0.1346)</f>
        <v>2187.3556456153642</v>
      </c>
      <c r="AR307" s="83">
        <f>Tableau1[[#This Row],[Conso HP + HC / an_x000D_
Cumul]]*0.1599</f>
        <v>2103.3820885372888</v>
      </c>
      <c r="AS307" s="79">
        <f>MONTH(Tableau1[[#This Row],[Date]])</f>
        <v>6</v>
      </c>
      <c r="AT307" s="79">
        <f>YEAR(Tableau1[[#This Row],[Date]])</f>
        <v>2022</v>
      </c>
    </row>
    <row r="308" spans="1:46" x14ac:dyDescent="0.2">
      <c r="A308" s="74">
        <v>44714.304166666669</v>
      </c>
      <c r="B308" s="75"/>
      <c r="C308" s="76">
        <f>IF(ISERROR(Tableau1[[#This Row],[Date]]-A307),"",Tableau1[[#This Row],[Date]]-A307)</f>
        <v>0.98125000000436557</v>
      </c>
      <c r="D308" s="77">
        <f>IF(ISERROR(Tableau1[[#This Row],[Date]]-A307),"",Tableau1[[#This Row],[Date]]-A307)</f>
        <v>0.98125000000436557</v>
      </c>
      <c r="E308" s="76">
        <f>Tableau1[[#This Row],[Date]]-$A$5</f>
        <v>531.59583333333285</v>
      </c>
      <c r="F308" s="77">
        <f>Tableau1[[#This Row],[Date]]-$A$5</f>
        <v>531.59583333333285</v>
      </c>
      <c r="G308" s="77">
        <f>Tableau1[[#This Row],[Diff jour_x000D_
Cumul]]-F$6</f>
        <v>493.51250000000437</v>
      </c>
      <c r="H308" s="77">
        <f>Tableau1[[#This Row],[Diff jour_x000D_
Cumul]]-F$59</f>
        <v>470.99305555555475</v>
      </c>
      <c r="I308" s="78">
        <v>193142</v>
      </c>
      <c r="J308" s="79">
        <f>IF(ISERROR(Tableau1[[#This Row],[Index HP
kWh]]-I307),"",Tableau1[[#This Row],[Index HP
kWh]]-I307)</f>
        <v>8</v>
      </c>
      <c r="K308" s="77">
        <f>IF(ISERROR(Tableau1[[#This Row],[Différence HP
Instantané]]/(Tableau1[[#This Row],[Diff jour
Instantané]]*24)),"",Tableau1[[#This Row],[Différence HP
Instantané]]/(Tableau1[[#This Row],[Diff jour
Instantané]]*24))</f>
        <v>0.33970276008341438</v>
      </c>
      <c r="L308" s="77">
        <f>Tableau1[[#This Row],[Différence HP
Instantané]]/Tableau1[[#This Row],[Diff jour
Instantané]]</f>
        <v>8.1528662420019451</v>
      </c>
      <c r="M308" s="77">
        <f>Tableau1[[#This Row],[Conso HP / jour
Instantané]]*365</f>
        <v>2975.7961783307101</v>
      </c>
      <c r="N308" s="79">
        <f>Tableau1[[#This Row],[Index HP
kWh]]-$I$5</f>
        <v>13383</v>
      </c>
      <c r="O308" s="80">
        <f>Tableau1[[#This Row],[Différence HP
Cumul]]/(Tableau1[[#This Row],[Diff jour_x000D_
Cumul]]*24)</f>
        <v>1.0489642036948505</v>
      </c>
      <c r="P308" s="80">
        <f>Tableau1[[#This Row],[Différence HP
Cumul]]/Tableau1[[#This Row],[Diff jour_x000D_
Cumul]]</f>
        <v>25.175140888676413</v>
      </c>
      <c r="Q308" s="80">
        <f>Tableau1[[#This Row],[Conso HP / jour
Cumul]]*365</f>
        <v>9188.9264243668913</v>
      </c>
      <c r="R308" s="78">
        <v>125182</v>
      </c>
      <c r="S308" s="79">
        <f>Tableau1[[#This Row],[Index HC_x000D_
kWh]]-R307</f>
        <v>2</v>
      </c>
      <c r="T308" s="81">
        <f>Tableau1[[#This Row],[Différence_x000D_ HC
Instantané]]/(Tableau1[[#This Row],[Diff jour
Instantané]]*24)</f>
        <v>8.4925690020853595E-2</v>
      </c>
      <c r="U308" s="81">
        <f>Tableau1[[#This Row],[Différence_x000D_ HC
Instantané]]/Tableau1[[#This Row],[Diff jour
Instantané]]</f>
        <v>2.0382165605004863</v>
      </c>
      <c r="V308" s="81">
        <f>Tableau1[[#This Row],[Conso HC / jour_x000D_
Instantané]]*365</f>
        <v>743.94904458267752</v>
      </c>
      <c r="W308" s="79">
        <f>Tableau1[[#This Row],[Index HC_x000D_
kWh]]-$R$5</f>
        <v>5750</v>
      </c>
      <c r="X308" s="82">
        <f>Tableau1[[#This Row],[Différence HC
Cumul]]/(Tableau1[[#This Row],[Diff jour_x000D_
Cumul]]*24)</f>
        <v>0.45068700375441911</v>
      </c>
      <c r="Y308" s="82">
        <f>Tableau1[[#This Row],[Différence HC
Cumul]]/Tableau1[[#This Row],[Diff jour_x000D_
Cumul]]</f>
        <v>10.816488090106059</v>
      </c>
      <c r="Z308" s="82">
        <f>Tableau1[[#This Row],[Conso HC / jour_x000D_
Cumul]]*365</f>
        <v>3948.0181528887115</v>
      </c>
      <c r="AA308" s="79">
        <f>Tableau1[[#This Row],[Différence HP
Instantané]]+Tableau1[[#This Row],[Différence_x000D_ HC
Instantané]]</f>
        <v>10</v>
      </c>
      <c r="AB308" s="80">
        <f>Tableau1[[#This Row],[Conso HP + HC
Instantané]]/(Tableau1[[#This Row],[Diff jour
Instantané]]*24)</f>
        <v>0.42462845010426792</v>
      </c>
      <c r="AC308" s="80">
        <f>IF(ISERROR(Tableau1[[#This Row],[Date]]-A307),"",Tableau1[[#This Row],[Conso HP + HC
Instantané]]/Tableau1[[#This Row],[Diff jour
Instantané]])</f>
        <v>10.19108280250243</v>
      </c>
      <c r="AD308" s="80">
        <f>Tableau1[[#This Row],[Conso HP + HC / jour_x000D_
Instantané]]*365</f>
        <v>3719.7452229133874</v>
      </c>
      <c r="AE308" s="79">
        <f>Tableau1[[#This Row],[Différence HP
Cumul]]+Tableau1[[#This Row],[Différence HC
Cumul]]</f>
        <v>19133</v>
      </c>
      <c r="AF308" s="77">
        <f>(Tableau1[[#This Row],[Conso HP + HC
Cumul]]-AE$6)/Tableau1[[#This Row],[Diff jour_x000D_
Cumul
depuis le 24/01]]</f>
        <v>33.559433651629604</v>
      </c>
      <c r="AG308" s="77">
        <f>(Tableau1[[#This Row],[Conso HP + HC
Cumul]]-AE$59)/Tableau1[[#This Row],[Diff jour_x000D_
Cumul
depuis
précédente facture
16/02/2021]]</f>
        <v>31.754183684001056</v>
      </c>
      <c r="AH308" s="80">
        <f>Tableau1[[#This Row],[Conso HP + HC
Cumul]]/(Tableau1[[#This Row],[Diff jour_x000D_
Cumul]]*24)</f>
        <v>1.4996512074492696</v>
      </c>
      <c r="AI308" s="80">
        <f>Tableau1[[#This Row],[Conso HP + HC
Cumul]]/Tableau1[[#This Row],[Diff jour_x000D_
Cumul]]</f>
        <v>35.991628978782472</v>
      </c>
      <c r="AJ308" s="80">
        <f>Tableau1[[#This Row],[Conso HP + HC / jour_x000D_
Cumul]]*365</f>
        <v>13136.944577255603</v>
      </c>
      <c r="AK308" s="83">
        <f>(Tableau1[[#This Row],[Différence HP
Cumul]]*0.1799)+(Tableau1[[#This Row],[Différence HC
Cumul]]*0.1346)</f>
        <v>3181.5517</v>
      </c>
      <c r="AL308" s="83">
        <f>Tableau1[[#This Row],[Montant
Tarif HP/HC]]/Tableau1[[#This Row],[Diff jour_x000D_
Cumul]]</f>
        <v>5.9849071428011626</v>
      </c>
      <c r="AM308" s="83">
        <f>(Tableau1[[#This Row],[Montant
Tarif HP/HC]]-AK$6)/Tableau1[[#This Row],[Diff jour_x000D_
Cumul
depuis le 24/01]]</f>
        <v>5.5867401534915038</v>
      </c>
      <c r="AN308" s="83">
        <f>(Tableau1[[#This Row],[Montant
Tarif HP/HC]]-AK$59)/Tableau1[[#This Row],[Diff jour_x000D_
Cumul
depuis
précédente facture
16/02/2021]]</f>
        <v>5.2858280406351916</v>
      </c>
      <c r="AO308" s="83">
        <f>Tableau1[[#This Row],[Conso HP + HC
Cumul]]*0.1599</f>
        <v>3059.3666999999996</v>
      </c>
      <c r="AP308" s="83">
        <f>Tableau1[[#This Row],[Montant
Tarif normal]]/Tableau1[[#This Row],[Diff jour_x000D_
Cumul]]</f>
        <v>5.7550614737073165</v>
      </c>
      <c r="AQ308" s="83">
        <f>(Tableau1[[#This Row],[Conso HP / an
Cumul]]*0.1799)+(Tableau1[[#This Row],[Conso HC / an_x000D_
Cumul]]*0.1346)</f>
        <v>2184.4911071224242</v>
      </c>
      <c r="AR308" s="83">
        <f>Tableau1[[#This Row],[Conso HP + HC / an_x000D_
Cumul]]*0.1599</f>
        <v>2100.5974379031709</v>
      </c>
      <c r="AS308" s="79">
        <f>MONTH(Tableau1[[#This Row],[Date]])</f>
        <v>6</v>
      </c>
      <c r="AT308" s="79">
        <f>YEAR(Tableau1[[#This Row],[Date]])</f>
        <v>2022</v>
      </c>
    </row>
    <row r="309" spans="1:46" x14ac:dyDescent="0.2">
      <c r="A309" s="74">
        <v>44715.309027777781</v>
      </c>
      <c r="B309" s="75"/>
      <c r="C309" s="76">
        <f>IF(ISERROR(Tableau1[[#This Row],[Date]]-A308),"",Tableau1[[#This Row],[Date]]-A308)</f>
        <v>1.0048611111124046</v>
      </c>
      <c r="D309" s="77">
        <f>IF(ISERROR(Tableau1[[#This Row],[Date]]-A308),"",Tableau1[[#This Row],[Date]]-A308)</f>
        <v>1.0048611111124046</v>
      </c>
      <c r="E309" s="76">
        <f>Tableau1[[#This Row],[Date]]-$A$5</f>
        <v>532.60069444444525</v>
      </c>
      <c r="F309" s="77">
        <f>Tableau1[[#This Row],[Date]]-$A$5</f>
        <v>532.60069444444525</v>
      </c>
      <c r="G309" s="77">
        <f>Tableau1[[#This Row],[Diff jour_x000D_
Cumul]]-F$6</f>
        <v>494.51736111111677</v>
      </c>
      <c r="H309" s="77">
        <f>Tableau1[[#This Row],[Diff jour_x000D_
Cumul]]-F$59</f>
        <v>471.99791666666715</v>
      </c>
      <c r="I309" s="78">
        <v>193149</v>
      </c>
      <c r="J309" s="79">
        <f>IF(ISERROR(Tableau1[[#This Row],[Index HP
kWh]]-I308),"",Tableau1[[#This Row],[Index HP
kWh]]-I308)</f>
        <v>7</v>
      </c>
      <c r="K309" s="77">
        <f>IF(ISERROR(Tableau1[[#This Row],[Différence HP
Instantané]]/(Tableau1[[#This Row],[Diff jour
Instantané]]*24)),"",Tableau1[[#This Row],[Différence HP
Instantané]]/(Tableau1[[#This Row],[Diff jour
Instantané]]*24))</f>
        <v>0.2902557014509049</v>
      </c>
      <c r="L309" s="77">
        <f>Tableau1[[#This Row],[Différence HP
Instantané]]/Tableau1[[#This Row],[Diff jour
Instantané]]</f>
        <v>6.9661368348217172</v>
      </c>
      <c r="M309" s="77">
        <f>Tableau1[[#This Row],[Conso HP / jour
Instantané]]*365</f>
        <v>2542.6399447099266</v>
      </c>
      <c r="N309" s="79">
        <f>Tableau1[[#This Row],[Index HP
kWh]]-$I$5</f>
        <v>13390</v>
      </c>
      <c r="O309" s="80">
        <f>Tableau1[[#This Row],[Différence HP
Cumul]]/(Tableau1[[#This Row],[Diff jour_x000D_
Cumul]]*24)</f>
        <v>1.0475327435474497</v>
      </c>
      <c r="P309" s="80">
        <f>Tableau1[[#This Row],[Différence HP
Cumul]]/Tableau1[[#This Row],[Diff jour_x000D_
Cumul]]</f>
        <v>25.14078584513879</v>
      </c>
      <c r="Q309" s="80">
        <f>Tableau1[[#This Row],[Conso HP / jour
Cumul]]*365</f>
        <v>9176.3868334756589</v>
      </c>
      <c r="R309" s="78">
        <v>125187</v>
      </c>
      <c r="S309" s="79">
        <f>Tableau1[[#This Row],[Index HC_x000D_
kWh]]-R308</f>
        <v>5</v>
      </c>
      <c r="T309" s="81">
        <f>Tableau1[[#This Row],[Différence_x000D_ HC
Instantané]]/(Tableau1[[#This Row],[Diff jour
Instantané]]*24)</f>
        <v>0.20732550103636063</v>
      </c>
      <c r="U309" s="81">
        <f>Tableau1[[#This Row],[Différence_x000D_ HC
Instantané]]/Tableau1[[#This Row],[Diff jour
Instantané]]</f>
        <v>4.9758120248726554</v>
      </c>
      <c r="V309" s="81">
        <f>Tableau1[[#This Row],[Conso HC / jour_x000D_
Instantané]]*365</f>
        <v>1816.1713890785193</v>
      </c>
      <c r="W309" s="79">
        <f>Tableau1[[#This Row],[Index HC_x000D_
kWh]]-$R$5</f>
        <v>5755</v>
      </c>
      <c r="X309" s="82">
        <f>Tableau1[[#This Row],[Différence HC
Cumul]]/(Tableau1[[#This Row],[Diff jour_x000D_
Cumul]]*24)</f>
        <v>0.45022785206240273</v>
      </c>
      <c r="Y309" s="82">
        <f>Tableau1[[#This Row],[Différence HC
Cumul]]/Tableau1[[#This Row],[Diff jour_x000D_
Cumul]]</f>
        <v>10.805468449497665</v>
      </c>
      <c r="Z309" s="82">
        <f>Tableau1[[#This Row],[Conso HC / jour_x000D_
Cumul]]*365</f>
        <v>3943.9959840666479</v>
      </c>
      <c r="AA309" s="79">
        <f>Tableau1[[#This Row],[Différence HP
Instantané]]+Tableau1[[#This Row],[Différence_x000D_ HC
Instantané]]</f>
        <v>12</v>
      </c>
      <c r="AB309" s="80">
        <f>Tableau1[[#This Row],[Conso HP + HC
Instantané]]/(Tableau1[[#This Row],[Diff jour
Instantané]]*24)</f>
        <v>0.49758120248726551</v>
      </c>
      <c r="AC309" s="80">
        <f>IF(ISERROR(Tableau1[[#This Row],[Date]]-A308),"",Tableau1[[#This Row],[Conso HP + HC
Instantané]]/Tableau1[[#This Row],[Diff jour
Instantané]])</f>
        <v>11.941948859694373</v>
      </c>
      <c r="AD309" s="80">
        <f>Tableau1[[#This Row],[Conso HP + HC / jour_x000D_
Instantané]]*365</f>
        <v>4358.8113337884461</v>
      </c>
      <c r="AE309" s="79">
        <f>Tableau1[[#This Row],[Différence HP
Cumul]]+Tableau1[[#This Row],[Différence HC
Cumul]]</f>
        <v>19145</v>
      </c>
      <c r="AF309" s="77">
        <f>(Tableau1[[#This Row],[Conso HP + HC
Cumul]]-AE$6)/Tableau1[[#This Row],[Diff jour_x000D_
Cumul
depuis le 24/01]]</f>
        <v>33.515506842389435</v>
      </c>
      <c r="AG309" s="77">
        <f>(Tableau1[[#This Row],[Conso HP + HC
Cumul]]-AE$59)/Tableau1[[#This Row],[Diff jour_x000D_
Cumul
depuis
précédente facture
16/02/2021]]</f>
        <v>31.712004378550368</v>
      </c>
      <c r="AH309" s="80">
        <f>Tableau1[[#This Row],[Conso HP + HC
Cumul]]/(Tableau1[[#This Row],[Diff jour_x000D_
Cumul]]*24)</f>
        <v>1.4977605956098523</v>
      </c>
      <c r="AI309" s="80">
        <f>Tableau1[[#This Row],[Conso HP + HC
Cumul]]/Tableau1[[#This Row],[Diff jour_x000D_
Cumul]]</f>
        <v>35.946254294636461</v>
      </c>
      <c r="AJ309" s="80">
        <f>Tableau1[[#This Row],[Conso HP + HC / jour_x000D_
Cumul]]*365</f>
        <v>13120.382817542308</v>
      </c>
      <c r="AK309" s="83">
        <f>(Tableau1[[#This Row],[Différence HP
Cumul]]*0.1799)+(Tableau1[[#This Row],[Différence HC
Cumul]]*0.1346)</f>
        <v>3183.4839999999999</v>
      </c>
      <c r="AL309" s="83">
        <f>Tableau1[[#This Row],[Montant
Tarif HP/HC]]/Tableau1[[#This Row],[Diff jour_x000D_
Cumul]]</f>
        <v>5.977243426842854</v>
      </c>
      <c r="AM309" s="83">
        <f>(Tableau1[[#This Row],[Montant
Tarif HP/HC]]-AK$6)/Tableau1[[#This Row],[Diff jour_x000D_
Cumul
depuis le 24/01]]</f>
        <v>5.5792953230211193</v>
      </c>
      <c r="AN309" s="83">
        <f>(Tableau1[[#This Row],[Montant
Tarif HP/HC]]-AK$59)/Tableau1[[#This Row],[Diff jour_x000D_
Cumul
depuis
précédente facture
16/02/2021]]</f>
        <v>5.2786686381913706</v>
      </c>
      <c r="AO309" s="83">
        <f>Tableau1[[#This Row],[Conso HP + HC
Cumul]]*0.1599</f>
        <v>3061.2855</v>
      </c>
      <c r="AP309" s="83">
        <f>Tableau1[[#This Row],[Montant
Tarif normal]]/Tableau1[[#This Row],[Diff jour_x000D_
Cumul]]</f>
        <v>5.7478060617123692</v>
      </c>
      <c r="AQ309" s="83">
        <f>(Tableau1[[#This Row],[Conso HP / an
Cumul]]*0.1799)+(Tableau1[[#This Row],[Conso HC / an_x000D_
Cumul]]*0.1346)</f>
        <v>2181.693850797642</v>
      </c>
      <c r="AR309" s="83">
        <f>Tableau1[[#This Row],[Conso HP + HC / an_x000D_
Cumul]]*0.1599</f>
        <v>2097.9492125250149</v>
      </c>
      <c r="AS309" s="79">
        <f>MONTH(Tableau1[[#This Row],[Date]])</f>
        <v>6</v>
      </c>
      <c r="AT309" s="79">
        <f>YEAR(Tableau1[[#This Row],[Date]])</f>
        <v>2022</v>
      </c>
    </row>
    <row r="310" spans="1:46" x14ac:dyDescent="0.2">
      <c r="A310" s="74">
        <v>44716.347222222219</v>
      </c>
      <c r="B310" s="75"/>
      <c r="C310" s="76">
        <f>IF(ISERROR(Tableau1[[#This Row],[Date]]-A309),"",Tableau1[[#This Row],[Date]]-A309)</f>
        <v>1.0381944444379769</v>
      </c>
      <c r="D310" s="77">
        <f>IF(ISERROR(Tableau1[[#This Row],[Date]]-A309),"",Tableau1[[#This Row],[Date]]-A309)</f>
        <v>1.0381944444379769</v>
      </c>
      <c r="E310" s="76">
        <f>Tableau1[[#This Row],[Date]]-$A$5</f>
        <v>533.63888888888323</v>
      </c>
      <c r="F310" s="77">
        <f>Tableau1[[#This Row],[Date]]-$A$5</f>
        <v>533.63888888888323</v>
      </c>
      <c r="G310" s="77">
        <f>Tableau1[[#This Row],[Diff jour_x000D_
Cumul]]-F$6</f>
        <v>495.55555555555475</v>
      </c>
      <c r="H310" s="77">
        <f>Tableau1[[#This Row],[Diff jour_x000D_
Cumul]]-F$59</f>
        <v>473.03611111110513</v>
      </c>
      <c r="I310" s="78">
        <v>193160</v>
      </c>
      <c r="J310" s="79">
        <f>IF(ISERROR(Tableau1[[#This Row],[Index HP
kWh]]-I309),"",Tableau1[[#This Row],[Index HP
kWh]]-I309)</f>
        <v>11</v>
      </c>
      <c r="K310" s="77">
        <f>IF(ISERROR(Tableau1[[#This Row],[Différence HP
Instantané]]/(Tableau1[[#This Row],[Diff jour
Instantané]]*24)),"",Tableau1[[#This Row],[Différence HP
Instantané]]/(Tableau1[[#This Row],[Diff jour
Instantané]]*24))</f>
        <v>0.44147157190910469</v>
      </c>
      <c r="L310" s="77">
        <f>Tableau1[[#This Row],[Différence HP
Instantané]]/Tableau1[[#This Row],[Diff jour
Instantané]]</f>
        <v>10.595317725818512</v>
      </c>
      <c r="M310" s="77">
        <f>Tableau1[[#This Row],[Conso HP / jour
Instantané]]*365</f>
        <v>3867.2909699237571</v>
      </c>
      <c r="N310" s="79">
        <f>Tableau1[[#This Row],[Index HP
kWh]]-$I$5</f>
        <v>13401</v>
      </c>
      <c r="O310" s="80">
        <f>Tableau1[[#This Row],[Différence HP
Cumul]]/(Tableau1[[#This Row],[Diff jour_x000D_
Cumul]]*24)</f>
        <v>1.0463536515538083</v>
      </c>
      <c r="P310" s="80">
        <f>Tableau1[[#This Row],[Différence HP
Cumul]]/Tableau1[[#This Row],[Diff jour_x000D_
Cumul]]</f>
        <v>25.112487637291402</v>
      </c>
      <c r="Q310" s="80">
        <f>Tableau1[[#This Row],[Conso HP / jour
Cumul]]*365</f>
        <v>9166.0579876113625</v>
      </c>
      <c r="R310" s="78">
        <v>125190</v>
      </c>
      <c r="S310" s="79">
        <f>Tableau1[[#This Row],[Index HC_x000D_
kWh]]-R309</f>
        <v>3</v>
      </c>
      <c r="T310" s="81">
        <f>Tableau1[[#This Row],[Différence_x000D_ HC
Instantané]]/(Tableau1[[#This Row],[Diff jour
Instantané]]*24)</f>
        <v>0.1204013377933922</v>
      </c>
      <c r="U310" s="81">
        <f>Tableau1[[#This Row],[Différence_x000D_ HC
Instantané]]/Tableau1[[#This Row],[Diff jour
Instantané]]</f>
        <v>2.8896321070414124</v>
      </c>
      <c r="V310" s="81">
        <f>Tableau1[[#This Row],[Conso HC / jour_x000D_
Instantané]]*365</f>
        <v>1054.7157190701155</v>
      </c>
      <c r="W310" s="79">
        <f>Tableau1[[#This Row],[Index HC_x000D_
kWh]]-$R$5</f>
        <v>5758</v>
      </c>
      <c r="X310" s="82">
        <f>Tableau1[[#This Row],[Différence HC
Cumul]]/(Tableau1[[#This Row],[Diff jour_x000D_
Cumul]]*24)</f>
        <v>0.44958617458748068</v>
      </c>
      <c r="Y310" s="82">
        <f>Tableau1[[#This Row],[Différence HC
Cumul]]/Tableau1[[#This Row],[Diff jour_x000D_
Cumul]]</f>
        <v>10.790068190099536</v>
      </c>
      <c r="Z310" s="82">
        <f>Tableau1[[#This Row],[Conso HC / jour_x000D_
Cumul]]*365</f>
        <v>3938.3748893863308</v>
      </c>
      <c r="AA310" s="79">
        <f>Tableau1[[#This Row],[Différence HP
Instantané]]+Tableau1[[#This Row],[Différence_x000D_ HC
Instantané]]</f>
        <v>14</v>
      </c>
      <c r="AB310" s="80">
        <f>Tableau1[[#This Row],[Conso HP + HC
Instantané]]/(Tableau1[[#This Row],[Diff jour
Instantané]]*24)</f>
        <v>0.56187290970249693</v>
      </c>
      <c r="AC310" s="80">
        <f>IF(ISERROR(Tableau1[[#This Row],[Date]]-A309),"",Tableau1[[#This Row],[Conso HP + HC
Instantané]]/Tableau1[[#This Row],[Diff jour
Instantané]])</f>
        <v>13.484949832859925</v>
      </c>
      <c r="AD310" s="80">
        <f>Tableau1[[#This Row],[Conso HP + HC / jour_x000D_
Instantané]]*365</f>
        <v>4922.0066889938726</v>
      </c>
      <c r="AE310" s="79">
        <f>Tableau1[[#This Row],[Différence HP
Cumul]]+Tableau1[[#This Row],[Différence HC
Cumul]]</f>
        <v>19159</v>
      </c>
      <c r="AF310" s="77">
        <f>(Tableau1[[#This Row],[Conso HP + HC
Cumul]]-AE$6)/Tableau1[[#This Row],[Diff jour_x000D_
Cumul
depuis le 24/01]]</f>
        <v>33.473542600896913</v>
      </c>
      <c r="AG310" s="77">
        <f>(Tableau1[[#This Row],[Conso HP + HC
Cumul]]-AE$59)/Tableau1[[#This Row],[Diff jour_x000D_
Cumul
depuis
précédente facture
16/02/2021]]</f>
        <v>31.672000610712526</v>
      </c>
      <c r="AH310" s="80">
        <f>Tableau1[[#This Row],[Conso HP + HC
Cumul]]/(Tableau1[[#This Row],[Diff jour_x000D_
Cumul]]*24)</f>
        <v>1.4959398261412891</v>
      </c>
      <c r="AI310" s="80">
        <f>Tableau1[[#This Row],[Conso HP + HC
Cumul]]/Tableau1[[#This Row],[Diff jour_x000D_
Cumul]]</f>
        <v>35.902555827390941</v>
      </c>
      <c r="AJ310" s="80">
        <f>Tableau1[[#This Row],[Conso HP + HC / jour_x000D_
Cumul]]*365</f>
        <v>13104.432876997693</v>
      </c>
      <c r="AK310" s="83">
        <f>(Tableau1[[#This Row],[Différence HP
Cumul]]*0.1799)+(Tableau1[[#This Row],[Différence HC
Cumul]]*0.1346)</f>
        <v>3185.8667</v>
      </c>
      <c r="AL310" s="83">
        <f>Tableau1[[#This Row],[Montant
Tarif HP/HC]]/Tableau1[[#This Row],[Diff jour_x000D_
Cumul]]</f>
        <v>5.9700797043361211</v>
      </c>
      <c r="AM310" s="83">
        <f>(Tableau1[[#This Row],[Montant
Tarif HP/HC]]-AK$6)/Tableau1[[#This Row],[Diff jour_x000D_
Cumul
depuis le 24/01]]</f>
        <v>5.5724147757847629</v>
      </c>
      <c r="AN310" s="83">
        <f>(Tableau1[[#This Row],[Montant
Tarif HP/HC]]-AK$59)/Tableau1[[#This Row],[Diff jour_x000D_
Cumul
depuis
précédente facture
16/02/2021]]</f>
        <v>5.2721203337777318</v>
      </c>
      <c r="AO310" s="83">
        <f>Tableau1[[#This Row],[Conso HP + HC
Cumul]]*0.1599</f>
        <v>3063.5240999999996</v>
      </c>
      <c r="AP310" s="83">
        <f>Tableau1[[#This Row],[Montant
Tarif normal]]/Tableau1[[#This Row],[Diff jour_x000D_
Cumul]]</f>
        <v>5.7408186767998099</v>
      </c>
      <c r="AQ310" s="83">
        <f>(Tableau1[[#This Row],[Conso HP / an
Cumul]]*0.1799)+(Tableau1[[#This Row],[Conso HC / an_x000D_
Cumul]]*0.1346)</f>
        <v>2179.0790920826844</v>
      </c>
      <c r="AR310" s="83">
        <f>Tableau1[[#This Row],[Conso HP + HC / an_x000D_
Cumul]]*0.1599</f>
        <v>2095.3988170319308</v>
      </c>
      <c r="AS310" s="79">
        <f>MONTH(Tableau1[[#This Row],[Date]])</f>
        <v>6</v>
      </c>
      <c r="AT310" s="79">
        <f>YEAR(Tableau1[[#This Row],[Date]])</f>
        <v>2022</v>
      </c>
    </row>
    <row r="311" spans="1:46" x14ac:dyDescent="0.2">
      <c r="A311" s="74">
        <v>44717.347222222219</v>
      </c>
      <c r="B311" s="75"/>
      <c r="C311" s="76">
        <f>IF(ISERROR(Tableau1[[#This Row],[Date]]-A310),"",Tableau1[[#This Row],[Date]]-A310)</f>
        <v>1</v>
      </c>
      <c r="D311" s="77">
        <f>IF(ISERROR(Tableau1[[#This Row],[Date]]-A310),"",Tableau1[[#This Row],[Date]]-A310)</f>
        <v>1</v>
      </c>
      <c r="E311" s="76">
        <f>Tableau1[[#This Row],[Date]]-$A$5</f>
        <v>534.63888888888323</v>
      </c>
      <c r="F311" s="77">
        <f>Tableau1[[#This Row],[Date]]-$A$5</f>
        <v>534.63888888888323</v>
      </c>
      <c r="G311" s="77">
        <f>Tableau1[[#This Row],[Diff jour_x000D_
Cumul]]-F$6</f>
        <v>496.55555555555475</v>
      </c>
      <c r="H311" s="77">
        <f>Tableau1[[#This Row],[Diff jour_x000D_
Cumul]]-F$59</f>
        <v>474.03611111110513</v>
      </c>
      <c r="I311" s="78">
        <v>193170</v>
      </c>
      <c r="J311" s="79">
        <f>IF(ISERROR(Tableau1[[#This Row],[Index HP
kWh]]-I310),"",Tableau1[[#This Row],[Index HP
kWh]]-I310)</f>
        <v>10</v>
      </c>
      <c r="K311" s="77">
        <f>IF(ISERROR(Tableau1[[#This Row],[Différence HP
Instantané]]/(Tableau1[[#This Row],[Diff jour
Instantané]]*24)),"",Tableau1[[#This Row],[Différence HP
Instantané]]/(Tableau1[[#This Row],[Diff jour
Instantané]]*24))</f>
        <v>0.41666666666666669</v>
      </c>
      <c r="L311" s="77">
        <f>Tableau1[[#This Row],[Différence HP
Instantané]]/Tableau1[[#This Row],[Diff jour
Instantané]]</f>
        <v>10</v>
      </c>
      <c r="M311" s="77">
        <f>Tableau1[[#This Row],[Conso HP / jour
Instantané]]*365</f>
        <v>3650</v>
      </c>
      <c r="N311" s="79">
        <f>Tableau1[[#This Row],[Index HP
kWh]]-$I$5</f>
        <v>13411</v>
      </c>
      <c r="O311" s="80">
        <f>Tableau1[[#This Row],[Différence HP
Cumul]]/(Tableau1[[#This Row],[Diff jour_x000D_
Cumul]]*24)</f>
        <v>1.0451758715644106</v>
      </c>
      <c r="P311" s="80">
        <f>Tableau1[[#This Row],[Différence HP
Cumul]]/Tableau1[[#This Row],[Diff jour_x000D_
Cumul]]</f>
        <v>25.084220917545856</v>
      </c>
      <c r="Q311" s="80">
        <f>Tableau1[[#This Row],[Conso HP / jour
Cumul]]*365</f>
        <v>9155.7406349042376</v>
      </c>
      <c r="R311" s="78">
        <v>125195</v>
      </c>
      <c r="S311" s="79">
        <f>Tableau1[[#This Row],[Index HC_x000D_
kWh]]-R310</f>
        <v>5</v>
      </c>
      <c r="T311" s="81">
        <f>Tableau1[[#This Row],[Différence_x000D_ HC
Instantané]]/(Tableau1[[#This Row],[Diff jour
Instantané]]*24)</f>
        <v>0.20833333333333334</v>
      </c>
      <c r="U311" s="81">
        <f>Tableau1[[#This Row],[Différence_x000D_ HC
Instantané]]/Tableau1[[#This Row],[Diff jour
Instantané]]</f>
        <v>5</v>
      </c>
      <c r="V311" s="81">
        <f>Tableau1[[#This Row],[Conso HC / jour_x000D_
Instantané]]*365</f>
        <v>1825</v>
      </c>
      <c r="W311" s="79">
        <f>Tableau1[[#This Row],[Index HC_x000D_
kWh]]-$R$5</f>
        <v>5763</v>
      </c>
      <c r="X311" s="82">
        <f>Tableau1[[#This Row],[Différence HC
Cumul]]/(Tableau1[[#This Row],[Diff jour_x000D_
Cumul]]*24)</f>
        <v>0.44913493011898431</v>
      </c>
      <c r="Y311" s="82">
        <f>Tableau1[[#This Row],[Différence HC
Cumul]]/Tableau1[[#This Row],[Diff jour_x000D_
Cumul]]</f>
        <v>10.779238322855624</v>
      </c>
      <c r="Z311" s="82">
        <f>Tableau1[[#This Row],[Conso HC / jour_x000D_
Cumul]]*365</f>
        <v>3934.4219878423028</v>
      </c>
      <c r="AA311" s="79">
        <f>Tableau1[[#This Row],[Différence HP
Instantané]]+Tableau1[[#This Row],[Différence_x000D_ HC
Instantané]]</f>
        <v>15</v>
      </c>
      <c r="AB311" s="80">
        <f>Tableau1[[#This Row],[Conso HP + HC
Instantané]]/(Tableau1[[#This Row],[Diff jour
Instantané]]*24)</f>
        <v>0.625</v>
      </c>
      <c r="AC311" s="80">
        <f>IF(ISERROR(Tableau1[[#This Row],[Date]]-A310),"",Tableau1[[#This Row],[Conso HP + HC
Instantané]]/Tableau1[[#This Row],[Diff jour
Instantané]])</f>
        <v>15</v>
      </c>
      <c r="AD311" s="80">
        <f>Tableau1[[#This Row],[Conso HP + HC / jour_x000D_
Instantané]]*365</f>
        <v>5475</v>
      </c>
      <c r="AE311" s="79">
        <f>Tableau1[[#This Row],[Différence HP
Cumul]]+Tableau1[[#This Row],[Différence HC
Cumul]]</f>
        <v>19174</v>
      </c>
      <c r="AF311" s="77">
        <f>(Tableau1[[#This Row],[Conso HP + HC
Cumul]]-AE$6)/Tableau1[[#This Row],[Diff jour_x000D_
Cumul
depuis le 24/01]]</f>
        <v>33.436339225777637</v>
      </c>
      <c r="AG311" s="77">
        <f>(Tableau1[[#This Row],[Conso HP + HC
Cumul]]-AE$59)/Tableau1[[#This Row],[Diff jour_x000D_
Cumul
depuis
précédente facture
16/02/2021]]</f>
        <v>31.636830293051212</v>
      </c>
      <c r="AH311" s="80">
        <f>Tableau1[[#This Row],[Conso HP + HC
Cumul]]/(Tableau1[[#This Row],[Diff jour_x000D_
Cumul]]*24)</f>
        <v>1.494310801683395</v>
      </c>
      <c r="AI311" s="80">
        <f>Tableau1[[#This Row],[Conso HP + HC
Cumul]]/Tableau1[[#This Row],[Diff jour_x000D_
Cumul]]</f>
        <v>35.863459240401482</v>
      </c>
      <c r="AJ311" s="80">
        <f>Tableau1[[#This Row],[Conso HP + HC / jour_x000D_
Cumul]]*365</f>
        <v>13090.16262274654</v>
      </c>
      <c r="AK311" s="83">
        <f>(Tableau1[[#This Row],[Différence HP
Cumul]]*0.1799)+(Tableau1[[#This Row],[Différence HC
Cumul]]*0.1346)</f>
        <v>3188.3386999999998</v>
      </c>
      <c r="AL311" s="83">
        <f>Tableau1[[#This Row],[Montant
Tarif HP/HC]]/Tableau1[[#This Row],[Diff jour_x000D_
Cumul]]</f>
        <v>5.9635368213228661</v>
      </c>
      <c r="AM311" s="83">
        <f>(Tableau1[[#This Row],[Montant
Tarif HP/HC]]-AK$6)/Tableau1[[#This Row],[Diff jour_x000D_
Cumul
depuis le 24/01]]</f>
        <v>5.5661709330946607</v>
      </c>
      <c r="AN311" s="83">
        <f>(Tableau1[[#This Row],[Montant
Tarif HP/HC]]-AK$59)/Tableau1[[#This Row],[Diff jour_x000D_
Cumul
depuis
précédente facture
16/02/2021]]</f>
        <v>5.2662133569290388</v>
      </c>
      <c r="AO311" s="83">
        <f>Tableau1[[#This Row],[Conso HP + HC
Cumul]]*0.1599</f>
        <v>3065.9225999999999</v>
      </c>
      <c r="AP311" s="83">
        <f>Tableau1[[#This Row],[Montant
Tarif normal]]/Tableau1[[#This Row],[Diff jour_x000D_
Cumul]]</f>
        <v>5.7345671325401968</v>
      </c>
      <c r="AQ311" s="83">
        <f>(Tableau1[[#This Row],[Conso HP / an
Cumul]]*0.1799)+(Tableau1[[#This Row],[Conso HC / an_x000D_
Cumul]]*0.1346)</f>
        <v>2176.6909397828463</v>
      </c>
      <c r="AR311" s="83">
        <f>Tableau1[[#This Row],[Conso HP + HC / an_x000D_
Cumul]]*0.1599</f>
        <v>2093.1170033771718</v>
      </c>
      <c r="AS311" s="79">
        <f>MONTH(Tableau1[[#This Row],[Date]])</f>
        <v>6</v>
      </c>
      <c r="AT311" s="79">
        <f>YEAR(Tableau1[[#This Row],[Date]])</f>
        <v>2022</v>
      </c>
    </row>
    <row r="312" spans="1:46" x14ac:dyDescent="0.2">
      <c r="A312" s="74">
        <v>44719.318055555559</v>
      </c>
      <c r="B312" s="75"/>
      <c r="C312" s="76">
        <f>IF(ISERROR(Tableau1[[#This Row],[Date]]-A311),"",Tableau1[[#This Row],[Date]]-A311)</f>
        <v>1.9708333333401242</v>
      </c>
      <c r="D312" s="77">
        <f>IF(ISERROR(Tableau1[[#This Row],[Date]]-A311),"",Tableau1[[#This Row],[Date]]-A311)</f>
        <v>1.9708333333401242</v>
      </c>
      <c r="E312" s="76">
        <f>Tableau1[[#This Row],[Date]]-$A$5</f>
        <v>536.60972222222335</v>
      </c>
      <c r="F312" s="77">
        <f>Tableau1[[#This Row],[Date]]-$A$5</f>
        <v>536.60972222222335</v>
      </c>
      <c r="G312" s="77">
        <f>Tableau1[[#This Row],[Diff jour_x000D_
Cumul]]-F$6</f>
        <v>498.52638888889487</v>
      </c>
      <c r="H312" s="77">
        <f>Tableau1[[#This Row],[Diff jour_x000D_
Cumul]]-F$59</f>
        <v>476.00694444444525</v>
      </c>
      <c r="I312" s="78">
        <v>193180</v>
      </c>
      <c r="J312" s="79">
        <f>IF(ISERROR(Tableau1[[#This Row],[Index HP
kWh]]-I311),"",Tableau1[[#This Row],[Index HP
kWh]]-I311)</f>
        <v>10</v>
      </c>
      <c r="K312" s="77">
        <f>IF(ISERROR(Tableau1[[#This Row],[Différence HP
Instantané]]/(Tableau1[[#This Row],[Diff jour
Instantané]]*24)),"",Tableau1[[#This Row],[Différence HP
Instantané]]/(Tableau1[[#This Row],[Diff jour
Instantané]]*24))</f>
        <v>0.21141649048552946</v>
      </c>
      <c r="L312" s="77">
        <f>Tableau1[[#This Row],[Différence HP
Instantané]]/Tableau1[[#This Row],[Diff jour
Instantané]]</f>
        <v>5.0739957716527071</v>
      </c>
      <c r="M312" s="77">
        <f>Tableau1[[#This Row],[Conso HP / jour
Instantané]]*365</f>
        <v>1852.008456653238</v>
      </c>
      <c r="N312" s="79">
        <f>Tableau1[[#This Row],[Index HP
kWh]]-$I$5</f>
        <v>13421</v>
      </c>
      <c r="O312" s="80">
        <f>Tableau1[[#This Row],[Différence HP
Cumul]]/(Tableau1[[#This Row],[Diff jour_x000D_
Cumul]]*24)</f>
        <v>1.042113681834768</v>
      </c>
      <c r="P312" s="80">
        <f>Tableau1[[#This Row],[Différence HP
Cumul]]/Tableau1[[#This Row],[Diff jour_x000D_
Cumul]]</f>
        <v>25.010728364034435</v>
      </c>
      <c r="Q312" s="80">
        <f>Tableau1[[#This Row],[Conso HP / jour
Cumul]]*365</f>
        <v>9128.9158528725693</v>
      </c>
      <c r="R312" s="78">
        <v>125201</v>
      </c>
      <c r="S312" s="79">
        <f>Tableau1[[#This Row],[Index HC_x000D_
kWh]]-R311</f>
        <v>6</v>
      </c>
      <c r="T312" s="81">
        <f>Tableau1[[#This Row],[Différence_x000D_ HC
Instantané]]/(Tableau1[[#This Row],[Diff jour
Instantané]]*24)</f>
        <v>0.12684989429131768</v>
      </c>
      <c r="U312" s="81">
        <f>Tableau1[[#This Row],[Différence_x000D_ HC
Instantané]]/Tableau1[[#This Row],[Diff jour
Instantané]]</f>
        <v>3.0443974629916242</v>
      </c>
      <c r="V312" s="81">
        <f>Tableau1[[#This Row],[Conso HC / jour_x000D_
Instantané]]*365</f>
        <v>1111.2050739919428</v>
      </c>
      <c r="W312" s="79">
        <f>Tableau1[[#This Row],[Index HC_x000D_
kWh]]-$R$5</f>
        <v>5769</v>
      </c>
      <c r="X312" s="82">
        <f>Tableau1[[#This Row],[Différence HC
Cumul]]/(Tableau1[[#This Row],[Diff jour_x000D_
Cumul]]*24)</f>
        <v>0.44795125776803346</v>
      </c>
      <c r="Y312" s="82">
        <f>Tableau1[[#This Row],[Différence HC
Cumul]]/Tableau1[[#This Row],[Diff jour_x000D_
Cumul]]</f>
        <v>10.750830186432802</v>
      </c>
      <c r="Z312" s="82">
        <f>Tableau1[[#This Row],[Conso HC / jour_x000D_
Cumul]]*365</f>
        <v>3924.0530180479727</v>
      </c>
      <c r="AA312" s="79">
        <f>Tableau1[[#This Row],[Différence HP
Instantané]]+Tableau1[[#This Row],[Différence_x000D_ HC
Instantané]]</f>
        <v>16</v>
      </c>
      <c r="AB312" s="80">
        <f>Tableau1[[#This Row],[Conso HP + HC
Instantané]]/(Tableau1[[#This Row],[Diff jour
Instantané]]*24)</f>
        <v>0.33826638477684712</v>
      </c>
      <c r="AC312" s="80">
        <f>IF(ISERROR(Tableau1[[#This Row],[Date]]-A311),"",Tableau1[[#This Row],[Conso HP + HC
Instantané]]/Tableau1[[#This Row],[Diff jour
Instantané]])</f>
        <v>8.1183932346443317</v>
      </c>
      <c r="AD312" s="80">
        <f>Tableau1[[#This Row],[Conso HP + HC / jour_x000D_
Instantané]]*365</f>
        <v>2963.213530645181</v>
      </c>
      <c r="AE312" s="79">
        <f>Tableau1[[#This Row],[Différence HP
Cumul]]+Tableau1[[#This Row],[Différence HC
Cumul]]</f>
        <v>19190</v>
      </c>
      <c r="AF312" s="77">
        <f>(Tableau1[[#This Row],[Conso HP + HC
Cumul]]-AE$6)/Tableau1[[#This Row],[Diff jour_x000D_
Cumul
depuis le 24/01]]</f>
        <v>33.336249334844794</v>
      </c>
      <c r="AG312" s="77">
        <f>(Tableau1[[#This Row],[Conso HP + HC
Cumul]]-AE$59)/Tableau1[[#This Row],[Diff jour_x000D_
Cumul
depuis
précédente facture
16/02/2021]]</f>
        <v>31.539455831935172</v>
      </c>
      <c r="AH312" s="80">
        <f>Tableau1[[#This Row],[Conso HP + HC
Cumul]]/(Tableau1[[#This Row],[Diff jour_x000D_
Cumul]]*24)</f>
        <v>1.4900649396028014</v>
      </c>
      <c r="AI312" s="80">
        <f>Tableau1[[#This Row],[Conso HP + HC
Cumul]]/Tableau1[[#This Row],[Diff jour_x000D_
Cumul]]</f>
        <v>35.761558550467235</v>
      </c>
      <c r="AJ312" s="80">
        <f>Tableau1[[#This Row],[Conso HP + HC / jour_x000D_
Cumul]]*365</f>
        <v>13052.96887092054</v>
      </c>
      <c r="AK312" s="83">
        <f>(Tableau1[[#This Row],[Différence HP
Cumul]]*0.1799)+(Tableau1[[#This Row],[Différence HC
Cumul]]*0.1346)</f>
        <v>3190.9452999999999</v>
      </c>
      <c r="AL312" s="83">
        <f>Tableau1[[#This Row],[Montant
Tarif HP/HC]]/Tableau1[[#This Row],[Diff jour_x000D_
Cumul]]</f>
        <v>5.9464917757836497</v>
      </c>
      <c r="AM312" s="83">
        <f>(Tableau1[[#This Row],[Montant
Tarif HP/HC]]-AK$6)/Tableau1[[#This Row],[Diff jour_x000D_
Cumul
depuis le 24/01]]</f>
        <v>5.5493946993778218</v>
      </c>
      <c r="AN312" s="83">
        <f>(Tableau1[[#This Row],[Montant
Tarif HP/HC]]-AK$59)/Tableau1[[#This Row],[Diff jour_x000D_
Cumul
depuis
précédente facture
16/02/2021]]</f>
        <v>5.2498853833248136</v>
      </c>
      <c r="AO312" s="83">
        <f>Tableau1[[#This Row],[Conso HP + HC
Cumul]]*0.1599</f>
        <v>3068.4809999999998</v>
      </c>
      <c r="AP312" s="83">
        <f>Tableau1[[#This Row],[Montant
Tarif normal]]/Tableau1[[#This Row],[Diff jour_x000D_
Cumul]]</f>
        <v>5.7182732122197102</v>
      </c>
      <c r="AQ312" s="83">
        <f>(Tableau1[[#This Row],[Conso HP / an
Cumul]]*0.1799)+(Tableau1[[#This Row],[Conso HC / an_x000D_
Cumul]]*0.1346)</f>
        <v>2170.4694981610323</v>
      </c>
      <c r="AR312" s="83">
        <f>Tableau1[[#This Row],[Conso HP + HC / an_x000D_
Cumul]]*0.1599</f>
        <v>2087.1697224601944</v>
      </c>
      <c r="AS312" s="79">
        <f>MONTH(Tableau1[[#This Row],[Date]])</f>
        <v>6</v>
      </c>
      <c r="AT312" s="79">
        <f>YEAR(Tableau1[[#This Row],[Date]])</f>
        <v>2022</v>
      </c>
    </row>
    <row r="313" spans="1:46" x14ac:dyDescent="0.2">
      <c r="A313" s="74">
        <v>44720.364583333336</v>
      </c>
      <c r="B313" s="75"/>
      <c r="C313" s="76">
        <f>IF(ISERROR(Tableau1[[#This Row],[Date]]-A312),"",Tableau1[[#This Row],[Date]]-A312)</f>
        <v>1.046527777776646</v>
      </c>
      <c r="D313" s="77">
        <f>IF(ISERROR(Tableau1[[#This Row],[Date]]-A312),"",Tableau1[[#This Row],[Date]]-A312)</f>
        <v>1.046527777776646</v>
      </c>
      <c r="E313" s="76">
        <f>Tableau1[[#This Row],[Date]]-$A$5</f>
        <v>537.65625</v>
      </c>
      <c r="F313" s="77">
        <f>Tableau1[[#This Row],[Date]]-$A$5</f>
        <v>537.65625</v>
      </c>
      <c r="G313" s="77">
        <f>Tableau1[[#This Row],[Diff jour_x000D_
Cumul]]-F$6</f>
        <v>499.57291666667152</v>
      </c>
      <c r="H313" s="77">
        <f>Tableau1[[#This Row],[Diff jour_x000D_
Cumul]]-F$59</f>
        <v>477.0534722222219</v>
      </c>
      <c r="I313" s="78">
        <v>193188</v>
      </c>
      <c r="J313" s="79">
        <f>IF(ISERROR(Tableau1[[#This Row],[Index HP
kWh]]-I312),"",Tableau1[[#This Row],[Index HP
kWh]]-I312)</f>
        <v>8</v>
      </c>
      <c r="K313" s="77">
        <f>IF(ISERROR(Tableau1[[#This Row],[Différence HP
Instantané]]/(Tableau1[[#This Row],[Diff jour
Instantané]]*24)),"",Tableau1[[#This Row],[Différence HP
Instantané]]/(Tableau1[[#This Row],[Diff jour
Instantané]]*24))</f>
        <v>0.3185136031854805</v>
      </c>
      <c r="L313" s="77">
        <f>Tableau1[[#This Row],[Différence HP
Instantané]]/Tableau1[[#This Row],[Diff jour
Instantané]]</f>
        <v>7.644326476451532</v>
      </c>
      <c r="M313" s="77">
        <f>Tableau1[[#This Row],[Conso HP / jour
Instantané]]*365</f>
        <v>2790.1791639048092</v>
      </c>
      <c r="N313" s="79">
        <f>Tableau1[[#This Row],[Index HP
kWh]]-$I$5</f>
        <v>13429</v>
      </c>
      <c r="O313" s="80">
        <f>Tableau1[[#This Row],[Différence HP
Cumul]]/(Tableau1[[#This Row],[Diff jour_x000D_
Cumul]]*24)</f>
        <v>1.0407052213503827</v>
      </c>
      <c r="P313" s="80">
        <f>Tableau1[[#This Row],[Différence HP
Cumul]]/Tableau1[[#This Row],[Diff jour_x000D_
Cumul]]</f>
        <v>24.976925312409183</v>
      </c>
      <c r="Q313" s="80">
        <f>Tableau1[[#This Row],[Conso HP / jour
Cumul]]*365</f>
        <v>9116.5777390293515</v>
      </c>
      <c r="R313" s="78">
        <v>125205</v>
      </c>
      <c r="S313" s="79">
        <f>Tableau1[[#This Row],[Index HC_x000D_
kWh]]-R312</f>
        <v>4</v>
      </c>
      <c r="T313" s="81">
        <f>Tableau1[[#This Row],[Différence_x000D_ HC
Instantané]]/(Tableau1[[#This Row],[Diff jour
Instantané]]*24)</f>
        <v>0.15925680159274025</v>
      </c>
      <c r="U313" s="81">
        <f>Tableau1[[#This Row],[Différence_x000D_ HC
Instantané]]/Tableau1[[#This Row],[Diff jour
Instantané]]</f>
        <v>3.822163238225766</v>
      </c>
      <c r="V313" s="81">
        <f>Tableau1[[#This Row],[Conso HC / jour_x000D_
Instantané]]*365</f>
        <v>1395.0895819524046</v>
      </c>
      <c r="W313" s="79">
        <f>Tableau1[[#This Row],[Index HC_x000D_
kWh]]-$R$5</f>
        <v>5773</v>
      </c>
      <c r="X313" s="82">
        <f>Tableau1[[#This Row],[Différence HC
Cumul]]/(Tableau1[[#This Row],[Diff jour_x000D_
Cumul]]*24)</f>
        <v>0.44738932480867966</v>
      </c>
      <c r="Y313" s="82">
        <f>Tableau1[[#This Row],[Différence HC
Cumul]]/Tableau1[[#This Row],[Diff jour_x000D_
Cumul]]</f>
        <v>10.737343795408311</v>
      </c>
      <c r="Z313" s="82">
        <f>Tableau1[[#This Row],[Conso HC / jour_x000D_
Cumul]]*365</f>
        <v>3919.1304853240335</v>
      </c>
      <c r="AA313" s="79">
        <f>Tableau1[[#This Row],[Différence HP
Instantané]]+Tableau1[[#This Row],[Différence_x000D_ HC
Instantané]]</f>
        <v>12</v>
      </c>
      <c r="AB313" s="80">
        <f>Tableau1[[#This Row],[Conso HP + HC
Instantané]]/(Tableau1[[#This Row],[Diff jour
Instantané]]*24)</f>
        <v>0.47777040477822075</v>
      </c>
      <c r="AC313" s="80">
        <f>IF(ISERROR(Tableau1[[#This Row],[Date]]-A312),"",Tableau1[[#This Row],[Conso HP + HC
Instantané]]/Tableau1[[#This Row],[Diff jour
Instantané]])</f>
        <v>11.466489714677298</v>
      </c>
      <c r="AD313" s="80">
        <f>Tableau1[[#This Row],[Conso HP + HC / jour_x000D_
Instantané]]*365</f>
        <v>4185.2687458572136</v>
      </c>
      <c r="AE313" s="79">
        <f>Tableau1[[#This Row],[Différence HP
Cumul]]+Tableau1[[#This Row],[Différence HC
Cumul]]</f>
        <v>19202</v>
      </c>
      <c r="AF313" s="77">
        <f>(Tableau1[[#This Row],[Conso HP + HC
Cumul]]-AE$6)/Tableau1[[#This Row],[Diff jour_x000D_
Cumul
depuis le 24/01]]</f>
        <v>33.290435580391261</v>
      </c>
      <c r="AG313" s="77">
        <f>(Tableau1[[#This Row],[Conso HP + HC
Cumul]]-AE$59)/Tableau1[[#This Row],[Diff jour_x000D_
Cumul
depuis
précédente facture
16/02/2021]]</f>
        <v>31.495421110782793</v>
      </c>
      <c r="AH313" s="80">
        <f>Tableau1[[#This Row],[Conso HP + HC
Cumul]]/(Tableau1[[#This Row],[Diff jour_x000D_
Cumul]]*24)</f>
        <v>1.4880945461590622</v>
      </c>
      <c r="AI313" s="80">
        <f>Tableau1[[#This Row],[Conso HP + HC
Cumul]]/Tableau1[[#This Row],[Diff jour_x000D_
Cumul]]</f>
        <v>35.714269107817493</v>
      </c>
      <c r="AJ313" s="80">
        <f>Tableau1[[#This Row],[Conso HP + HC / jour_x000D_
Cumul]]*365</f>
        <v>13035.708224353386</v>
      </c>
      <c r="AK313" s="83">
        <f>(Tableau1[[#This Row],[Différence HP
Cumul]]*0.1799)+(Tableau1[[#This Row],[Différence HC
Cumul]]*0.1346)</f>
        <v>3192.9229</v>
      </c>
      <c r="AL313" s="83">
        <f>Tableau1[[#This Row],[Montant
Tarif HP/HC]]/Tableau1[[#This Row],[Diff jour_x000D_
Cumul]]</f>
        <v>5.9385953385643706</v>
      </c>
      <c r="AM313" s="83">
        <f>(Tableau1[[#This Row],[Montant
Tarif HP/HC]]-AK$6)/Tableau1[[#This Row],[Diff jour_x000D_
Cumul
depuis le 24/01]]</f>
        <v>5.5417281594694927</v>
      </c>
      <c r="AN313" s="83">
        <f>(Tableau1[[#This Row],[Montant
Tarif HP/HC]]-AK$59)/Tableau1[[#This Row],[Diff jour_x000D_
Cumul
depuis
précédente facture
16/02/2021]]</f>
        <v>5.2425139855915326</v>
      </c>
      <c r="AO313" s="83">
        <f>Tableau1[[#This Row],[Conso HP + HC
Cumul]]*0.1599</f>
        <v>3070.3997999999997</v>
      </c>
      <c r="AP313" s="83">
        <f>Tableau1[[#This Row],[Montant
Tarif normal]]/Tableau1[[#This Row],[Diff jour_x000D_
Cumul]]</f>
        <v>5.7107116303400165</v>
      </c>
      <c r="AQ313" s="83">
        <f>(Tableau1[[#This Row],[Conso HP / an
Cumul]]*0.1799)+(Tableau1[[#This Row],[Conso HC / an_x000D_
Cumul]]*0.1346)</f>
        <v>2167.5872985759952</v>
      </c>
      <c r="AR313" s="83">
        <f>Tableau1[[#This Row],[Conso HP + HC / an_x000D_
Cumul]]*0.1599</f>
        <v>2084.409745074106</v>
      </c>
      <c r="AS313" s="79">
        <f>MONTH(Tableau1[[#This Row],[Date]])</f>
        <v>6</v>
      </c>
      <c r="AT313" s="79">
        <f>YEAR(Tableau1[[#This Row],[Date]])</f>
        <v>2022</v>
      </c>
    </row>
    <row r="314" spans="1:46" x14ac:dyDescent="0.2">
      <c r="A314" s="74">
        <v>44721.319444444445</v>
      </c>
      <c r="B314" s="75"/>
      <c r="C314" s="76">
        <f>IF(ISERROR(Tableau1[[#This Row],[Date]]-A313),"",Tableau1[[#This Row],[Date]]-A313)</f>
        <v>0.95486111110949423</v>
      </c>
      <c r="D314" s="77">
        <f>IF(ISERROR(Tableau1[[#This Row],[Date]]-A313),"",Tableau1[[#This Row],[Date]]-A313)</f>
        <v>0.95486111110949423</v>
      </c>
      <c r="E314" s="76">
        <f>Tableau1[[#This Row],[Date]]-$A$5</f>
        <v>538.61111111110949</v>
      </c>
      <c r="F314" s="77">
        <f>Tableau1[[#This Row],[Date]]-$A$5</f>
        <v>538.61111111110949</v>
      </c>
      <c r="G314" s="77">
        <f>Tableau1[[#This Row],[Diff jour_x000D_
Cumul]]-F$6</f>
        <v>500.52777777778101</v>
      </c>
      <c r="H314" s="77">
        <f>Tableau1[[#This Row],[Diff jour_x000D_
Cumul]]-F$59</f>
        <v>478.00833333333139</v>
      </c>
      <c r="I314" s="78">
        <v>193197</v>
      </c>
      <c r="J314" s="79">
        <f>IF(ISERROR(Tableau1[[#This Row],[Index HP
kWh]]-I313),"",Tableau1[[#This Row],[Index HP
kWh]]-I313)</f>
        <v>9</v>
      </c>
      <c r="K314" s="77">
        <f>IF(ISERROR(Tableau1[[#This Row],[Différence HP
Instantané]]/(Tableau1[[#This Row],[Diff jour
Instantané]]*24)),"",Tableau1[[#This Row],[Différence HP
Instantané]]/(Tableau1[[#This Row],[Diff jour
Instantané]]*24))</f>
        <v>0.39272727272793773</v>
      </c>
      <c r="L314" s="77">
        <f>Tableau1[[#This Row],[Différence HP
Instantané]]/Tableau1[[#This Row],[Diff jour
Instantané]]</f>
        <v>9.4254545454705063</v>
      </c>
      <c r="M314" s="77">
        <f>Tableau1[[#This Row],[Conso HP / jour
Instantané]]*365</f>
        <v>3440.2909090967346</v>
      </c>
      <c r="N314" s="79">
        <f>Tableau1[[#This Row],[Index HP
kWh]]-$I$5</f>
        <v>13438</v>
      </c>
      <c r="O314" s="80">
        <f>Tableau1[[#This Row],[Différence HP
Cumul]]/(Tableau1[[#This Row],[Diff jour_x000D_
Cumul]]*24)</f>
        <v>1.0395564724084612</v>
      </c>
      <c r="P314" s="80">
        <f>Tableau1[[#This Row],[Différence HP
Cumul]]/Tableau1[[#This Row],[Diff jour_x000D_
Cumul]]</f>
        <v>24.949355337803066</v>
      </c>
      <c r="Q314" s="80">
        <f>Tableau1[[#This Row],[Conso HP / jour
Cumul]]*365</f>
        <v>9106.5146982981187</v>
      </c>
      <c r="R314" s="78">
        <v>125208</v>
      </c>
      <c r="S314" s="79">
        <f>Tableau1[[#This Row],[Index HC_x000D_
kWh]]-R313</f>
        <v>3</v>
      </c>
      <c r="T314" s="81">
        <f>Tableau1[[#This Row],[Différence_x000D_ HC
Instantané]]/(Tableau1[[#This Row],[Diff jour
Instantané]]*24)</f>
        <v>0.13090909090931258</v>
      </c>
      <c r="U314" s="81">
        <f>Tableau1[[#This Row],[Différence_x000D_ HC
Instantané]]/Tableau1[[#This Row],[Diff jour
Instantané]]</f>
        <v>3.1418181818235018</v>
      </c>
      <c r="V314" s="81">
        <f>Tableau1[[#This Row],[Conso HC / jour_x000D_
Instantané]]*365</f>
        <v>1146.7636363655781</v>
      </c>
      <c r="W314" s="79">
        <f>Tableau1[[#This Row],[Index HC_x000D_
kWh]]-$R$5</f>
        <v>5776</v>
      </c>
      <c r="X314" s="82">
        <f>Tableau1[[#This Row],[Différence HC
Cumul]]/(Tableau1[[#This Row],[Diff jour_x000D_
Cumul]]*24)</f>
        <v>0.44682826199071818</v>
      </c>
      <c r="Y314" s="82">
        <f>Tableau1[[#This Row],[Différence HC
Cumul]]/Tableau1[[#This Row],[Diff jour_x000D_
Cumul]]</f>
        <v>10.723878287777238</v>
      </c>
      <c r="Z314" s="82">
        <f>Tableau1[[#This Row],[Conso HC / jour_x000D_
Cumul]]*365</f>
        <v>3914.2155750386919</v>
      </c>
      <c r="AA314" s="79">
        <f>Tableau1[[#This Row],[Différence HP
Instantané]]+Tableau1[[#This Row],[Différence_x000D_ HC
Instantané]]</f>
        <v>12</v>
      </c>
      <c r="AB314" s="80">
        <f>Tableau1[[#This Row],[Conso HP + HC
Instantané]]/(Tableau1[[#This Row],[Diff jour
Instantané]]*24)</f>
        <v>0.5236363636372503</v>
      </c>
      <c r="AC314" s="80">
        <f>IF(ISERROR(Tableau1[[#This Row],[Date]]-A313),"",Tableau1[[#This Row],[Conso HP + HC
Instantané]]/Tableau1[[#This Row],[Diff jour
Instantané]])</f>
        <v>12.567272727294007</v>
      </c>
      <c r="AD314" s="80">
        <f>Tableau1[[#This Row],[Conso HP + HC / jour_x000D_
Instantané]]*365</f>
        <v>4587.0545454623125</v>
      </c>
      <c r="AE314" s="79">
        <f>Tableau1[[#This Row],[Différence HP
Cumul]]+Tableau1[[#This Row],[Différence HC
Cumul]]</f>
        <v>19214</v>
      </c>
      <c r="AF314" s="77">
        <f>(Tableau1[[#This Row],[Conso HP + HC
Cumul]]-AE$6)/Tableau1[[#This Row],[Diff jour_x000D_
Cumul
depuis le 24/01]]</f>
        <v>33.250901825850278</v>
      </c>
      <c r="AG314" s="77">
        <f>(Tableau1[[#This Row],[Conso HP + HC
Cumul]]-AE$59)/Tableau1[[#This Row],[Diff jour_x000D_
Cumul
depuis
précédente facture
16/02/2021]]</f>
        <v>31.457610571642881</v>
      </c>
      <c r="AH314" s="80">
        <f>Tableau1[[#This Row],[Conso HP + HC
Cumul]]/(Tableau1[[#This Row],[Diff jour_x000D_
Cumul]]*24)</f>
        <v>1.4863847343991794</v>
      </c>
      <c r="AI314" s="80">
        <f>Tableau1[[#This Row],[Conso HP + HC
Cumul]]/Tableau1[[#This Row],[Diff jour_x000D_
Cumul]]</f>
        <v>35.673233625580302</v>
      </c>
      <c r="AJ314" s="80">
        <f>Tableau1[[#This Row],[Conso HP + HC / jour_x000D_
Cumul]]*365</f>
        <v>13020.730273336811</v>
      </c>
      <c r="AK314" s="83">
        <f>(Tableau1[[#This Row],[Différence HP
Cumul]]*0.1799)+(Tableau1[[#This Row],[Différence HC
Cumul]]*0.1346)</f>
        <v>3194.9458</v>
      </c>
      <c r="AL314" s="83">
        <f>Tableau1[[#This Row],[Montant
Tarif HP/HC]]/Tableau1[[#This Row],[Diff jour_x000D_
Cumul]]</f>
        <v>5.931823042805588</v>
      </c>
      <c r="AM314" s="83">
        <f>(Tableau1[[#This Row],[Montant
Tarif HP/HC]]-AK$6)/Tableau1[[#This Row],[Diff jour_x000D_
Cumul
depuis le 24/01]]</f>
        <v>5.535197691325787</v>
      </c>
      <c r="AN314" s="83">
        <f>(Tableau1[[#This Row],[Montant
Tarif HP/HC]]-AK$59)/Tableau1[[#This Row],[Diff jour_x000D_
Cumul
depuis
précédente facture
16/02/2021]]</f>
        <v>5.2362735656631019</v>
      </c>
      <c r="AO314" s="83">
        <f>Tableau1[[#This Row],[Conso HP + HC
Cumul]]*0.1599</f>
        <v>3072.3185999999996</v>
      </c>
      <c r="AP314" s="83">
        <f>Tableau1[[#This Row],[Montant
Tarif normal]]/Tableau1[[#This Row],[Diff jour_x000D_
Cumul]]</f>
        <v>5.7041500567302901</v>
      </c>
      <c r="AQ314" s="83">
        <f>(Tableau1[[#This Row],[Conso HP / an
Cumul]]*0.1799)+(Tableau1[[#This Row],[Conso HC / an_x000D_
Cumul]]*0.1346)</f>
        <v>2165.1154106240397</v>
      </c>
      <c r="AR314" s="83">
        <f>Tableau1[[#This Row],[Conso HP + HC / an_x000D_
Cumul]]*0.1599</f>
        <v>2082.0147707065557</v>
      </c>
      <c r="AS314" s="79">
        <f>MONTH(Tableau1[[#This Row],[Date]])</f>
        <v>6</v>
      </c>
      <c r="AT314" s="79">
        <f>YEAR(Tableau1[[#This Row],[Date]])</f>
        <v>2022</v>
      </c>
    </row>
    <row r="315" spans="1:46" x14ac:dyDescent="0.2">
      <c r="A315" s="74">
        <v>44722.334027777775</v>
      </c>
      <c r="B315" s="75"/>
      <c r="C315" s="76">
        <f>IF(ISERROR(Tableau1[[#This Row],[Date]]-A314),"",Tableau1[[#This Row],[Date]]-A314)</f>
        <v>1.0145833333299379</v>
      </c>
      <c r="D315" s="77">
        <f>IF(ISERROR(Tableau1[[#This Row],[Date]]-A314),"",Tableau1[[#This Row],[Date]]-A314)</f>
        <v>1.0145833333299379</v>
      </c>
      <c r="E315" s="76">
        <f>Tableau1[[#This Row],[Date]]-$A$5</f>
        <v>539.62569444443943</v>
      </c>
      <c r="F315" s="77">
        <f>Tableau1[[#This Row],[Date]]-$A$5</f>
        <v>539.62569444443943</v>
      </c>
      <c r="G315" s="77">
        <f>Tableau1[[#This Row],[Diff jour_x000D_
Cumul]]-F$6</f>
        <v>501.54236111111095</v>
      </c>
      <c r="H315" s="77">
        <f>Tableau1[[#This Row],[Diff jour_x000D_
Cumul]]-F$59</f>
        <v>479.02291666666133</v>
      </c>
      <c r="I315" s="78">
        <v>193204</v>
      </c>
      <c r="J315" s="79">
        <f>IF(ISERROR(Tableau1[[#This Row],[Index HP
kWh]]-I314),"",Tableau1[[#This Row],[Index HP
kWh]]-I314)</f>
        <v>7</v>
      </c>
      <c r="K315" s="77">
        <f>IF(ISERROR(Tableau1[[#This Row],[Différence HP
Instantané]]/(Tableau1[[#This Row],[Diff jour
Instantané]]*24)),"",Tableau1[[#This Row],[Différence HP
Instantané]]/(Tableau1[[#This Row],[Diff jour
Instantané]]*24))</f>
        <v>0.28747433264983269</v>
      </c>
      <c r="L315" s="77">
        <f>Tableau1[[#This Row],[Différence HP
Instantané]]/Tableau1[[#This Row],[Diff jour
Instantané]]</f>
        <v>6.8993839835959854</v>
      </c>
      <c r="M315" s="77">
        <f>Tableau1[[#This Row],[Conso HP / jour
Instantané]]*365</f>
        <v>2518.2751540125346</v>
      </c>
      <c r="N315" s="79">
        <f>Tableau1[[#This Row],[Index HP
kWh]]-$I$5</f>
        <v>13445</v>
      </c>
      <c r="O315" s="80">
        <f>Tableau1[[#This Row],[Différence HP
Cumul]]/(Tableau1[[#This Row],[Diff jour_x000D_
Cumul]]*24)</f>
        <v>1.0381424366941687</v>
      </c>
      <c r="P315" s="80">
        <f>Tableau1[[#This Row],[Différence HP
Cumul]]/Tableau1[[#This Row],[Diff jour_x000D_
Cumul]]</f>
        <v>24.915418480660051</v>
      </c>
      <c r="Q315" s="80">
        <f>Tableau1[[#This Row],[Conso HP / jour
Cumul]]*365</f>
        <v>9094.1277454409192</v>
      </c>
      <c r="R315" s="78">
        <v>125212</v>
      </c>
      <c r="S315" s="79">
        <f>Tableau1[[#This Row],[Index HC_x000D_
kWh]]-R314</f>
        <v>4</v>
      </c>
      <c r="T315" s="81">
        <f>Tableau1[[#This Row],[Différence_x000D_ HC
Instantané]]/(Tableau1[[#This Row],[Diff jour
Instantané]]*24)</f>
        <v>0.16427104722847582</v>
      </c>
      <c r="U315" s="81">
        <f>Tableau1[[#This Row],[Différence_x000D_ HC
Instantané]]/Tableau1[[#This Row],[Diff jour
Instantané]]</f>
        <v>3.94250513348342</v>
      </c>
      <c r="V315" s="81">
        <f>Tableau1[[#This Row],[Conso HC / jour_x000D_
Instantané]]*365</f>
        <v>1439.0143737214482</v>
      </c>
      <c r="W315" s="79">
        <f>Tableau1[[#This Row],[Index HC_x000D_
kWh]]-$R$5</f>
        <v>5780</v>
      </c>
      <c r="X315" s="82">
        <f>Tableau1[[#This Row],[Différence HC
Cumul]]/(Tableau1[[#This Row],[Diff jour_x000D_
Cumul]]*24)</f>
        <v>0.4462970088577386</v>
      </c>
      <c r="Y315" s="82">
        <f>Tableau1[[#This Row],[Différence HC
Cumul]]/Tableau1[[#This Row],[Diff jour_x000D_
Cumul]]</f>
        <v>10.711128212585727</v>
      </c>
      <c r="Z315" s="82">
        <f>Tableau1[[#This Row],[Conso HC / jour_x000D_
Cumul]]*365</f>
        <v>3909.5617975937903</v>
      </c>
      <c r="AA315" s="79">
        <f>Tableau1[[#This Row],[Différence HP
Instantané]]+Tableau1[[#This Row],[Différence_x000D_ HC
Instantané]]</f>
        <v>11</v>
      </c>
      <c r="AB315" s="80">
        <f>Tableau1[[#This Row],[Conso HP + HC
Instantané]]/(Tableau1[[#This Row],[Diff jour
Instantané]]*24)</f>
        <v>0.45174537987830854</v>
      </c>
      <c r="AC315" s="80">
        <f>IF(ISERROR(Tableau1[[#This Row],[Date]]-A314),"",Tableau1[[#This Row],[Conso HP + HC
Instantané]]/Tableau1[[#This Row],[Diff jour
Instantané]])</f>
        <v>10.841889117079406</v>
      </c>
      <c r="AD315" s="80">
        <f>Tableau1[[#This Row],[Conso HP + HC / jour_x000D_
Instantané]]*365</f>
        <v>3957.289527733983</v>
      </c>
      <c r="AE315" s="79">
        <f>Tableau1[[#This Row],[Différence HP
Cumul]]+Tableau1[[#This Row],[Différence HC
Cumul]]</f>
        <v>19225</v>
      </c>
      <c r="AF315" s="77">
        <f>(Tableau1[[#This Row],[Conso HP + HC
Cumul]]-AE$6)/Tableau1[[#This Row],[Diff jour_x000D_
Cumul
depuis le 24/01]]</f>
        <v>33.205570040195461</v>
      </c>
      <c r="AG315" s="77">
        <f>(Tableau1[[#This Row],[Conso HP + HC
Cumul]]-AE$59)/Tableau1[[#This Row],[Diff jour_x000D_
Cumul
depuis
précédente facture
16/02/2021]]</f>
        <v>31.413945922907658</v>
      </c>
      <c r="AH315" s="80">
        <f>Tableau1[[#This Row],[Conso HP + HC
Cumul]]/(Tableau1[[#This Row],[Diff jour_x000D_
Cumul]]*24)</f>
        <v>1.4844394455519074</v>
      </c>
      <c r="AI315" s="80">
        <f>Tableau1[[#This Row],[Conso HP + HC
Cumul]]/Tableau1[[#This Row],[Diff jour_x000D_
Cumul]]</f>
        <v>35.626546693245778</v>
      </c>
      <c r="AJ315" s="80">
        <f>Tableau1[[#This Row],[Conso HP + HC / jour_x000D_
Cumul]]*365</f>
        <v>13003.689543034709</v>
      </c>
      <c r="AK315" s="83">
        <f>(Tableau1[[#This Row],[Différence HP
Cumul]]*0.1799)+(Tableau1[[#This Row],[Différence HC
Cumul]]*0.1346)</f>
        <v>3196.7435</v>
      </c>
      <c r="AL315" s="83">
        <f>Tableau1[[#This Row],[Montant
Tarif HP/HC]]/Tableau1[[#This Row],[Diff jour_x000D_
Cumul]]</f>
        <v>5.9240016420847823</v>
      </c>
      <c r="AM315" s="83">
        <f>(Tableau1[[#This Row],[Montant
Tarif HP/HC]]-AK$6)/Tableau1[[#This Row],[Diff jour_x000D_
Cumul
depuis le 24/01]]</f>
        <v>5.5275847365280173</v>
      </c>
      <c r="AN315" s="83">
        <f>(Tableau1[[#This Row],[Montant
Tarif HP/HC]]-AK$59)/Tableau1[[#This Row],[Diff jour_x000D_
Cumul
depuis
précédente facture
16/02/2021]]</f>
        <v>5.2289358459712405</v>
      </c>
      <c r="AO315" s="83">
        <f>Tableau1[[#This Row],[Conso HP + HC
Cumul]]*0.1599</f>
        <v>3074.0774999999999</v>
      </c>
      <c r="AP315" s="83">
        <f>Tableau1[[#This Row],[Montant
Tarif normal]]/Tableau1[[#This Row],[Diff jour_x000D_
Cumul]]</f>
        <v>5.6966848162499995</v>
      </c>
      <c r="AQ315" s="83">
        <f>(Tableau1[[#This Row],[Conso HP / an
Cumul]]*0.1799)+(Tableau1[[#This Row],[Conso HC / an_x000D_
Cumul]]*0.1346)</f>
        <v>2162.2605993609459</v>
      </c>
      <c r="AR315" s="83">
        <f>Tableau1[[#This Row],[Conso HP + HC / an_x000D_
Cumul]]*0.1599</f>
        <v>2079.2899579312498</v>
      </c>
      <c r="AS315" s="79">
        <f>MONTH(Tableau1[[#This Row],[Date]])</f>
        <v>6</v>
      </c>
      <c r="AT315" s="79">
        <f>YEAR(Tableau1[[#This Row],[Date]])</f>
        <v>2022</v>
      </c>
    </row>
    <row r="316" spans="1:46" x14ac:dyDescent="0.2">
      <c r="A316" s="74">
        <v>44723.320833333331</v>
      </c>
      <c r="B316" s="75"/>
      <c r="C316" s="76">
        <f>IF(ISERROR(Tableau1[[#This Row],[Date]]-A315),"",Tableau1[[#This Row],[Date]]-A315)</f>
        <v>0.98680555555620231</v>
      </c>
      <c r="D316" s="77">
        <f>IF(ISERROR(Tableau1[[#This Row],[Date]]-A315),"",Tableau1[[#This Row],[Date]]-A315)</f>
        <v>0.98680555555620231</v>
      </c>
      <c r="E316" s="76">
        <f>Tableau1[[#This Row],[Date]]-$A$5</f>
        <v>540.61249999999563</v>
      </c>
      <c r="F316" s="77">
        <f>Tableau1[[#This Row],[Date]]-$A$5</f>
        <v>540.61249999999563</v>
      </c>
      <c r="G316" s="77">
        <f>Tableau1[[#This Row],[Diff jour_x000D_
Cumul]]-F$6</f>
        <v>502.52916666666715</v>
      </c>
      <c r="H316" s="77">
        <f>Tableau1[[#This Row],[Diff jour_x000D_
Cumul]]-F$59</f>
        <v>480.00972222221753</v>
      </c>
      <c r="I316" s="78">
        <v>193211</v>
      </c>
      <c r="J316" s="79">
        <f>IF(ISERROR(Tableau1[[#This Row],[Index HP
kWh]]-I315),"",Tableau1[[#This Row],[Index HP
kWh]]-I315)</f>
        <v>7</v>
      </c>
      <c r="K316" s="77">
        <f>IF(ISERROR(Tableau1[[#This Row],[Différence HP
Instantané]]/(Tableau1[[#This Row],[Diff jour
Instantané]]*24)),"",Tableau1[[#This Row],[Différence HP
Instantané]]/(Tableau1[[#This Row],[Diff jour
Instantané]]*24))</f>
        <v>0.29556650246286048</v>
      </c>
      <c r="L316" s="77">
        <f>Tableau1[[#This Row],[Différence HP
Instantané]]/Tableau1[[#This Row],[Diff jour
Instantané]]</f>
        <v>7.0935960591086511</v>
      </c>
      <c r="M316" s="77">
        <f>Tableau1[[#This Row],[Conso HP / jour
Instantané]]*365</f>
        <v>2589.1625615746575</v>
      </c>
      <c r="N316" s="79">
        <f>Tableau1[[#This Row],[Index HP
kWh]]-$I$5</f>
        <v>13452</v>
      </c>
      <c r="O316" s="80">
        <f>Tableau1[[#This Row],[Différence HP
Cumul]]/(Tableau1[[#This Row],[Diff jour_x000D_
Cumul]]*24)</f>
        <v>1.0367869777335976</v>
      </c>
      <c r="P316" s="80">
        <f>Tableau1[[#This Row],[Différence HP
Cumul]]/Tableau1[[#This Row],[Diff jour_x000D_
Cumul]]</f>
        <v>24.882887465606341</v>
      </c>
      <c r="Q316" s="80">
        <f>Tableau1[[#This Row],[Conso HP / jour
Cumul]]*365</f>
        <v>9082.2539249463152</v>
      </c>
      <c r="R316" s="78">
        <v>125215</v>
      </c>
      <c r="S316" s="79">
        <f>Tableau1[[#This Row],[Index HC_x000D_
kWh]]-R315</f>
        <v>3</v>
      </c>
      <c r="T316" s="81">
        <f>Tableau1[[#This Row],[Différence_x000D_ HC
Instantané]]/(Tableau1[[#This Row],[Diff jour
Instantané]]*24)</f>
        <v>0.12667135819836878</v>
      </c>
      <c r="U316" s="81">
        <f>Tableau1[[#This Row],[Différence_x000D_ HC
Instantané]]/Tableau1[[#This Row],[Diff jour
Instantané]]</f>
        <v>3.0401125967608507</v>
      </c>
      <c r="V316" s="81">
        <f>Tableau1[[#This Row],[Conso HC / jour_x000D_
Instantané]]*365</f>
        <v>1109.6410978177105</v>
      </c>
      <c r="W316" s="79">
        <f>Tableau1[[#This Row],[Index HC_x000D_
kWh]]-$R$5</f>
        <v>5783</v>
      </c>
      <c r="X316" s="82">
        <f>Tableau1[[#This Row],[Différence HC
Cumul]]/(Tableau1[[#This Row],[Diff jour_x000D_
Cumul]]*24)</f>
        <v>0.44571358104619352</v>
      </c>
      <c r="Y316" s="82">
        <f>Tableau1[[#This Row],[Différence HC
Cumul]]/Tableau1[[#This Row],[Diff jour_x000D_
Cumul]]</f>
        <v>10.697125945108644</v>
      </c>
      <c r="Z316" s="82">
        <f>Tableau1[[#This Row],[Conso HC / jour_x000D_
Cumul]]*365</f>
        <v>3904.4509699646551</v>
      </c>
      <c r="AA316" s="79">
        <f>Tableau1[[#This Row],[Différence HP
Instantané]]+Tableau1[[#This Row],[Différence_x000D_ HC
Instantané]]</f>
        <v>10</v>
      </c>
      <c r="AB316" s="80">
        <f>Tableau1[[#This Row],[Conso HP + HC
Instantané]]/(Tableau1[[#This Row],[Diff jour
Instantané]]*24)</f>
        <v>0.42223786066122926</v>
      </c>
      <c r="AC316" s="80">
        <f>IF(ISERROR(Tableau1[[#This Row],[Date]]-A315),"",Tableau1[[#This Row],[Conso HP + HC
Instantané]]/Tableau1[[#This Row],[Diff jour
Instantané]])</f>
        <v>10.133708655869501</v>
      </c>
      <c r="AD316" s="80">
        <f>Tableau1[[#This Row],[Conso HP + HC / jour_x000D_
Instantané]]*365</f>
        <v>3698.803659392368</v>
      </c>
      <c r="AE316" s="79">
        <f>Tableau1[[#This Row],[Différence HP
Cumul]]+Tableau1[[#This Row],[Différence HC
Cumul]]</f>
        <v>19235</v>
      </c>
      <c r="AF316" s="77">
        <f>(Tableau1[[#This Row],[Conso HP + HC
Cumul]]-AE$6)/Tableau1[[#This Row],[Diff jour_x000D_
Cumul
depuis le 24/01]]</f>
        <v>33.160264329599414</v>
      </c>
      <c r="AG316" s="77">
        <f>(Tableau1[[#This Row],[Conso HP + HC
Cumul]]-AE$59)/Tableau1[[#This Row],[Diff jour_x000D_
Cumul
depuis
précédente facture
16/02/2021]]</f>
        <v>31.370197941592924</v>
      </c>
      <c r="AH316" s="80">
        <f>Tableau1[[#This Row],[Conso HP + HC
Cumul]]/(Tableau1[[#This Row],[Diff jour_x000D_
Cumul]]*24)</f>
        <v>1.482500558779791</v>
      </c>
      <c r="AI316" s="80">
        <f>Tableau1[[#This Row],[Conso HP + HC
Cumul]]/Tableau1[[#This Row],[Diff jour_x000D_
Cumul]]</f>
        <v>35.580013410714983</v>
      </c>
      <c r="AJ316" s="80">
        <f>Tableau1[[#This Row],[Conso HP + HC / jour_x000D_
Cumul]]*365</f>
        <v>12986.704894910969</v>
      </c>
      <c r="AK316" s="83">
        <f>(Tableau1[[#This Row],[Différence HP
Cumul]]*0.1799)+(Tableau1[[#This Row],[Différence HC
Cumul]]*0.1346)</f>
        <v>3198.4065999999998</v>
      </c>
      <c r="AL316" s="83">
        <f>Tableau1[[#This Row],[Montant
Tarif HP/HC]]/Tableau1[[#This Row],[Diff jour_x000D_
Cumul]]</f>
        <v>5.9162646072742042</v>
      </c>
      <c r="AM316" s="83">
        <f>(Tableau1[[#This Row],[Montant
Tarif HP/HC]]-AK$6)/Tableau1[[#This Row],[Diff jour_x000D_
Cumul
depuis le 24/01]]</f>
        <v>5.5200397986849792</v>
      </c>
      <c r="AN316" s="83">
        <f>(Tableau1[[#This Row],[Montant
Tarif HP/HC]]-AK$59)/Tableau1[[#This Row],[Diff jour_x000D_
Cumul
depuis
précédente facture
16/02/2021]]</f>
        <v>5.2216509040616002</v>
      </c>
      <c r="AO316" s="83">
        <f>Tableau1[[#This Row],[Conso HP + HC
Cumul]]*0.1599</f>
        <v>3075.6764999999996</v>
      </c>
      <c r="AP316" s="83">
        <f>Tableau1[[#This Row],[Montant
Tarif normal]]/Tableau1[[#This Row],[Diff jour_x000D_
Cumul]]</f>
        <v>5.6892441443733253</v>
      </c>
      <c r="AQ316" s="83">
        <f>(Tableau1[[#This Row],[Conso HP / an
Cumul]]*0.1799)+(Tableau1[[#This Row],[Conso HC / an_x000D_
Cumul]]*0.1346)</f>
        <v>2159.4365816550844</v>
      </c>
      <c r="AR316" s="83">
        <f>Tableau1[[#This Row],[Conso HP + HC / an_x000D_
Cumul]]*0.1599</f>
        <v>2076.5741126962639</v>
      </c>
      <c r="AS316" s="79">
        <f>MONTH(Tableau1[[#This Row],[Date]])</f>
        <v>6</v>
      </c>
      <c r="AT316" s="79">
        <f>YEAR(Tableau1[[#This Row],[Date]])</f>
        <v>2022</v>
      </c>
    </row>
    <row r="317" spans="1:46" x14ac:dyDescent="0.2">
      <c r="A317" s="74">
        <v>44724.353472222225</v>
      </c>
      <c r="B317" s="75"/>
      <c r="C317" s="76">
        <f>IF(ISERROR(Tableau1[[#This Row],[Date]]-A316),"",Tableau1[[#This Row],[Date]]-A316)</f>
        <v>1.0326388888934162</v>
      </c>
      <c r="D317" s="77">
        <f>IF(ISERROR(Tableau1[[#This Row],[Date]]-A316),"",Tableau1[[#This Row],[Date]]-A316)</f>
        <v>1.0326388888934162</v>
      </c>
      <c r="E317" s="76">
        <f>Tableau1[[#This Row],[Date]]-$A$5</f>
        <v>541.64513888888905</v>
      </c>
      <c r="F317" s="77">
        <f>Tableau1[[#This Row],[Date]]-$A$5</f>
        <v>541.64513888888905</v>
      </c>
      <c r="G317" s="77">
        <f>Tableau1[[#This Row],[Diff jour_x000D_
Cumul]]-F$6</f>
        <v>503.56180555556057</v>
      </c>
      <c r="H317" s="77">
        <f>Tableau1[[#This Row],[Diff jour_x000D_
Cumul]]-F$59</f>
        <v>481.04236111111095</v>
      </c>
      <c r="I317" s="78">
        <v>193217</v>
      </c>
      <c r="J317" s="79">
        <f>IF(ISERROR(Tableau1[[#This Row],[Index HP
kWh]]-I316),"",Tableau1[[#This Row],[Index HP
kWh]]-I316)</f>
        <v>6</v>
      </c>
      <c r="K317" s="77">
        <f>IF(ISERROR(Tableau1[[#This Row],[Différence HP
Instantané]]/(Tableau1[[#This Row],[Diff jour
Instantané]]*24)),"",Tableau1[[#This Row],[Différence HP
Instantané]]/(Tableau1[[#This Row],[Diff jour
Instantané]]*24))</f>
        <v>0.24209818426255664</v>
      </c>
      <c r="L317" s="77">
        <f>Tableau1[[#This Row],[Différence HP
Instantané]]/Tableau1[[#This Row],[Diff jour
Instantané]]</f>
        <v>5.8103564223013588</v>
      </c>
      <c r="M317" s="77">
        <f>Tableau1[[#This Row],[Conso HP / jour
Instantané]]*365</f>
        <v>2120.780094139996</v>
      </c>
      <c r="N317" s="79">
        <f>Tableau1[[#This Row],[Index HP
kWh]]-$I$5</f>
        <v>13458</v>
      </c>
      <c r="O317" s="80">
        <f>Tableau1[[#This Row],[Différence HP
Cumul]]/(Tableau1[[#This Row],[Diff jour_x000D_
Cumul]]*24)</f>
        <v>1.035271914653018</v>
      </c>
      <c r="P317" s="80">
        <f>Tableau1[[#This Row],[Différence HP
Cumul]]/Tableau1[[#This Row],[Diff jour_x000D_
Cumul]]</f>
        <v>24.846525951672429</v>
      </c>
      <c r="Q317" s="80">
        <f>Tableau1[[#This Row],[Conso HP / jour
Cumul]]*365</f>
        <v>9068.981972360436</v>
      </c>
      <c r="R317" s="78">
        <v>125218</v>
      </c>
      <c r="S317" s="79">
        <f>Tableau1[[#This Row],[Index HC_x000D_
kWh]]-R316</f>
        <v>3</v>
      </c>
      <c r="T317" s="81">
        <f>Tableau1[[#This Row],[Différence_x000D_ HC
Instantané]]/(Tableau1[[#This Row],[Diff jour
Instantané]]*24)</f>
        <v>0.12104909213127832</v>
      </c>
      <c r="U317" s="81">
        <f>Tableau1[[#This Row],[Différence_x000D_ HC
Instantané]]/Tableau1[[#This Row],[Diff jour
Instantané]]</f>
        <v>2.9051782111506794</v>
      </c>
      <c r="V317" s="81">
        <f>Tableau1[[#This Row],[Conso HC / jour_x000D_
Instantané]]*365</f>
        <v>1060.390047069998</v>
      </c>
      <c r="W317" s="79">
        <f>Tableau1[[#This Row],[Index HC_x000D_
kWh]]-$R$5</f>
        <v>5786</v>
      </c>
      <c r="X317" s="82">
        <f>Tableau1[[#This Row],[Différence HC
Cumul]]/(Tableau1[[#This Row],[Diff jour_x000D_
Cumul]]*24)</f>
        <v>0.44509461273460854</v>
      </c>
      <c r="Y317" s="82">
        <f>Tableau1[[#This Row],[Différence HC
Cumul]]/Tableau1[[#This Row],[Diff jour_x000D_
Cumul]]</f>
        <v>10.682270705630605</v>
      </c>
      <c r="Z317" s="82">
        <f>Tableau1[[#This Row],[Conso HC / jour_x000D_
Cumul]]*365</f>
        <v>3899.0288075551712</v>
      </c>
      <c r="AA317" s="79">
        <f>Tableau1[[#This Row],[Différence HP
Instantané]]+Tableau1[[#This Row],[Différence_x000D_ HC
Instantané]]</f>
        <v>9</v>
      </c>
      <c r="AB317" s="80">
        <f>Tableau1[[#This Row],[Conso HP + HC
Instantané]]/(Tableau1[[#This Row],[Diff jour
Instantané]]*24)</f>
        <v>0.36314727639383493</v>
      </c>
      <c r="AC317" s="80">
        <f>IF(ISERROR(Tableau1[[#This Row],[Date]]-A316),"",Tableau1[[#This Row],[Conso HP + HC
Instantané]]/Tableau1[[#This Row],[Diff jour
Instantané]])</f>
        <v>8.7155346334520392</v>
      </c>
      <c r="AD317" s="80">
        <f>Tableau1[[#This Row],[Conso HP + HC / jour_x000D_
Instantané]]*365</f>
        <v>3181.1701412099942</v>
      </c>
      <c r="AE317" s="79">
        <f>Tableau1[[#This Row],[Différence HP
Cumul]]+Tableau1[[#This Row],[Différence HC
Cumul]]</f>
        <v>19244</v>
      </c>
      <c r="AF317" s="77">
        <f>(Tableau1[[#This Row],[Conso HP + HC
Cumul]]-AE$6)/Tableau1[[#This Row],[Diff jour_x000D_
Cumul
depuis le 24/01]]</f>
        <v>33.110136265408997</v>
      </c>
      <c r="AG317" s="77">
        <f>(Tableau1[[#This Row],[Conso HP + HC
Cumul]]-AE$59)/Tableau1[[#This Row],[Diff jour_x000D_
Cumul
depuis
précédente facture
16/02/2021]]</f>
        <v>31.321565870411632</v>
      </c>
      <c r="AH317" s="80">
        <f>Tableau1[[#This Row],[Conso HP + HC
Cumul]]/(Tableau1[[#This Row],[Diff jour_x000D_
Cumul]]*24)</f>
        <v>1.4803665273876265</v>
      </c>
      <c r="AI317" s="80">
        <f>Tableau1[[#This Row],[Conso HP + HC
Cumul]]/Tableau1[[#This Row],[Diff jour_x000D_
Cumul]]</f>
        <v>35.528796657303033</v>
      </c>
      <c r="AJ317" s="80">
        <f>Tableau1[[#This Row],[Conso HP + HC / jour_x000D_
Cumul]]*365</f>
        <v>12968.010779915607</v>
      </c>
      <c r="AK317" s="83">
        <f>(Tableau1[[#This Row],[Différence HP
Cumul]]*0.1799)+(Tableau1[[#This Row],[Différence HC
Cumul]]*0.1346)</f>
        <v>3199.8897999999999</v>
      </c>
      <c r="AL317" s="83">
        <f>Tableau1[[#This Row],[Montant
Tarif HP/HC]]/Tableau1[[#This Row],[Diff jour_x000D_
Cumul]]</f>
        <v>5.9077236556837498</v>
      </c>
      <c r="AM317" s="83">
        <f>(Tableau1[[#This Row],[Montant
Tarif HP/HC]]-AK$6)/Tableau1[[#This Row],[Diff jour_x000D_
Cumul
depuis le 24/01]]</f>
        <v>5.5116654388391035</v>
      </c>
      <c r="AN317" s="83">
        <f>(Tableau1[[#This Row],[Montant
Tarif HP/HC]]-AK$59)/Tableau1[[#This Row],[Diff jour_x000D_
Cumul
depuis
précédente facture
16/02/2021]]</f>
        <v>5.2135250504907615</v>
      </c>
      <c r="AO317" s="83">
        <f>Tableau1[[#This Row],[Conso HP + HC
Cumul]]*0.1599</f>
        <v>3077.1155999999996</v>
      </c>
      <c r="AP317" s="83">
        <f>Tableau1[[#This Row],[Montant
Tarif normal]]/Tableau1[[#This Row],[Diff jour_x000D_
Cumul]]</f>
        <v>5.6810545855027552</v>
      </c>
      <c r="AQ317" s="83">
        <f>(Tableau1[[#This Row],[Conso HP / an
Cumul]]*0.1799)+(Tableau1[[#This Row],[Conso HC / an_x000D_
Cumul]]*0.1346)</f>
        <v>2156.3191343245685</v>
      </c>
      <c r="AR317" s="83">
        <f>Tableau1[[#This Row],[Conso HP + HC / an_x000D_
Cumul]]*0.1599</f>
        <v>2073.5849237085054</v>
      </c>
      <c r="AS317" s="79">
        <f>MONTH(Tableau1[[#This Row],[Date]])</f>
        <v>6</v>
      </c>
      <c r="AT317" s="79">
        <f>YEAR(Tableau1[[#This Row],[Date]])</f>
        <v>2022</v>
      </c>
    </row>
    <row r="318" spans="1:46" x14ac:dyDescent="0.2">
      <c r="A318" s="74">
        <v>44725.335416666669</v>
      </c>
      <c r="B318" s="75"/>
      <c r="C318" s="76">
        <f>IF(ISERROR(Tableau1[[#This Row],[Date]]-A317),"",Tableau1[[#This Row],[Date]]-A317)</f>
        <v>0.98194444444379769</v>
      </c>
      <c r="D318" s="77">
        <f>IF(ISERROR(Tableau1[[#This Row],[Date]]-A317),"",Tableau1[[#This Row],[Date]]-A317)</f>
        <v>0.98194444444379769</v>
      </c>
      <c r="E318" s="76">
        <f>Tableau1[[#This Row],[Date]]-$A$5</f>
        <v>542.62708333333285</v>
      </c>
      <c r="F318" s="77">
        <f>Tableau1[[#This Row],[Date]]-$A$5</f>
        <v>542.62708333333285</v>
      </c>
      <c r="G318" s="77">
        <f>Tableau1[[#This Row],[Diff jour_x000D_
Cumul]]-F$6</f>
        <v>504.54375000000437</v>
      </c>
      <c r="H318" s="77">
        <f>Tableau1[[#This Row],[Diff jour_x000D_
Cumul]]-F$59</f>
        <v>482.02430555555475</v>
      </c>
      <c r="I318" s="78">
        <v>193223</v>
      </c>
      <c r="J318" s="79">
        <f>IF(ISERROR(Tableau1[[#This Row],[Index HP
kWh]]-I317),"",Tableau1[[#This Row],[Index HP
kWh]]-I317)</f>
        <v>6</v>
      </c>
      <c r="K318" s="77">
        <f>IF(ISERROR(Tableau1[[#This Row],[Différence HP
Instantané]]/(Tableau1[[#This Row],[Diff jour
Instantané]]*24)),"",Tableau1[[#This Row],[Différence HP
Instantané]]/(Tableau1[[#This Row],[Diff jour
Instantané]]*24))</f>
        <v>0.25459688826042226</v>
      </c>
      <c r="L318" s="77">
        <f>Tableau1[[#This Row],[Différence HP
Instantané]]/Tableau1[[#This Row],[Diff jour
Instantané]]</f>
        <v>6.1103253182501351</v>
      </c>
      <c r="M318" s="77">
        <f>Tableau1[[#This Row],[Conso HP / jour
Instantané]]*365</f>
        <v>2230.2687411612992</v>
      </c>
      <c r="N318" s="79">
        <f>Tableau1[[#This Row],[Index HP
kWh]]-$I$5</f>
        <v>13464</v>
      </c>
      <c r="O318" s="80">
        <f>Tableau1[[#This Row],[Différence HP
Cumul]]/(Tableau1[[#This Row],[Diff jour_x000D_
Cumul]]*24)</f>
        <v>1.0338591958105061</v>
      </c>
      <c r="P318" s="80">
        <f>Tableau1[[#This Row],[Différence HP
Cumul]]/Tableau1[[#This Row],[Diff jour_x000D_
Cumul]]</f>
        <v>24.812620699452147</v>
      </c>
      <c r="Q318" s="80">
        <f>Tableau1[[#This Row],[Conso HP / jour
Cumul]]*365</f>
        <v>9056.6065553000335</v>
      </c>
      <c r="R318" s="78">
        <v>125221</v>
      </c>
      <c r="S318" s="79">
        <f>Tableau1[[#This Row],[Index HC_x000D_
kWh]]-R317</f>
        <v>3</v>
      </c>
      <c r="T318" s="81">
        <f>Tableau1[[#This Row],[Différence_x000D_ HC
Instantané]]/(Tableau1[[#This Row],[Diff jour
Instantané]]*24)</f>
        <v>0.12729844413021113</v>
      </c>
      <c r="U318" s="81">
        <f>Tableau1[[#This Row],[Différence_x000D_ HC
Instantané]]/Tableau1[[#This Row],[Diff jour
Instantané]]</f>
        <v>3.0551626591250676</v>
      </c>
      <c r="V318" s="81">
        <f>Tableau1[[#This Row],[Conso HC / jour_x000D_
Instantané]]*365</f>
        <v>1115.1343705806496</v>
      </c>
      <c r="W318" s="79">
        <f>Tableau1[[#This Row],[Index HC_x000D_
kWh]]-$R$5</f>
        <v>5789</v>
      </c>
      <c r="X318" s="82">
        <f>Tableau1[[#This Row],[Différence HC
Cumul]]/(Tableau1[[#This Row],[Diff jour_x000D_
Cumul]]*24)</f>
        <v>0.44451952499606506</v>
      </c>
      <c r="Y318" s="82">
        <f>Tableau1[[#This Row],[Différence HC
Cumul]]/Tableau1[[#This Row],[Diff jour_x000D_
Cumul]]</f>
        <v>10.668468599905562</v>
      </c>
      <c r="Z318" s="82">
        <f>Tableau1[[#This Row],[Conso HC / jour_x000D_
Cumul]]*365</f>
        <v>3893.9910389655302</v>
      </c>
      <c r="AA318" s="79">
        <f>Tableau1[[#This Row],[Différence HP
Instantané]]+Tableau1[[#This Row],[Différence_x000D_ HC
Instantané]]</f>
        <v>9</v>
      </c>
      <c r="AB318" s="80">
        <f>Tableau1[[#This Row],[Conso HP + HC
Instantané]]/(Tableau1[[#This Row],[Diff jour
Instantané]]*24)</f>
        <v>0.38189533239063345</v>
      </c>
      <c r="AC318" s="80">
        <f>IF(ISERROR(Tableau1[[#This Row],[Date]]-A317),"",Tableau1[[#This Row],[Conso HP + HC
Instantané]]/Tableau1[[#This Row],[Diff jour
Instantané]])</f>
        <v>9.1654879773752018</v>
      </c>
      <c r="AD318" s="80">
        <f>Tableau1[[#This Row],[Conso HP + HC / jour_x000D_
Instantané]]*365</f>
        <v>3345.4031117419486</v>
      </c>
      <c r="AE318" s="79">
        <f>Tableau1[[#This Row],[Différence HP
Cumul]]+Tableau1[[#This Row],[Différence HC
Cumul]]</f>
        <v>19253</v>
      </c>
      <c r="AF318" s="77">
        <f>(Tableau1[[#This Row],[Conso HP + HC
Cumul]]-AE$6)/Tableau1[[#This Row],[Diff jour_x000D_
Cumul
depuis le 24/01]]</f>
        <v>33.063535124555315</v>
      </c>
      <c r="AG318" s="77">
        <f>(Tableau1[[#This Row],[Conso HP + HC
Cumul]]-AE$59)/Tableau1[[#This Row],[Diff jour_x000D_
Cumul
depuis
précédente facture
16/02/2021]]</f>
        <v>31.276431138932363</v>
      </c>
      <c r="AH318" s="80">
        <f>Tableau1[[#This Row],[Conso HP + HC
Cumul]]/(Tableau1[[#This Row],[Diff jour_x000D_
Cumul]]*24)</f>
        <v>1.4783787208065713</v>
      </c>
      <c r="AI318" s="80">
        <f>Tableau1[[#This Row],[Conso HP + HC
Cumul]]/Tableau1[[#This Row],[Diff jour_x000D_
Cumul]]</f>
        <v>35.481089299357706</v>
      </c>
      <c r="AJ318" s="80">
        <f>Tableau1[[#This Row],[Conso HP + HC / jour_x000D_
Cumul]]*365</f>
        <v>12950.597594265562</v>
      </c>
      <c r="AK318" s="83">
        <f>(Tableau1[[#This Row],[Différence HP
Cumul]]*0.1799)+(Tableau1[[#This Row],[Différence HC
Cumul]]*0.1346)</f>
        <v>3201.373</v>
      </c>
      <c r="AL318" s="83">
        <f>Tableau1[[#This Row],[Montant
Tarif HP/HC]]/Tableau1[[#This Row],[Diff jour_x000D_
Cumul]]</f>
        <v>5.8997663373787299</v>
      </c>
      <c r="AM318" s="83">
        <f>(Tableau1[[#This Row],[Montant
Tarif HP/HC]]-AK$6)/Tableau1[[#This Row],[Diff jour_x000D_
Cumul
depuis le 24/01]]</f>
        <v>5.5038783058951299</v>
      </c>
      <c r="AN318" s="83">
        <f>(Tableau1[[#This Row],[Montant
Tarif HP/HC]]-AK$59)/Tableau1[[#This Row],[Diff jour_x000D_
Cumul
depuis
précédente facture
16/02/2021]]</f>
        <v>5.2059814641666096</v>
      </c>
      <c r="AO318" s="83">
        <f>Tableau1[[#This Row],[Conso HP + HC
Cumul]]*0.1599</f>
        <v>3078.5546999999997</v>
      </c>
      <c r="AP318" s="83">
        <f>Tableau1[[#This Row],[Montant
Tarif normal]]/Tableau1[[#This Row],[Diff jour_x000D_
Cumul]]</f>
        <v>5.6734261789672971</v>
      </c>
      <c r="AQ318" s="83">
        <f>(Tableau1[[#This Row],[Conso HP / an
Cumul]]*0.1799)+(Tableau1[[#This Row],[Conso HC / an_x000D_
Cumul]]*0.1346)</f>
        <v>2153.4147131432364</v>
      </c>
      <c r="AR318" s="83">
        <f>Tableau1[[#This Row],[Conso HP + HC / an_x000D_
Cumul]]*0.1599</f>
        <v>2070.8005553230632</v>
      </c>
      <c r="AS318" s="79">
        <f>MONTH(Tableau1[[#This Row],[Date]])</f>
        <v>6</v>
      </c>
      <c r="AT318" s="79">
        <f>YEAR(Tableau1[[#This Row],[Date]])</f>
        <v>2022</v>
      </c>
    </row>
    <row r="319" spans="1:46" x14ac:dyDescent="0.2">
      <c r="A319" s="74">
        <v>44726.321527777778</v>
      </c>
      <c r="B319" s="75"/>
      <c r="C319" s="76">
        <f>IF(ISERROR(Tableau1[[#This Row],[Date]]-A318),"",Tableau1[[#This Row],[Date]]-A318)</f>
        <v>0.98611111110949423</v>
      </c>
      <c r="D319" s="77">
        <f>IF(ISERROR(Tableau1[[#This Row],[Date]]-A318),"",Tableau1[[#This Row],[Date]]-A318)</f>
        <v>0.98611111110949423</v>
      </c>
      <c r="E319" s="76">
        <f>Tableau1[[#This Row],[Date]]-$A$5</f>
        <v>543.61319444444234</v>
      </c>
      <c r="F319" s="77">
        <f>Tableau1[[#This Row],[Date]]-$A$5</f>
        <v>543.61319444444234</v>
      </c>
      <c r="G319" s="77">
        <f>Tableau1[[#This Row],[Diff jour_x000D_
Cumul]]-F$6</f>
        <v>505.52986111111386</v>
      </c>
      <c r="H319" s="77">
        <f>Tableau1[[#This Row],[Diff jour_x000D_
Cumul]]-F$59</f>
        <v>483.01041666666424</v>
      </c>
      <c r="I319" s="78">
        <v>193228</v>
      </c>
      <c r="J319" s="79">
        <f>IF(ISERROR(Tableau1[[#This Row],[Index HP
kWh]]-I318),"",Tableau1[[#This Row],[Index HP
kWh]]-I318)</f>
        <v>5</v>
      </c>
      <c r="K319" s="77">
        <f>IF(ISERROR(Tableau1[[#This Row],[Différence HP
Instantané]]/(Tableau1[[#This Row],[Diff jour
Instantané]]*24)),"",Tableau1[[#This Row],[Différence HP
Instantané]]/(Tableau1[[#This Row],[Diff jour
Instantané]]*24))</f>
        <v>0.21126760563414923</v>
      </c>
      <c r="L319" s="77">
        <f>Tableau1[[#This Row],[Différence HP
Instantané]]/Tableau1[[#This Row],[Diff jour
Instantané]]</f>
        <v>5.0704225352195813</v>
      </c>
      <c r="M319" s="77">
        <f>Tableau1[[#This Row],[Conso HP / jour
Instantané]]*365</f>
        <v>1850.7042253551472</v>
      </c>
      <c r="N319" s="79">
        <f>Tableau1[[#This Row],[Index HP
kWh]]-$I$5</f>
        <v>13469</v>
      </c>
      <c r="O319" s="80">
        <f>Tableau1[[#This Row],[Différence HP
Cumul]]/(Tableau1[[#This Row],[Diff jour_x000D_
Cumul]]*24)</f>
        <v>1.0323670195438739</v>
      </c>
      <c r="P319" s="80">
        <f>Tableau1[[#This Row],[Différence HP
Cumul]]/Tableau1[[#This Row],[Diff jour_x000D_
Cumul]]</f>
        <v>24.776808469052973</v>
      </c>
      <c r="Q319" s="80">
        <f>Tableau1[[#This Row],[Conso HP / jour
Cumul]]*365</f>
        <v>9043.5350912043359</v>
      </c>
      <c r="R319" s="78">
        <v>125224</v>
      </c>
      <c r="S319" s="79">
        <f>Tableau1[[#This Row],[Index HC_x000D_
kWh]]-R318</f>
        <v>3</v>
      </c>
      <c r="T319" s="81">
        <f>Tableau1[[#This Row],[Différence_x000D_ HC
Instantané]]/(Tableau1[[#This Row],[Diff jour
Instantané]]*24)</f>
        <v>0.12676056338048952</v>
      </c>
      <c r="U319" s="81">
        <f>Tableau1[[#This Row],[Différence_x000D_ HC
Instantané]]/Tableau1[[#This Row],[Diff jour
Instantané]]</f>
        <v>3.042253521131749</v>
      </c>
      <c r="V319" s="81">
        <f>Tableau1[[#This Row],[Conso HC / jour_x000D_
Instantané]]*365</f>
        <v>1110.4225352130884</v>
      </c>
      <c r="W319" s="79">
        <f>Tableau1[[#This Row],[Index HC_x000D_
kWh]]-$R$5</f>
        <v>5792</v>
      </c>
      <c r="X319" s="82">
        <f>Tableau1[[#This Row],[Différence HC
Cumul]]/(Tableau1[[#This Row],[Diff jour_x000D_
Cumul]]*24)</f>
        <v>0.44394311212399717</v>
      </c>
      <c r="Y319" s="82">
        <f>Tableau1[[#This Row],[Différence HC
Cumul]]/Tableau1[[#This Row],[Diff jour_x000D_
Cumul]]</f>
        <v>10.654634690975932</v>
      </c>
      <c r="Z319" s="82">
        <f>Tableau1[[#This Row],[Conso HC / jour_x000D_
Cumul]]*365</f>
        <v>3888.9416622062154</v>
      </c>
      <c r="AA319" s="79">
        <f>Tableau1[[#This Row],[Différence HP
Instantané]]+Tableau1[[#This Row],[Différence_x000D_ HC
Instantané]]</f>
        <v>8</v>
      </c>
      <c r="AB319" s="80">
        <f>Tableau1[[#This Row],[Conso HP + HC
Instantané]]/(Tableau1[[#This Row],[Diff jour
Instantané]]*24)</f>
        <v>0.33802816901463878</v>
      </c>
      <c r="AC319" s="80">
        <f>IF(ISERROR(Tableau1[[#This Row],[Date]]-A318),"",Tableau1[[#This Row],[Conso HP + HC
Instantané]]/Tableau1[[#This Row],[Diff jour
Instantané]])</f>
        <v>8.1126760563513294</v>
      </c>
      <c r="AD319" s="80">
        <f>Tableau1[[#This Row],[Conso HP + HC / jour_x000D_
Instantané]]*365</f>
        <v>2961.1267605682351</v>
      </c>
      <c r="AE319" s="79">
        <f>Tableau1[[#This Row],[Différence HP
Cumul]]+Tableau1[[#This Row],[Différence HC
Cumul]]</f>
        <v>19261</v>
      </c>
      <c r="AF319" s="77">
        <f>(Tableau1[[#This Row],[Conso HP + HC
Cumul]]-AE$6)/Tableau1[[#This Row],[Diff jour_x000D_
Cumul
depuis le 24/01]]</f>
        <v>33.01486476647834</v>
      </c>
      <c r="AG319" s="77">
        <f>(Tableau1[[#This Row],[Conso HP + HC
Cumul]]-AE$59)/Tableau1[[#This Row],[Diff jour_x000D_
Cumul
depuis
précédente facture
16/02/2021]]</f>
        <v>31.229140158295571</v>
      </c>
      <c r="AH319" s="80">
        <f>Tableau1[[#This Row],[Conso HP + HC
Cumul]]/(Tableau1[[#This Row],[Diff jour_x000D_
Cumul]]*24)</f>
        <v>1.4763101316678711</v>
      </c>
      <c r="AI319" s="80">
        <f>Tableau1[[#This Row],[Conso HP + HC
Cumul]]/Tableau1[[#This Row],[Diff jour_x000D_
Cumul]]</f>
        <v>35.431443160028905</v>
      </c>
      <c r="AJ319" s="80">
        <f>Tableau1[[#This Row],[Conso HP + HC / jour_x000D_
Cumul]]*365</f>
        <v>12932.47675341055</v>
      </c>
      <c r="AK319" s="83">
        <f>(Tableau1[[#This Row],[Différence HP
Cumul]]*0.1799)+(Tableau1[[#This Row],[Différence HC
Cumul]]*0.1346)</f>
        <v>3202.6763000000001</v>
      </c>
      <c r="AL319" s="83">
        <f>Tableau1[[#This Row],[Montant
Tarif HP/HC]]/Tableau1[[#This Row],[Diff jour_x000D_
Cumul]]</f>
        <v>5.8914616729879903</v>
      </c>
      <c r="AM319" s="83">
        <f>(Tableau1[[#This Row],[Montant
Tarif HP/HC]]-AK$6)/Tableau1[[#This Row],[Diff jour_x000D_
Cumul
depuis le 24/01]]</f>
        <v>5.4957202605077162</v>
      </c>
      <c r="AN319" s="83">
        <f>(Tableau1[[#This Row],[Montant
Tarif HP/HC]]-AK$59)/Tableau1[[#This Row],[Diff jour_x000D_
Cumul
depuis
précédente facture
16/02/2021]]</f>
        <v>5.1980512497574072</v>
      </c>
      <c r="AO319" s="83">
        <f>Tableau1[[#This Row],[Conso HP + HC
Cumul]]*0.1599</f>
        <v>3079.8338999999996</v>
      </c>
      <c r="AP319" s="83">
        <f>Tableau1[[#This Row],[Montant
Tarif normal]]/Tableau1[[#This Row],[Diff jour_x000D_
Cumul]]</f>
        <v>5.6654877612886212</v>
      </c>
      <c r="AQ319" s="83">
        <f>(Tableau1[[#This Row],[Conso HP / an
Cumul]]*0.1799)+(Tableau1[[#This Row],[Conso HC / an_x000D_
Cumul]]*0.1346)</f>
        <v>2150.3835106406168</v>
      </c>
      <c r="AR319" s="83">
        <f>Tableau1[[#This Row],[Conso HP + HC / an_x000D_
Cumul]]*0.1599</f>
        <v>2067.903032870347</v>
      </c>
      <c r="AS319" s="79">
        <f>MONTH(Tableau1[[#This Row],[Date]])</f>
        <v>6</v>
      </c>
      <c r="AT319" s="79">
        <f>YEAR(Tableau1[[#This Row],[Date]])</f>
        <v>2022</v>
      </c>
    </row>
    <row r="320" spans="1:46" x14ac:dyDescent="0.2">
      <c r="A320" s="74">
        <v>44727.296527777777</v>
      </c>
      <c r="B320" s="75"/>
      <c r="C320" s="76">
        <f>IF(ISERROR(Tableau1[[#This Row],[Date]]-A319),"",Tableau1[[#This Row],[Date]]-A319)</f>
        <v>0.97499999999854481</v>
      </c>
      <c r="D320" s="77">
        <f>IF(ISERROR(Tableau1[[#This Row],[Date]]-A319),"",Tableau1[[#This Row],[Date]]-A319)</f>
        <v>0.97499999999854481</v>
      </c>
      <c r="E320" s="76">
        <f>Tableau1[[#This Row],[Date]]-$A$5</f>
        <v>544.58819444444089</v>
      </c>
      <c r="F320" s="77">
        <f>Tableau1[[#This Row],[Date]]-$A$5</f>
        <v>544.58819444444089</v>
      </c>
      <c r="G320" s="77">
        <f>Tableau1[[#This Row],[Diff jour_x000D_
Cumul]]-F$6</f>
        <v>506.5048611111124</v>
      </c>
      <c r="H320" s="77">
        <f>Tableau1[[#This Row],[Diff jour_x000D_
Cumul]]-F$59</f>
        <v>483.98541666666279</v>
      </c>
      <c r="I320" s="78">
        <v>193235</v>
      </c>
      <c r="J320" s="79">
        <f>IF(ISERROR(Tableau1[[#This Row],[Index HP
kWh]]-I319),"",Tableau1[[#This Row],[Index HP
kWh]]-I319)</f>
        <v>7</v>
      </c>
      <c r="K320" s="77">
        <f>IF(ISERROR(Tableau1[[#This Row],[Différence HP
Instantané]]/(Tableau1[[#This Row],[Diff jour
Instantané]]*24)),"",Tableau1[[#This Row],[Différence HP
Instantané]]/(Tableau1[[#This Row],[Diff jour
Instantané]]*24))</f>
        <v>0.29914529914574561</v>
      </c>
      <c r="L320" s="77">
        <f>Tableau1[[#This Row],[Différence HP
Instantané]]/Tableau1[[#This Row],[Diff jour
Instantané]]</f>
        <v>7.1794871794978947</v>
      </c>
      <c r="M320" s="77">
        <f>Tableau1[[#This Row],[Conso HP / jour
Instantané]]*365</f>
        <v>2620.5128205167316</v>
      </c>
      <c r="N320" s="79">
        <f>Tableau1[[#This Row],[Index HP
kWh]]-$I$5</f>
        <v>13476</v>
      </c>
      <c r="O320" s="80">
        <f>Tableau1[[#This Row],[Différence HP
Cumul]]/(Tableau1[[#This Row],[Diff jour_x000D_
Cumul]]*24)</f>
        <v>1.0310543007139763</v>
      </c>
      <c r="P320" s="80">
        <f>Tableau1[[#This Row],[Différence HP
Cumul]]/Tableau1[[#This Row],[Diff jour_x000D_
Cumul]]</f>
        <v>24.745303217135433</v>
      </c>
      <c r="Q320" s="80">
        <f>Tableau1[[#This Row],[Conso HP / jour
Cumul]]*365</f>
        <v>9032.0356742544336</v>
      </c>
      <c r="R320" s="78">
        <v>125228</v>
      </c>
      <c r="S320" s="79">
        <f>Tableau1[[#This Row],[Index HC_x000D_
kWh]]-R319</f>
        <v>4</v>
      </c>
      <c r="T320" s="81">
        <f>Tableau1[[#This Row],[Différence_x000D_ HC
Instantané]]/(Tableau1[[#This Row],[Diff jour
Instantané]]*24)</f>
        <v>0.17094017094042607</v>
      </c>
      <c r="U320" s="81">
        <f>Tableau1[[#This Row],[Différence_x000D_ HC
Instantané]]/Tableau1[[#This Row],[Diff jour
Instantané]]</f>
        <v>4.1025641025702253</v>
      </c>
      <c r="V320" s="81">
        <f>Tableau1[[#This Row],[Conso HC / jour_x000D_
Instantané]]*365</f>
        <v>1497.4358974381323</v>
      </c>
      <c r="W320" s="79">
        <f>Tableau1[[#This Row],[Index HC_x000D_
kWh]]-$R$5</f>
        <v>5796</v>
      </c>
      <c r="X320" s="82">
        <f>Tableau1[[#This Row],[Différence HC
Cumul]]/(Tableau1[[#This Row],[Diff jour_x000D_
Cumul]]*24)</f>
        <v>0.44345434304973341</v>
      </c>
      <c r="Y320" s="82">
        <f>Tableau1[[#This Row],[Différence HC
Cumul]]/Tableau1[[#This Row],[Diff jour_x000D_
Cumul]]</f>
        <v>10.642904233193601</v>
      </c>
      <c r="Z320" s="82">
        <f>Tableau1[[#This Row],[Conso HC / jour_x000D_
Cumul]]*365</f>
        <v>3884.6600451156642</v>
      </c>
      <c r="AA320" s="79">
        <f>Tableau1[[#This Row],[Différence HP
Instantané]]+Tableau1[[#This Row],[Différence_x000D_ HC
Instantané]]</f>
        <v>11</v>
      </c>
      <c r="AB320" s="80">
        <f>Tableau1[[#This Row],[Conso HP + HC
Instantané]]/(Tableau1[[#This Row],[Diff jour
Instantané]]*24)</f>
        <v>0.47008547008617169</v>
      </c>
      <c r="AC320" s="80">
        <f>IF(ISERROR(Tableau1[[#This Row],[Date]]-A319),"",Tableau1[[#This Row],[Conso HP + HC
Instantané]]/Tableau1[[#This Row],[Diff jour
Instantané]])</f>
        <v>11.282051282068121</v>
      </c>
      <c r="AD320" s="80">
        <f>Tableau1[[#This Row],[Conso HP + HC / jour_x000D_
Instantané]]*365</f>
        <v>4117.9487179548642</v>
      </c>
      <c r="AE320" s="79">
        <f>Tableau1[[#This Row],[Différence HP
Cumul]]+Tableau1[[#This Row],[Différence HC
Cumul]]</f>
        <v>19272</v>
      </c>
      <c r="AF320" s="77">
        <f>(Tableau1[[#This Row],[Conso HP + HC
Cumul]]-AE$6)/Tableau1[[#This Row],[Diff jour_x000D_
Cumul
depuis le 24/01]]</f>
        <v>32.973030038375661</v>
      </c>
      <c r="AG320" s="77">
        <f>(Tableau1[[#This Row],[Conso HP + HC
Cumul]]-AE$59)/Tableau1[[#This Row],[Diff jour_x000D_
Cumul
depuis
précédente facture
16/02/2021]]</f>
        <v>31.188956278813748</v>
      </c>
      <c r="AH320" s="80">
        <f>Tableau1[[#This Row],[Conso HP + HC
Cumul]]/(Tableau1[[#This Row],[Diff jour_x000D_
Cumul]]*24)</f>
        <v>1.4745086437637098</v>
      </c>
      <c r="AI320" s="80">
        <f>Tableau1[[#This Row],[Conso HP + HC
Cumul]]/Tableau1[[#This Row],[Diff jour_x000D_
Cumul]]</f>
        <v>35.388207450329034</v>
      </c>
      <c r="AJ320" s="80">
        <f>Tableau1[[#This Row],[Conso HP + HC / jour_x000D_
Cumul]]*365</f>
        <v>12916.695719370098</v>
      </c>
      <c r="AK320" s="83">
        <f>(Tableau1[[#This Row],[Différence HP
Cumul]]*0.1799)+(Tableau1[[#This Row],[Différence HC
Cumul]]*0.1346)</f>
        <v>3204.4740000000002</v>
      </c>
      <c r="AL320" s="83">
        <f>Tableau1[[#This Row],[Montant
Tarif HP/HC]]/Tableau1[[#This Row],[Diff jour_x000D_
Cumul]]</f>
        <v>5.8842149585505235</v>
      </c>
      <c r="AM320" s="83">
        <f>(Tableau1[[#This Row],[Montant
Tarif HP/HC]]-AK$6)/Tableau1[[#This Row],[Diff jour_x000D_
Cumul
depuis le 24/01]]</f>
        <v>5.4886904617291297</v>
      </c>
      <c r="AN320" s="83">
        <f>(Tableau1[[#This Row],[Montant
Tarif HP/HC]]-AK$59)/Tableau1[[#This Row],[Diff jour_x000D_
Cumul
depuis
précédente facture
16/02/2021]]</f>
        <v>5.1912940214280292</v>
      </c>
      <c r="AO320" s="83">
        <f>Tableau1[[#This Row],[Conso HP + HC
Cumul]]*0.1599</f>
        <v>3081.5927999999999</v>
      </c>
      <c r="AP320" s="83">
        <f>Tableau1[[#This Row],[Montant
Tarif normal]]/Tableau1[[#This Row],[Diff jour_x000D_
Cumul]]</f>
        <v>5.6585743713076129</v>
      </c>
      <c r="AQ320" s="83">
        <f>(Tableau1[[#This Row],[Conso HP / an
Cumul]]*0.1799)+(Tableau1[[#This Row],[Conso HC / an_x000D_
Cumul]]*0.1346)</f>
        <v>2147.7384598709414</v>
      </c>
      <c r="AR320" s="83">
        <f>Tableau1[[#This Row],[Conso HP + HC / an_x000D_
Cumul]]*0.1599</f>
        <v>2065.3796455272786</v>
      </c>
      <c r="AS320" s="79">
        <f>MONTH(Tableau1[[#This Row],[Date]])</f>
        <v>6</v>
      </c>
      <c r="AT320" s="79">
        <f>YEAR(Tableau1[[#This Row],[Date]])</f>
        <v>2022</v>
      </c>
    </row>
    <row r="321" spans="1:46" x14ac:dyDescent="0.2">
      <c r="A321" s="74">
        <v>44728.322222222225</v>
      </c>
      <c r="B321" s="75"/>
      <c r="C321" s="76">
        <f>IF(ISERROR(Tableau1[[#This Row],[Date]]-A320),"",Tableau1[[#This Row],[Date]]-A320)</f>
        <v>1.0256944444481633</v>
      </c>
      <c r="D321" s="77">
        <f>IF(ISERROR(Tableau1[[#This Row],[Date]]-A320),"",Tableau1[[#This Row],[Date]]-A320)</f>
        <v>1.0256944444481633</v>
      </c>
      <c r="E321" s="76">
        <f>Tableau1[[#This Row],[Date]]-$A$5</f>
        <v>545.61388888888905</v>
      </c>
      <c r="F321" s="77">
        <f>Tableau1[[#This Row],[Date]]-$A$5</f>
        <v>545.61388888888905</v>
      </c>
      <c r="G321" s="77">
        <f>Tableau1[[#This Row],[Diff jour_x000D_
Cumul]]-F$6</f>
        <v>507.53055555556057</v>
      </c>
      <c r="H321" s="77">
        <f>Tableau1[[#This Row],[Diff jour_x000D_
Cumul]]-F$59</f>
        <v>485.01111111111095</v>
      </c>
      <c r="I321" s="78">
        <v>193247</v>
      </c>
      <c r="J321" s="79">
        <f>IF(ISERROR(Tableau1[[#This Row],[Index HP
kWh]]-I320),"",Tableau1[[#This Row],[Index HP
kWh]]-I320)</f>
        <v>12</v>
      </c>
      <c r="K321" s="77">
        <f>IF(ISERROR(Tableau1[[#This Row],[Différence HP
Instantané]]/(Tableau1[[#This Row],[Diff jour
Instantané]]*24)),"",Tableau1[[#This Row],[Différence HP
Instantané]]/(Tableau1[[#This Row],[Diff jour
Instantané]]*24))</f>
        <v>0.48747461069559211</v>
      </c>
      <c r="L321" s="77">
        <f>Tableau1[[#This Row],[Différence HP
Instantané]]/Tableau1[[#This Row],[Diff jour
Instantané]]</f>
        <v>11.699390656694209</v>
      </c>
      <c r="M321" s="77">
        <f>Tableau1[[#This Row],[Conso HP / jour
Instantané]]*365</f>
        <v>4270.2775896933863</v>
      </c>
      <c r="N321" s="79">
        <f>Tableau1[[#This Row],[Index HP
kWh]]-$I$5</f>
        <v>13488</v>
      </c>
      <c r="O321" s="80">
        <f>Tableau1[[#This Row],[Différence HP
Cumul]]/(Tableau1[[#This Row],[Diff jour_x000D_
Cumul]]*24)</f>
        <v>1.0300324303409509</v>
      </c>
      <c r="P321" s="80">
        <f>Tableau1[[#This Row],[Différence HP
Cumul]]/Tableau1[[#This Row],[Diff jour_x000D_
Cumul]]</f>
        <v>24.720778328182824</v>
      </c>
      <c r="Q321" s="80">
        <f>Tableau1[[#This Row],[Conso HP / jour
Cumul]]*365</f>
        <v>9023.0840897867311</v>
      </c>
      <c r="R321" s="78">
        <v>125232</v>
      </c>
      <c r="S321" s="79">
        <f>Tableau1[[#This Row],[Index HC_x000D_
kWh]]-R320</f>
        <v>4</v>
      </c>
      <c r="T321" s="81">
        <f>Tableau1[[#This Row],[Différence_x000D_ HC
Instantané]]/(Tableau1[[#This Row],[Diff jour
Instantané]]*24)</f>
        <v>0.16249153689853069</v>
      </c>
      <c r="U321" s="81">
        <f>Tableau1[[#This Row],[Différence_x000D_ HC
Instantané]]/Tableau1[[#This Row],[Diff jour
Instantané]]</f>
        <v>3.8997968855647369</v>
      </c>
      <c r="V321" s="81">
        <f>Tableau1[[#This Row],[Conso HC / jour_x000D_
Instantané]]*365</f>
        <v>1423.4258632311289</v>
      </c>
      <c r="W321" s="79">
        <f>Tableau1[[#This Row],[Index HC_x000D_
kWh]]-$R$5</f>
        <v>5800</v>
      </c>
      <c r="X321" s="82">
        <f>Tableau1[[#This Row],[Différence HC
Cumul]]/(Tableau1[[#This Row],[Diff jour_x000D_
Cumul]]*24)</f>
        <v>0.44292616369940063</v>
      </c>
      <c r="Y321" s="82">
        <f>Tableau1[[#This Row],[Différence HC
Cumul]]/Tableau1[[#This Row],[Diff jour_x000D_
Cumul]]</f>
        <v>10.630227928785615</v>
      </c>
      <c r="Z321" s="82">
        <f>Tableau1[[#This Row],[Conso HC / jour_x000D_
Cumul]]*365</f>
        <v>3880.0331940067495</v>
      </c>
      <c r="AA321" s="79">
        <f>Tableau1[[#This Row],[Différence HP
Instantané]]+Tableau1[[#This Row],[Différence_x000D_ HC
Instantané]]</f>
        <v>16</v>
      </c>
      <c r="AB321" s="80">
        <f>Tableau1[[#This Row],[Conso HP + HC
Instantané]]/(Tableau1[[#This Row],[Diff jour
Instantané]]*24)</f>
        <v>0.64996614759412275</v>
      </c>
      <c r="AC321" s="80">
        <f>IF(ISERROR(Tableau1[[#This Row],[Date]]-A320),"",Tableau1[[#This Row],[Conso HP + HC
Instantané]]/Tableau1[[#This Row],[Diff jour
Instantané]])</f>
        <v>15.599187542258948</v>
      </c>
      <c r="AD321" s="80">
        <f>Tableau1[[#This Row],[Conso HP + HC / jour_x000D_
Instantané]]*365</f>
        <v>5693.7034529245157</v>
      </c>
      <c r="AE321" s="79">
        <f>Tableau1[[#This Row],[Différence HP
Cumul]]+Tableau1[[#This Row],[Différence HC
Cumul]]</f>
        <v>19288</v>
      </c>
      <c r="AF321" s="77">
        <f>(Tableau1[[#This Row],[Conso HP + HC
Cumul]]-AE$6)/Tableau1[[#This Row],[Diff jour_x000D_
Cumul
depuis le 24/01]]</f>
        <v>32.93791835193251</v>
      </c>
      <c r="AG321" s="77">
        <f>(Tableau1[[#This Row],[Conso HP + HC
Cumul]]-AE$59)/Tableau1[[#This Row],[Diff jour_x000D_
Cumul
depuis
précédente facture
16/02/2021]]</f>
        <v>31.155987262605677</v>
      </c>
      <c r="AH321" s="80">
        <f>Tableau1[[#This Row],[Conso HP + HC
Cumul]]/(Tableau1[[#This Row],[Diff jour_x000D_
Cumul]]*24)</f>
        <v>1.4729585940403516</v>
      </c>
      <c r="AI321" s="80">
        <f>Tableau1[[#This Row],[Conso HP + HC
Cumul]]/Tableau1[[#This Row],[Diff jour_x000D_
Cumul]]</f>
        <v>35.351006256968439</v>
      </c>
      <c r="AJ321" s="80">
        <f>Tableau1[[#This Row],[Conso HP + HC / jour_x000D_
Cumul]]*365</f>
        <v>12903.117283793481</v>
      </c>
      <c r="AK321" s="83">
        <f>(Tableau1[[#This Row],[Différence HP
Cumul]]*0.1799)+(Tableau1[[#This Row],[Différence HC
Cumul]]*0.1346)</f>
        <v>3207.1711999999998</v>
      </c>
      <c r="AL321" s="83">
        <f>Tableau1[[#This Row],[Montant
Tarif HP/HC]]/Tableau1[[#This Row],[Diff jour_x000D_
Cumul]]</f>
        <v>5.8780967004546332</v>
      </c>
      <c r="AM321" s="83">
        <f>(Tableau1[[#This Row],[Montant
Tarif HP/HC]]-AK$6)/Tableau1[[#This Row],[Diff jour_x000D_
Cumul
depuis le 24/01]]</f>
        <v>5.482912446431742</v>
      </c>
      <c r="AN321" s="83">
        <f>(Tableau1[[#This Row],[Montant
Tarif HP/HC]]-AK$59)/Tableau1[[#This Row],[Diff jour_x000D_
Cumul
depuis
précédente facture
16/02/2021]]</f>
        <v>5.1858766580376177</v>
      </c>
      <c r="AO321" s="83">
        <f>Tableau1[[#This Row],[Conso HP + HC
Cumul]]*0.1599</f>
        <v>3084.1511999999998</v>
      </c>
      <c r="AP321" s="83">
        <f>Tableau1[[#This Row],[Montant
Tarif normal]]/Tableau1[[#This Row],[Diff jour_x000D_
Cumul]]</f>
        <v>5.6526259004892534</v>
      </c>
      <c r="AQ321" s="83">
        <f>(Tableau1[[#This Row],[Conso HP / an
Cumul]]*0.1799)+(Tableau1[[#This Row],[Conso HC / an_x000D_
Cumul]]*0.1346)</f>
        <v>2145.5052956659415</v>
      </c>
      <c r="AR321" s="83">
        <f>Tableau1[[#This Row],[Conso HP + HC / an_x000D_
Cumul]]*0.1599</f>
        <v>2063.2084536785774</v>
      </c>
      <c r="AS321" s="79">
        <f>MONTH(Tableau1[[#This Row],[Date]])</f>
        <v>6</v>
      </c>
      <c r="AT321" s="79">
        <f>YEAR(Tableau1[[#This Row],[Date]])</f>
        <v>2022</v>
      </c>
    </row>
    <row r="322" spans="1:46" x14ac:dyDescent="0.2">
      <c r="A322" s="74">
        <v>44729.31527777778</v>
      </c>
      <c r="B322" s="75"/>
      <c r="C322" s="76">
        <f>IF(ISERROR(Tableau1[[#This Row],[Date]]-A321),"",Tableau1[[#This Row],[Date]]-A321)</f>
        <v>0.99305555555474712</v>
      </c>
      <c r="D322" s="77">
        <f>IF(ISERROR(Tableau1[[#This Row],[Date]]-A321),"",Tableau1[[#This Row],[Date]]-A321)</f>
        <v>0.99305555555474712</v>
      </c>
      <c r="E322" s="76">
        <f>Tableau1[[#This Row],[Date]]-$A$5</f>
        <v>546.6069444444438</v>
      </c>
      <c r="F322" s="77">
        <f>Tableau1[[#This Row],[Date]]-$A$5</f>
        <v>546.6069444444438</v>
      </c>
      <c r="G322" s="77">
        <f>Tableau1[[#This Row],[Diff jour_x000D_
Cumul]]-F$6</f>
        <v>508.52361111111531</v>
      </c>
      <c r="H322" s="77">
        <f>Tableau1[[#This Row],[Diff jour_x000D_
Cumul]]-F$59</f>
        <v>486.0041666666657</v>
      </c>
      <c r="I322" s="78">
        <v>193257</v>
      </c>
      <c r="J322" s="79">
        <f>IF(ISERROR(Tableau1[[#This Row],[Index HP
kWh]]-I321),"",Tableau1[[#This Row],[Index HP
kWh]]-I321)</f>
        <v>10</v>
      </c>
      <c r="K322" s="77">
        <f>IF(ISERROR(Tableau1[[#This Row],[Différence HP
Instantané]]/(Tableau1[[#This Row],[Diff jour
Instantané]]*24)),"",Tableau1[[#This Row],[Différence HP
Instantané]]/(Tableau1[[#This Row],[Diff jour
Instantané]]*24))</f>
        <v>0.41958041958076114</v>
      </c>
      <c r="L322" s="77">
        <f>Tableau1[[#This Row],[Différence HP
Instantané]]/Tableau1[[#This Row],[Diff jour
Instantané]]</f>
        <v>10.069930069938268</v>
      </c>
      <c r="M322" s="77">
        <f>Tableau1[[#This Row],[Conso HP / jour
Instantané]]*365</f>
        <v>3675.524475527468</v>
      </c>
      <c r="N322" s="79">
        <f>Tableau1[[#This Row],[Index HP
kWh]]-$I$5</f>
        <v>13498</v>
      </c>
      <c r="O322" s="80">
        <f>Tableau1[[#This Row],[Différence HP
Cumul]]/(Tableau1[[#This Row],[Diff jour_x000D_
Cumul]]*24)</f>
        <v>1.0289233833980858</v>
      </c>
      <c r="P322" s="80">
        <f>Tableau1[[#This Row],[Différence HP
Cumul]]/Tableau1[[#This Row],[Diff jour_x000D_
Cumul]]</f>
        <v>24.69416120155406</v>
      </c>
      <c r="Q322" s="80">
        <f>Tableau1[[#This Row],[Conso HP / jour
Cumul]]*365</f>
        <v>9013.3688385672322</v>
      </c>
      <c r="R322" s="78">
        <v>125237</v>
      </c>
      <c r="S322" s="79">
        <f>Tableau1[[#This Row],[Index HC_x000D_
kWh]]-R321</f>
        <v>5</v>
      </c>
      <c r="T322" s="81">
        <f>Tableau1[[#This Row],[Différence_x000D_ HC
Instantané]]/(Tableau1[[#This Row],[Diff jour
Instantané]]*24)</f>
        <v>0.20979020979038057</v>
      </c>
      <c r="U322" s="81">
        <f>Tableau1[[#This Row],[Différence_x000D_ HC
Instantané]]/Tableau1[[#This Row],[Diff jour
Instantané]]</f>
        <v>5.0349650349691339</v>
      </c>
      <c r="V322" s="81">
        <f>Tableau1[[#This Row],[Conso HC / jour_x000D_
Instantané]]*365</f>
        <v>1837.762237763734</v>
      </c>
      <c r="W322" s="79">
        <f>Tableau1[[#This Row],[Index HC_x000D_
kWh]]-$R$5</f>
        <v>5805</v>
      </c>
      <c r="X322" s="82">
        <f>Tableau1[[#This Row],[Différence HC
Cumul]]/(Tableau1[[#This Row],[Diff jour_x000D_
Cumul]]*24)</f>
        <v>0.44250261080351816</v>
      </c>
      <c r="Y322" s="82">
        <f>Tableau1[[#This Row],[Différence HC
Cumul]]/Tableau1[[#This Row],[Diff jour_x000D_
Cumul]]</f>
        <v>10.620062659284436</v>
      </c>
      <c r="Z322" s="82">
        <f>Tableau1[[#This Row],[Conso HC / jour_x000D_
Cumul]]*365</f>
        <v>3876.322870638819</v>
      </c>
      <c r="AA322" s="79">
        <f>Tableau1[[#This Row],[Différence HP
Instantané]]+Tableau1[[#This Row],[Différence_x000D_ HC
Instantané]]</f>
        <v>15</v>
      </c>
      <c r="AB322" s="80">
        <f>Tableau1[[#This Row],[Conso HP + HC
Instantané]]/(Tableau1[[#This Row],[Diff jour
Instantané]]*24)</f>
        <v>0.62937062937114174</v>
      </c>
      <c r="AC322" s="80">
        <f>IF(ISERROR(Tableau1[[#This Row],[Date]]-A321),"",Tableau1[[#This Row],[Conso HP + HC
Instantané]]/Tableau1[[#This Row],[Diff jour
Instantané]])</f>
        <v>15.104895104907401</v>
      </c>
      <c r="AD322" s="80">
        <f>Tableau1[[#This Row],[Conso HP + HC / jour_x000D_
Instantané]]*365</f>
        <v>5513.2867132912015</v>
      </c>
      <c r="AE322" s="79">
        <f>Tableau1[[#This Row],[Différence HP
Cumul]]+Tableau1[[#This Row],[Différence HC
Cumul]]</f>
        <v>19303</v>
      </c>
      <c r="AF322" s="77">
        <f>(Tableau1[[#This Row],[Conso HP + HC
Cumul]]-AE$6)/Tableau1[[#This Row],[Diff jour_x000D_
Cumul
depuis le 24/01]]</f>
        <v>32.90309365073702</v>
      </c>
      <c r="AG322" s="77">
        <f>(Tableau1[[#This Row],[Conso HP + HC
Cumul]]-AE$59)/Tableau1[[#This Row],[Diff jour_x000D_
Cumul
depuis
précédente facture
16/02/2021]]</f>
        <v>31.123189958933885</v>
      </c>
      <c r="AH322" s="80">
        <f>Tableau1[[#This Row],[Conso HP + HC
Cumul]]/(Tableau1[[#This Row],[Diff jour_x000D_
Cumul]]*24)</f>
        <v>1.4714259942016041</v>
      </c>
      <c r="AI322" s="80">
        <f>Tableau1[[#This Row],[Conso HP + HC
Cumul]]/Tableau1[[#This Row],[Diff jour_x000D_
Cumul]]</f>
        <v>35.314223860838496</v>
      </c>
      <c r="AJ322" s="80">
        <f>Tableau1[[#This Row],[Conso HP + HC / jour_x000D_
Cumul]]*365</f>
        <v>12889.69170920605</v>
      </c>
      <c r="AK322" s="83">
        <f>(Tableau1[[#This Row],[Différence HP
Cumul]]*0.1799)+(Tableau1[[#This Row],[Différence HC
Cumul]]*0.1346)</f>
        <v>3209.6432</v>
      </c>
      <c r="AL322" s="83">
        <f>Tableau1[[#This Row],[Montant
Tarif HP/HC]]/Tableau1[[#This Row],[Diff jour_x000D_
Cumul]]</f>
        <v>5.8719400340992607</v>
      </c>
      <c r="AM322" s="83">
        <f>(Tableau1[[#This Row],[Montant
Tarif HP/HC]]-AK$6)/Tableau1[[#This Row],[Diff jour_x000D_
Cumul
depuis le 24/01]]</f>
        <v>5.4770664314177022</v>
      </c>
      <c r="AN322" s="83">
        <f>(Tableau1[[#This Row],[Montant
Tarif HP/HC]]-AK$59)/Tableau1[[#This Row],[Diff jour_x000D_
Cumul
depuis
précédente facture
16/02/2021]]</f>
        <v>5.1803666978163871</v>
      </c>
      <c r="AO322" s="83">
        <f>Tableau1[[#This Row],[Conso HP + HC
Cumul]]*0.1599</f>
        <v>3086.5496999999996</v>
      </c>
      <c r="AP322" s="83">
        <f>Tableau1[[#This Row],[Montant
Tarif normal]]/Tableau1[[#This Row],[Diff jour_x000D_
Cumul]]</f>
        <v>5.6467443953480752</v>
      </c>
      <c r="AQ322" s="83">
        <f>(Tableau1[[#This Row],[Conso HP / an
Cumul]]*0.1799)+(Tableau1[[#This Row],[Conso HC / an_x000D_
Cumul]]*0.1346)</f>
        <v>2143.2581124462304</v>
      </c>
      <c r="AR322" s="83">
        <f>Tableau1[[#This Row],[Conso HP + HC / an_x000D_
Cumul]]*0.1599</f>
        <v>2061.0617043020475</v>
      </c>
      <c r="AS322" s="79">
        <f>MONTH(Tableau1[[#This Row],[Date]])</f>
        <v>6</v>
      </c>
      <c r="AT322" s="79">
        <f>YEAR(Tableau1[[#This Row],[Date]])</f>
        <v>2022</v>
      </c>
    </row>
    <row r="323" spans="1:46" x14ac:dyDescent="0.2">
      <c r="A323" s="74">
        <v>44730.36041666667</v>
      </c>
      <c r="B323" s="75"/>
      <c r="C323" s="76">
        <f>IF(ISERROR(Tableau1[[#This Row],[Date]]-A322),"",Tableau1[[#This Row],[Date]]-A322)</f>
        <v>1.0451388888905058</v>
      </c>
      <c r="D323" s="77">
        <f>IF(ISERROR(Tableau1[[#This Row],[Date]]-A322),"",Tableau1[[#This Row],[Date]]-A322)</f>
        <v>1.0451388888905058</v>
      </c>
      <c r="E323" s="76">
        <f>Tableau1[[#This Row],[Date]]-$A$5</f>
        <v>547.6520833333343</v>
      </c>
      <c r="F323" s="77">
        <f>Tableau1[[#This Row],[Date]]-$A$5</f>
        <v>547.6520833333343</v>
      </c>
      <c r="G323" s="77">
        <f>Tableau1[[#This Row],[Diff jour_x000D_
Cumul]]-F$6</f>
        <v>509.56875000000582</v>
      </c>
      <c r="H323" s="77">
        <f>Tableau1[[#This Row],[Diff jour_x000D_
Cumul]]-F$59</f>
        <v>487.0493055555562</v>
      </c>
      <c r="I323" s="78">
        <v>193268</v>
      </c>
      <c r="J323" s="79">
        <f>IF(ISERROR(Tableau1[[#This Row],[Index HP
kWh]]-I322),"",Tableau1[[#This Row],[Index HP
kWh]]-I322)</f>
        <v>11</v>
      </c>
      <c r="K323" s="77">
        <f>IF(ISERROR(Tableau1[[#This Row],[Différence HP
Instantané]]/(Tableau1[[#This Row],[Diff jour
Instantané]]*24)),"",Tableau1[[#This Row],[Différence HP
Instantané]]/(Tableau1[[#This Row],[Diff jour
Instantané]]*24))</f>
        <v>0.43853820597938803</v>
      </c>
      <c r="L323" s="77">
        <f>Tableau1[[#This Row],[Différence HP
Instantané]]/Tableau1[[#This Row],[Diff jour
Instantané]]</f>
        <v>10.524916943505312</v>
      </c>
      <c r="M323" s="77">
        <f>Tableau1[[#This Row],[Conso HP / jour
Instantané]]*365</f>
        <v>3841.5946843794391</v>
      </c>
      <c r="N323" s="79">
        <f>Tableau1[[#This Row],[Index HP
kWh]]-$I$5</f>
        <v>13509</v>
      </c>
      <c r="O323" s="80">
        <f>Tableau1[[#This Row],[Différence HP
Cumul]]/(Tableau1[[#This Row],[Diff jour_x000D_
Cumul]]*24)</f>
        <v>1.0277966926995146</v>
      </c>
      <c r="P323" s="80">
        <f>Tableau1[[#This Row],[Différence HP
Cumul]]/Tableau1[[#This Row],[Diff jour_x000D_
Cumul]]</f>
        <v>24.667120624788353</v>
      </c>
      <c r="Q323" s="80">
        <f>Tableau1[[#This Row],[Conso HP / jour
Cumul]]*365</f>
        <v>9003.4990280477487</v>
      </c>
      <c r="R323" s="78">
        <v>125240</v>
      </c>
      <c r="S323" s="79">
        <f>Tableau1[[#This Row],[Index HC_x000D_
kWh]]-R322</f>
        <v>3</v>
      </c>
      <c r="T323" s="81">
        <f>Tableau1[[#This Row],[Différence_x000D_ HC
Instantané]]/(Tableau1[[#This Row],[Diff jour
Instantané]]*24)</f>
        <v>0.11960132890346946</v>
      </c>
      <c r="U323" s="81">
        <f>Tableau1[[#This Row],[Différence_x000D_ HC
Instantané]]/Tableau1[[#This Row],[Diff jour
Instantané]]</f>
        <v>2.8704318936832669</v>
      </c>
      <c r="V323" s="81">
        <f>Tableau1[[#This Row],[Conso HC / jour_x000D_
Instantané]]*365</f>
        <v>1047.7076411943924</v>
      </c>
      <c r="W323" s="79">
        <f>Tableau1[[#This Row],[Index HC_x000D_
kWh]]-$R$5</f>
        <v>5808</v>
      </c>
      <c r="X323" s="82">
        <f>Tableau1[[#This Row],[Différence HC
Cumul]]/(Tableau1[[#This Row],[Diff jour_x000D_
Cumul]]*24)</f>
        <v>0.44188638620170118</v>
      </c>
      <c r="Y323" s="82">
        <f>Tableau1[[#This Row],[Différence HC
Cumul]]/Tableau1[[#This Row],[Diff jour_x000D_
Cumul]]</f>
        <v>10.605273268840829</v>
      </c>
      <c r="Z323" s="82">
        <f>Tableau1[[#This Row],[Conso HC / jour_x000D_
Cumul]]*365</f>
        <v>3870.9247431269027</v>
      </c>
      <c r="AA323" s="79">
        <f>Tableau1[[#This Row],[Différence HP
Instantané]]+Tableau1[[#This Row],[Différence_x000D_ HC
Instantané]]</f>
        <v>14</v>
      </c>
      <c r="AB323" s="80">
        <f>Tableau1[[#This Row],[Conso HP + HC
Instantané]]/(Tableau1[[#This Row],[Diff jour
Instantané]]*24)</f>
        <v>0.5581395348828575</v>
      </c>
      <c r="AC323" s="80">
        <f>IF(ISERROR(Tableau1[[#This Row],[Date]]-A322),"",Tableau1[[#This Row],[Conso HP + HC
Instantané]]/Tableau1[[#This Row],[Diff jour
Instantané]])</f>
        <v>13.395348837188578</v>
      </c>
      <c r="AD323" s="80">
        <f>Tableau1[[#This Row],[Conso HP + HC / jour_x000D_
Instantané]]*365</f>
        <v>4889.3023255738308</v>
      </c>
      <c r="AE323" s="79">
        <f>Tableau1[[#This Row],[Différence HP
Cumul]]+Tableau1[[#This Row],[Différence HC
Cumul]]</f>
        <v>19317</v>
      </c>
      <c r="AF323" s="77">
        <f>(Tableau1[[#This Row],[Conso HP + HC
Cumul]]-AE$6)/Tableau1[[#This Row],[Diff jour_x000D_
Cumul
depuis le 24/01]]</f>
        <v>32.863082753798793</v>
      </c>
      <c r="AG323" s="77">
        <f>(Tableau1[[#This Row],[Conso HP + HC
Cumul]]-AE$59)/Tableau1[[#This Row],[Diff jour_x000D_
Cumul
depuis
précédente facture
16/02/2021]]</f>
        <v>31.085148520498254</v>
      </c>
      <c r="AH323" s="80">
        <f>Tableau1[[#This Row],[Conso HP + HC
Cumul]]/(Tableau1[[#This Row],[Diff jour_x000D_
Cumul]]*24)</f>
        <v>1.4696830789012159</v>
      </c>
      <c r="AI323" s="80">
        <f>Tableau1[[#This Row],[Conso HP + HC
Cumul]]/Tableau1[[#This Row],[Diff jour_x000D_
Cumul]]</f>
        <v>35.272393893629179</v>
      </c>
      <c r="AJ323" s="80">
        <f>Tableau1[[#This Row],[Conso HP + HC / jour_x000D_
Cumul]]*365</f>
        <v>12874.42377117465</v>
      </c>
      <c r="AK323" s="83">
        <f>(Tableau1[[#This Row],[Différence HP
Cumul]]*0.1799)+(Tableau1[[#This Row],[Différence HC
Cumul]]*0.1346)</f>
        <v>3212.0259000000001</v>
      </c>
      <c r="AL323" s="83">
        <f>Tableau1[[#This Row],[Montant
Tarif HP/HC]]/Tableau1[[#This Row],[Diff jour_x000D_
Cumul]]</f>
        <v>5.8650847823854004</v>
      </c>
      <c r="AM323" s="83">
        <f>(Tableau1[[#This Row],[Montant
Tarif HP/HC]]-AK$6)/Tableau1[[#This Row],[Diff jour_x000D_
Cumul
depuis le 24/01]]</f>
        <v>5.4705087390071867</v>
      </c>
      <c r="AN323" s="83">
        <f>(Tableau1[[#This Row],[Montant
Tarif HP/HC]]-AK$59)/Tableau1[[#This Row],[Diff jour_x000D_
Cumul
depuis
précédente facture
16/02/2021]]</f>
        <v>5.1741424764490178</v>
      </c>
      <c r="AO323" s="83">
        <f>Tableau1[[#This Row],[Conso HP + HC
Cumul]]*0.1599</f>
        <v>3088.7882999999997</v>
      </c>
      <c r="AP323" s="83">
        <f>Tableau1[[#This Row],[Montant
Tarif normal]]/Tableau1[[#This Row],[Diff jour_x000D_
Cumul]]</f>
        <v>5.640055783591305</v>
      </c>
      <c r="AQ323" s="83">
        <f>(Tableau1[[#This Row],[Conso HP / an
Cumul]]*0.1799)+(Tableau1[[#This Row],[Conso HC / an_x000D_
Cumul]]*0.1346)</f>
        <v>2140.7559455706714</v>
      </c>
      <c r="AR323" s="83">
        <f>Tableau1[[#This Row],[Conso HP + HC / an_x000D_
Cumul]]*0.1599</f>
        <v>2058.6203610108264</v>
      </c>
      <c r="AS323" s="79">
        <f>MONTH(Tableau1[[#This Row],[Date]])</f>
        <v>6</v>
      </c>
      <c r="AT323" s="79">
        <f>YEAR(Tableau1[[#This Row],[Date]])</f>
        <v>2022</v>
      </c>
    </row>
    <row r="324" spans="1:46" x14ac:dyDescent="0.2">
      <c r="A324" s="74">
        <v>44731.375694444447</v>
      </c>
      <c r="B324" s="75"/>
      <c r="C324" s="76">
        <f>IF(ISERROR(Tableau1[[#This Row],[Date]]-A323),"",Tableau1[[#This Row],[Date]]-A323)</f>
        <v>1.015277777776646</v>
      </c>
      <c r="D324" s="77">
        <f>IF(ISERROR(Tableau1[[#This Row],[Date]]-A323),"",Tableau1[[#This Row],[Date]]-A323)</f>
        <v>1.015277777776646</v>
      </c>
      <c r="E324" s="76">
        <f>Tableau1[[#This Row],[Date]]-$A$5</f>
        <v>548.66736111111095</v>
      </c>
      <c r="F324" s="77">
        <f>Tableau1[[#This Row],[Date]]-$A$5</f>
        <v>548.66736111111095</v>
      </c>
      <c r="G324" s="77">
        <f>Tableau1[[#This Row],[Diff jour_x000D_
Cumul]]-F$6</f>
        <v>510.58402777778247</v>
      </c>
      <c r="H324" s="77">
        <f>Tableau1[[#This Row],[Diff jour_x000D_
Cumul]]-F$59</f>
        <v>488.06458333333285</v>
      </c>
      <c r="I324" s="78">
        <v>193274</v>
      </c>
      <c r="J324" s="79">
        <f>IF(ISERROR(Tableau1[[#This Row],[Index HP
kWh]]-I323),"",Tableau1[[#This Row],[Index HP
kWh]]-I323)</f>
        <v>6</v>
      </c>
      <c r="K324" s="77">
        <f>IF(ISERROR(Tableau1[[#This Row],[Différence HP
Instantané]]/(Tableau1[[#This Row],[Diff jour
Instantané]]*24)),"",Tableau1[[#This Row],[Différence HP
Instantané]]/(Tableau1[[#This Row],[Diff jour
Instantané]]*24))</f>
        <v>0.24623803009603373</v>
      </c>
      <c r="L324" s="77">
        <f>Tableau1[[#This Row],[Différence HP
Instantané]]/Tableau1[[#This Row],[Diff jour
Instantané]]</f>
        <v>5.9097127223048096</v>
      </c>
      <c r="M324" s="77">
        <f>Tableau1[[#This Row],[Conso HP / jour
Instantané]]*365</f>
        <v>2157.0451436412554</v>
      </c>
      <c r="N324" s="79">
        <f>Tableau1[[#This Row],[Index HP
kWh]]-$I$5</f>
        <v>13515</v>
      </c>
      <c r="O324" s="80">
        <f>Tableau1[[#This Row],[Différence HP
Cumul]]/(Tableau1[[#This Row],[Diff jour_x000D_
Cumul]]*24)</f>
        <v>1.0263504628006499</v>
      </c>
      <c r="P324" s="80">
        <f>Tableau1[[#This Row],[Différence HP
Cumul]]/Tableau1[[#This Row],[Diff jour_x000D_
Cumul]]</f>
        <v>24.632411107215596</v>
      </c>
      <c r="Q324" s="80">
        <f>Tableau1[[#This Row],[Conso HP / jour
Cumul]]*365</f>
        <v>8990.8300541336921</v>
      </c>
      <c r="R324" s="78">
        <v>125244</v>
      </c>
      <c r="S324" s="79">
        <f>Tableau1[[#This Row],[Index HC_x000D_
kWh]]-R323</f>
        <v>4</v>
      </c>
      <c r="T324" s="81">
        <f>Tableau1[[#This Row],[Différence_x000D_ HC
Instantané]]/(Tableau1[[#This Row],[Diff jour
Instantané]]*24)</f>
        <v>0.16415868673068915</v>
      </c>
      <c r="U324" s="81">
        <f>Tableau1[[#This Row],[Différence_x000D_ HC
Instantané]]/Tableau1[[#This Row],[Diff jour
Instantané]]</f>
        <v>3.9398084815365397</v>
      </c>
      <c r="V324" s="81">
        <f>Tableau1[[#This Row],[Conso HC / jour_x000D_
Instantané]]*365</f>
        <v>1438.030095760837</v>
      </c>
      <c r="W324" s="79">
        <f>Tableau1[[#This Row],[Index HC_x000D_
kWh]]-$R$5</f>
        <v>5812</v>
      </c>
      <c r="X324" s="82">
        <f>Tableau1[[#This Row],[Différence HC
Cumul]]/(Tableau1[[#This Row],[Diff jour_x000D_
Cumul]]*24)</f>
        <v>0.44137246687364978</v>
      </c>
      <c r="Y324" s="82">
        <f>Tableau1[[#This Row],[Différence HC
Cumul]]/Tableau1[[#This Row],[Diff jour_x000D_
Cumul]]</f>
        <v>10.592939204967594</v>
      </c>
      <c r="Z324" s="82">
        <f>Tableau1[[#This Row],[Conso HC / jour_x000D_
Cumul]]*365</f>
        <v>3866.4228098131721</v>
      </c>
      <c r="AA324" s="79">
        <f>Tableau1[[#This Row],[Différence HP
Instantané]]+Tableau1[[#This Row],[Différence_x000D_ HC
Instantané]]</f>
        <v>10</v>
      </c>
      <c r="AB324" s="80">
        <f>Tableau1[[#This Row],[Conso HP + HC
Instantané]]/(Tableau1[[#This Row],[Diff jour
Instantané]]*24)</f>
        <v>0.41039671682672291</v>
      </c>
      <c r="AC324" s="80">
        <f>IF(ISERROR(Tableau1[[#This Row],[Date]]-A323),"",Tableau1[[#This Row],[Conso HP + HC
Instantané]]/Tableau1[[#This Row],[Diff jour
Instantané]])</f>
        <v>9.8495212038413502</v>
      </c>
      <c r="AD324" s="80">
        <f>Tableau1[[#This Row],[Conso HP + HC / jour_x000D_
Instantané]]*365</f>
        <v>3595.0752394020928</v>
      </c>
      <c r="AE324" s="79">
        <f>Tableau1[[#This Row],[Différence HP
Cumul]]+Tableau1[[#This Row],[Différence HC
Cumul]]</f>
        <v>19327</v>
      </c>
      <c r="AF324" s="77">
        <f>(Tableau1[[#This Row],[Conso HP + HC
Cumul]]-AE$6)/Tableau1[[#This Row],[Diff jour_x000D_
Cumul
depuis le 24/01]]</f>
        <v>32.817321123277644</v>
      </c>
      <c r="AG324" s="77">
        <f>(Tableau1[[#This Row],[Conso HP + HC
Cumul]]-AE$59)/Tableau1[[#This Row],[Diff jour_x000D_
Cumul
depuis
précédente facture
16/02/2021]]</f>
        <v>31.04097391482517</v>
      </c>
      <c r="AH324" s="80">
        <f>Tableau1[[#This Row],[Conso HP + HC
Cumul]]/(Tableau1[[#This Row],[Diff jour_x000D_
Cumul]]*24)</f>
        <v>1.4677229296742997</v>
      </c>
      <c r="AI324" s="80">
        <f>Tableau1[[#This Row],[Conso HP + HC
Cumul]]/Tableau1[[#This Row],[Diff jour_x000D_
Cumul]]</f>
        <v>35.225350312183188</v>
      </c>
      <c r="AJ324" s="80">
        <f>Tableau1[[#This Row],[Conso HP + HC / jour_x000D_
Cumul]]*365</f>
        <v>12857.252863946864</v>
      </c>
      <c r="AK324" s="83">
        <f>(Tableau1[[#This Row],[Différence HP
Cumul]]*0.1799)+(Tableau1[[#This Row],[Différence HC
Cumul]]*0.1346)</f>
        <v>3213.6437000000001</v>
      </c>
      <c r="AL324" s="83">
        <f>Tableau1[[#This Row],[Montant
Tarif HP/HC]]/Tableau1[[#This Row],[Diff jour_x000D_
Cumul]]</f>
        <v>5.857180375176724</v>
      </c>
      <c r="AM324" s="83">
        <f>(Tableau1[[#This Row],[Montant
Tarif HP/HC]]-AK$6)/Tableau1[[#This Row],[Diff jour_x000D_
Cumul
depuis le 24/01]]</f>
        <v>5.4627993596656923</v>
      </c>
      <c r="AN324" s="83">
        <f>(Tableau1[[#This Row],[Montant
Tarif HP/HC]]-AK$59)/Tableau1[[#This Row],[Diff jour_x000D_
Cumul
depuis
précédente facture
16/02/2021]]</f>
        <v>5.1666938887015519</v>
      </c>
      <c r="AO324" s="83">
        <f>Tableau1[[#This Row],[Conso HP + HC
Cumul]]*0.1599</f>
        <v>3090.3872999999999</v>
      </c>
      <c r="AP324" s="83">
        <f>Tableau1[[#This Row],[Montant
Tarif normal]]/Tableau1[[#This Row],[Diff jour_x000D_
Cumul]]</f>
        <v>5.6325335149180917</v>
      </c>
      <c r="AQ324" s="83">
        <f>(Tableau1[[#This Row],[Conso HP / an
Cumul]]*0.1799)+(Tableau1[[#This Row],[Conso HC / an_x000D_
Cumul]]*0.1346)</f>
        <v>2137.8708369395044</v>
      </c>
      <c r="AR324" s="83">
        <f>Tableau1[[#This Row],[Conso HP + HC / an_x000D_
Cumul]]*0.1599</f>
        <v>2055.8747329451035</v>
      </c>
      <c r="AS324" s="79">
        <f>MONTH(Tableau1[[#This Row],[Date]])</f>
        <v>6</v>
      </c>
      <c r="AT324" s="79">
        <f>YEAR(Tableau1[[#This Row],[Date]])</f>
        <v>2022</v>
      </c>
    </row>
    <row r="325" spans="1:46" x14ac:dyDescent="0.2">
      <c r="A325" s="74">
        <v>44732.313888888886</v>
      </c>
      <c r="B325" s="75"/>
      <c r="C325" s="76">
        <f>IF(ISERROR(Tableau1[[#This Row],[Date]]-A324),"",Tableau1[[#This Row],[Date]]-A324)</f>
        <v>0.93819444443943212</v>
      </c>
      <c r="D325" s="77">
        <f>IF(ISERROR(Tableau1[[#This Row],[Date]]-A324),"",Tableau1[[#This Row],[Date]]-A324)</f>
        <v>0.93819444443943212</v>
      </c>
      <c r="E325" s="76">
        <f>Tableau1[[#This Row],[Date]]-$A$5</f>
        <v>549.60555555555038</v>
      </c>
      <c r="F325" s="77">
        <f>Tableau1[[#This Row],[Date]]-$A$5</f>
        <v>549.60555555555038</v>
      </c>
      <c r="G325" s="77">
        <f>Tableau1[[#This Row],[Diff jour_x000D_
Cumul]]-F$6</f>
        <v>511.5222222222219</v>
      </c>
      <c r="H325" s="77">
        <f>Tableau1[[#This Row],[Diff jour_x000D_
Cumul]]-F$59</f>
        <v>489.00277777777228</v>
      </c>
      <c r="I325" s="78">
        <v>193281</v>
      </c>
      <c r="J325" s="79">
        <f>IF(ISERROR(Tableau1[[#This Row],[Index HP
kWh]]-I324),"",Tableau1[[#This Row],[Index HP
kWh]]-I324)</f>
        <v>7</v>
      </c>
      <c r="K325" s="77">
        <f>IF(ISERROR(Tableau1[[#This Row],[Différence HP
Instantané]]/(Tableau1[[#This Row],[Diff jour
Instantané]]*24)),"",Tableau1[[#This Row],[Différence HP
Instantané]]/(Tableau1[[#This Row],[Diff jour
Instantané]]*24))</f>
        <v>0.31088082901720493</v>
      </c>
      <c r="L325" s="77">
        <f>Tableau1[[#This Row],[Différence HP
Instantané]]/Tableau1[[#This Row],[Diff jour
Instantané]]</f>
        <v>7.4611398964129183</v>
      </c>
      <c r="M325" s="77">
        <f>Tableau1[[#This Row],[Conso HP / jour
Instantané]]*365</f>
        <v>2723.316062190715</v>
      </c>
      <c r="N325" s="79">
        <f>Tableau1[[#This Row],[Index HP
kWh]]-$I$5</f>
        <v>13522</v>
      </c>
      <c r="O325" s="80">
        <f>Tableau1[[#This Row],[Différence HP
Cumul]]/(Tableau1[[#This Row],[Diff jour_x000D_
Cumul]]*24)</f>
        <v>1.025129133014596</v>
      </c>
      <c r="P325" s="80">
        <f>Tableau1[[#This Row],[Différence HP
Cumul]]/Tableau1[[#This Row],[Diff jour_x000D_
Cumul]]</f>
        <v>24.6030991923503</v>
      </c>
      <c r="Q325" s="80">
        <f>Tableau1[[#This Row],[Conso HP / jour
Cumul]]*365</f>
        <v>8980.1312052078592</v>
      </c>
      <c r="R325" s="78">
        <v>125247</v>
      </c>
      <c r="S325" s="79">
        <f>Tableau1[[#This Row],[Index HC_x000D_
kWh]]-R324</f>
        <v>3</v>
      </c>
      <c r="T325" s="81">
        <f>Tableau1[[#This Row],[Différence_x000D_ HC
Instantané]]/(Tableau1[[#This Row],[Diff jour
Instantané]]*24)</f>
        <v>0.13323464100737353</v>
      </c>
      <c r="U325" s="81">
        <f>Tableau1[[#This Row],[Différence_x000D_ HC
Instantané]]/Tableau1[[#This Row],[Diff jour
Instantané]]</f>
        <v>3.1976313841769648</v>
      </c>
      <c r="V325" s="81">
        <f>Tableau1[[#This Row],[Conso HC / jour_x000D_
Instantané]]*365</f>
        <v>1167.1354552245921</v>
      </c>
      <c r="W325" s="79">
        <f>Tableau1[[#This Row],[Index HC_x000D_
kWh]]-$R$5</f>
        <v>5815</v>
      </c>
      <c r="X325" s="82">
        <f>Tableau1[[#This Row],[Différence HC
Cumul]]/(Tableau1[[#This Row],[Diff jour_x000D_
Cumul]]*24)</f>
        <v>0.44084646564708441</v>
      </c>
      <c r="Y325" s="82">
        <f>Tableau1[[#This Row],[Différence HC
Cumul]]/Tableau1[[#This Row],[Diff jour_x000D_
Cumul]]</f>
        <v>10.580315175530025</v>
      </c>
      <c r="Z325" s="82">
        <f>Tableau1[[#This Row],[Conso HC / jour_x000D_
Cumul]]*365</f>
        <v>3861.8150390684591</v>
      </c>
      <c r="AA325" s="79">
        <f>Tableau1[[#This Row],[Différence HP
Instantané]]+Tableau1[[#This Row],[Différence_x000D_ HC
Instantané]]</f>
        <v>10</v>
      </c>
      <c r="AB325" s="80">
        <f>Tableau1[[#This Row],[Conso HP + HC
Instantané]]/(Tableau1[[#This Row],[Diff jour
Instantané]]*24)</f>
        <v>0.44411547002457846</v>
      </c>
      <c r="AC325" s="80">
        <f>IF(ISERROR(Tableau1[[#This Row],[Date]]-A324),"",Tableau1[[#This Row],[Conso HP + HC
Instantané]]/Tableau1[[#This Row],[Diff jour
Instantané]])</f>
        <v>10.658771280589884</v>
      </c>
      <c r="AD325" s="80">
        <f>Tableau1[[#This Row],[Conso HP + HC / jour_x000D_
Instantané]]*365</f>
        <v>3890.4515174153075</v>
      </c>
      <c r="AE325" s="79">
        <f>Tableau1[[#This Row],[Différence HP
Cumul]]+Tableau1[[#This Row],[Différence HC
Cumul]]</f>
        <v>19337</v>
      </c>
      <c r="AF325" s="77">
        <f>(Tableau1[[#This Row],[Conso HP + HC
Cumul]]-AE$6)/Tableau1[[#This Row],[Diff jour_x000D_
Cumul
depuis le 24/01]]</f>
        <v>32.776679627256357</v>
      </c>
      <c r="AG325" s="77">
        <f>(Tableau1[[#This Row],[Conso HP + HC
Cumul]]-AE$59)/Tableau1[[#This Row],[Diff jour_x000D_
Cumul
depuis
précédente facture
16/02/2021]]</f>
        <v>31.001868882817419</v>
      </c>
      <c r="AH325" s="80">
        <f>Tableau1[[#This Row],[Conso HP + HC
Cumul]]/(Tableau1[[#This Row],[Diff jour_x000D_
Cumul]]*24)</f>
        <v>1.4659755986616803</v>
      </c>
      <c r="AI325" s="80">
        <f>Tableau1[[#This Row],[Conso HP + HC
Cumul]]/Tableau1[[#This Row],[Diff jour_x000D_
Cumul]]</f>
        <v>35.183414367880324</v>
      </c>
      <c r="AJ325" s="80">
        <f>Tableau1[[#This Row],[Conso HP + HC / jour_x000D_
Cumul]]*365</f>
        <v>12841.946244276318</v>
      </c>
      <c r="AK325" s="83">
        <f>(Tableau1[[#This Row],[Différence HP
Cumul]]*0.1799)+(Tableau1[[#This Row],[Différence HC
Cumul]]*0.1346)</f>
        <v>3215.3068000000003</v>
      </c>
      <c r="AL325" s="83">
        <f>Tableau1[[#This Row],[Montant
Tarif HP/HC]]/Tableau1[[#This Row],[Diff jour_x000D_
Cumul]]</f>
        <v>5.850207967330161</v>
      </c>
      <c r="AM325" s="83">
        <f>(Tableau1[[#This Row],[Montant
Tarif HP/HC]]-AK$6)/Tableau1[[#This Row],[Diff jour_x000D_
Cumul
depuis le 24/01]]</f>
        <v>5.4560311923018485</v>
      </c>
      <c r="AN325" s="83">
        <f>(Tableau1[[#This Row],[Montant
Tarif HP/HC]]-AK$59)/Tableau1[[#This Row],[Diff jour_x000D_
Cumul
depuis
précédente facture
16/02/2021]]</f>
        <v>5.1601821393880423</v>
      </c>
      <c r="AO325" s="83">
        <f>Tableau1[[#This Row],[Conso HP + HC
Cumul]]*0.1599</f>
        <v>3091.9862999999996</v>
      </c>
      <c r="AP325" s="83">
        <f>Tableau1[[#This Row],[Montant
Tarif normal]]/Tableau1[[#This Row],[Diff jour_x000D_
Cumul]]</f>
        <v>5.6258279574240637</v>
      </c>
      <c r="AQ325" s="83">
        <f>(Tableau1[[#This Row],[Conso HP / an
Cumul]]*0.1799)+(Tableau1[[#This Row],[Conso HC / an_x000D_
Cumul]]*0.1346)</f>
        <v>2135.3259080755083</v>
      </c>
      <c r="AR325" s="83">
        <f>Tableau1[[#This Row],[Conso HP + HC / an_x000D_
Cumul]]*0.1599</f>
        <v>2053.4272044597828</v>
      </c>
      <c r="AS325" s="79">
        <f>MONTH(Tableau1[[#This Row],[Date]])</f>
        <v>6</v>
      </c>
      <c r="AT325" s="79">
        <f>YEAR(Tableau1[[#This Row],[Date]])</f>
        <v>2022</v>
      </c>
    </row>
    <row r="326" spans="1:46" x14ac:dyDescent="0.2">
      <c r="A326" s="74">
        <v>44733.307638888888</v>
      </c>
      <c r="B326" s="75"/>
      <c r="C326" s="76">
        <f>IF(ISERROR(Tableau1[[#This Row],[Date]]-A325),"",Tableau1[[#This Row],[Date]]-A325)</f>
        <v>0.99375000000145519</v>
      </c>
      <c r="D326" s="77">
        <f>IF(ISERROR(Tableau1[[#This Row],[Date]]-A325),"",Tableau1[[#This Row],[Date]]-A325)</f>
        <v>0.99375000000145519</v>
      </c>
      <c r="E326" s="76">
        <f>Tableau1[[#This Row],[Date]]-$A$5</f>
        <v>550.59930555555184</v>
      </c>
      <c r="F326" s="77">
        <f>Tableau1[[#This Row],[Date]]-$A$5</f>
        <v>550.59930555555184</v>
      </c>
      <c r="G326" s="77">
        <f>Tableau1[[#This Row],[Diff jour_x000D_
Cumul]]-F$6</f>
        <v>512.51597222222335</v>
      </c>
      <c r="H326" s="77">
        <f>Tableau1[[#This Row],[Diff jour_x000D_
Cumul]]-F$59</f>
        <v>489.99652777777374</v>
      </c>
      <c r="I326" s="78">
        <v>193287</v>
      </c>
      <c r="J326" s="79">
        <f>IF(ISERROR(Tableau1[[#This Row],[Index HP
kWh]]-I325),"",Tableau1[[#This Row],[Index HP
kWh]]-I325)</f>
        <v>6</v>
      </c>
      <c r="K326" s="77">
        <f>IF(ISERROR(Tableau1[[#This Row],[Différence HP
Instantané]]/(Tableau1[[#This Row],[Diff jour
Instantané]]*24)),"",Tableau1[[#This Row],[Différence HP
Instantané]]/(Tableau1[[#This Row],[Diff jour
Instantané]]*24))</f>
        <v>0.25157232704365678</v>
      </c>
      <c r="L326" s="77">
        <f>Tableau1[[#This Row],[Différence HP
Instantané]]/Tableau1[[#This Row],[Diff jour
Instantané]]</f>
        <v>6.0377358490477624</v>
      </c>
      <c r="M326" s="77">
        <f>Tableau1[[#This Row],[Conso HP / jour
Instantané]]*365</f>
        <v>2203.7735849024334</v>
      </c>
      <c r="N326" s="79">
        <f>Tableau1[[#This Row],[Index HP
kWh]]-$I$5</f>
        <v>13528</v>
      </c>
      <c r="O326" s="80">
        <f>Tableau1[[#This Row],[Différence HP
Cumul]]/(Tableau1[[#This Row],[Diff jour_x000D_
Cumul]]*24)</f>
        <v>1.023732977828459</v>
      </c>
      <c r="P326" s="80">
        <f>Tableau1[[#This Row],[Différence HP
Cumul]]/Tableau1[[#This Row],[Diff jour_x000D_
Cumul]]</f>
        <v>24.569591467883015</v>
      </c>
      <c r="Q326" s="80">
        <f>Tableau1[[#This Row],[Conso HP / jour
Cumul]]*365</f>
        <v>8967.9008857773006</v>
      </c>
      <c r="R326" s="78">
        <v>125250</v>
      </c>
      <c r="S326" s="79">
        <f>Tableau1[[#This Row],[Index HC_x000D_
kWh]]-R325</f>
        <v>3</v>
      </c>
      <c r="T326" s="81">
        <f>Tableau1[[#This Row],[Différence_x000D_ HC
Instantané]]/(Tableau1[[#This Row],[Diff jour
Instantané]]*24)</f>
        <v>0.12578616352182839</v>
      </c>
      <c r="U326" s="81">
        <f>Tableau1[[#This Row],[Différence_x000D_ HC
Instantané]]/Tableau1[[#This Row],[Diff jour
Instantané]]</f>
        <v>3.0188679245238812</v>
      </c>
      <c r="V326" s="81">
        <f>Tableau1[[#This Row],[Conso HC / jour_x000D_
Instantané]]*365</f>
        <v>1101.8867924512167</v>
      </c>
      <c r="W326" s="79">
        <f>Tableau1[[#This Row],[Index HC_x000D_
kWh]]-$R$5</f>
        <v>5818</v>
      </c>
      <c r="X326" s="82">
        <f>Tableau1[[#This Row],[Différence HC
Cumul]]/(Tableau1[[#This Row],[Diff jour_x000D_
Cumul]]*24)</f>
        <v>0.44027782857820624</v>
      </c>
      <c r="Y326" s="82">
        <f>Tableau1[[#This Row],[Différence HC
Cumul]]/Tableau1[[#This Row],[Diff jour_x000D_
Cumul]]</f>
        <v>10.566667885876951</v>
      </c>
      <c r="Z326" s="82">
        <f>Tableau1[[#This Row],[Conso HC / jour_x000D_
Cumul]]*365</f>
        <v>3856.833778345087</v>
      </c>
      <c r="AA326" s="79">
        <f>Tableau1[[#This Row],[Différence HP
Instantané]]+Tableau1[[#This Row],[Différence_x000D_ HC
Instantané]]</f>
        <v>9</v>
      </c>
      <c r="AB326" s="80">
        <f>Tableau1[[#This Row],[Conso HP + HC
Instantané]]/(Tableau1[[#This Row],[Diff jour
Instantané]]*24)</f>
        <v>0.37735849056548515</v>
      </c>
      <c r="AC326" s="80">
        <f>IF(ISERROR(Tableau1[[#This Row],[Date]]-A325),"",Tableau1[[#This Row],[Conso HP + HC
Instantané]]/Tableau1[[#This Row],[Diff jour
Instantané]])</f>
        <v>9.0566037735716431</v>
      </c>
      <c r="AD326" s="80">
        <f>Tableau1[[#This Row],[Conso HP + HC / jour_x000D_
Instantané]]*365</f>
        <v>3305.6603773536499</v>
      </c>
      <c r="AE326" s="79">
        <f>Tableau1[[#This Row],[Différence HP
Cumul]]+Tableau1[[#This Row],[Différence HC
Cumul]]</f>
        <v>19346</v>
      </c>
      <c r="AF326" s="77">
        <f>(Tableau1[[#This Row],[Conso HP + HC
Cumul]]-AE$6)/Tableau1[[#This Row],[Diff jour_x000D_
Cumul
depuis le 24/01]]</f>
        <v>32.730687255004177</v>
      </c>
      <c r="AG326" s="77">
        <f>(Tableau1[[#This Row],[Conso HP + HC
Cumul]]-AE$59)/Tableau1[[#This Row],[Diff jour_x000D_
Cumul
depuis
précédente facture
16/02/2021]]</f>
        <v>30.957362226206506</v>
      </c>
      <c r="AH326" s="80">
        <f>Tableau1[[#This Row],[Conso HP + HC
Cumul]]/(Tableau1[[#This Row],[Diff jour_x000D_
Cumul]]*24)</f>
        <v>1.4640108064066653</v>
      </c>
      <c r="AI326" s="80">
        <f>Tableau1[[#This Row],[Conso HP + HC
Cumul]]/Tableau1[[#This Row],[Diff jour_x000D_
Cumul]]</f>
        <v>35.136259353759968</v>
      </c>
      <c r="AJ326" s="80">
        <f>Tableau1[[#This Row],[Conso HP + HC / jour_x000D_
Cumul]]*365</f>
        <v>12824.734664122388</v>
      </c>
      <c r="AK326" s="83">
        <f>(Tableau1[[#This Row],[Différence HP
Cumul]]*0.1799)+(Tableau1[[#This Row],[Différence HC
Cumul]]*0.1346)</f>
        <v>3216.79</v>
      </c>
      <c r="AL326" s="83">
        <f>Tableau1[[#This Row],[Montant
Tarif HP/HC]]/Tableau1[[#This Row],[Diff jour_x000D_
Cumul]]</f>
        <v>5.8423430025111918</v>
      </c>
      <c r="AM326" s="83">
        <f>(Tableau1[[#This Row],[Montant
Tarif HP/HC]]-AK$6)/Tableau1[[#This Row],[Diff jour_x000D_
Cumul
depuis le 24/01]]</f>
        <v>5.4483461030347167</v>
      </c>
      <c r="AN326" s="83">
        <f>(Tableau1[[#This Row],[Montant
Tarif HP/HC]]-AK$59)/Tableau1[[#This Row],[Diff jour_x000D_
Cumul
depuis
précédente facture
16/02/2021]]</f>
        <v>5.1527438601464439</v>
      </c>
      <c r="AO326" s="83">
        <f>Tableau1[[#This Row],[Conso HP + HC
Cumul]]*0.1599</f>
        <v>3093.4253999999996</v>
      </c>
      <c r="AP326" s="83">
        <f>Tableau1[[#This Row],[Montant
Tarif normal]]/Tableau1[[#This Row],[Diff jour_x000D_
Cumul]]</f>
        <v>5.6182878706662178</v>
      </c>
      <c r="AQ326" s="83">
        <f>(Tableau1[[#This Row],[Conso HP / an
Cumul]]*0.1799)+(Tableau1[[#This Row],[Conso HC / an_x000D_
Cumul]]*0.1346)</f>
        <v>2132.4551959165851</v>
      </c>
      <c r="AR326" s="83">
        <f>Tableau1[[#This Row],[Conso HP + HC / an_x000D_
Cumul]]*0.1599</f>
        <v>2050.6750727931699</v>
      </c>
      <c r="AS326" s="79">
        <f>MONTH(Tableau1[[#This Row],[Date]])</f>
        <v>6</v>
      </c>
      <c r="AT326" s="79">
        <f>YEAR(Tableau1[[#This Row],[Date]])</f>
        <v>2022</v>
      </c>
    </row>
    <row r="327" spans="1:46" x14ac:dyDescent="0.2">
      <c r="A327" s="74">
        <v>44734.311805555553</v>
      </c>
      <c r="B327" s="75"/>
      <c r="C327" s="76">
        <f>IF(ISERROR(Tableau1[[#This Row],[Date]]-A326),"",Tableau1[[#This Row],[Date]]-A326)</f>
        <v>1.0041666666656965</v>
      </c>
      <c r="D327" s="77">
        <f>IF(ISERROR(Tableau1[[#This Row],[Date]]-A326),"",Tableau1[[#This Row],[Date]]-A326)</f>
        <v>1.0041666666656965</v>
      </c>
      <c r="E327" s="76">
        <f>Tableau1[[#This Row],[Date]]-$A$5</f>
        <v>551.60347222221753</v>
      </c>
      <c r="F327" s="77">
        <f>Tableau1[[#This Row],[Date]]-$A$5</f>
        <v>551.60347222221753</v>
      </c>
      <c r="G327" s="77">
        <f>Tableau1[[#This Row],[Diff jour_x000D_
Cumul]]-F$6</f>
        <v>513.52013888888905</v>
      </c>
      <c r="H327" s="77">
        <f>Tableau1[[#This Row],[Diff jour_x000D_
Cumul]]-F$59</f>
        <v>491.00069444443943</v>
      </c>
      <c r="I327" s="78">
        <v>193293</v>
      </c>
      <c r="J327" s="79">
        <f>IF(ISERROR(Tableau1[[#This Row],[Index HP
kWh]]-I326),"",Tableau1[[#This Row],[Index HP
kWh]]-I326)</f>
        <v>6</v>
      </c>
      <c r="K327" s="77">
        <f>IF(ISERROR(Tableau1[[#This Row],[Différence HP
Instantané]]/(Tableau1[[#This Row],[Diff jour
Instantané]]*24)),"",Tableau1[[#This Row],[Différence HP
Instantané]]/(Tableau1[[#This Row],[Diff jour
Instantané]]*24))</f>
        <v>0.24896265560190028</v>
      </c>
      <c r="L327" s="77">
        <f>Tableau1[[#This Row],[Différence HP
Instantané]]/Tableau1[[#This Row],[Diff jour
Instantané]]</f>
        <v>5.9751037344456064</v>
      </c>
      <c r="M327" s="77">
        <f>Tableau1[[#This Row],[Conso HP / jour
Instantané]]*365</f>
        <v>2180.9128630726464</v>
      </c>
      <c r="N327" s="79">
        <f>Tableau1[[#This Row],[Index HP
kWh]]-$I$5</f>
        <v>13534</v>
      </c>
      <c r="O327" s="80">
        <f>Tableau1[[#This Row],[Différence HP
Cumul]]/(Tableau1[[#This Row],[Diff jour_x000D_
Cumul]]*24)</f>
        <v>1.0223225470188642</v>
      </c>
      <c r="P327" s="80">
        <f>Tableau1[[#This Row],[Différence HP
Cumul]]/Tableau1[[#This Row],[Diff jour_x000D_
Cumul]]</f>
        <v>24.535741128452738</v>
      </c>
      <c r="Q327" s="80">
        <f>Tableau1[[#This Row],[Conso HP / jour
Cumul]]*365</f>
        <v>8955.5455118852497</v>
      </c>
      <c r="R327" s="78">
        <v>125253</v>
      </c>
      <c r="S327" s="79">
        <f>Tableau1[[#This Row],[Index HC_x000D_
kWh]]-R326</f>
        <v>3</v>
      </c>
      <c r="T327" s="81">
        <f>Tableau1[[#This Row],[Différence_x000D_ HC
Instantané]]/(Tableau1[[#This Row],[Diff jour
Instantané]]*24)</f>
        <v>0.12448132780095014</v>
      </c>
      <c r="U327" s="81">
        <f>Tableau1[[#This Row],[Différence_x000D_ HC
Instantané]]/Tableau1[[#This Row],[Diff jour
Instantané]]</f>
        <v>2.9875518672228032</v>
      </c>
      <c r="V327" s="81">
        <f>Tableau1[[#This Row],[Conso HC / jour_x000D_
Instantané]]*365</f>
        <v>1090.4564315363232</v>
      </c>
      <c r="W327" s="79">
        <f>Tableau1[[#This Row],[Index HC_x000D_
kWh]]-$R$5</f>
        <v>5821</v>
      </c>
      <c r="X327" s="82">
        <f>Tableau1[[#This Row],[Différence HC
Cumul]]/(Tableau1[[#This Row],[Diff jour_x000D_
Cumul]]*24)</f>
        <v>0.43970293676642586</v>
      </c>
      <c r="Y327" s="82">
        <f>Tableau1[[#This Row],[Différence HC
Cumul]]/Tableau1[[#This Row],[Diff jour_x000D_
Cumul]]</f>
        <v>10.552870482394221</v>
      </c>
      <c r="Z327" s="82">
        <f>Tableau1[[#This Row],[Conso HC / jour_x000D_
Cumul]]*365</f>
        <v>3851.7977260738908</v>
      </c>
      <c r="AA327" s="79">
        <f>Tableau1[[#This Row],[Différence HP
Instantané]]+Tableau1[[#This Row],[Différence_x000D_ HC
Instantané]]</f>
        <v>9</v>
      </c>
      <c r="AB327" s="80">
        <f>Tableau1[[#This Row],[Conso HP + HC
Instantané]]/(Tableau1[[#This Row],[Diff jour
Instantané]]*24)</f>
        <v>0.3734439834028504</v>
      </c>
      <c r="AC327" s="80">
        <f>IF(ISERROR(Tableau1[[#This Row],[Date]]-A326),"",Tableau1[[#This Row],[Conso HP + HC
Instantané]]/Tableau1[[#This Row],[Diff jour
Instantané]])</f>
        <v>8.9626556016684091</v>
      </c>
      <c r="AD327" s="80">
        <f>Tableau1[[#This Row],[Conso HP + HC / jour_x000D_
Instantané]]*365</f>
        <v>3271.3692946089695</v>
      </c>
      <c r="AE327" s="79">
        <f>Tableau1[[#This Row],[Différence HP
Cumul]]+Tableau1[[#This Row],[Différence HC
Cumul]]</f>
        <v>19355</v>
      </c>
      <c r="AF327" s="77">
        <f>(Tableau1[[#This Row],[Conso HP + HC
Cumul]]-AE$6)/Tableau1[[#This Row],[Diff jour_x000D_
Cumul
depuis le 24/01]]</f>
        <v>32.684209885742327</v>
      </c>
      <c r="AG327" s="77">
        <f>(Tableau1[[#This Row],[Conso HP + HC
Cumul]]-AE$59)/Tableau1[[#This Row],[Diff jour_x000D_
Cumul
depuis
précédente facture
16/02/2021]]</f>
        <v>30.91237990441887</v>
      </c>
      <c r="AH327" s="80">
        <f>Tableau1[[#This Row],[Conso HP + HC
Cumul]]/(Tableau1[[#This Row],[Diff jour_x000D_
Cumul]]*24)</f>
        <v>1.46202548378529</v>
      </c>
      <c r="AI327" s="80">
        <f>Tableau1[[#This Row],[Conso HP + HC
Cumul]]/Tableau1[[#This Row],[Diff jour_x000D_
Cumul]]</f>
        <v>35.088611610846961</v>
      </c>
      <c r="AJ327" s="80">
        <f>Tableau1[[#This Row],[Conso HP + HC / jour_x000D_
Cumul]]*365</f>
        <v>12807.343237959141</v>
      </c>
      <c r="AK327" s="83">
        <f>(Tableau1[[#This Row],[Différence HP
Cumul]]*0.1799)+(Tableau1[[#This Row],[Différence HC
Cumul]]*0.1346)</f>
        <v>3218.2731999999996</v>
      </c>
      <c r="AL327" s="83">
        <f>Tableau1[[#This Row],[Montant
Tarif HP/HC]]/Tableau1[[#This Row],[Diff jour_x000D_
Cumul]]</f>
        <v>5.8343961959389086</v>
      </c>
      <c r="AM327" s="83">
        <f>(Tableau1[[#This Row],[Montant
Tarif HP/HC]]-AK$6)/Tableau1[[#This Row],[Diff jour_x000D_
Cumul
depuis le 24/01]]</f>
        <v>5.4405803948508975</v>
      </c>
      <c r="AN327" s="83">
        <f>(Tableau1[[#This Row],[Montant
Tarif HP/HC]]-AK$59)/Tableau1[[#This Row],[Diff jour_x000D_
Cumul
depuis
précédente facture
16/02/2021]]</f>
        <v>5.1452265314176069</v>
      </c>
      <c r="AO327" s="83">
        <f>Tableau1[[#This Row],[Conso HP + HC
Cumul]]*0.1599</f>
        <v>3094.8644999999997</v>
      </c>
      <c r="AP327" s="83">
        <f>Tableau1[[#This Row],[Montant
Tarif normal]]/Tableau1[[#This Row],[Diff jour_x000D_
Cumul]]</f>
        <v>5.6106689965744279</v>
      </c>
      <c r="AQ327" s="83">
        <f>(Tableau1[[#This Row],[Conso HP / an
Cumul]]*0.1799)+(Tableau1[[#This Row],[Conso HC / an_x000D_
Cumul]]*0.1346)</f>
        <v>2129.5546115177021</v>
      </c>
      <c r="AR327" s="83">
        <f>Tableau1[[#This Row],[Conso HP + HC / an_x000D_
Cumul]]*0.1599</f>
        <v>2047.8941837496666</v>
      </c>
      <c r="AS327" s="79">
        <f>MONTH(Tableau1[[#This Row],[Date]])</f>
        <v>6</v>
      </c>
      <c r="AT327" s="79">
        <f>YEAR(Tableau1[[#This Row],[Date]])</f>
        <v>2022</v>
      </c>
    </row>
    <row r="328" spans="1:46" x14ac:dyDescent="0.2">
      <c r="A328" s="74">
        <v>44735.313194444447</v>
      </c>
      <c r="B328" s="75"/>
      <c r="C328" s="76">
        <f>IF(ISERROR(Tableau1[[#This Row],[Date]]-A327),"",Tableau1[[#This Row],[Date]]-A327)</f>
        <v>1.0013888888934162</v>
      </c>
      <c r="D328" s="77">
        <f>IF(ISERROR(Tableau1[[#This Row],[Date]]-A327),"",Tableau1[[#This Row],[Date]]-A327)</f>
        <v>1.0013888888934162</v>
      </c>
      <c r="E328" s="76">
        <f>Tableau1[[#This Row],[Date]]-$A$5</f>
        <v>552.60486111111095</v>
      </c>
      <c r="F328" s="77">
        <f>Tableau1[[#This Row],[Date]]-$A$5</f>
        <v>552.60486111111095</v>
      </c>
      <c r="G328" s="77">
        <f>Tableau1[[#This Row],[Diff jour_x000D_
Cumul]]-F$6</f>
        <v>514.52152777778247</v>
      </c>
      <c r="H328" s="77">
        <f>Tableau1[[#This Row],[Diff jour_x000D_
Cumul]]-F$59</f>
        <v>492.00208333333285</v>
      </c>
      <c r="I328" s="78">
        <v>193302</v>
      </c>
      <c r="J328" s="79">
        <f>IF(ISERROR(Tableau1[[#This Row],[Index HP
kWh]]-I327),"",Tableau1[[#This Row],[Index HP
kWh]]-I327)</f>
        <v>9</v>
      </c>
      <c r="K328" s="77">
        <f>IF(ISERROR(Tableau1[[#This Row],[Différence HP
Instantané]]/(Tableau1[[#This Row],[Diff jour
Instantané]]*24)),"",Tableau1[[#This Row],[Différence HP
Instantané]]/(Tableau1[[#This Row],[Diff jour
Instantané]]*24))</f>
        <v>0.3744798890413028</v>
      </c>
      <c r="L328" s="77">
        <f>Tableau1[[#This Row],[Différence HP
Instantané]]/Tableau1[[#This Row],[Diff jour
Instantané]]</f>
        <v>8.9875173369912673</v>
      </c>
      <c r="M328" s="77">
        <f>Tableau1[[#This Row],[Conso HP / jour
Instantané]]*365</f>
        <v>3280.4438280018126</v>
      </c>
      <c r="N328" s="79">
        <f>Tableau1[[#This Row],[Index HP
kWh]]-$I$5</f>
        <v>13543</v>
      </c>
      <c r="O328" s="80">
        <f>Tableau1[[#This Row],[Différence HP
Cumul]]/(Tableau1[[#This Row],[Diff jour_x000D_
Cumul]]*24)</f>
        <v>1.0211485753709393</v>
      </c>
      <c r="P328" s="80">
        <f>Tableau1[[#This Row],[Différence HP
Cumul]]/Tableau1[[#This Row],[Diff jour_x000D_
Cumul]]</f>
        <v>24.507565808902541</v>
      </c>
      <c r="Q328" s="80">
        <f>Tableau1[[#This Row],[Conso HP / jour
Cumul]]*365</f>
        <v>8945.2615202494271</v>
      </c>
      <c r="R328" s="78">
        <v>125257</v>
      </c>
      <c r="S328" s="79">
        <f>Tableau1[[#This Row],[Index HC_x000D_
kWh]]-R327</f>
        <v>4</v>
      </c>
      <c r="T328" s="81">
        <f>Tableau1[[#This Row],[Différence_x000D_ HC
Instantané]]/(Tableau1[[#This Row],[Diff jour
Instantané]]*24)</f>
        <v>0.16643550624057904</v>
      </c>
      <c r="U328" s="81">
        <f>Tableau1[[#This Row],[Différence_x000D_ HC
Instantané]]/Tableau1[[#This Row],[Diff jour
Instantané]]</f>
        <v>3.9944521497738967</v>
      </c>
      <c r="V328" s="81">
        <f>Tableau1[[#This Row],[Conso HC / jour_x000D_
Instantané]]*365</f>
        <v>1457.9750346674723</v>
      </c>
      <c r="W328" s="79">
        <f>Tableau1[[#This Row],[Index HC_x000D_
kWh]]-$R$5</f>
        <v>5825</v>
      </c>
      <c r="X328" s="82">
        <f>Tableau1[[#This Row],[Différence HC
Cumul]]/(Tableau1[[#This Row],[Diff jour_x000D_
Cumul]]*24)</f>
        <v>0.43920774212033675</v>
      </c>
      <c r="Y328" s="82">
        <f>Tableau1[[#This Row],[Différence HC
Cumul]]/Tableau1[[#This Row],[Diff jour_x000D_
Cumul]]</f>
        <v>10.540985810888083</v>
      </c>
      <c r="Z328" s="82">
        <f>Tableau1[[#This Row],[Conso HC / jour_x000D_
Cumul]]*365</f>
        <v>3847.4598209741503</v>
      </c>
      <c r="AA328" s="79">
        <f>Tableau1[[#This Row],[Différence HP
Instantané]]+Tableau1[[#This Row],[Différence_x000D_ HC
Instantané]]</f>
        <v>13</v>
      </c>
      <c r="AB328" s="80">
        <f>Tableau1[[#This Row],[Conso HP + HC
Instantané]]/(Tableau1[[#This Row],[Diff jour
Instantané]]*24)</f>
        <v>0.54091539528188182</v>
      </c>
      <c r="AC328" s="80">
        <f>IF(ISERROR(Tableau1[[#This Row],[Date]]-A327),"",Tableau1[[#This Row],[Conso HP + HC
Instantané]]/Tableau1[[#This Row],[Diff jour
Instantané]])</f>
        <v>12.981969486765164</v>
      </c>
      <c r="AD328" s="80">
        <f>Tableau1[[#This Row],[Conso HP + HC / jour_x000D_
Instantané]]*365</f>
        <v>4738.4188626692849</v>
      </c>
      <c r="AE328" s="79">
        <f>Tableau1[[#This Row],[Différence HP
Cumul]]+Tableau1[[#This Row],[Différence HC
Cumul]]</f>
        <v>19368</v>
      </c>
      <c r="AF328" s="77">
        <f>(Tableau1[[#This Row],[Conso HP + HC
Cumul]]-AE$6)/Tableau1[[#This Row],[Diff jour_x000D_
Cumul
depuis le 24/01]]</f>
        <v>32.645864348079293</v>
      </c>
      <c r="AG328" s="77">
        <f>(Tableau1[[#This Row],[Conso HP + HC
Cumul]]-AE$59)/Tableau1[[#This Row],[Diff jour_x000D_
Cumul
depuis
précédente facture
16/02/2021]]</f>
        <v>30.875885518777476</v>
      </c>
      <c r="AH328" s="80">
        <f>Tableau1[[#This Row],[Conso HP + HC
Cumul]]/(Tableau1[[#This Row],[Diff jour_x000D_
Cumul]]*24)</f>
        <v>1.4603563174912759</v>
      </c>
      <c r="AI328" s="80">
        <f>Tableau1[[#This Row],[Conso HP + HC
Cumul]]/Tableau1[[#This Row],[Diff jour_x000D_
Cumul]]</f>
        <v>35.048551619790622</v>
      </c>
      <c r="AJ328" s="80">
        <f>Tableau1[[#This Row],[Conso HP + HC / jour_x000D_
Cumul]]*365</f>
        <v>12792.721341223578</v>
      </c>
      <c r="AK328" s="83">
        <f>(Tableau1[[#This Row],[Différence HP
Cumul]]*0.1799)+(Tableau1[[#This Row],[Différence HC
Cumul]]*0.1346)</f>
        <v>3220.4307000000003</v>
      </c>
      <c r="AL328" s="83">
        <f>Tableau1[[#This Row],[Montant
Tarif HP/HC]]/Tableau1[[#This Row],[Diff jour_x000D_
Cumul]]</f>
        <v>5.8277277791671036</v>
      </c>
      <c r="AM328" s="83">
        <f>(Tableau1[[#This Row],[Montant
Tarif HP/HC]]-AK$6)/Tableau1[[#This Row],[Diff jour_x000D_
Cumul
depuis le 24/01]]</f>
        <v>5.4341848670082689</v>
      </c>
      <c r="AN328" s="83">
        <f>(Tableau1[[#This Row],[Montant
Tarif HP/HC]]-AK$59)/Tableau1[[#This Row],[Diff jour_x000D_
Cumul
depuis
précédente facture
16/02/2021]]</f>
        <v>5.1391394176007106</v>
      </c>
      <c r="AO328" s="83">
        <f>Tableau1[[#This Row],[Conso HP + HC
Cumul]]*0.1599</f>
        <v>3096.9431999999997</v>
      </c>
      <c r="AP328" s="83">
        <f>Tableau1[[#This Row],[Montant
Tarif normal]]/Tableau1[[#This Row],[Diff jour_x000D_
Cumul]]</f>
        <v>5.6042634040045201</v>
      </c>
      <c r="AQ328" s="83">
        <f>(Tableau1[[#This Row],[Conso HP / an
Cumul]]*0.1799)+(Tableau1[[#This Row],[Conso HC / an_x000D_
Cumul]]*0.1346)</f>
        <v>2127.1206393959928</v>
      </c>
      <c r="AR328" s="83">
        <f>Tableau1[[#This Row],[Conso HP + HC / an_x000D_
Cumul]]*0.1599</f>
        <v>2045.5561424616499</v>
      </c>
      <c r="AS328" s="79">
        <f>MONTH(Tableau1[[#This Row],[Date]])</f>
        <v>6</v>
      </c>
      <c r="AT328" s="79">
        <f>YEAR(Tableau1[[#This Row],[Date]])</f>
        <v>2022</v>
      </c>
    </row>
    <row r="329" spans="1:46" x14ac:dyDescent="0.2">
      <c r="A329" s="74">
        <v>44736.322222222225</v>
      </c>
      <c r="B329" s="75"/>
      <c r="C329" s="76">
        <f>IF(ISERROR(Tableau1[[#This Row],[Date]]-A328),"",Tableau1[[#This Row],[Date]]-A328)</f>
        <v>1.0090277777781012</v>
      </c>
      <c r="D329" s="77">
        <f>IF(ISERROR(Tableau1[[#This Row],[Date]]-A328),"",Tableau1[[#This Row],[Date]]-A328)</f>
        <v>1.0090277777781012</v>
      </c>
      <c r="E329" s="76">
        <f>Tableau1[[#This Row],[Date]]-$A$5</f>
        <v>553.61388888888905</v>
      </c>
      <c r="F329" s="77">
        <f>Tableau1[[#This Row],[Date]]-$A$5</f>
        <v>553.61388888888905</v>
      </c>
      <c r="G329" s="77">
        <f>Tableau1[[#This Row],[Diff jour_x000D_
Cumul]]-F$6</f>
        <v>515.53055555556057</v>
      </c>
      <c r="H329" s="77">
        <f>Tableau1[[#This Row],[Diff jour_x000D_
Cumul]]-F$59</f>
        <v>493.01111111111095</v>
      </c>
      <c r="I329" s="78">
        <v>193308</v>
      </c>
      <c r="J329" s="79">
        <f>IF(ISERROR(Tableau1[[#This Row],[Index HP
kWh]]-I328),"",Tableau1[[#This Row],[Index HP
kWh]]-I328)</f>
        <v>6</v>
      </c>
      <c r="K329" s="77">
        <f>IF(ISERROR(Tableau1[[#This Row],[Différence HP
Instantané]]/(Tableau1[[#This Row],[Diff jour
Instantané]]*24)),"",Tableau1[[#This Row],[Différence HP
Instantané]]/(Tableau1[[#This Row],[Diff jour
Instantané]]*24))</f>
        <v>0.2477632484514003</v>
      </c>
      <c r="L329" s="77">
        <f>Tableau1[[#This Row],[Différence HP
Instantané]]/Tableau1[[#This Row],[Diff jour
Instantané]]</f>
        <v>5.9463179628336071</v>
      </c>
      <c r="M329" s="77">
        <f>Tableau1[[#This Row],[Conso HP / jour
Instantané]]*365</f>
        <v>2170.4060564342667</v>
      </c>
      <c r="N329" s="79">
        <f>Tableau1[[#This Row],[Index HP
kWh]]-$I$5</f>
        <v>13549</v>
      </c>
      <c r="O329" s="80">
        <f>Tableau1[[#This Row],[Différence HP
Cumul]]/(Tableau1[[#This Row],[Diff jour_x000D_
Cumul]]*24)</f>
        <v>1.0197389877622287</v>
      </c>
      <c r="P329" s="80">
        <f>Tableau1[[#This Row],[Différence HP
Cumul]]/Tableau1[[#This Row],[Diff jour_x000D_
Cumul]]</f>
        <v>24.473735706293489</v>
      </c>
      <c r="Q329" s="80">
        <f>Tableau1[[#This Row],[Conso HP / jour
Cumul]]*365</f>
        <v>8932.9135327971235</v>
      </c>
      <c r="R329" s="78">
        <v>125260</v>
      </c>
      <c r="S329" s="79">
        <f>Tableau1[[#This Row],[Index HC_x000D_
kWh]]-R328</f>
        <v>3</v>
      </c>
      <c r="T329" s="81">
        <f>Tableau1[[#This Row],[Différence_x000D_ HC
Instantané]]/(Tableau1[[#This Row],[Diff jour
Instantané]]*24)</f>
        <v>0.12388162422570015</v>
      </c>
      <c r="U329" s="81">
        <f>Tableau1[[#This Row],[Différence_x000D_ HC
Instantané]]/Tableau1[[#This Row],[Diff jour
Instantané]]</f>
        <v>2.9731589814168036</v>
      </c>
      <c r="V329" s="81">
        <f>Tableau1[[#This Row],[Conso HC / jour_x000D_
Instantané]]*365</f>
        <v>1085.2030282171334</v>
      </c>
      <c r="W329" s="79">
        <f>Tableau1[[#This Row],[Index HC_x000D_
kWh]]-$R$5</f>
        <v>5828</v>
      </c>
      <c r="X329" s="82">
        <f>Tableau1[[#This Row],[Différence HC
Cumul]]/(Tableau1[[#This Row],[Diff jour_x000D_
Cumul]]*24)</f>
        <v>0.43863302241333446</v>
      </c>
      <c r="Y329" s="82">
        <f>Tableau1[[#This Row],[Différence HC
Cumul]]/Tableau1[[#This Row],[Diff jour_x000D_
Cumul]]</f>
        <v>10.527192537920028</v>
      </c>
      <c r="Z329" s="82">
        <f>Tableau1[[#This Row],[Conso HC / jour_x000D_
Cumul]]*365</f>
        <v>3842.4252763408103</v>
      </c>
      <c r="AA329" s="79">
        <f>Tableau1[[#This Row],[Différence HP
Instantané]]+Tableau1[[#This Row],[Différence_x000D_ HC
Instantané]]</f>
        <v>9</v>
      </c>
      <c r="AB329" s="80">
        <f>Tableau1[[#This Row],[Conso HP + HC
Instantané]]/(Tableau1[[#This Row],[Diff jour
Instantané]]*24)</f>
        <v>0.37164487267710045</v>
      </c>
      <c r="AC329" s="80">
        <f>IF(ISERROR(Tableau1[[#This Row],[Date]]-A328),"",Tableau1[[#This Row],[Conso HP + HC
Instantané]]/Tableau1[[#This Row],[Diff jour
Instantané]])</f>
        <v>8.9194769442504107</v>
      </c>
      <c r="AD329" s="80">
        <f>Tableau1[[#This Row],[Conso HP + HC / jour_x000D_
Instantané]]*365</f>
        <v>3255.6090846513998</v>
      </c>
      <c r="AE329" s="79">
        <f>Tableau1[[#This Row],[Différence HP
Cumul]]+Tableau1[[#This Row],[Différence HC
Cumul]]</f>
        <v>19377</v>
      </c>
      <c r="AF329" s="77">
        <f>(Tableau1[[#This Row],[Conso HP + HC
Cumul]]-AE$6)/Tableau1[[#This Row],[Diff jour_x000D_
Cumul
depuis le 24/01]]</f>
        <v>32.599425618698866</v>
      </c>
      <c r="AG329" s="77">
        <f>(Tableau1[[#This Row],[Conso HP + HC
Cumul]]-AE$59)/Tableau1[[#This Row],[Diff jour_x000D_
Cumul
depuis
précédente facture
16/02/2021]]</f>
        <v>30.830948141804342</v>
      </c>
      <c r="AH329" s="80">
        <f>Tableau1[[#This Row],[Conso HP + HC
Cumul]]/(Tableau1[[#This Row],[Diff jour_x000D_
Cumul]]*24)</f>
        <v>1.4583720101755631</v>
      </c>
      <c r="AI329" s="80">
        <f>Tableau1[[#This Row],[Conso HP + HC
Cumul]]/Tableau1[[#This Row],[Diff jour_x000D_
Cumul]]</f>
        <v>35.000928244213519</v>
      </c>
      <c r="AJ329" s="80">
        <f>Tableau1[[#This Row],[Conso HP + HC / jour_x000D_
Cumul]]*365</f>
        <v>12775.338809137935</v>
      </c>
      <c r="AK329" s="83">
        <f>(Tableau1[[#This Row],[Différence HP
Cumul]]*0.1799)+(Tableau1[[#This Row],[Différence HC
Cumul]]*0.1346)</f>
        <v>3221.9139</v>
      </c>
      <c r="AL329" s="83">
        <f>Tableau1[[#This Row],[Montant
Tarif HP/HC]]/Tableau1[[#This Row],[Diff jour_x000D_
Cumul]]</f>
        <v>5.8197851691662343</v>
      </c>
      <c r="AM329" s="83">
        <f>(Tableau1[[#This Row],[Montant
Tarif HP/HC]]-AK$6)/Tableau1[[#This Row],[Diff jour_x000D_
Cumul
depuis le 24/01]]</f>
        <v>5.426425785733092</v>
      </c>
      <c r="AN329" s="83">
        <f>(Tableau1[[#This Row],[Montant
Tarif HP/HC]]-AK$59)/Tableau1[[#This Row],[Diff jour_x000D_
Cumul
depuis
précédente facture
16/02/2021]]</f>
        <v>5.131629780712629</v>
      </c>
      <c r="AO329" s="83">
        <f>Tableau1[[#This Row],[Conso HP + HC
Cumul]]*0.1599</f>
        <v>3098.3822999999998</v>
      </c>
      <c r="AP329" s="83">
        <f>Tableau1[[#This Row],[Montant
Tarif normal]]/Tableau1[[#This Row],[Diff jour_x000D_
Cumul]]</f>
        <v>5.5966484262497405</v>
      </c>
      <c r="AQ329" s="83">
        <f>(Tableau1[[#This Row],[Conso HP / an
Cumul]]*0.1799)+(Tableau1[[#This Row],[Conso HC / an_x000D_
Cumul]]*0.1346)</f>
        <v>2124.2215867456757</v>
      </c>
      <c r="AR329" s="83">
        <f>Tableau1[[#This Row],[Conso HP + HC / an_x000D_
Cumul]]*0.1599</f>
        <v>2042.7766755811556</v>
      </c>
      <c r="AS329" s="79">
        <f>MONTH(Tableau1[[#This Row],[Date]])</f>
        <v>6</v>
      </c>
      <c r="AT329" s="79">
        <f>YEAR(Tableau1[[#This Row],[Date]])</f>
        <v>2022</v>
      </c>
    </row>
    <row r="330" spans="1:46" x14ac:dyDescent="0.2">
      <c r="A330" s="74">
        <v>44737.38958333333</v>
      </c>
      <c r="B330" s="75"/>
      <c r="C330" s="76">
        <f>IF(ISERROR(Tableau1[[#This Row],[Date]]-A329),"",Tableau1[[#This Row],[Date]]-A329)</f>
        <v>1.0673611111051287</v>
      </c>
      <c r="D330" s="77">
        <f>IF(ISERROR(Tableau1[[#This Row],[Date]]-A329),"",Tableau1[[#This Row],[Date]]-A329)</f>
        <v>1.0673611111051287</v>
      </c>
      <c r="E330" s="76">
        <f>Tableau1[[#This Row],[Date]]-$A$5</f>
        <v>554.68124999999418</v>
      </c>
      <c r="F330" s="77">
        <f>Tableau1[[#This Row],[Date]]-$A$5</f>
        <v>554.68124999999418</v>
      </c>
      <c r="G330" s="77">
        <f>Tableau1[[#This Row],[Diff jour_x000D_
Cumul]]-F$6</f>
        <v>516.5979166666657</v>
      </c>
      <c r="H330" s="77">
        <f>Tableau1[[#This Row],[Diff jour_x000D_
Cumul]]-F$59</f>
        <v>494.07847222221608</v>
      </c>
      <c r="I330" s="78">
        <v>193314</v>
      </c>
      <c r="J330" s="79">
        <f>IF(ISERROR(Tableau1[[#This Row],[Index HP
kWh]]-I329),"",Tableau1[[#This Row],[Index HP
kWh]]-I329)</f>
        <v>6</v>
      </c>
      <c r="K330" s="77">
        <f>IF(ISERROR(Tableau1[[#This Row],[Différence HP
Instantané]]/(Tableau1[[#This Row],[Diff jour
Instantané]]*24)),"",Tableau1[[#This Row],[Différence HP
Instantané]]/(Tableau1[[#This Row],[Diff jour
Instantané]]*24))</f>
        <v>0.23422251138712932</v>
      </c>
      <c r="L330" s="77">
        <f>Tableau1[[#This Row],[Différence HP
Instantané]]/Tableau1[[#This Row],[Diff jour
Instantané]]</f>
        <v>5.6213402732911035</v>
      </c>
      <c r="M330" s="77">
        <f>Tableau1[[#This Row],[Conso HP / jour
Instantané]]*365</f>
        <v>2051.7891997512529</v>
      </c>
      <c r="N330" s="79">
        <f>Tableau1[[#This Row],[Index HP
kWh]]-$I$5</f>
        <v>13555</v>
      </c>
      <c r="O330" s="80">
        <f>Tableau1[[#This Row],[Différence HP
Cumul]]/(Tableau1[[#This Row],[Diff jour_x000D_
Cumul]]*24)</f>
        <v>1.0182274354265131</v>
      </c>
      <c r="P330" s="80">
        <f>Tableau1[[#This Row],[Différence HP
Cumul]]/Tableau1[[#This Row],[Diff jour_x000D_
Cumul]]</f>
        <v>24.437458450236317</v>
      </c>
      <c r="Q330" s="80">
        <f>Tableau1[[#This Row],[Conso HP / jour
Cumul]]*365</f>
        <v>8919.6723343362555</v>
      </c>
      <c r="R330" s="78">
        <v>125262</v>
      </c>
      <c r="S330" s="79">
        <f>Tableau1[[#This Row],[Index HC_x000D_
kWh]]-R329</f>
        <v>2</v>
      </c>
      <c r="T330" s="81">
        <f>Tableau1[[#This Row],[Différence_x000D_ HC
Instantané]]/(Tableau1[[#This Row],[Diff jour
Instantané]]*24)</f>
        <v>7.8074170462376441E-2</v>
      </c>
      <c r="U330" s="81">
        <f>Tableau1[[#This Row],[Différence_x000D_ HC
Instantané]]/Tableau1[[#This Row],[Diff jour
Instantané]]</f>
        <v>1.8737800910970346</v>
      </c>
      <c r="V330" s="81">
        <f>Tableau1[[#This Row],[Conso HC / jour_x000D_
Instantané]]*365</f>
        <v>683.9297332504176</v>
      </c>
      <c r="W330" s="79">
        <f>Tableau1[[#This Row],[Index HC_x000D_
kWh]]-$R$5</f>
        <v>5830</v>
      </c>
      <c r="X330" s="82">
        <f>Tableau1[[#This Row],[Différence HC
Cumul]]/(Tableau1[[#This Row],[Diff jour_x000D_
Cumul]]*24)</f>
        <v>0.4379392068267482</v>
      </c>
      <c r="Y330" s="82">
        <f>Tableau1[[#This Row],[Différence HC
Cumul]]/Tableau1[[#This Row],[Diff jour_x000D_
Cumul]]</f>
        <v>10.510540963841956</v>
      </c>
      <c r="Z330" s="82">
        <f>Tableau1[[#This Row],[Conso HC / jour_x000D_
Cumul]]*365</f>
        <v>3836.347451802314</v>
      </c>
      <c r="AA330" s="79">
        <f>Tableau1[[#This Row],[Différence HP
Instantané]]+Tableau1[[#This Row],[Différence_x000D_ HC
Instantané]]</f>
        <v>8</v>
      </c>
      <c r="AB330" s="80">
        <f>Tableau1[[#This Row],[Conso HP + HC
Instantané]]/(Tableau1[[#This Row],[Diff jour
Instantané]]*24)</f>
        <v>0.31229668184950576</v>
      </c>
      <c r="AC330" s="80">
        <f>IF(ISERROR(Tableau1[[#This Row],[Date]]-A329),"",Tableau1[[#This Row],[Conso HP + HC
Instantané]]/Tableau1[[#This Row],[Diff jour
Instantané]])</f>
        <v>7.4951203643881383</v>
      </c>
      <c r="AD330" s="80">
        <f>Tableau1[[#This Row],[Conso HP + HC / jour_x000D_
Instantané]]*365</f>
        <v>2735.7189330016704</v>
      </c>
      <c r="AE330" s="79">
        <f>Tableau1[[#This Row],[Différence HP
Cumul]]+Tableau1[[#This Row],[Différence HC
Cumul]]</f>
        <v>19385</v>
      </c>
      <c r="AF330" s="77">
        <f>(Tableau1[[#This Row],[Conso HP + HC
Cumul]]-AE$6)/Tableau1[[#This Row],[Diff jour_x000D_
Cumul
depuis le 24/01]]</f>
        <v>32.547556731339313</v>
      </c>
      <c r="AG330" s="77">
        <f>(Tableau1[[#This Row],[Conso HP + HC
Cumul]]-AE$59)/Tableau1[[#This Row],[Diff jour_x000D_
Cumul
depuis
précédente facture
16/02/2021]]</f>
        <v>30.78053559305873</v>
      </c>
      <c r="AH330" s="80">
        <f>Tableau1[[#This Row],[Conso HP + HC
Cumul]]/(Tableau1[[#This Row],[Diff jour_x000D_
Cumul]]*24)</f>
        <v>1.4561666422532613</v>
      </c>
      <c r="AI330" s="80">
        <f>Tableau1[[#This Row],[Conso HP + HC
Cumul]]/Tableau1[[#This Row],[Diff jour_x000D_
Cumul]]</f>
        <v>34.947999414078275</v>
      </c>
      <c r="AJ330" s="80">
        <f>Tableau1[[#This Row],[Conso HP + HC / jour_x000D_
Cumul]]*365</f>
        <v>12756.01978613857</v>
      </c>
      <c r="AK330" s="83">
        <f>(Tableau1[[#This Row],[Différence HP
Cumul]]*0.1799)+(Tableau1[[#This Row],[Différence HC
Cumul]]*0.1346)</f>
        <v>3223.2624999999998</v>
      </c>
      <c r="AL330" s="83">
        <f>Tableau1[[#This Row],[Montant
Tarif HP/HC]]/Tableau1[[#This Row],[Diff jour_x000D_
Cumul]]</f>
        <v>5.8110175889306399</v>
      </c>
      <c r="AM330" s="83">
        <f>(Tableau1[[#This Row],[Montant
Tarif HP/HC]]-AK$6)/Tableau1[[#This Row],[Diff jour_x000D_
Cumul
depuis le 24/01]]</f>
        <v>5.41782459762792</v>
      </c>
      <c r="AN330" s="83">
        <f>(Tableau1[[#This Row],[Montant
Tarif HP/HC]]-AK$59)/Tableau1[[#This Row],[Diff jour_x000D_
Cumul
depuis
précédente facture
16/02/2021]]</f>
        <v>5.1232734116404206</v>
      </c>
      <c r="AO330" s="83">
        <f>Tableau1[[#This Row],[Conso HP + HC
Cumul]]*0.1599</f>
        <v>3099.6614999999997</v>
      </c>
      <c r="AP330" s="83">
        <f>Tableau1[[#This Row],[Montant
Tarif normal]]/Tableau1[[#This Row],[Diff jour_x000D_
Cumul]]</f>
        <v>5.5881851063111148</v>
      </c>
      <c r="AQ330" s="83">
        <f>(Tableau1[[#This Row],[Conso HP / an
Cumul]]*0.1799)+(Tableau1[[#This Row],[Conso HC / an_x000D_
Cumul]]*0.1346)</f>
        <v>2121.021419959684</v>
      </c>
      <c r="AR330" s="83">
        <f>Tableau1[[#This Row],[Conso HP + HC / an_x000D_
Cumul]]*0.1599</f>
        <v>2039.6875638035572</v>
      </c>
      <c r="AS330" s="79">
        <f>MONTH(Tableau1[[#This Row],[Date]])</f>
        <v>6</v>
      </c>
      <c r="AT330" s="79">
        <f>YEAR(Tableau1[[#This Row],[Date]])</f>
        <v>2022</v>
      </c>
    </row>
    <row r="331" spans="1:46" x14ac:dyDescent="0.2">
      <c r="A331" s="74">
        <v>44738.408333333333</v>
      </c>
      <c r="B331" s="75"/>
      <c r="C331" s="76">
        <f>IF(ISERROR(Tableau1[[#This Row],[Date]]-A330),"",Tableau1[[#This Row],[Date]]-A330)</f>
        <v>1.0187500000029104</v>
      </c>
      <c r="D331" s="77">
        <f>IF(ISERROR(Tableau1[[#This Row],[Date]]-A330),"",Tableau1[[#This Row],[Date]]-A330)</f>
        <v>1.0187500000029104</v>
      </c>
      <c r="E331" s="76">
        <f>Tableau1[[#This Row],[Date]]-$A$5</f>
        <v>555.69999999999709</v>
      </c>
      <c r="F331" s="77">
        <f>Tableau1[[#This Row],[Date]]-$A$5</f>
        <v>555.69999999999709</v>
      </c>
      <c r="G331" s="77">
        <f>Tableau1[[#This Row],[Diff jour_x000D_
Cumul]]-F$6</f>
        <v>517.61666666666861</v>
      </c>
      <c r="H331" s="77">
        <f>Tableau1[[#This Row],[Diff jour_x000D_
Cumul]]-F$59</f>
        <v>495.09722222221899</v>
      </c>
      <c r="I331" s="78">
        <v>193322</v>
      </c>
      <c r="J331" s="79">
        <f>IF(ISERROR(Tableau1[[#This Row],[Index HP
kWh]]-I330),"",Tableau1[[#This Row],[Index HP
kWh]]-I330)</f>
        <v>8</v>
      </c>
      <c r="K331" s="77">
        <f>IF(ISERROR(Tableau1[[#This Row],[Différence HP
Instantané]]/(Tableau1[[#This Row],[Diff jour
Instantané]]*24)),"",Tableau1[[#This Row],[Différence HP
Instantané]]/(Tableau1[[#This Row],[Diff jour
Instantané]]*24))</f>
        <v>0.32719836400724522</v>
      </c>
      <c r="L331" s="77">
        <f>Tableau1[[#This Row],[Différence HP
Instantané]]/Tableau1[[#This Row],[Diff jour
Instantané]]</f>
        <v>7.8527607361738854</v>
      </c>
      <c r="M331" s="77">
        <f>Tableau1[[#This Row],[Conso HP / jour
Instantané]]*365</f>
        <v>2866.257668703468</v>
      </c>
      <c r="N331" s="79">
        <f>Tableau1[[#This Row],[Index HP
kWh]]-$I$5</f>
        <v>13563</v>
      </c>
      <c r="O331" s="80">
        <f>Tableau1[[#This Row],[Différence HP
Cumul]]/(Tableau1[[#This Row],[Diff jour_x000D_
Cumul]]*24)</f>
        <v>1.0169605902465413</v>
      </c>
      <c r="P331" s="80">
        <f>Tableau1[[#This Row],[Différence HP
Cumul]]/Tableau1[[#This Row],[Diff jour_x000D_
Cumul]]</f>
        <v>24.407054165916989</v>
      </c>
      <c r="Q331" s="80">
        <f>Tableau1[[#This Row],[Conso HP / jour
Cumul]]*365</f>
        <v>8908.5747705597005</v>
      </c>
      <c r="R331" s="78">
        <v>125265</v>
      </c>
      <c r="S331" s="79">
        <f>Tableau1[[#This Row],[Index HC_x000D_
kWh]]-R330</f>
        <v>3</v>
      </c>
      <c r="T331" s="81">
        <f>Tableau1[[#This Row],[Différence_x000D_ HC
Instantané]]/(Tableau1[[#This Row],[Diff jour
Instantané]]*24)</f>
        <v>0.12269938650271696</v>
      </c>
      <c r="U331" s="81">
        <f>Tableau1[[#This Row],[Différence_x000D_ HC
Instantané]]/Tableau1[[#This Row],[Diff jour
Instantané]]</f>
        <v>2.9447852760652071</v>
      </c>
      <c r="V331" s="81">
        <f>Tableau1[[#This Row],[Conso HC / jour_x000D_
Instantané]]*365</f>
        <v>1074.8466257638006</v>
      </c>
      <c r="W331" s="79">
        <f>Tableau1[[#This Row],[Index HC_x000D_
kWh]]-$R$5</f>
        <v>5833</v>
      </c>
      <c r="X331" s="82">
        <f>Tableau1[[#This Row],[Différence HC
Cumul]]/(Tableau1[[#This Row],[Diff jour_x000D_
Cumul]]*24)</f>
        <v>0.43736128606562524</v>
      </c>
      <c r="Y331" s="82">
        <f>Tableau1[[#This Row],[Différence HC
Cumul]]/Tableau1[[#This Row],[Diff jour_x000D_
Cumul]]</f>
        <v>10.496670865575005</v>
      </c>
      <c r="Z331" s="82">
        <f>Tableau1[[#This Row],[Conso HC / jour_x000D_
Cumul]]*365</f>
        <v>3831.284865934877</v>
      </c>
      <c r="AA331" s="79">
        <f>Tableau1[[#This Row],[Différence HP
Instantané]]+Tableau1[[#This Row],[Différence_x000D_ HC
Instantané]]</f>
        <v>11</v>
      </c>
      <c r="AB331" s="80">
        <f>Tableau1[[#This Row],[Conso HP + HC
Instantané]]/(Tableau1[[#This Row],[Diff jour
Instantané]]*24)</f>
        <v>0.44989775050996217</v>
      </c>
      <c r="AC331" s="80">
        <f>IF(ISERROR(Tableau1[[#This Row],[Date]]-A330),"",Tableau1[[#This Row],[Conso HP + HC
Instantané]]/Tableau1[[#This Row],[Diff jour
Instantané]])</f>
        <v>10.797546012239092</v>
      </c>
      <c r="AD331" s="80">
        <f>Tableau1[[#This Row],[Conso HP + HC / jour_x000D_
Instantané]]*365</f>
        <v>3941.1042944672686</v>
      </c>
      <c r="AE331" s="79">
        <f>Tableau1[[#This Row],[Différence HP
Cumul]]+Tableau1[[#This Row],[Différence HC
Cumul]]</f>
        <v>19396</v>
      </c>
      <c r="AF331" s="77">
        <f>(Tableau1[[#This Row],[Conso HP + HC
Cumul]]-AE$6)/Tableau1[[#This Row],[Diff jour_x000D_
Cumul
depuis le 24/01]]</f>
        <v>32.504749331873526</v>
      </c>
      <c r="AG331" s="77">
        <f>(Tableau1[[#This Row],[Conso HP + HC
Cumul]]-AE$59)/Tableau1[[#This Row],[Diff jour_x000D_
Cumul
depuis
précédente facture
16/02/2021]]</f>
        <v>30.739417061744525</v>
      </c>
      <c r="AH331" s="80">
        <f>Tableau1[[#This Row],[Conso HP + HC
Cumul]]/(Tableau1[[#This Row],[Diff jour_x000D_
Cumul]]*24)</f>
        <v>1.4543218763121664</v>
      </c>
      <c r="AI331" s="80">
        <f>Tableau1[[#This Row],[Conso HP + HC
Cumul]]/Tableau1[[#This Row],[Diff jour_x000D_
Cumul]]</f>
        <v>34.903725031491994</v>
      </c>
      <c r="AJ331" s="80">
        <f>Tableau1[[#This Row],[Conso HP + HC / jour_x000D_
Cumul]]*365</f>
        <v>12739.859636494579</v>
      </c>
      <c r="AK331" s="83">
        <f>(Tableau1[[#This Row],[Différence HP
Cumul]]*0.1799)+(Tableau1[[#This Row],[Différence HC
Cumul]]*0.1346)</f>
        <v>3225.1055000000001</v>
      </c>
      <c r="AL331" s="83">
        <f>Tableau1[[#This Row],[Montant
Tarif HP/HC]]/Tableau1[[#This Row],[Diff jour_x000D_
Cumul]]</f>
        <v>5.8036809429548626</v>
      </c>
      <c r="AM331" s="83">
        <f>(Tableau1[[#This Row],[Montant
Tarif HP/HC]]-AK$6)/Tableau1[[#This Row],[Diff jour_x000D_
Cumul
depuis le 24/01]]</f>
        <v>5.4107220272402152</v>
      </c>
      <c r="AN331" s="83">
        <f>(Tableau1[[#This Row],[Montant
Tarif HP/HC]]-AK$59)/Tableau1[[#This Row],[Diff jour_x000D_
Cumul
depuis
précédente facture
16/02/2021]]</f>
        <v>5.1164538726961935</v>
      </c>
      <c r="AO331" s="83">
        <f>Tableau1[[#This Row],[Conso HP + HC
Cumul]]*0.1599</f>
        <v>3101.4203999999995</v>
      </c>
      <c r="AP331" s="83">
        <f>Tableau1[[#This Row],[Montant
Tarif normal]]/Tableau1[[#This Row],[Diff jour_x000D_
Cumul]]</f>
        <v>5.5811056325355688</v>
      </c>
      <c r="AQ331" s="83">
        <f>(Tableau1[[#This Row],[Conso HP / an
Cumul]]*0.1799)+(Tableau1[[#This Row],[Conso HC / an_x000D_
Cumul]]*0.1346)</f>
        <v>2118.3435441785246</v>
      </c>
      <c r="AR331" s="83">
        <f>Tableau1[[#This Row],[Conso HP + HC / an_x000D_
Cumul]]*0.1599</f>
        <v>2037.1035558754829</v>
      </c>
      <c r="AS331" s="79">
        <f>MONTH(Tableau1[[#This Row],[Date]])</f>
        <v>6</v>
      </c>
      <c r="AT331" s="79">
        <f>YEAR(Tableau1[[#This Row],[Date]])</f>
        <v>2022</v>
      </c>
    </row>
    <row r="332" spans="1:46" x14ac:dyDescent="0.2">
      <c r="A332" s="74">
        <v>44739.320833333331</v>
      </c>
      <c r="B332" s="75"/>
      <c r="C332" s="76">
        <f>IF(ISERROR(Tableau1[[#This Row],[Date]]-A331),"",Tableau1[[#This Row],[Date]]-A331)</f>
        <v>0.91249999999854481</v>
      </c>
      <c r="D332" s="77">
        <f>IF(ISERROR(Tableau1[[#This Row],[Date]]-A331),"",Tableau1[[#This Row],[Date]]-A331)</f>
        <v>0.91249999999854481</v>
      </c>
      <c r="E332" s="76">
        <f>Tableau1[[#This Row],[Date]]-$A$5</f>
        <v>556.61249999999563</v>
      </c>
      <c r="F332" s="77">
        <f>Tableau1[[#This Row],[Date]]-$A$5</f>
        <v>556.61249999999563</v>
      </c>
      <c r="G332" s="77">
        <f>Tableau1[[#This Row],[Diff jour_x000D_
Cumul]]-F$6</f>
        <v>518.52916666666715</v>
      </c>
      <c r="H332" s="77">
        <f>Tableau1[[#This Row],[Diff jour_x000D_
Cumul]]-F$59</f>
        <v>496.00972222221753</v>
      </c>
      <c r="I332" s="78">
        <v>193329</v>
      </c>
      <c r="J332" s="79">
        <f>IF(ISERROR(Tableau1[[#This Row],[Index HP
kWh]]-I331),"",Tableau1[[#This Row],[Index HP
kWh]]-I331)</f>
        <v>7</v>
      </c>
      <c r="K332" s="77">
        <f>IF(ISERROR(Tableau1[[#This Row],[Différence HP
Instantané]]/(Tableau1[[#This Row],[Diff jour
Instantané]]*24)),"",Tableau1[[#This Row],[Différence HP
Instantané]]/(Tableau1[[#This Row],[Diff jour
Instantané]]*24))</f>
        <v>0.31963470319685677</v>
      </c>
      <c r="L332" s="77">
        <f>Tableau1[[#This Row],[Différence HP
Instantané]]/Tableau1[[#This Row],[Diff jour
Instantané]]</f>
        <v>7.6712328767245621</v>
      </c>
      <c r="M332" s="77">
        <f>Tableau1[[#This Row],[Conso HP / jour
Instantané]]*365</f>
        <v>2800.0000000044652</v>
      </c>
      <c r="N332" s="79">
        <f>Tableau1[[#This Row],[Index HP
kWh]]-$I$5</f>
        <v>13570</v>
      </c>
      <c r="O332" s="80">
        <f>Tableau1[[#This Row],[Différence HP
Cumul]]/(Tableau1[[#This Row],[Diff jour_x000D_
Cumul]]*24)</f>
        <v>1.0158174073824628</v>
      </c>
      <c r="P332" s="80">
        <f>Tableau1[[#This Row],[Différence HP
Cumul]]/Tableau1[[#This Row],[Diff jour_x000D_
Cumul]]</f>
        <v>24.37961777717911</v>
      </c>
      <c r="Q332" s="80">
        <f>Tableau1[[#This Row],[Conso HP / jour
Cumul]]*365</f>
        <v>8898.560488670375</v>
      </c>
      <c r="R332" s="78">
        <v>125267</v>
      </c>
      <c r="S332" s="79">
        <f>Tableau1[[#This Row],[Index HC_x000D_
kWh]]-R331</f>
        <v>2</v>
      </c>
      <c r="T332" s="81">
        <f>Tableau1[[#This Row],[Différence_x000D_ HC
Instantané]]/(Tableau1[[#This Row],[Diff jour
Instantané]]*24)</f>
        <v>9.1324200913387651E-2</v>
      </c>
      <c r="U332" s="81">
        <f>Tableau1[[#This Row],[Différence_x000D_ HC
Instantané]]/Tableau1[[#This Row],[Diff jour
Instantané]]</f>
        <v>2.1917808219213035</v>
      </c>
      <c r="V332" s="81">
        <f>Tableau1[[#This Row],[Conso HC / jour_x000D_
Instantané]]*365</f>
        <v>800.00000000127579</v>
      </c>
      <c r="W332" s="79">
        <f>Tableau1[[#This Row],[Index HC_x000D_
kWh]]-$R$5</f>
        <v>5835</v>
      </c>
      <c r="X332" s="82">
        <f>Tableau1[[#This Row],[Différence HC
Cumul]]/(Tableau1[[#This Row],[Diff jour_x000D_
Cumul]]*24)</f>
        <v>0.4367939994161143</v>
      </c>
      <c r="Y332" s="82">
        <f>Tableau1[[#This Row],[Différence HC
Cumul]]/Tableau1[[#This Row],[Diff jour_x000D_
Cumul]]</f>
        <v>10.483055985986743</v>
      </c>
      <c r="Z332" s="82">
        <f>Tableau1[[#This Row],[Conso HC / jour_x000D_
Cumul]]*365</f>
        <v>3826.3154348851613</v>
      </c>
      <c r="AA332" s="79">
        <f>Tableau1[[#This Row],[Différence HP
Instantané]]+Tableau1[[#This Row],[Différence_x000D_ HC
Instantané]]</f>
        <v>9</v>
      </c>
      <c r="AB332" s="80">
        <f>Tableau1[[#This Row],[Conso HP + HC
Instantané]]/(Tableau1[[#This Row],[Diff jour
Instantané]]*24)</f>
        <v>0.41095890411024438</v>
      </c>
      <c r="AC332" s="80">
        <f>IF(ISERROR(Tableau1[[#This Row],[Date]]-A331),"",Tableau1[[#This Row],[Conso HP + HC
Instantané]]/Tableau1[[#This Row],[Diff jour
Instantané]])</f>
        <v>9.8630136986458652</v>
      </c>
      <c r="AD332" s="80">
        <f>Tableau1[[#This Row],[Conso HP + HC / jour_x000D_
Instantané]]*365</f>
        <v>3600.0000000057407</v>
      </c>
      <c r="AE332" s="79">
        <f>Tableau1[[#This Row],[Différence HP
Cumul]]+Tableau1[[#This Row],[Différence HC
Cumul]]</f>
        <v>19405</v>
      </c>
      <c r="AF332" s="77">
        <f>(Tableau1[[#This Row],[Conso HP + HC
Cumul]]-AE$6)/Tableau1[[#This Row],[Diff jour_x000D_
Cumul
depuis le 24/01]]</f>
        <v>32.464904738563376</v>
      </c>
      <c r="AG332" s="77">
        <f>(Tableau1[[#This Row],[Conso HP + HC
Cumul]]-AE$59)/Tableau1[[#This Row],[Diff jour_x000D_
Cumul
depuis
précédente facture
16/02/2021]]</f>
        <v>30.701011124894237</v>
      </c>
      <c r="AH332" s="80">
        <f>Tableau1[[#This Row],[Conso HP + HC
Cumul]]/(Tableau1[[#This Row],[Diff jour_x000D_
Cumul]]*24)</f>
        <v>1.4526114067985771</v>
      </c>
      <c r="AI332" s="80">
        <f>Tableau1[[#This Row],[Conso HP + HC
Cumul]]/Tableau1[[#This Row],[Diff jour_x000D_
Cumul]]</f>
        <v>34.862673763165851</v>
      </c>
      <c r="AJ332" s="80">
        <f>Tableau1[[#This Row],[Conso HP + HC / jour_x000D_
Cumul]]*365</f>
        <v>12724.875923555535</v>
      </c>
      <c r="AK332" s="83">
        <f>(Tableau1[[#This Row],[Différence HP
Cumul]]*0.1799)+(Tableau1[[#This Row],[Différence HC
Cumul]]*0.1346)</f>
        <v>3226.634</v>
      </c>
      <c r="AL332" s="83">
        <f>Tableau1[[#This Row],[Montant
Tarif HP/HC]]/Tableau1[[#This Row],[Diff jour_x000D_
Cumul]]</f>
        <v>5.7969125738283376</v>
      </c>
      <c r="AM332" s="83">
        <f>(Tableau1[[#This Row],[Montant
Tarif HP/HC]]-AK$6)/Tableau1[[#This Row],[Diff jour_x000D_
Cumul
depuis le 24/01]]</f>
        <v>5.4041480791019421</v>
      </c>
      <c r="AN332" s="83">
        <f>(Tableau1[[#This Row],[Montant
Tarif HP/HC]]-AK$59)/Tableau1[[#This Row],[Diff jour_x000D_
Cumul
depuis
précédente facture
16/02/2021]]</f>
        <v>5.1101228190532142</v>
      </c>
      <c r="AO332" s="83">
        <f>Tableau1[[#This Row],[Conso HP + HC
Cumul]]*0.1599</f>
        <v>3102.8594999999996</v>
      </c>
      <c r="AP332" s="83">
        <f>Tableau1[[#This Row],[Montant
Tarif normal]]/Tableau1[[#This Row],[Diff jour_x000D_
Cumul]]</f>
        <v>5.5745415347302192</v>
      </c>
      <c r="AQ332" s="83">
        <f>(Tableau1[[#This Row],[Conso HP / an
Cumul]]*0.1799)+(Tableau1[[#This Row],[Conso HC / an_x000D_
Cumul]]*0.1346)</f>
        <v>2115.8730894473429</v>
      </c>
      <c r="AR332" s="83">
        <f>Tableau1[[#This Row],[Conso HP + HC / an_x000D_
Cumul]]*0.1599</f>
        <v>2034.70766017653</v>
      </c>
      <c r="AS332" s="79">
        <f>MONTH(Tableau1[[#This Row],[Date]])</f>
        <v>6</v>
      </c>
      <c r="AT332" s="79">
        <f>YEAR(Tableau1[[#This Row],[Date]])</f>
        <v>2022</v>
      </c>
    </row>
    <row r="333" spans="1:46" x14ac:dyDescent="0.2">
      <c r="A333" s="74">
        <v>44740.313194444447</v>
      </c>
      <c r="B333" s="75"/>
      <c r="C333" s="76">
        <f>IF(ISERROR(Tableau1[[#This Row],[Date]]-A332),"",Tableau1[[#This Row],[Date]]-A332)</f>
        <v>0.992361111115315</v>
      </c>
      <c r="D333" s="77">
        <f>IF(ISERROR(Tableau1[[#This Row],[Date]]-A332),"",Tableau1[[#This Row],[Date]]-A332)</f>
        <v>0.992361111115315</v>
      </c>
      <c r="E333" s="76">
        <f>Tableau1[[#This Row],[Date]]-$A$5</f>
        <v>557.60486111111095</v>
      </c>
      <c r="F333" s="77">
        <f>Tableau1[[#This Row],[Date]]-$A$5</f>
        <v>557.60486111111095</v>
      </c>
      <c r="G333" s="77">
        <f>Tableau1[[#This Row],[Diff jour_x000D_
Cumul]]-F$6</f>
        <v>519.52152777778247</v>
      </c>
      <c r="H333" s="77">
        <f>Tableau1[[#This Row],[Diff jour_x000D_
Cumul]]-F$59</f>
        <v>497.00208333333285</v>
      </c>
      <c r="I333" s="78">
        <v>193336</v>
      </c>
      <c r="J333" s="79">
        <f>IF(ISERROR(Tableau1[[#This Row],[Index HP
kWh]]-I332),"",Tableau1[[#This Row],[Index HP
kWh]]-I332)</f>
        <v>7</v>
      </c>
      <c r="K333" s="77">
        <f>IF(ISERROR(Tableau1[[#This Row],[Différence HP
Instantané]]/(Tableau1[[#This Row],[Diff jour
Instantané]]*24)),"",Tableau1[[#This Row],[Différence HP
Instantané]]/(Tableau1[[#This Row],[Diff jour
Instantané]]*24))</f>
        <v>0.29391182645081931</v>
      </c>
      <c r="L333" s="77">
        <f>Tableau1[[#This Row],[Différence HP
Instantané]]/Tableau1[[#This Row],[Diff jour
Instantané]]</f>
        <v>7.0538838348196631</v>
      </c>
      <c r="M333" s="77">
        <f>Tableau1[[#This Row],[Conso HP / jour
Instantané]]*365</f>
        <v>2574.667599709177</v>
      </c>
      <c r="N333" s="79">
        <f>Tableau1[[#This Row],[Index HP
kWh]]-$I$5</f>
        <v>13577</v>
      </c>
      <c r="O333" s="80">
        <f>Tableau1[[#This Row],[Différence HP
Cumul]]/(Tableau1[[#This Row],[Diff jour_x000D_
Cumul]]*24)</f>
        <v>1.0145326427141883</v>
      </c>
      <c r="P333" s="80">
        <f>Tableau1[[#This Row],[Différence HP
Cumul]]/Tableau1[[#This Row],[Diff jour_x000D_
Cumul]]</f>
        <v>24.348783425140521</v>
      </c>
      <c r="Q333" s="80">
        <f>Tableau1[[#This Row],[Conso HP / jour
Cumul]]*365</f>
        <v>8887.3059501762909</v>
      </c>
      <c r="R333" s="78">
        <v>125269</v>
      </c>
      <c r="S333" s="79">
        <f>Tableau1[[#This Row],[Index HC_x000D_
kWh]]-R332</f>
        <v>2</v>
      </c>
      <c r="T333" s="81">
        <f>Tableau1[[#This Row],[Différence_x000D_ HC
Instantané]]/(Tableau1[[#This Row],[Diff jour
Instantané]]*24)</f>
        <v>8.3974807557376949E-2</v>
      </c>
      <c r="U333" s="81">
        <f>Tableau1[[#This Row],[Différence_x000D_ HC
Instantané]]/Tableau1[[#This Row],[Diff jour
Instantané]]</f>
        <v>2.0153953813770467</v>
      </c>
      <c r="V333" s="81">
        <f>Tableau1[[#This Row],[Conso HC / jour_x000D_
Instantané]]*365</f>
        <v>735.61931420262204</v>
      </c>
      <c r="W333" s="79">
        <f>Tableau1[[#This Row],[Index HC_x000D_
kWh]]-$R$5</f>
        <v>5837</v>
      </c>
      <c r="X333" s="82">
        <f>Tableau1[[#This Row],[Différence HC
Cumul]]/(Tableau1[[#This Row],[Diff jour_x000D_
Cumul]]*24)</f>
        <v>0.43616609232692916</v>
      </c>
      <c r="Y333" s="82">
        <f>Tableau1[[#This Row],[Différence HC
Cumul]]/Tableau1[[#This Row],[Diff jour_x000D_
Cumul]]</f>
        <v>10.467986215846301</v>
      </c>
      <c r="Z333" s="82">
        <f>Tableau1[[#This Row],[Conso HC / jour_x000D_
Cumul]]*365</f>
        <v>3820.8149687838995</v>
      </c>
      <c r="AA333" s="79">
        <f>Tableau1[[#This Row],[Différence HP
Instantané]]+Tableau1[[#This Row],[Différence_x000D_ HC
Instantané]]</f>
        <v>9</v>
      </c>
      <c r="AB333" s="80">
        <f>Tableau1[[#This Row],[Conso HP + HC
Instantané]]/(Tableau1[[#This Row],[Diff jour
Instantané]]*24)</f>
        <v>0.37788663400819622</v>
      </c>
      <c r="AC333" s="80">
        <f>IF(ISERROR(Tableau1[[#This Row],[Date]]-A332),"",Tableau1[[#This Row],[Conso HP + HC
Instantané]]/Tableau1[[#This Row],[Diff jour
Instantané]])</f>
        <v>9.0692792161967102</v>
      </c>
      <c r="AD333" s="80">
        <f>Tableau1[[#This Row],[Conso HP + HC / jour_x000D_
Instantané]]*365</f>
        <v>3310.2869139117993</v>
      </c>
      <c r="AE333" s="79">
        <f>Tableau1[[#This Row],[Différence HP
Cumul]]+Tableau1[[#This Row],[Différence HC
Cumul]]</f>
        <v>19414</v>
      </c>
      <c r="AF333" s="77">
        <f>(Tableau1[[#This Row],[Conso HP + HC
Cumul]]-AE$6)/Tableau1[[#This Row],[Diff jour_x000D_
Cumul
depuis le 24/01]]</f>
        <v>32.420215716651384</v>
      </c>
      <c r="AG333" s="77">
        <f>(Tableau1[[#This Row],[Conso HP + HC
Cumul]]-AE$59)/Tableau1[[#This Row],[Diff jour_x000D_
Cumul
depuis
précédente facture
16/02/2021]]</f>
        <v>30.657819174131593</v>
      </c>
      <c r="AH333" s="80">
        <f>Tableau1[[#This Row],[Conso HP + HC
Cumul]]/(Tableau1[[#This Row],[Diff jour_x000D_
Cumul]]*24)</f>
        <v>1.4506987350411176</v>
      </c>
      <c r="AI333" s="80">
        <f>Tableau1[[#This Row],[Conso HP + HC
Cumul]]/Tableau1[[#This Row],[Diff jour_x000D_
Cumul]]</f>
        <v>34.81676964098682</v>
      </c>
      <c r="AJ333" s="80">
        <f>Tableau1[[#This Row],[Conso HP + HC / jour_x000D_
Cumul]]*365</f>
        <v>12708.120918960189</v>
      </c>
      <c r="AK333" s="83">
        <f>(Tableau1[[#This Row],[Différence HP
Cumul]]*0.1799)+(Tableau1[[#This Row],[Différence HC
Cumul]]*0.1346)</f>
        <v>3228.1625000000004</v>
      </c>
      <c r="AL333" s="83">
        <f>Tableau1[[#This Row],[Montant
Tarif HP/HC]]/Tableau1[[#This Row],[Diff jour_x000D_
Cumul]]</f>
        <v>5.7893370828356918</v>
      </c>
      <c r="AM333" s="83">
        <f>(Tableau1[[#This Row],[Montant
Tarif HP/HC]]-AK$6)/Tableau1[[#This Row],[Diff jour_x000D_
Cumul
depuis le 24/01]]</f>
        <v>5.3967675064261371</v>
      </c>
      <c r="AN333" s="83">
        <f>(Tableau1[[#This Row],[Montant
Tarif HP/HC]]-AK$59)/Tableau1[[#This Row],[Diff jour_x000D_
Cumul
depuis
précédente facture
16/02/2021]]</f>
        <v>5.102994906963005</v>
      </c>
      <c r="AO333" s="83">
        <f>Tableau1[[#This Row],[Conso HP + HC
Cumul]]*0.1599</f>
        <v>3104.2985999999996</v>
      </c>
      <c r="AP333" s="83">
        <f>Tableau1[[#This Row],[Montant
Tarif normal]]/Tableau1[[#This Row],[Diff jour_x000D_
Cumul]]</f>
        <v>5.5672014655937918</v>
      </c>
      <c r="AQ333" s="83">
        <f>(Tableau1[[#This Row],[Conso HP / an
Cumul]]*0.1799)+(Tableau1[[#This Row],[Conso HC / an_x000D_
Cumul]]*0.1346)</f>
        <v>2113.1080352350277</v>
      </c>
      <c r="AR333" s="83">
        <f>Tableau1[[#This Row],[Conso HP + HC / an_x000D_
Cumul]]*0.1599</f>
        <v>2032.0285349417341</v>
      </c>
      <c r="AS333" s="79">
        <f>MONTH(Tableau1[[#This Row],[Date]])</f>
        <v>6</v>
      </c>
      <c r="AT333" s="79">
        <f>YEAR(Tableau1[[#This Row],[Date]])</f>
        <v>2022</v>
      </c>
    </row>
    <row r="334" spans="1:46" x14ac:dyDescent="0.2">
      <c r="A334" s="74">
        <v>44741.350694444445</v>
      </c>
      <c r="B334" s="75"/>
      <c r="C334" s="76">
        <f>IF(ISERROR(Tableau1[[#This Row],[Date]]-A333),"",Tableau1[[#This Row],[Date]]-A333)</f>
        <v>1.0374999999985448</v>
      </c>
      <c r="D334" s="77">
        <f>IF(ISERROR(Tableau1[[#This Row],[Date]]-A333),"",Tableau1[[#This Row],[Date]]-A333)</f>
        <v>1.0374999999985448</v>
      </c>
      <c r="E334" s="76">
        <f>Tableau1[[#This Row],[Date]]-$A$5</f>
        <v>558.64236111110949</v>
      </c>
      <c r="F334" s="77">
        <f>Tableau1[[#This Row],[Date]]-$A$5</f>
        <v>558.64236111110949</v>
      </c>
      <c r="G334" s="77">
        <f>Tableau1[[#This Row],[Diff jour_x000D_
Cumul]]-F$6</f>
        <v>520.55902777778101</v>
      </c>
      <c r="H334" s="77">
        <f>Tableau1[[#This Row],[Diff jour_x000D_
Cumul]]-F$59</f>
        <v>498.03958333333139</v>
      </c>
      <c r="I334" s="78">
        <v>193341</v>
      </c>
      <c r="J334" s="79">
        <f>IF(ISERROR(Tableau1[[#This Row],[Index HP
kWh]]-I333),"",Tableau1[[#This Row],[Index HP
kWh]]-I333)</f>
        <v>5</v>
      </c>
      <c r="K334" s="77">
        <f>IF(ISERROR(Tableau1[[#This Row],[Différence HP
Instantané]]/(Tableau1[[#This Row],[Diff jour
Instantané]]*24)),"",Tableau1[[#This Row],[Différence HP
Instantané]]/(Tableau1[[#This Row],[Diff jour
Instantané]]*24))</f>
        <v>0.20080321285168726</v>
      </c>
      <c r="L334" s="77">
        <f>Tableau1[[#This Row],[Différence HP
Instantané]]/Tableau1[[#This Row],[Diff jour
Instantané]]</f>
        <v>4.8192771084404944</v>
      </c>
      <c r="M334" s="77">
        <f>Tableau1[[#This Row],[Conso HP / jour
Instantané]]*365</f>
        <v>1759.0361445807805</v>
      </c>
      <c r="N334" s="79">
        <f>Tableau1[[#This Row],[Index HP
kWh]]-$I$5</f>
        <v>13582</v>
      </c>
      <c r="O334" s="80">
        <f>Tableau1[[#This Row],[Différence HP
Cumul]]/(Tableau1[[#This Row],[Diff jour_x000D_
Cumul]]*24)</f>
        <v>1.0130213998471025</v>
      </c>
      <c r="P334" s="80">
        <f>Tableau1[[#This Row],[Différence HP
Cumul]]/Tableau1[[#This Row],[Diff jour_x000D_
Cumul]]</f>
        <v>24.312513596330458</v>
      </c>
      <c r="Q334" s="80">
        <f>Tableau1[[#This Row],[Conso HP / jour
Cumul]]*365</f>
        <v>8874.0674626606178</v>
      </c>
      <c r="R334" s="78">
        <v>125271</v>
      </c>
      <c r="S334" s="79">
        <f>Tableau1[[#This Row],[Index HC_x000D_
kWh]]-R333</f>
        <v>2</v>
      </c>
      <c r="T334" s="81">
        <f>Tableau1[[#This Row],[Différence_x000D_ HC
Instantané]]/(Tableau1[[#This Row],[Diff jour
Instantané]]*24)</f>
        <v>8.0321285140674908E-2</v>
      </c>
      <c r="U334" s="81">
        <f>Tableau1[[#This Row],[Différence_x000D_ HC
Instantané]]/Tableau1[[#This Row],[Diff jour
Instantané]]</f>
        <v>1.9277108433761978</v>
      </c>
      <c r="V334" s="81">
        <f>Tableau1[[#This Row],[Conso HC / jour_x000D_
Instantané]]*365</f>
        <v>703.61445783231216</v>
      </c>
      <c r="W334" s="79">
        <f>Tableau1[[#This Row],[Index HC_x000D_
kWh]]-$R$5</f>
        <v>5839</v>
      </c>
      <c r="X334" s="82">
        <f>Tableau1[[#This Row],[Différence HC
Cumul]]/(Tableau1[[#This Row],[Diff jour_x000D_
Cumul]]*24)</f>
        <v>0.43550522409860343</v>
      </c>
      <c r="Y334" s="82">
        <f>Tableau1[[#This Row],[Différence HC
Cumul]]/Tableau1[[#This Row],[Diff jour_x000D_
Cumul]]</f>
        <v>10.452125378366482</v>
      </c>
      <c r="Z334" s="82">
        <f>Tableau1[[#This Row],[Conso HC / jour_x000D_
Cumul]]*365</f>
        <v>3815.0257631037657</v>
      </c>
      <c r="AA334" s="79">
        <f>Tableau1[[#This Row],[Différence HP
Instantané]]+Tableau1[[#This Row],[Différence_x000D_ HC
Instantané]]</f>
        <v>7</v>
      </c>
      <c r="AB334" s="80">
        <f>Tableau1[[#This Row],[Conso HP + HC
Instantané]]/(Tableau1[[#This Row],[Diff jour
Instantané]]*24)</f>
        <v>0.28112449799236217</v>
      </c>
      <c r="AC334" s="80">
        <f>IF(ISERROR(Tableau1[[#This Row],[Date]]-A333),"",Tableau1[[#This Row],[Conso HP + HC
Instantané]]/Tableau1[[#This Row],[Diff jour
Instantané]])</f>
        <v>6.746987951816692</v>
      </c>
      <c r="AD334" s="80">
        <f>Tableau1[[#This Row],[Conso HP + HC / jour_x000D_
Instantané]]*365</f>
        <v>2462.6506024130927</v>
      </c>
      <c r="AE334" s="79">
        <f>Tableau1[[#This Row],[Différence HP
Cumul]]+Tableau1[[#This Row],[Différence HC
Cumul]]</f>
        <v>19421</v>
      </c>
      <c r="AF334" s="77">
        <f>(Tableau1[[#This Row],[Conso HP + HC
Cumul]]-AE$6)/Tableau1[[#This Row],[Diff jour_x000D_
Cumul
depuis le 24/01]]</f>
        <v>32.369047698454317</v>
      </c>
      <c r="AG334" s="77">
        <f>(Tableau1[[#This Row],[Conso HP + HC
Cumul]]-AE$59)/Tableau1[[#This Row],[Diff jour_x000D_
Cumul
depuis
précédente facture
16/02/2021]]</f>
        <v>30.608008901568351</v>
      </c>
      <c r="AH334" s="80">
        <f>Tableau1[[#This Row],[Conso HP + HC
Cumul]]/(Tableau1[[#This Row],[Diff jour_x000D_
Cumul]]*24)</f>
        <v>1.448526623945706</v>
      </c>
      <c r="AI334" s="80">
        <f>Tableau1[[#This Row],[Conso HP + HC
Cumul]]/Tableau1[[#This Row],[Diff jour_x000D_
Cumul]]</f>
        <v>34.764638974696943</v>
      </c>
      <c r="AJ334" s="80">
        <f>Tableau1[[#This Row],[Conso HP + HC / jour_x000D_
Cumul]]*365</f>
        <v>12689.093225764384</v>
      </c>
      <c r="AK334" s="83">
        <f>(Tableau1[[#This Row],[Différence HP
Cumul]]*0.1799)+(Tableau1[[#This Row],[Différence HC
Cumul]]*0.1346)</f>
        <v>3229.3312000000001</v>
      </c>
      <c r="AL334" s="83">
        <f>Tableau1[[#This Row],[Montant
Tarif HP/HC]]/Tableau1[[#This Row],[Diff jour_x000D_
Cumul]]</f>
        <v>5.7806772719079786</v>
      </c>
      <c r="AM334" s="83">
        <f>(Tableau1[[#This Row],[Montant
Tarif HP/HC]]-AK$6)/Tableau1[[#This Row],[Diff jour_x000D_
Cumul
depuis le 24/01]]</f>
        <v>5.3882565671253193</v>
      </c>
      <c r="AN334" s="83">
        <f>(Tableau1[[#This Row],[Montant
Tarif HP/HC]]-AK$59)/Tableau1[[#This Row],[Diff jour_x000D_
Cumul
depuis
précédente facture
16/02/2021]]</f>
        <v>5.094711113156186</v>
      </c>
      <c r="AO334" s="83">
        <f>Tableau1[[#This Row],[Conso HP + HC
Cumul]]*0.1599</f>
        <v>3105.4178999999999</v>
      </c>
      <c r="AP334" s="83">
        <f>Tableau1[[#This Row],[Montant
Tarif normal]]/Tableau1[[#This Row],[Diff jour_x000D_
Cumul]]</f>
        <v>5.5588657720540411</v>
      </c>
      <c r="AQ334" s="83">
        <f>(Tableau1[[#This Row],[Conso HP / an
Cumul]]*0.1799)+(Tableau1[[#This Row],[Conso HC / an_x000D_
Cumul]]*0.1346)</f>
        <v>2109.9472042464122</v>
      </c>
      <c r="AR334" s="83">
        <f>Tableau1[[#This Row],[Conso HP + HC / an_x000D_
Cumul]]*0.1599</f>
        <v>2028.9860067997247</v>
      </c>
      <c r="AS334" s="79">
        <f>MONTH(Tableau1[[#This Row],[Date]])</f>
        <v>6</v>
      </c>
      <c r="AT334" s="79">
        <f>YEAR(Tableau1[[#This Row],[Date]])</f>
        <v>2022</v>
      </c>
    </row>
    <row r="335" spans="1:46" x14ac:dyDescent="0.2">
      <c r="A335" s="74">
        <v>44742.323611111111</v>
      </c>
      <c r="B335" s="75"/>
      <c r="C335" s="76">
        <f>IF(ISERROR(Tableau1[[#This Row],[Date]]-A334),"",Tableau1[[#This Row],[Date]]-A334)</f>
        <v>0.97291666666569654</v>
      </c>
      <c r="D335" s="77">
        <f>IF(ISERROR(Tableau1[[#This Row],[Date]]-A334),"",Tableau1[[#This Row],[Date]]-A334)</f>
        <v>0.97291666666569654</v>
      </c>
      <c r="E335" s="76">
        <f>Tableau1[[#This Row],[Date]]-$A$5</f>
        <v>559.61527777777519</v>
      </c>
      <c r="F335" s="77">
        <f>Tableau1[[#This Row],[Date]]-$A$5</f>
        <v>559.61527777777519</v>
      </c>
      <c r="G335" s="77">
        <f>Tableau1[[#This Row],[Diff jour_x000D_
Cumul]]-F$6</f>
        <v>521.53194444444671</v>
      </c>
      <c r="H335" s="77">
        <f>Tableau1[[#This Row],[Diff jour_x000D_
Cumul]]-F$59</f>
        <v>499.01249999999709</v>
      </c>
      <c r="I335" s="78">
        <v>193351</v>
      </c>
      <c r="J335" s="79">
        <f>IF(ISERROR(Tableau1[[#This Row],[Index HP
kWh]]-I334),"",Tableau1[[#This Row],[Index HP
kWh]]-I334)</f>
        <v>10</v>
      </c>
      <c r="K335" s="77">
        <f>IF(ISERROR(Tableau1[[#This Row],[Différence HP
Instantané]]/(Tableau1[[#This Row],[Diff jour
Instantané]]*24)),"",Tableau1[[#This Row],[Différence HP
Instantané]]/(Tableau1[[#This Row],[Diff jour
Instantané]]*24))</f>
        <v>0.42826552462569473</v>
      </c>
      <c r="L335" s="77">
        <f>Tableau1[[#This Row],[Différence HP
Instantané]]/Tableau1[[#This Row],[Diff jour
Instantané]]</f>
        <v>10.278372591016673</v>
      </c>
      <c r="M335" s="77">
        <f>Tableau1[[#This Row],[Conso HP / jour
Instantané]]*365</f>
        <v>3751.6059957210855</v>
      </c>
      <c r="N335" s="79">
        <f>Tableau1[[#This Row],[Index HP
kWh]]-$I$5</f>
        <v>13592</v>
      </c>
      <c r="O335" s="80">
        <f>Tableau1[[#This Row],[Différence HP
Cumul]]/(Tableau1[[#This Row],[Diff jour_x000D_
Cumul]]*24)</f>
        <v>1.0120047751059182</v>
      </c>
      <c r="P335" s="80">
        <f>Tableau1[[#This Row],[Différence HP
Cumul]]/Tableau1[[#This Row],[Diff jour_x000D_
Cumul]]</f>
        <v>24.288114602542038</v>
      </c>
      <c r="Q335" s="80">
        <f>Tableau1[[#This Row],[Conso HP / jour
Cumul]]*365</f>
        <v>8865.1618299278434</v>
      </c>
      <c r="R335" s="78">
        <v>125272</v>
      </c>
      <c r="S335" s="79">
        <f>Tableau1[[#This Row],[Index HC_x000D_
kWh]]-R334</f>
        <v>1</v>
      </c>
      <c r="T335" s="81">
        <f>Tableau1[[#This Row],[Différence_x000D_ HC
Instantané]]/(Tableau1[[#This Row],[Diff jour
Instantané]]*24)</f>
        <v>4.2826552462569473E-2</v>
      </c>
      <c r="U335" s="81">
        <f>Tableau1[[#This Row],[Différence_x000D_ HC
Instantané]]/Tableau1[[#This Row],[Diff jour
Instantané]]</f>
        <v>1.0278372591016673</v>
      </c>
      <c r="V335" s="81">
        <f>Tableau1[[#This Row],[Conso HC / jour_x000D_
Instantané]]*365</f>
        <v>375.16059957210859</v>
      </c>
      <c r="W335" s="79">
        <f>Tableau1[[#This Row],[Index HC_x000D_
kWh]]-$R$5</f>
        <v>5840</v>
      </c>
      <c r="X335" s="82">
        <f>Tableau1[[#This Row],[Différence HC
Cumul]]/(Tableau1[[#This Row],[Diff jour_x000D_
Cumul]]*24)</f>
        <v>0.43482253433038276</v>
      </c>
      <c r="Y335" s="82">
        <f>Tableau1[[#This Row],[Différence HC
Cumul]]/Tableau1[[#This Row],[Diff jour_x000D_
Cumul]]</f>
        <v>10.435740823929185</v>
      </c>
      <c r="Z335" s="82">
        <f>Tableau1[[#This Row],[Conso HC / jour_x000D_
Cumul]]*365</f>
        <v>3809.0454007341527</v>
      </c>
      <c r="AA335" s="79">
        <f>Tableau1[[#This Row],[Différence HP
Instantané]]+Tableau1[[#This Row],[Différence_x000D_ HC
Instantané]]</f>
        <v>11</v>
      </c>
      <c r="AB335" s="80">
        <f>Tableau1[[#This Row],[Conso HP + HC
Instantané]]/(Tableau1[[#This Row],[Diff jour
Instantané]]*24)</f>
        <v>0.47109207708826417</v>
      </c>
      <c r="AC335" s="80">
        <f>IF(ISERROR(Tableau1[[#This Row],[Date]]-A334),"",Tableau1[[#This Row],[Conso HP + HC
Instantané]]/Tableau1[[#This Row],[Diff jour
Instantané]])</f>
        <v>11.306209850118341</v>
      </c>
      <c r="AD335" s="80">
        <f>Tableau1[[#This Row],[Conso HP + HC / jour_x000D_
Instantané]]*365</f>
        <v>4126.7665952931948</v>
      </c>
      <c r="AE335" s="79">
        <f>Tableau1[[#This Row],[Différence HP
Cumul]]+Tableau1[[#This Row],[Différence HC
Cumul]]</f>
        <v>19432</v>
      </c>
      <c r="AF335" s="77">
        <f>(Tableau1[[#This Row],[Conso HP + HC
Cumul]]-AE$6)/Tableau1[[#This Row],[Diff jour_x000D_
Cumul
depuis le 24/01]]</f>
        <v>32.329755021930445</v>
      </c>
      <c r="AG335" s="77">
        <f>(Tableau1[[#This Row],[Conso HP + HC
Cumul]]-AE$59)/Tableau1[[#This Row],[Diff jour_x000D_
Cumul
depuis
précédente facture
16/02/2021]]</f>
        <v>30.57037649357499</v>
      </c>
      <c r="AH335" s="80">
        <f>Tableau1[[#This Row],[Conso HP + HC
Cumul]]/(Tableau1[[#This Row],[Diff jour_x000D_
Cumul]]*24)</f>
        <v>1.4468273094363009</v>
      </c>
      <c r="AI335" s="80">
        <f>Tableau1[[#This Row],[Conso HP + HC
Cumul]]/Tableau1[[#This Row],[Diff jour_x000D_
Cumul]]</f>
        <v>34.723855426471225</v>
      </c>
      <c r="AJ335" s="80">
        <f>Tableau1[[#This Row],[Conso HP + HC / jour_x000D_
Cumul]]*365</f>
        <v>12674.207230661998</v>
      </c>
      <c r="AK335" s="83">
        <f>(Tableau1[[#This Row],[Différence HP
Cumul]]*0.1799)+(Tableau1[[#This Row],[Différence HC
Cumul]]*0.1346)</f>
        <v>3231.2647999999999</v>
      </c>
      <c r="AL335" s="83">
        <f>Tableau1[[#This Row],[Montant
Tarif HP/HC]]/Tableau1[[#This Row],[Diff jour_x000D_
Cumul]]</f>
        <v>5.7740825318981805</v>
      </c>
      <c r="AM335" s="83">
        <f>(Tableau1[[#This Row],[Montant
Tarif HP/HC]]-AK$6)/Tableau1[[#This Row],[Diff jour_x000D_
Cumul
depuis le 24/01]]</f>
        <v>5.3819123256005712</v>
      </c>
      <c r="AN335" s="83">
        <f>(Tableau1[[#This Row],[Montant
Tarif HP/HC]]-AK$59)/Tableau1[[#This Row],[Diff jour_x000D_
Cumul
depuis
précédente facture
16/02/2021]]</f>
        <v>5.0886528894567062</v>
      </c>
      <c r="AO335" s="83">
        <f>Tableau1[[#This Row],[Conso HP + HC
Cumul]]*0.1599</f>
        <v>3107.1767999999997</v>
      </c>
      <c r="AP335" s="83">
        <f>Tableau1[[#This Row],[Montant
Tarif normal]]/Tableau1[[#This Row],[Diff jour_x000D_
Cumul]]</f>
        <v>5.5523444826927477</v>
      </c>
      <c r="AQ335" s="83">
        <f>(Tableau1[[#This Row],[Conso HP / an
Cumul]]*0.1799)+(Tableau1[[#This Row],[Conso HC / an_x000D_
Cumul]]*0.1346)</f>
        <v>2107.5401241428362</v>
      </c>
      <c r="AR335" s="83">
        <f>Tableau1[[#This Row],[Conso HP + HC / an_x000D_
Cumul]]*0.1599</f>
        <v>2026.6057361828532</v>
      </c>
      <c r="AS335" s="79">
        <f>MONTH(Tableau1[[#This Row],[Date]])</f>
        <v>6</v>
      </c>
      <c r="AT335" s="79">
        <f>YEAR(Tableau1[[#This Row],[Date]])</f>
        <v>2022</v>
      </c>
    </row>
    <row r="336" spans="1:46" x14ac:dyDescent="0.2">
      <c r="A336" s="74">
        <v>44743.336111111108</v>
      </c>
      <c r="B336" s="75"/>
      <c r="C336" s="76">
        <f>IF(ISERROR(Tableau1[[#This Row],[Date]]-A335),"",Tableau1[[#This Row],[Date]]-A335)</f>
        <v>1.0124999999970896</v>
      </c>
      <c r="D336" s="77">
        <f>IF(ISERROR(Tableau1[[#This Row],[Date]]-A335),"",Tableau1[[#This Row],[Date]]-A335)</f>
        <v>1.0124999999970896</v>
      </c>
      <c r="E336" s="76">
        <f>Tableau1[[#This Row],[Date]]-$A$5</f>
        <v>560.62777777777228</v>
      </c>
      <c r="F336" s="77">
        <f>Tableau1[[#This Row],[Date]]-$A$5</f>
        <v>560.62777777777228</v>
      </c>
      <c r="G336" s="77">
        <f>Tableau1[[#This Row],[Diff jour_x000D_
Cumul]]-F$6</f>
        <v>522.5444444444438</v>
      </c>
      <c r="H336" s="77">
        <f>Tableau1[[#This Row],[Diff jour_x000D_
Cumul]]-F$59</f>
        <v>500.02499999999418</v>
      </c>
      <c r="I336" s="78">
        <v>193358</v>
      </c>
      <c r="J336" s="79">
        <f>IF(ISERROR(Tableau1[[#This Row],[Index HP
kWh]]-I335),"",Tableau1[[#This Row],[Index HP
kWh]]-I335)</f>
        <v>7</v>
      </c>
      <c r="K336" s="77">
        <f>IF(ISERROR(Tableau1[[#This Row],[Différence HP
Instantané]]/(Tableau1[[#This Row],[Diff jour
Instantané]]*24)),"",Tableau1[[#This Row],[Différence HP
Instantané]]/(Tableau1[[#This Row],[Diff jour
Instantané]]*24))</f>
        <v>0.2880658436222272</v>
      </c>
      <c r="L336" s="77">
        <f>Tableau1[[#This Row],[Différence HP
Instantané]]/Tableau1[[#This Row],[Diff jour
Instantané]]</f>
        <v>6.9135802469334529</v>
      </c>
      <c r="M336" s="77">
        <f>Tableau1[[#This Row],[Conso HP / jour
Instantané]]*365</f>
        <v>2523.4567901307105</v>
      </c>
      <c r="N336" s="79">
        <f>Tableau1[[#This Row],[Index HP
kWh]]-$I$5</f>
        <v>13599</v>
      </c>
      <c r="O336" s="80">
        <f>Tableau1[[#This Row],[Différence HP
Cumul]]/(Tableau1[[#This Row],[Diff jour_x000D_
Cumul]]*24)</f>
        <v>1.0106973333465559</v>
      </c>
      <c r="P336" s="80">
        <f>Tableau1[[#This Row],[Différence HP
Cumul]]/Tableau1[[#This Row],[Diff jour_x000D_
Cumul]]</f>
        <v>24.256736000317343</v>
      </c>
      <c r="Q336" s="80">
        <f>Tableau1[[#This Row],[Conso HP / jour
Cumul]]*365</f>
        <v>8853.7086401158303</v>
      </c>
      <c r="R336" s="78">
        <v>125274</v>
      </c>
      <c r="S336" s="79">
        <f>Tableau1[[#This Row],[Index HC_x000D_
kWh]]-R335</f>
        <v>2</v>
      </c>
      <c r="T336" s="81">
        <f>Tableau1[[#This Row],[Différence_x000D_ HC
Instantané]]/(Tableau1[[#This Row],[Diff jour
Instantané]]*24)</f>
        <v>8.2304526749207768E-2</v>
      </c>
      <c r="U336" s="81">
        <f>Tableau1[[#This Row],[Différence_x000D_ HC
Instantané]]/Tableau1[[#This Row],[Diff jour
Instantané]]</f>
        <v>1.9753086419809867</v>
      </c>
      <c r="V336" s="81">
        <f>Tableau1[[#This Row],[Conso HC / jour_x000D_
Instantané]]*365</f>
        <v>720.98765432306016</v>
      </c>
      <c r="W336" s="79">
        <f>Tableau1[[#This Row],[Index HC_x000D_
kWh]]-$R$5</f>
        <v>5842</v>
      </c>
      <c r="X336" s="82">
        <f>Tableau1[[#This Row],[Différence HC
Cumul]]/(Tableau1[[#This Row],[Diff jour_x000D_
Cumul]]*24)</f>
        <v>0.43418588288922566</v>
      </c>
      <c r="Y336" s="82">
        <f>Tableau1[[#This Row],[Différence HC
Cumul]]/Tableau1[[#This Row],[Diff jour_x000D_
Cumul]]</f>
        <v>10.420461189341417</v>
      </c>
      <c r="Z336" s="82">
        <f>Tableau1[[#This Row],[Conso HC / jour_x000D_
Cumul]]*365</f>
        <v>3803.468334109617</v>
      </c>
      <c r="AA336" s="79">
        <f>Tableau1[[#This Row],[Différence HP
Instantané]]+Tableau1[[#This Row],[Différence_x000D_ HC
Instantané]]</f>
        <v>9</v>
      </c>
      <c r="AB336" s="80">
        <f>Tableau1[[#This Row],[Conso HP + HC
Instantané]]/(Tableau1[[#This Row],[Diff jour
Instantané]]*24)</f>
        <v>0.370370370371435</v>
      </c>
      <c r="AC336" s="80">
        <f>IF(ISERROR(Tableau1[[#This Row],[Date]]-A335),"",Tableau1[[#This Row],[Conso HP + HC
Instantané]]/Tableau1[[#This Row],[Diff jour
Instantané]])</f>
        <v>8.8888888889144404</v>
      </c>
      <c r="AD336" s="80">
        <f>Tableau1[[#This Row],[Conso HP + HC / jour_x000D_
Instantané]]*365</f>
        <v>3244.4444444537708</v>
      </c>
      <c r="AE336" s="79">
        <f>Tableau1[[#This Row],[Différence HP
Cumul]]+Tableau1[[#This Row],[Différence HC
Cumul]]</f>
        <v>19441</v>
      </c>
      <c r="AF336" s="77">
        <f>(Tableau1[[#This Row],[Conso HP + HC
Cumul]]-AE$6)/Tableau1[[#This Row],[Diff jour_x000D_
Cumul
depuis le 24/01]]</f>
        <v>32.28433519743141</v>
      </c>
      <c r="AG336" s="77">
        <f>(Tableau1[[#This Row],[Conso HP + HC
Cumul]]-AE$59)/Tableau1[[#This Row],[Diff jour_x000D_
Cumul
depuis
précédente facture
16/02/2021]]</f>
        <v>30.526473676316538</v>
      </c>
      <c r="AH336" s="80">
        <f>Tableau1[[#This Row],[Conso HP + HC
Cumul]]/(Tableau1[[#This Row],[Diff jour_x000D_
Cumul]]*24)</f>
        <v>1.4448832162357816</v>
      </c>
      <c r="AI336" s="80">
        <f>Tableau1[[#This Row],[Conso HP + HC
Cumul]]/Tableau1[[#This Row],[Diff jour_x000D_
Cumul]]</f>
        <v>34.677197189658756</v>
      </c>
      <c r="AJ336" s="80">
        <f>Tableau1[[#This Row],[Conso HP + HC / jour_x000D_
Cumul]]*365</f>
        <v>12657.176974225446</v>
      </c>
      <c r="AK336" s="83">
        <f>(Tableau1[[#This Row],[Différence HP
Cumul]]*0.1799)+(Tableau1[[#This Row],[Différence HC
Cumul]]*0.1346)</f>
        <v>3232.7933000000003</v>
      </c>
      <c r="AL336" s="83">
        <f>Tableau1[[#This Row],[Montant
Tarif HP/HC]]/Tableau1[[#This Row],[Diff jour_x000D_
Cumul]]</f>
        <v>5.7663808825424452</v>
      </c>
      <c r="AM336" s="83">
        <f>(Tableau1[[#This Row],[Montant
Tarif HP/HC]]-AK$6)/Tableau1[[#This Row],[Diff jour_x000D_
Cumul
depuis le 24/01]]</f>
        <v>5.374409258117339</v>
      </c>
      <c r="AN336" s="83">
        <f>(Tableau1[[#This Row],[Montant
Tarif HP/HC]]-AK$59)/Tableau1[[#This Row],[Diff jour_x000D_
Cumul
depuis
précédente facture
16/02/2021]]</f>
        <v>5.0814057297135742</v>
      </c>
      <c r="AO336" s="83">
        <f>Tableau1[[#This Row],[Conso HP + HC
Cumul]]*0.1599</f>
        <v>3108.6158999999998</v>
      </c>
      <c r="AP336" s="83">
        <f>Tableau1[[#This Row],[Montant
Tarif normal]]/Tableau1[[#This Row],[Diff jour_x000D_
Cumul]]</f>
        <v>5.5448838306264348</v>
      </c>
      <c r="AQ336" s="83">
        <f>(Tableau1[[#This Row],[Conso HP / an
Cumul]]*0.1799)+(Tableau1[[#This Row],[Conso HC / an_x000D_
Cumul]]*0.1346)</f>
        <v>2104.7290221279923</v>
      </c>
      <c r="AR336" s="83">
        <f>Tableau1[[#This Row],[Conso HP + HC / an_x000D_
Cumul]]*0.1599</f>
        <v>2023.8825981786485</v>
      </c>
      <c r="AS336" s="79">
        <f>MONTH(Tableau1[[#This Row],[Date]])</f>
        <v>7</v>
      </c>
      <c r="AT336" s="79">
        <f>YEAR(Tableau1[[#This Row],[Date]])</f>
        <v>2022</v>
      </c>
    </row>
    <row r="337" spans="1:46" x14ac:dyDescent="0.2">
      <c r="A337" s="74">
        <v>44745.384722222225</v>
      </c>
      <c r="B337" s="75"/>
      <c r="C337" s="76">
        <f>IF(ISERROR(Tableau1[[#This Row],[Date]]-A336),"",Tableau1[[#This Row],[Date]]-A336)</f>
        <v>2.0486111111167702</v>
      </c>
      <c r="D337" s="77">
        <f>IF(ISERROR(Tableau1[[#This Row],[Date]]-A336),"",Tableau1[[#This Row],[Date]]-A336)</f>
        <v>2.0486111111167702</v>
      </c>
      <c r="E337" s="76">
        <f>Tableau1[[#This Row],[Date]]-$A$5</f>
        <v>562.67638888888905</v>
      </c>
      <c r="F337" s="77">
        <f>Tableau1[[#This Row],[Date]]-$A$5</f>
        <v>562.67638888888905</v>
      </c>
      <c r="G337" s="77">
        <f>Tableau1[[#This Row],[Diff jour_x000D_
Cumul]]-F$6</f>
        <v>524.59305555556057</v>
      </c>
      <c r="H337" s="77">
        <f>Tableau1[[#This Row],[Diff jour_x000D_
Cumul]]-F$59</f>
        <v>502.07361111111095</v>
      </c>
      <c r="I337" s="78">
        <v>193373</v>
      </c>
      <c r="J337" s="79">
        <f>IF(ISERROR(Tableau1[[#This Row],[Index HP
kWh]]-I336),"",Tableau1[[#This Row],[Index HP
kWh]]-I336)</f>
        <v>15</v>
      </c>
      <c r="K337" s="77">
        <f>IF(ISERROR(Tableau1[[#This Row],[Différence HP
Instantané]]/(Tableau1[[#This Row],[Diff jour
Instantané]]*24)),"",Tableau1[[#This Row],[Différence HP
Instantané]]/(Tableau1[[#This Row],[Diff jour
Instantané]]*24))</f>
        <v>0.30508474576186911</v>
      </c>
      <c r="L337" s="77">
        <f>Tableau1[[#This Row],[Différence HP
Instantané]]/Tableau1[[#This Row],[Diff jour
Instantané]]</f>
        <v>7.3220338982848583</v>
      </c>
      <c r="M337" s="77">
        <f>Tableau1[[#This Row],[Conso HP / jour
Instantané]]*365</f>
        <v>2672.5423728739734</v>
      </c>
      <c r="N337" s="79">
        <f>Tableau1[[#This Row],[Index HP
kWh]]-$I$5</f>
        <v>13614</v>
      </c>
      <c r="O337" s="80">
        <f>Tableau1[[#This Row],[Différence HP
Cumul]]/(Tableau1[[#This Row],[Diff jour_x000D_
Cumul]]*24)</f>
        <v>1.008128315318406</v>
      </c>
      <c r="P337" s="80">
        <f>Tableau1[[#This Row],[Différence HP
Cumul]]/Tableau1[[#This Row],[Diff jour_x000D_
Cumul]]</f>
        <v>24.195079567641745</v>
      </c>
      <c r="Q337" s="80">
        <f>Tableau1[[#This Row],[Conso HP / jour
Cumul]]*365</f>
        <v>8831.2040421892361</v>
      </c>
      <c r="R337" s="78">
        <v>125278</v>
      </c>
      <c r="S337" s="79">
        <f>Tableau1[[#This Row],[Index HC_x000D_
kWh]]-R336</f>
        <v>4</v>
      </c>
      <c r="T337" s="81">
        <f>Tableau1[[#This Row],[Différence_x000D_ HC
Instantané]]/(Tableau1[[#This Row],[Diff jour
Instantané]]*24)</f>
        <v>8.1355932203165088E-2</v>
      </c>
      <c r="U337" s="81">
        <f>Tableau1[[#This Row],[Différence_x000D_ HC
Instantané]]/Tableau1[[#This Row],[Diff jour
Instantané]]</f>
        <v>1.9525423728759623</v>
      </c>
      <c r="V337" s="81">
        <f>Tableau1[[#This Row],[Conso HC / jour_x000D_
Instantané]]*365</f>
        <v>712.67796609972629</v>
      </c>
      <c r="W337" s="79">
        <f>Tableau1[[#This Row],[Index HC_x000D_
kWh]]-$R$5</f>
        <v>5846</v>
      </c>
      <c r="X337" s="82">
        <f>Tableau1[[#This Row],[Différence HC
Cumul]]/(Tableau1[[#This Row],[Diff jour_x000D_
Cumul]]*24)</f>
        <v>0.43290128774433684</v>
      </c>
      <c r="Y337" s="82">
        <f>Tableau1[[#This Row],[Différence HC
Cumul]]/Tableau1[[#This Row],[Diff jour_x000D_
Cumul]]</f>
        <v>10.389630905864085</v>
      </c>
      <c r="Z337" s="82">
        <f>Tableau1[[#This Row],[Conso HC / jour_x000D_
Cumul]]*365</f>
        <v>3792.215280640391</v>
      </c>
      <c r="AA337" s="79">
        <f>Tableau1[[#This Row],[Différence HP
Instantané]]+Tableau1[[#This Row],[Différence_x000D_ HC
Instantané]]</f>
        <v>19</v>
      </c>
      <c r="AB337" s="80">
        <f>Tableau1[[#This Row],[Conso HP + HC
Instantané]]/(Tableau1[[#This Row],[Diff jour
Instantané]]*24)</f>
        <v>0.38644067796503417</v>
      </c>
      <c r="AC337" s="80">
        <f>IF(ISERROR(Tableau1[[#This Row],[Date]]-A336),"",Tableau1[[#This Row],[Conso HP + HC
Instantané]]/Tableau1[[#This Row],[Diff jour
Instantané]])</f>
        <v>9.2745762711608197</v>
      </c>
      <c r="AD337" s="80">
        <f>Tableau1[[#This Row],[Conso HP + HC / jour_x000D_
Instantané]]*365</f>
        <v>3385.2203389736992</v>
      </c>
      <c r="AE337" s="79">
        <f>Tableau1[[#This Row],[Différence HP
Cumul]]+Tableau1[[#This Row],[Différence HC
Cumul]]</f>
        <v>19460</v>
      </c>
      <c r="AF337" s="77">
        <f>(Tableau1[[#This Row],[Conso HP + HC
Cumul]]-AE$6)/Tableau1[[#This Row],[Diff jour_x000D_
Cumul
depuis le 24/01]]</f>
        <v>32.194478789114008</v>
      </c>
      <c r="AG337" s="77">
        <f>(Tableau1[[#This Row],[Conso HP + HC
Cumul]]-AE$59)/Tableau1[[#This Row],[Diff jour_x000D_
Cumul
depuis
précédente facture
16/02/2021]]</f>
        <v>30.439759552743769</v>
      </c>
      <c r="AH337" s="80">
        <f>Tableau1[[#This Row],[Conso HP + HC
Cumul]]/(Tableau1[[#This Row],[Diff jour_x000D_
Cumul]]*24)</f>
        <v>1.441029603062743</v>
      </c>
      <c r="AI337" s="80">
        <f>Tableau1[[#This Row],[Conso HP + HC
Cumul]]/Tableau1[[#This Row],[Diff jour_x000D_
Cumul]]</f>
        <v>34.584710473505829</v>
      </c>
      <c r="AJ337" s="80">
        <f>Tableau1[[#This Row],[Conso HP + HC / jour_x000D_
Cumul]]*365</f>
        <v>12623.419322829628</v>
      </c>
      <c r="AK337" s="83">
        <f>(Tableau1[[#This Row],[Différence HP
Cumul]]*0.1799)+(Tableau1[[#This Row],[Différence HC
Cumul]]*0.1346)</f>
        <v>3236.0302000000001</v>
      </c>
      <c r="AL337" s="83">
        <f>Tableau1[[#This Row],[Montant
Tarif HP/HC]]/Tableau1[[#This Row],[Diff jour_x000D_
Cumul]]</f>
        <v>5.7511391341480556</v>
      </c>
      <c r="AM337" s="83">
        <f>(Tableau1[[#This Row],[Montant
Tarif HP/HC]]-AK$6)/Tableau1[[#This Row],[Diff jour_x000D_
Cumul
depuis le 24/01]]</f>
        <v>5.35959172586153</v>
      </c>
      <c r="AN337" s="83">
        <f>(Tableau1[[#This Row],[Montant
Tarif HP/HC]]-AK$59)/Tableau1[[#This Row],[Diff jour_x000D_
Cumul
depuis
précédente facture
16/02/2021]]</f>
        <v>5.0671191309375301</v>
      </c>
      <c r="AO337" s="83">
        <f>Tableau1[[#This Row],[Conso HP + HC
Cumul]]*0.1599</f>
        <v>3111.6539999999995</v>
      </c>
      <c r="AP337" s="83">
        <f>Tableau1[[#This Row],[Montant
Tarif normal]]/Tableau1[[#This Row],[Diff jour_x000D_
Cumul]]</f>
        <v>5.5300952047135814</v>
      </c>
      <c r="AQ337" s="83">
        <f>(Tableau1[[#This Row],[Conso HP / an
Cumul]]*0.1799)+(Tableau1[[#This Row],[Conso HC / an_x000D_
Cumul]]*0.1346)</f>
        <v>2099.1657839640402</v>
      </c>
      <c r="AR337" s="83">
        <f>Tableau1[[#This Row],[Conso HP + HC / an_x000D_
Cumul]]*0.1599</f>
        <v>2018.4847497204573</v>
      </c>
      <c r="AS337" s="79">
        <f>MONTH(Tableau1[[#This Row],[Date]])</f>
        <v>7</v>
      </c>
      <c r="AT337" s="79">
        <f>YEAR(Tableau1[[#This Row],[Date]])</f>
        <v>2022</v>
      </c>
    </row>
    <row r="338" spans="1:46" x14ac:dyDescent="0.2">
      <c r="A338" s="74">
        <v>44746.318749999999</v>
      </c>
      <c r="B338" s="75"/>
      <c r="C338" s="76">
        <f>IF(ISERROR(Tableau1[[#This Row],[Date]]-A337),"",Tableau1[[#This Row],[Date]]-A337)</f>
        <v>0.93402777777373558</v>
      </c>
      <c r="D338" s="77">
        <f>IF(ISERROR(Tableau1[[#This Row],[Date]]-A337),"",Tableau1[[#This Row],[Date]]-A337)</f>
        <v>0.93402777777373558</v>
      </c>
      <c r="E338" s="76">
        <f>Tableau1[[#This Row],[Date]]-$A$5</f>
        <v>563.61041666666279</v>
      </c>
      <c r="F338" s="77">
        <f>Tableau1[[#This Row],[Date]]-$A$5</f>
        <v>563.61041666666279</v>
      </c>
      <c r="G338" s="77">
        <f>Tableau1[[#This Row],[Diff jour_x000D_
Cumul]]-F$6</f>
        <v>525.5270833333343</v>
      </c>
      <c r="H338" s="77">
        <f>Tableau1[[#This Row],[Diff jour_x000D_
Cumul]]-F$59</f>
        <v>503.00763888888469</v>
      </c>
      <c r="I338" s="78">
        <v>193379</v>
      </c>
      <c r="J338" s="79">
        <f>IF(ISERROR(Tableau1[[#This Row],[Index HP
kWh]]-I337),"",Tableau1[[#This Row],[Index HP
kWh]]-I337)</f>
        <v>6</v>
      </c>
      <c r="K338" s="77">
        <f>IF(ISERROR(Tableau1[[#This Row],[Différence HP
Instantané]]/(Tableau1[[#This Row],[Diff jour
Instantané]]*24)),"",Tableau1[[#This Row],[Différence HP
Instantané]]/(Tableau1[[#This Row],[Diff jour
Instantané]]*24))</f>
        <v>0.26765799256621409</v>
      </c>
      <c r="L338" s="77">
        <f>Tableau1[[#This Row],[Différence HP
Instantané]]/Tableau1[[#This Row],[Diff jour
Instantané]]</f>
        <v>6.4237918215891385</v>
      </c>
      <c r="M338" s="77">
        <f>Tableau1[[#This Row],[Conso HP / jour
Instantané]]*365</f>
        <v>2344.6840148800356</v>
      </c>
      <c r="N338" s="79">
        <f>Tableau1[[#This Row],[Index HP
kWh]]-$I$5</f>
        <v>13620</v>
      </c>
      <c r="O338" s="80">
        <f>Tableau1[[#This Row],[Différence HP
Cumul]]/(Tableau1[[#This Row],[Diff jour_x000D_
Cumul]]*24)</f>
        <v>1.0069011913518937</v>
      </c>
      <c r="P338" s="80">
        <f>Tableau1[[#This Row],[Différence HP
Cumul]]/Tableau1[[#This Row],[Diff jour_x000D_
Cumul]]</f>
        <v>24.165628592445451</v>
      </c>
      <c r="Q338" s="80">
        <f>Tableau1[[#This Row],[Conso HP / jour
Cumul]]*365</f>
        <v>8820.4544362425895</v>
      </c>
      <c r="R338" s="78">
        <v>125280</v>
      </c>
      <c r="S338" s="79">
        <f>Tableau1[[#This Row],[Index HC_x000D_
kWh]]-R337</f>
        <v>2</v>
      </c>
      <c r="T338" s="81">
        <f>Tableau1[[#This Row],[Différence_x000D_ HC
Instantané]]/(Tableau1[[#This Row],[Diff jour
Instantané]]*24)</f>
        <v>8.9219330855404705E-2</v>
      </c>
      <c r="U338" s="81">
        <f>Tableau1[[#This Row],[Différence_x000D_ HC
Instantané]]/Tableau1[[#This Row],[Diff jour
Instantané]]</f>
        <v>2.1412639405297127</v>
      </c>
      <c r="V338" s="81">
        <f>Tableau1[[#This Row],[Conso HC / jour_x000D_
Instantané]]*365</f>
        <v>781.5613382933451</v>
      </c>
      <c r="W338" s="79">
        <f>Tableau1[[#This Row],[Index HC_x000D_
kWh]]-$R$5</f>
        <v>5848</v>
      </c>
      <c r="X338" s="82">
        <f>Tableau1[[#This Row],[Différence HC
Cumul]]/(Tableau1[[#This Row],[Diff jour_x000D_
Cumul]]*24)</f>
        <v>0.43233173032495409</v>
      </c>
      <c r="Y338" s="82">
        <f>Tableau1[[#This Row],[Différence HC
Cumul]]/Tableau1[[#This Row],[Diff jour_x000D_
Cumul]]</f>
        <v>10.375961527798898</v>
      </c>
      <c r="Z338" s="82">
        <f>Tableau1[[#This Row],[Conso HC / jour_x000D_
Cumul]]*365</f>
        <v>3787.2259576465976</v>
      </c>
      <c r="AA338" s="79">
        <f>Tableau1[[#This Row],[Différence HP
Instantané]]+Tableau1[[#This Row],[Différence_x000D_ HC
Instantané]]</f>
        <v>8</v>
      </c>
      <c r="AB338" s="80">
        <f>Tableau1[[#This Row],[Conso HP + HC
Instantané]]/(Tableau1[[#This Row],[Diff jour
Instantané]]*24)</f>
        <v>0.35687732342161882</v>
      </c>
      <c r="AC338" s="80">
        <f>IF(ISERROR(Tableau1[[#This Row],[Date]]-A337),"",Tableau1[[#This Row],[Conso HP + HC
Instantané]]/Tableau1[[#This Row],[Diff jour
Instantané]])</f>
        <v>8.5650557621188508</v>
      </c>
      <c r="AD338" s="80">
        <f>Tableau1[[#This Row],[Conso HP + HC / jour_x000D_
Instantané]]*365</f>
        <v>3126.2453531733804</v>
      </c>
      <c r="AE338" s="79">
        <f>Tableau1[[#This Row],[Différence HP
Cumul]]+Tableau1[[#This Row],[Différence HC
Cumul]]</f>
        <v>19468</v>
      </c>
      <c r="AF338" s="77">
        <f>(Tableau1[[#This Row],[Conso HP + HC
Cumul]]-AE$6)/Tableau1[[#This Row],[Diff jour_x000D_
Cumul
depuis le 24/01]]</f>
        <v>32.152481833714504</v>
      </c>
      <c r="AG338" s="77">
        <f>(Tableau1[[#This Row],[Conso HP + HC
Cumul]]-AE$59)/Tableau1[[#This Row],[Diff jour_x000D_
Cumul
depuis
précédente facture
16/02/2021]]</f>
        <v>30.399140724337609</v>
      </c>
      <c r="AH338" s="80">
        <f>Tableau1[[#This Row],[Conso HP + HC
Cumul]]/(Tableau1[[#This Row],[Diff jour_x000D_
Cumul]]*24)</f>
        <v>1.4392329216768478</v>
      </c>
      <c r="AI338" s="80">
        <f>Tableau1[[#This Row],[Conso HP + HC
Cumul]]/Tableau1[[#This Row],[Diff jour_x000D_
Cumul]]</f>
        <v>34.541590120244351</v>
      </c>
      <c r="AJ338" s="80">
        <f>Tableau1[[#This Row],[Conso HP + HC / jour_x000D_
Cumul]]*365</f>
        <v>12607.680393889188</v>
      </c>
      <c r="AK338" s="83">
        <f>(Tableau1[[#This Row],[Différence HP
Cumul]]*0.1799)+(Tableau1[[#This Row],[Différence HC
Cumul]]*0.1346)</f>
        <v>3237.3788000000004</v>
      </c>
      <c r="AL338" s="83">
        <f>Tableau1[[#This Row],[Montant
Tarif HP/HC]]/Tableau1[[#This Row],[Diff jour_x000D_
Cumul]]</f>
        <v>5.7440010054226693</v>
      </c>
      <c r="AM338" s="83">
        <f>(Tableau1[[#This Row],[Montant
Tarif HP/HC]]-AK$6)/Tableau1[[#This Row],[Diff jour_x000D_
Cumul
depuis le 24/01]]</f>
        <v>5.352632222411617</v>
      </c>
      <c r="AN338" s="83">
        <f>(Tableau1[[#This Row],[Montant
Tarif HP/HC]]-AK$59)/Tableau1[[#This Row],[Diff jour_x000D_
Cumul
depuis
précédente facture
16/02/2021]]</f>
        <v>5.0603911416189993</v>
      </c>
      <c r="AO338" s="83">
        <f>Tableau1[[#This Row],[Conso HP + HC
Cumul]]*0.1599</f>
        <v>3112.9331999999999</v>
      </c>
      <c r="AP338" s="83">
        <f>Tableau1[[#This Row],[Montant
Tarif normal]]/Tableau1[[#This Row],[Diff jour_x000D_
Cumul]]</f>
        <v>5.5232002602270711</v>
      </c>
      <c r="AQ338" s="83">
        <f>(Tableau1[[#This Row],[Conso HP / an
Cumul]]*0.1799)+(Tableau1[[#This Row],[Conso HC / an_x000D_
Cumul]]*0.1346)</f>
        <v>2096.560366979274</v>
      </c>
      <c r="AR338" s="83">
        <f>Tableau1[[#This Row],[Conso HP + HC / an_x000D_
Cumul]]*0.1599</f>
        <v>2015.968094982881</v>
      </c>
      <c r="AS338" s="79">
        <f>MONTH(Tableau1[[#This Row],[Date]])</f>
        <v>7</v>
      </c>
      <c r="AT338" s="79">
        <f>YEAR(Tableau1[[#This Row],[Date]])</f>
        <v>2022</v>
      </c>
    </row>
    <row r="339" spans="1:46" x14ac:dyDescent="0.2">
      <c r="A339" s="74">
        <v>44747.299305555556</v>
      </c>
      <c r="B339" s="75"/>
      <c r="C339" s="76">
        <f>IF(ISERROR(Tableau1[[#This Row],[Date]]-A338),"",Tableau1[[#This Row],[Date]]-A338)</f>
        <v>0.9805555555576575</v>
      </c>
      <c r="D339" s="77">
        <f>IF(ISERROR(Tableau1[[#This Row],[Date]]-A338),"",Tableau1[[#This Row],[Date]]-A338)</f>
        <v>0.9805555555576575</v>
      </c>
      <c r="E339" s="76">
        <f>Tableau1[[#This Row],[Date]]-$A$5</f>
        <v>564.59097222222044</v>
      </c>
      <c r="F339" s="77">
        <f>Tableau1[[#This Row],[Date]]-$A$5</f>
        <v>564.59097222222044</v>
      </c>
      <c r="G339" s="77">
        <f>Tableau1[[#This Row],[Diff jour_x000D_
Cumul]]-F$6</f>
        <v>526.50763888889196</v>
      </c>
      <c r="H339" s="77">
        <f>Tableau1[[#This Row],[Diff jour_x000D_
Cumul]]-F$59</f>
        <v>503.98819444444234</v>
      </c>
      <c r="I339" s="78">
        <v>193385</v>
      </c>
      <c r="J339" s="79">
        <f>IF(ISERROR(Tableau1[[#This Row],[Index HP
kWh]]-I338),"",Tableau1[[#This Row],[Index HP
kWh]]-I338)</f>
        <v>6</v>
      </c>
      <c r="K339" s="77">
        <f>IF(ISERROR(Tableau1[[#This Row],[Différence HP
Instantané]]/(Tableau1[[#This Row],[Diff jour
Instantané]]*24)),"",Tableau1[[#This Row],[Différence HP
Instantané]]/(Tableau1[[#This Row],[Diff jour
Instantané]]*24))</f>
        <v>0.25495750708160642</v>
      </c>
      <c r="L339" s="77">
        <f>Tableau1[[#This Row],[Différence HP
Instantané]]/Tableau1[[#This Row],[Diff jour
Instantané]]</f>
        <v>6.1189801699585544</v>
      </c>
      <c r="M339" s="77">
        <f>Tableau1[[#This Row],[Conso HP / jour
Instantané]]*365</f>
        <v>2233.4277620348726</v>
      </c>
      <c r="N339" s="79">
        <f>Tableau1[[#This Row],[Index HP
kWh]]-$I$5</f>
        <v>13626</v>
      </c>
      <c r="O339" s="80">
        <f>Tableau1[[#This Row],[Différence HP
Cumul]]/(Tableau1[[#This Row],[Diff jour_x000D_
Cumul]]*24)</f>
        <v>1.0055952502487697</v>
      </c>
      <c r="P339" s="80">
        <f>Tableau1[[#This Row],[Différence HP
Cumul]]/Tableau1[[#This Row],[Diff jour_x000D_
Cumul]]</f>
        <v>24.134286005970473</v>
      </c>
      <c r="Q339" s="80">
        <f>Tableau1[[#This Row],[Conso HP / jour
Cumul]]*365</f>
        <v>8809.0143921792223</v>
      </c>
      <c r="R339" s="78">
        <v>125282</v>
      </c>
      <c r="S339" s="79">
        <f>Tableau1[[#This Row],[Index HC_x000D_
kWh]]-R338</f>
        <v>2</v>
      </c>
      <c r="T339" s="81">
        <f>Tableau1[[#This Row],[Différence_x000D_ HC
Instantané]]/(Tableau1[[#This Row],[Diff jour
Instantané]]*24)</f>
        <v>8.4985835693868819E-2</v>
      </c>
      <c r="U339" s="81">
        <f>Tableau1[[#This Row],[Différence_x000D_ HC
Instantané]]/Tableau1[[#This Row],[Diff jour
Instantané]]</f>
        <v>2.0396600566528513</v>
      </c>
      <c r="V339" s="81">
        <f>Tableau1[[#This Row],[Conso HC / jour_x000D_
Instantané]]*365</f>
        <v>744.47592067829078</v>
      </c>
      <c r="W339" s="79">
        <f>Tableau1[[#This Row],[Index HC_x000D_
kWh]]-$R$5</f>
        <v>5850</v>
      </c>
      <c r="X339" s="82">
        <f>Tableau1[[#This Row],[Différence HC
Cumul]]/(Tableau1[[#This Row],[Diff jour_x000D_
Cumul]]*24)</f>
        <v>0.43172847599848108</v>
      </c>
      <c r="Y339" s="82">
        <f>Tableau1[[#This Row],[Différence HC
Cumul]]/Tableau1[[#This Row],[Diff jour_x000D_
Cumul]]</f>
        <v>10.361483423963547</v>
      </c>
      <c r="Z339" s="82">
        <f>Tableau1[[#This Row],[Conso HC / jour_x000D_
Cumul]]*365</f>
        <v>3781.9414497466946</v>
      </c>
      <c r="AA339" s="79">
        <f>Tableau1[[#This Row],[Différence HP
Instantané]]+Tableau1[[#This Row],[Différence_x000D_ HC
Instantané]]</f>
        <v>8</v>
      </c>
      <c r="AB339" s="80">
        <f>Tableau1[[#This Row],[Conso HP + HC
Instantané]]/(Tableau1[[#This Row],[Diff jour
Instantané]]*24)</f>
        <v>0.33994334277547528</v>
      </c>
      <c r="AC339" s="80">
        <f>IF(ISERROR(Tableau1[[#This Row],[Date]]-A338),"",Tableau1[[#This Row],[Conso HP + HC
Instantané]]/Tableau1[[#This Row],[Diff jour
Instantané]])</f>
        <v>8.1586402266114053</v>
      </c>
      <c r="AD339" s="80">
        <f>Tableau1[[#This Row],[Conso HP + HC / jour_x000D_
Instantané]]*365</f>
        <v>2977.9036827131631</v>
      </c>
      <c r="AE339" s="79">
        <f>Tableau1[[#This Row],[Différence HP
Cumul]]+Tableau1[[#This Row],[Différence HC
Cumul]]</f>
        <v>19476</v>
      </c>
      <c r="AF339" s="77">
        <f>(Tableau1[[#This Row],[Conso HP + HC
Cumul]]-AE$6)/Tableau1[[#This Row],[Diff jour_x000D_
Cumul
depuis le 24/01]]</f>
        <v>32.107796262320583</v>
      </c>
      <c r="AG339" s="77">
        <f>(Tableau1[[#This Row],[Conso HP + HC
Cumul]]-AE$59)/Tableau1[[#This Row],[Diff jour_x000D_
Cumul
depuis
précédente facture
16/02/2021]]</f>
        <v>30.355869777593572</v>
      </c>
      <c r="AH339" s="80">
        <f>Tableau1[[#This Row],[Conso HP + HC
Cumul]]/(Tableau1[[#This Row],[Diff jour_x000D_
Cumul]]*24)</f>
        <v>1.4373237262472509</v>
      </c>
      <c r="AI339" s="80">
        <f>Tableau1[[#This Row],[Conso HP + HC
Cumul]]/Tableau1[[#This Row],[Diff jour_x000D_
Cumul]]</f>
        <v>34.495769429934022</v>
      </c>
      <c r="AJ339" s="80">
        <f>Tableau1[[#This Row],[Conso HP + HC / jour_x000D_
Cumul]]*365</f>
        <v>12590.955841925917</v>
      </c>
      <c r="AK339" s="83">
        <f>(Tableau1[[#This Row],[Différence HP
Cumul]]*0.1799)+(Tableau1[[#This Row],[Différence HC
Cumul]]*0.1346)</f>
        <v>3238.7273999999998</v>
      </c>
      <c r="AL339" s="83">
        <f>Tableau1[[#This Row],[Montant
Tarif HP/HC]]/Tableau1[[#This Row],[Diff jour_x000D_
Cumul]]</f>
        <v>5.7364137213395816</v>
      </c>
      <c r="AM339" s="83">
        <f>(Tableau1[[#This Row],[Montant
Tarif HP/HC]]-AK$6)/Tableau1[[#This Row],[Diff jour_x000D_
Cumul
depuis le 24/01]]</f>
        <v>5.3452250112441337</v>
      </c>
      <c r="AN339" s="83">
        <f>(Tableau1[[#This Row],[Montant
Tarif HP/HC]]-AK$59)/Tableau1[[#This Row],[Diff jour_x000D_
Cumul
depuis
précédente facture
16/02/2021]]</f>
        <v>5.0532215398564162</v>
      </c>
      <c r="AO339" s="83">
        <f>Tableau1[[#This Row],[Conso HP + HC
Cumul]]*0.1599</f>
        <v>3114.2123999999999</v>
      </c>
      <c r="AP339" s="83">
        <f>Tableau1[[#This Row],[Montant
Tarif normal]]/Tableau1[[#This Row],[Diff jour_x000D_
Cumul]]</f>
        <v>5.5158735318464496</v>
      </c>
      <c r="AQ339" s="83">
        <f>(Tableau1[[#This Row],[Conso HP / an
Cumul]]*0.1799)+(Tableau1[[#This Row],[Conso HC / an_x000D_
Cumul]]*0.1346)</f>
        <v>2093.7910082889475</v>
      </c>
      <c r="AR339" s="83">
        <f>Tableau1[[#This Row],[Conso HP + HC / an_x000D_
Cumul]]*0.1599</f>
        <v>2013.2938391239541</v>
      </c>
      <c r="AS339" s="79">
        <f>MONTH(Tableau1[[#This Row],[Date]])</f>
        <v>7</v>
      </c>
      <c r="AT339" s="79">
        <f>YEAR(Tableau1[[#This Row],[Date]])</f>
        <v>2022</v>
      </c>
    </row>
    <row r="340" spans="1:46" x14ac:dyDescent="0.2">
      <c r="A340" s="74">
        <v>44748.342361111114</v>
      </c>
      <c r="B340" s="75"/>
      <c r="C340" s="76">
        <f>IF(ISERROR(Tableau1[[#This Row],[Date]]-A339),"",Tableau1[[#This Row],[Date]]-A339)</f>
        <v>1.0430555555576575</v>
      </c>
      <c r="D340" s="77">
        <f>IF(ISERROR(Tableau1[[#This Row],[Date]]-A339),"",Tableau1[[#This Row],[Date]]-A339)</f>
        <v>1.0430555555576575</v>
      </c>
      <c r="E340" s="76">
        <f>Tableau1[[#This Row],[Date]]-$A$5</f>
        <v>565.6340277777781</v>
      </c>
      <c r="F340" s="77">
        <f>Tableau1[[#This Row],[Date]]-$A$5</f>
        <v>565.6340277777781</v>
      </c>
      <c r="G340" s="77">
        <f>Tableau1[[#This Row],[Diff jour_x000D_
Cumul]]-F$6</f>
        <v>527.55069444444962</v>
      </c>
      <c r="H340" s="77">
        <f>Tableau1[[#This Row],[Diff jour_x000D_
Cumul]]-F$59</f>
        <v>505.03125</v>
      </c>
      <c r="I340" s="78">
        <v>193391</v>
      </c>
      <c r="J340" s="79">
        <f>IF(ISERROR(Tableau1[[#This Row],[Index HP
kWh]]-I339),"",Tableau1[[#This Row],[Index HP
kWh]]-I339)</f>
        <v>6</v>
      </c>
      <c r="K340" s="77">
        <f>IF(ISERROR(Tableau1[[#This Row],[Différence HP
Instantané]]/(Tableau1[[#This Row],[Diff jour
Instantané]]*24)),"",Tableau1[[#This Row],[Différence HP
Instantané]]/(Tableau1[[#This Row],[Diff jour
Instantané]]*24))</f>
        <v>0.23968042609805229</v>
      </c>
      <c r="L340" s="77">
        <f>Tableau1[[#This Row],[Différence HP
Instantané]]/Tableau1[[#This Row],[Diff jour
Instantané]]</f>
        <v>5.752330226353255</v>
      </c>
      <c r="M340" s="77">
        <f>Tableau1[[#This Row],[Conso HP / jour
Instantané]]*365</f>
        <v>2099.6005326189379</v>
      </c>
      <c r="N340" s="79">
        <f>Tableau1[[#This Row],[Index HP
kWh]]-$I$5</f>
        <v>13632</v>
      </c>
      <c r="O340" s="80">
        <f>Tableau1[[#This Row],[Différence HP
Cumul]]/(Tableau1[[#This Row],[Diff jour_x000D_
Cumul]]*24)</f>
        <v>1.0041828675539857</v>
      </c>
      <c r="P340" s="80">
        <f>Tableau1[[#This Row],[Différence HP
Cumul]]/Tableau1[[#This Row],[Diff jour_x000D_
Cumul]]</f>
        <v>24.100388821295656</v>
      </c>
      <c r="Q340" s="80">
        <f>Tableau1[[#This Row],[Conso HP / jour
Cumul]]*365</f>
        <v>8796.6419197729138</v>
      </c>
      <c r="R340" s="78">
        <v>125284</v>
      </c>
      <c r="S340" s="79">
        <f>Tableau1[[#This Row],[Index HC_x000D_
kWh]]-R339</f>
        <v>2</v>
      </c>
      <c r="T340" s="81">
        <f>Tableau1[[#This Row],[Différence_x000D_ HC
Instantané]]/(Tableau1[[#This Row],[Diff jour
Instantané]]*24)</f>
        <v>7.989347536601743E-2</v>
      </c>
      <c r="U340" s="81">
        <f>Tableau1[[#This Row],[Différence_x000D_ HC
Instantané]]/Tableau1[[#This Row],[Diff jour
Instantané]]</f>
        <v>1.9174434087844183</v>
      </c>
      <c r="V340" s="81">
        <f>Tableau1[[#This Row],[Conso HC / jour_x000D_
Instantané]]*365</f>
        <v>699.86684420631263</v>
      </c>
      <c r="W340" s="79">
        <f>Tableau1[[#This Row],[Index HC_x000D_
kWh]]-$R$5</f>
        <v>5852</v>
      </c>
      <c r="X340" s="82">
        <f>Tableau1[[#This Row],[Différence HC
Cumul]]/(Tableau1[[#This Row],[Diff jour_x000D_
Cumul]]*24)</f>
        <v>0.43107967583083362</v>
      </c>
      <c r="Y340" s="82">
        <f>Tableau1[[#This Row],[Différence HC
Cumul]]/Tableau1[[#This Row],[Diff jour_x000D_
Cumul]]</f>
        <v>10.345912219940008</v>
      </c>
      <c r="Z340" s="82">
        <f>Tableau1[[#This Row],[Conso HC / jour_x000D_
Cumul]]*365</f>
        <v>3776.2579602781029</v>
      </c>
      <c r="AA340" s="79">
        <f>Tableau1[[#This Row],[Différence HP
Instantané]]+Tableau1[[#This Row],[Différence_x000D_ HC
Instantané]]</f>
        <v>8</v>
      </c>
      <c r="AB340" s="80">
        <f>Tableau1[[#This Row],[Conso HP + HC
Instantané]]/(Tableau1[[#This Row],[Diff jour
Instantané]]*24)</f>
        <v>0.31957390146406972</v>
      </c>
      <c r="AC340" s="80">
        <f>IF(ISERROR(Tableau1[[#This Row],[Date]]-A339),"",Tableau1[[#This Row],[Conso HP + HC
Instantané]]/Tableau1[[#This Row],[Diff jour
Instantané]])</f>
        <v>7.6697736351376733</v>
      </c>
      <c r="AD340" s="80">
        <f>Tableau1[[#This Row],[Conso HP + HC / jour_x000D_
Instantané]]*365</f>
        <v>2799.4673768252505</v>
      </c>
      <c r="AE340" s="79">
        <f>Tableau1[[#This Row],[Différence HP
Cumul]]+Tableau1[[#This Row],[Différence HC
Cumul]]</f>
        <v>19484</v>
      </c>
      <c r="AF340" s="77">
        <f>(Tableau1[[#This Row],[Conso HP + HC
Cumul]]-AE$6)/Tableau1[[#This Row],[Diff jour_x000D_
Cumul
depuis le 24/01]]</f>
        <v>32.05947822286663</v>
      </c>
      <c r="AG340" s="77">
        <f>(Tableau1[[#This Row],[Conso HP + HC
Cumul]]-AE$59)/Tableau1[[#This Row],[Diff jour_x000D_
Cumul
depuis
précédente facture
16/02/2021]]</f>
        <v>30.309015531217128</v>
      </c>
      <c r="AH340" s="80">
        <f>Tableau1[[#This Row],[Conso HP + HC
Cumul]]/(Tableau1[[#This Row],[Diff jour_x000D_
Cumul]]*24)</f>
        <v>1.4352625433848194</v>
      </c>
      <c r="AI340" s="80">
        <f>Tableau1[[#This Row],[Conso HP + HC
Cumul]]/Tableau1[[#This Row],[Diff jour_x000D_
Cumul]]</f>
        <v>34.446301041235664</v>
      </c>
      <c r="AJ340" s="80">
        <f>Tableau1[[#This Row],[Conso HP + HC / jour_x000D_
Cumul]]*365</f>
        <v>12572.899880051018</v>
      </c>
      <c r="AK340" s="83">
        <f>(Tableau1[[#This Row],[Différence HP
Cumul]]*0.1799)+(Tableau1[[#This Row],[Différence HC
Cumul]]*0.1346)</f>
        <v>3240.076</v>
      </c>
      <c r="AL340" s="83">
        <f>Tableau1[[#This Row],[Montant
Tarif HP/HC]]/Tableau1[[#This Row],[Diff jour_x000D_
Cumul]]</f>
        <v>5.7282197337550134</v>
      </c>
      <c r="AM340" s="83">
        <f>(Tableau1[[#This Row],[Montant
Tarif HP/HC]]-AK$6)/Tableau1[[#This Row],[Diff jour_x000D_
Cumul
depuis le 24/01]]</f>
        <v>5.337212953468085</v>
      </c>
      <c r="AN340" s="83">
        <f>(Tableau1[[#This Row],[Montant
Tarif HP/HC]]-AK$59)/Tableau1[[#This Row],[Diff jour_x000D_
Cumul
depuis
précédente facture
16/02/2021]]</f>
        <v>5.0454553059835403</v>
      </c>
      <c r="AO340" s="83">
        <f>Tableau1[[#This Row],[Conso HP + HC
Cumul]]*0.1599</f>
        <v>3115.4915999999998</v>
      </c>
      <c r="AP340" s="83">
        <f>Tableau1[[#This Row],[Montant
Tarif normal]]/Tableau1[[#This Row],[Diff jour_x000D_
Cumul]]</f>
        <v>5.5079635364935822</v>
      </c>
      <c r="AQ340" s="83">
        <f>(Tableau1[[#This Row],[Conso HP / an
Cumul]]*0.1799)+(Tableau1[[#This Row],[Conso HC / an_x000D_
Cumul]]*0.1346)</f>
        <v>2090.8002028205797</v>
      </c>
      <c r="AR340" s="83">
        <f>Tableau1[[#This Row],[Conso HP + HC / an_x000D_
Cumul]]*0.1599</f>
        <v>2010.4066908201576</v>
      </c>
      <c r="AS340" s="79">
        <f>MONTH(Tableau1[[#This Row],[Date]])</f>
        <v>7</v>
      </c>
      <c r="AT340" s="79">
        <f>YEAR(Tableau1[[#This Row],[Date]])</f>
        <v>2022</v>
      </c>
    </row>
    <row r="341" spans="1:46" x14ac:dyDescent="0.2">
      <c r="A341" s="74">
        <v>44749.314583333333</v>
      </c>
      <c r="B341" s="75"/>
      <c r="C341" s="76">
        <f>IF(ISERROR(Tableau1[[#This Row],[Date]]-A340),"",Tableau1[[#This Row],[Date]]-A340)</f>
        <v>0.97222222221898846</v>
      </c>
      <c r="D341" s="77">
        <f>IF(ISERROR(Tableau1[[#This Row],[Date]]-A340),"",Tableau1[[#This Row],[Date]]-A340)</f>
        <v>0.97222222221898846</v>
      </c>
      <c r="E341" s="76">
        <f>Tableau1[[#This Row],[Date]]-$A$5</f>
        <v>566.60624999999709</v>
      </c>
      <c r="F341" s="77">
        <f>Tableau1[[#This Row],[Date]]-$A$5</f>
        <v>566.60624999999709</v>
      </c>
      <c r="G341" s="77">
        <f>Tableau1[[#This Row],[Diff jour_x000D_
Cumul]]-F$6</f>
        <v>528.52291666666861</v>
      </c>
      <c r="H341" s="77">
        <f>Tableau1[[#This Row],[Diff jour_x000D_
Cumul]]-F$59</f>
        <v>506.00347222221899</v>
      </c>
      <c r="I341" s="78">
        <v>193400</v>
      </c>
      <c r="J341" s="79">
        <f>IF(ISERROR(Tableau1[[#This Row],[Index HP
kWh]]-I340),"",Tableau1[[#This Row],[Index HP
kWh]]-I340)</f>
        <v>9</v>
      </c>
      <c r="K341" s="77">
        <f>IF(ISERROR(Tableau1[[#This Row],[Différence HP
Instantané]]/(Tableau1[[#This Row],[Diff jour
Instantané]]*24)),"",Tableau1[[#This Row],[Différence HP
Instantané]]/(Tableau1[[#This Row],[Diff jour
Instantané]]*24))</f>
        <v>0.38571428571556865</v>
      </c>
      <c r="L341" s="77">
        <f>Tableau1[[#This Row],[Différence HP
Instantané]]/Tableau1[[#This Row],[Diff jour
Instantané]]</f>
        <v>9.2571428571736476</v>
      </c>
      <c r="M341" s="77">
        <f>Tableau1[[#This Row],[Conso HP / jour
Instantané]]*365</f>
        <v>3378.8571428683813</v>
      </c>
      <c r="N341" s="79">
        <f>Tableau1[[#This Row],[Index HP
kWh]]-$I$5</f>
        <v>13641</v>
      </c>
      <c r="O341" s="80">
        <f>Tableau1[[#This Row],[Différence HP
Cumul]]/(Tableau1[[#This Row],[Diff jour_x000D_
Cumul]]*24)</f>
        <v>1.0031216563530723</v>
      </c>
      <c r="P341" s="80">
        <f>Tableau1[[#This Row],[Différence HP
Cumul]]/Tableau1[[#This Row],[Diff jour_x000D_
Cumul]]</f>
        <v>24.074919752473733</v>
      </c>
      <c r="Q341" s="80">
        <f>Tableau1[[#This Row],[Conso HP / jour
Cumul]]*365</f>
        <v>8787.3457096529128</v>
      </c>
      <c r="R341" s="78">
        <v>125286</v>
      </c>
      <c r="S341" s="79">
        <f>Tableau1[[#This Row],[Index HC_x000D_
kWh]]-R340</f>
        <v>2</v>
      </c>
      <c r="T341" s="81">
        <f>Tableau1[[#This Row],[Différence_x000D_ HC
Instantané]]/(Tableau1[[#This Row],[Diff jour
Instantané]]*24)</f>
        <v>8.5714285714570806E-2</v>
      </c>
      <c r="U341" s="81">
        <f>Tableau1[[#This Row],[Différence_x000D_ HC
Instantané]]/Tableau1[[#This Row],[Diff jour
Instantané]]</f>
        <v>2.0571428571496995</v>
      </c>
      <c r="V341" s="81">
        <f>Tableau1[[#This Row],[Conso HC / jour_x000D_
Instantané]]*365</f>
        <v>750.85714285964036</v>
      </c>
      <c r="W341" s="79">
        <f>Tableau1[[#This Row],[Index HC_x000D_
kWh]]-$R$5</f>
        <v>5854</v>
      </c>
      <c r="X341" s="82">
        <f>Tableau1[[#This Row],[Différence HC
Cumul]]/(Tableau1[[#This Row],[Diff jour_x000D_
Cumul]]*24)</f>
        <v>0.43048707398950847</v>
      </c>
      <c r="Y341" s="82">
        <f>Tableau1[[#This Row],[Différence HC
Cumul]]/Tableau1[[#This Row],[Diff jour_x000D_
Cumul]]</f>
        <v>10.331689775748202</v>
      </c>
      <c r="Z341" s="82">
        <f>Tableau1[[#This Row],[Conso HC / jour_x000D_
Cumul]]*365</f>
        <v>3771.0667681480941</v>
      </c>
      <c r="AA341" s="79">
        <f>Tableau1[[#This Row],[Différence HP
Instantané]]+Tableau1[[#This Row],[Différence_x000D_ HC
Instantané]]</f>
        <v>11</v>
      </c>
      <c r="AB341" s="80">
        <f>Tableau1[[#This Row],[Conso HP + HC
Instantané]]/(Tableau1[[#This Row],[Diff jour
Instantané]]*24)</f>
        <v>0.4714285714301395</v>
      </c>
      <c r="AC341" s="80">
        <f>IF(ISERROR(Tableau1[[#This Row],[Date]]-A340),"",Tableau1[[#This Row],[Conso HP + HC
Instantané]]/Tableau1[[#This Row],[Diff jour
Instantané]])</f>
        <v>11.314285714323347</v>
      </c>
      <c r="AD341" s="80">
        <f>Tableau1[[#This Row],[Conso HP + HC / jour_x000D_
Instantané]]*365</f>
        <v>4129.7142857280214</v>
      </c>
      <c r="AE341" s="79">
        <f>Tableau1[[#This Row],[Différence HP
Cumul]]+Tableau1[[#This Row],[Différence HC
Cumul]]</f>
        <v>19495</v>
      </c>
      <c r="AF341" s="77">
        <f>(Tableau1[[#This Row],[Conso HP + HC
Cumul]]-AE$6)/Tableau1[[#This Row],[Diff jour_x000D_
Cumul
depuis le 24/01]]</f>
        <v>32.021317271799042</v>
      </c>
      <c r="AG341" s="77">
        <f>(Tableau1[[#This Row],[Conso HP + HC
Cumul]]-AE$59)/Tableau1[[#This Row],[Diff jour_x000D_
Cumul
depuis
précédente facture
16/02/2021]]</f>
        <v>30.272519539693736</v>
      </c>
      <c r="AH341" s="80">
        <f>Tableau1[[#This Row],[Conso HP + HC
Cumul]]/(Tableau1[[#This Row],[Diff jour_x000D_
Cumul]]*24)</f>
        <v>1.4336087303425806</v>
      </c>
      <c r="AI341" s="80">
        <f>Tableau1[[#This Row],[Conso HP + HC
Cumul]]/Tableau1[[#This Row],[Diff jour_x000D_
Cumul]]</f>
        <v>34.406609528221935</v>
      </c>
      <c r="AJ341" s="80">
        <f>Tableau1[[#This Row],[Conso HP + HC / jour_x000D_
Cumul]]*365</f>
        <v>12558.412477801006</v>
      </c>
      <c r="AK341" s="83">
        <f>(Tableau1[[#This Row],[Différence HP
Cumul]]*0.1799)+(Tableau1[[#This Row],[Différence HC
Cumul]]*0.1346)</f>
        <v>3241.9642999999996</v>
      </c>
      <c r="AL341" s="83">
        <f>Tableau1[[#This Row],[Montant
Tarif HP/HC]]/Tableau1[[#This Row],[Diff jour_x000D_
Cumul]]</f>
        <v>5.7217235072857324</v>
      </c>
      <c r="AM341" s="83">
        <f>(Tableau1[[#This Row],[Montant
Tarif HP/HC]]-AK$6)/Tableau1[[#This Row],[Diff jour_x000D_
Cumul
depuis le 24/01]]</f>
        <v>5.3309678940127752</v>
      </c>
      <c r="AN341" s="83">
        <f>(Tableau1[[#This Row],[Montant
Tarif HP/HC]]-AK$59)/Tableau1[[#This Row],[Diff jour_x000D_
Cumul
depuis
précédente facture
16/02/2021]]</f>
        <v>5.0394928888553725</v>
      </c>
      <c r="AO341" s="83">
        <f>Tableau1[[#This Row],[Conso HP + HC
Cumul]]*0.1599</f>
        <v>3117.2504999999996</v>
      </c>
      <c r="AP341" s="83">
        <f>Tableau1[[#This Row],[Montant
Tarif normal]]/Tableau1[[#This Row],[Diff jour_x000D_
Cumul]]</f>
        <v>5.5016168635626865</v>
      </c>
      <c r="AQ341" s="83">
        <f>(Tableau1[[#This Row],[Conso HP / an
Cumul]]*0.1799)+(Tableau1[[#This Row],[Conso HC / an_x000D_
Cumul]]*0.1346)</f>
        <v>2088.4290801592924</v>
      </c>
      <c r="AR341" s="83">
        <f>Tableau1[[#This Row],[Conso HP + HC / an_x000D_
Cumul]]*0.1599</f>
        <v>2008.0901552003807</v>
      </c>
      <c r="AS341" s="79">
        <f>MONTH(Tableau1[[#This Row],[Date]])</f>
        <v>7</v>
      </c>
      <c r="AT341" s="79">
        <f>YEAR(Tableau1[[#This Row],[Date]])</f>
        <v>2022</v>
      </c>
    </row>
    <row r="342" spans="1:46" x14ac:dyDescent="0.2">
      <c r="A342" s="74">
        <v>44750.343055555553</v>
      </c>
      <c r="B342" s="75"/>
      <c r="C342" s="76">
        <f>IF(ISERROR(Tableau1[[#This Row],[Date]]-A341),"",Tableau1[[#This Row],[Date]]-A341)</f>
        <v>1.0284722222204437</v>
      </c>
      <c r="D342" s="77">
        <f>IF(ISERROR(Tableau1[[#This Row],[Date]]-A341),"",Tableau1[[#This Row],[Date]]-A341)</f>
        <v>1.0284722222204437</v>
      </c>
      <c r="E342" s="76">
        <f>Tableau1[[#This Row],[Date]]-$A$5</f>
        <v>567.63472222221753</v>
      </c>
      <c r="F342" s="77">
        <f>Tableau1[[#This Row],[Date]]-$A$5</f>
        <v>567.63472222221753</v>
      </c>
      <c r="G342" s="77">
        <f>Tableau1[[#This Row],[Diff jour_x000D_
Cumul]]-F$6</f>
        <v>529.55138888888905</v>
      </c>
      <c r="H342" s="77">
        <f>Tableau1[[#This Row],[Diff jour_x000D_
Cumul]]-F$59</f>
        <v>507.03194444443943</v>
      </c>
      <c r="I342" s="78">
        <v>193406</v>
      </c>
      <c r="J342" s="79">
        <f>IF(ISERROR(Tableau1[[#This Row],[Index HP
kWh]]-I341),"",Tableau1[[#This Row],[Index HP
kWh]]-I341)</f>
        <v>6</v>
      </c>
      <c r="K342" s="77">
        <f>IF(ISERROR(Tableau1[[#This Row],[Différence HP
Instantané]]/(Tableau1[[#This Row],[Diff jour
Instantané]]*24)),"",Tableau1[[#This Row],[Différence HP
Instantané]]/(Tableau1[[#This Row],[Diff jour
Instantané]]*24))</f>
        <v>0.24307900067563981</v>
      </c>
      <c r="L342" s="77">
        <f>Tableau1[[#This Row],[Différence HP
Instantané]]/Tableau1[[#This Row],[Diff jour
Instantané]]</f>
        <v>5.8338960162153555</v>
      </c>
      <c r="M342" s="77">
        <f>Tableau1[[#This Row],[Conso HP / jour
Instantané]]*365</f>
        <v>2129.3720459186047</v>
      </c>
      <c r="N342" s="79">
        <f>Tableau1[[#This Row],[Index HP
kWh]]-$I$5</f>
        <v>13647</v>
      </c>
      <c r="O342" s="80">
        <f>Tableau1[[#This Row],[Différence HP
Cumul]]/(Tableau1[[#This Row],[Diff jour_x000D_
Cumul]]*24)</f>
        <v>1.0017445687147284</v>
      </c>
      <c r="P342" s="80">
        <f>Tableau1[[#This Row],[Différence HP
Cumul]]/Tableau1[[#This Row],[Diff jour_x000D_
Cumul]]</f>
        <v>24.041869649153483</v>
      </c>
      <c r="Q342" s="80">
        <f>Tableau1[[#This Row],[Conso HP / jour
Cumul]]*365</f>
        <v>8775.2824219410213</v>
      </c>
      <c r="R342" s="78">
        <v>125288</v>
      </c>
      <c r="S342" s="79">
        <f>Tableau1[[#This Row],[Index HC_x000D_
kWh]]-R341</f>
        <v>2</v>
      </c>
      <c r="T342" s="81">
        <f>Tableau1[[#This Row],[Différence_x000D_ HC
Instantané]]/(Tableau1[[#This Row],[Diff jour
Instantané]]*24)</f>
        <v>8.1026333558546604E-2</v>
      </c>
      <c r="U342" s="81">
        <f>Tableau1[[#This Row],[Différence_x000D_ HC
Instantané]]/Tableau1[[#This Row],[Diff jour
Instantané]]</f>
        <v>1.9446320054051185</v>
      </c>
      <c r="V342" s="81">
        <f>Tableau1[[#This Row],[Conso HC / jour_x000D_
Instantané]]*365</f>
        <v>709.79068197286824</v>
      </c>
      <c r="W342" s="79">
        <f>Tableau1[[#This Row],[Index HC_x000D_
kWh]]-$R$5</f>
        <v>5856</v>
      </c>
      <c r="X342" s="82">
        <f>Tableau1[[#This Row],[Différence HC
Cumul]]/(Tableau1[[#This Row],[Diff jour_x000D_
Cumul]]*24)</f>
        <v>0.4298539015456474</v>
      </c>
      <c r="Y342" s="82">
        <f>Tableau1[[#This Row],[Différence HC
Cumul]]/Tableau1[[#This Row],[Diff jour_x000D_
Cumul]]</f>
        <v>10.316493637095537</v>
      </c>
      <c r="Z342" s="82">
        <f>Tableau1[[#This Row],[Conso HC / jour_x000D_
Cumul]]*365</f>
        <v>3765.5201775398709</v>
      </c>
      <c r="AA342" s="79">
        <f>Tableau1[[#This Row],[Différence HP
Instantané]]+Tableau1[[#This Row],[Différence_x000D_ HC
Instantané]]</f>
        <v>8</v>
      </c>
      <c r="AB342" s="80">
        <f>Tableau1[[#This Row],[Conso HP + HC
Instantané]]/(Tableau1[[#This Row],[Diff jour
Instantané]]*24)</f>
        <v>0.32410533423418642</v>
      </c>
      <c r="AC342" s="80">
        <f>IF(ISERROR(Tableau1[[#This Row],[Date]]-A341),"",Tableau1[[#This Row],[Conso HP + HC
Instantané]]/Tableau1[[#This Row],[Diff jour
Instantané]])</f>
        <v>7.778528021620474</v>
      </c>
      <c r="AD342" s="80">
        <f>Tableau1[[#This Row],[Conso HP + HC / jour_x000D_
Instantané]]*365</f>
        <v>2839.162727891473</v>
      </c>
      <c r="AE342" s="79">
        <f>Tableau1[[#This Row],[Différence HP
Cumul]]+Tableau1[[#This Row],[Différence HC
Cumul]]</f>
        <v>19503</v>
      </c>
      <c r="AF342" s="77">
        <f>(Tableau1[[#This Row],[Conso HP + HC
Cumul]]-AE$6)/Tableau1[[#This Row],[Diff jour_x000D_
Cumul
depuis le 24/01]]</f>
        <v>31.974233955890327</v>
      </c>
      <c r="AG342" s="77">
        <f>(Tableau1[[#This Row],[Conso HP + HC
Cumul]]-AE$59)/Tableau1[[#This Row],[Diff jour_x000D_
Cumul
depuis
précédente facture
16/02/2021]]</f>
        <v>30.226892344609311</v>
      </c>
      <c r="AH342" s="80">
        <f>Tableau1[[#This Row],[Conso HP + HC
Cumul]]/(Tableau1[[#This Row],[Diff jour_x000D_
Cumul]]*24)</f>
        <v>1.4315984702603759</v>
      </c>
      <c r="AI342" s="80">
        <f>Tableau1[[#This Row],[Conso HP + HC
Cumul]]/Tableau1[[#This Row],[Diff jour_x000D_
Cumul]]</f>
        <v>34.358363286249023</v>
      </c>
      <c r="AJ342" s="80">
        <f>Tableau1[[#This Row],[Conso HP + HC / jour_x000D_
Cumul]]*365</f>
        <v>12540.802599480894</v>
      </c>
      <c r="AK342" s="83">
        <f>(Tableau1[[#This Row],[Différence HP
Cumul]]*0.1799)+(Tableau1[[#This Row],[Différence HC
Cumul]]*0.1346)</f>
        <v>3243.3128999999999</v>
      </c>
      <c r="AL342" s="83">
        <f>Tableau1[[#This Row],[Montant
Tarif HP/HC]]/Tableau1[[#This Row],[Diff jour_x000D_
Cumul]]</f>
        <v>5.7137323934357704</v>
      </c>
      <c r="AM342" s="83">
        <f>(Tableau1[[#This Row],[Montant
Tarif HP/HC]]-AK$6)/Tableau1[[#This Row],[Diff jour_x000D_
Cumul
depuis le 24/01]]</f>
        <v>5.323160998434207</v>
      </c>
      <c r="AN342" s="83">
        <f>(Tableau1[[#This Row],[Montant
Tarif HP/HC]]-AK$59)/Tableau1[[#This Row],[Diff jour_x000D_
Cumul
depuis
précédente facture
16/02/2021]]</f>
        <v>5.0319304887102172</v>
      </c>
      <c r="AO342" s="83">
        <f>Tableau1[[#This Row],[Conso HP + HC
Cumul]]*0.1599</f>
        <v>3118.5296999999996</v>
      </c>
      <c r="AP342" s="83">
        <f>Tableau1[[#This Row],[Montant
Tarif normal]]/Tableau1[[#This Row],[Diff jour_x000D_
Cumul]]</f>
        <v>5.4939022894712179</v>
      </c>
      <c r="AQ342" s="83">
        <f>(Tableau1[[#This Row],[Conso HP / an
Cumul]]*0.1799)+(Tableau1[[#This Row],[Conso HC / an_x000D_
Cumul]]*0.1346)</f>
        <v>2085.5123236040563</v>
      </c>
      <c r="AR342" s="83">
        <f>Tableau1[[#This Row],[Conso HP + HC / an_x000D_
Cumul]]*0.1599</f>
        <v>2005.2743356569947</v>
      </c>
      <c r="AS342" s="79">
        <f>MONTH(Tableau1[[#This Row],[Date]])</f>
        <v>7</v>
      </c>
      <c r="AT342" s="79">
        <f>YEAR(Tableau1[[#This Row],[Date]])</f>
        <v>2022</v>
      </c>
    </row>
    <row r="343" spans="1:46" x14ac:dyDescent="0.2">
      <c r="A343" s="74">
        <v>44751.455555555556</v>
      </c>
      <c r="B343" s="75"/>
      <c r="C343" s="76">
        <f>IF(ISERROR(Tableau1[[#This Row],[Date]]-A342),"",Tableau1[[#This Row],[Date]]-A342)</f>
        <v>1.1125000000029104</v>
      </c>
      <c r="D343" s="77">
        <f>IF(ISERROR(Tableau1[[#This Row],[Date]]-A342),"",Tableau1[[#This Row],[Date]]-A342)</f>
        <v>1.1125000000029104</v>
      </c>
      <c r="E343" s="76">
        <f>Tableau1[[#This Row],[Date]]-$A$5</f>
        <v>568.74722222222044</v>
      </c>
      <c r="F343" s="77">
        <f>Tableau1[[#This Row],[Date]]-$A$5</f>
        <v>568.74722222222044</v>
      </c>
      <c r="G343" s="77">
        <f>Tableau1[[#This Row],[Diff jour_x000D_
Cumul]]-F$6</f>
        <v>530.66388888889196</v>
      </c>
      <c r="H343" s="77">
        <f>Tableau1[[#This Row],[Diff jour_x000D_
Cumul]]-F$59</f>
        <v>508.14444444444234</v>
      </c>
      <c r="I343" s="78">
        <v>193414</v>
      </c>
      <c r="J343" s="79">
        <f>IF(ISERROR(Tableau1[[#This Row],[Index HP
kWh]]-I342),"",Tableau1[[#This Row],[Index HP
kWh]]-I342)</f>
        <v>8</v>
      </c>
      <c r="K343" s="77">
        <f>IF(ISERROR(Tableau1[[#This Row],[Différence HP
Instantané]]/(Tableau1[[#This Row],[Diff jour
Instantané]]*24)),"",Tableau1[[#This Row],[Différence HP
Instantané]]/(Tableau1[[#This Row],[Diff jour
Instantané]]*24))</f>
        <v>0.29962546816401014</v>
      </c>
      <c r="L343" s="77">
        <f>Tableau1[[#This Row],[Différence HP
Instantané]]/Tableau1[[#This Row],[Diff jour
Instantané]]</f>
        <v>7.1910112359362444</v>
      </c>
      <c r="M343" s="77">
        <f>Tableau1[[#This Row],[Conso HP / jour
Instantané]]*365</f>
        <v>2624.7191011167292</v>
      </c>
      <c r="N343" s="79">
        <f>Tableau1[[#This Row],[Index HP
kWh]]-$I$5</f>
        <v>13655</v>
      </c>
      <c r="O343" s="80">
        <f>Tableau1[[#This Row],[Différence HP
Cumul]]/(Tableau1[[#This Row],[Diff jour_x000D_
Cumul]]*24)</f>
        <v>1.0003711861840627</v>
      </c>
      <c r="P343" s="80">
        <f>Tableau1[[#This Row],[Différence HP
Cumul]]/Tableau1[[#This Row],[Diff jour_x000D_
Cumul]]</f>
        <v>24.008908468417502</v>
      </c>
      <c r="Q343" s="80">
        <f>Tableau1[[#This Row],[Conso HP / jour
Cumul]]*365</f>
        <v>8763.2515909723879</v>
      </c>
      <c r="R343" s="78">
        <v>125291</v>
      </c>
      <c r="S343" s="79">
        <f>Tableau1[[#This Row],[Index HC_x000D_
kWh]]-R342</f>
        <v>3</v>
      </c>
      <c r="T343" s="81">
        <f>Tableau1[[#This Row],[Différence_x000D_ HC
Instantané]]/(Tableau1[[#This Row],[Diff jour
Instantané]]*24)</f>
        <v>0.11235955056150382</v>
      </c>
      <c r="U343" s="81">
        <f>Tableau1[[#This Row],[Différence_x000D_ HC
Instantané]]/Tableau1[[#This Row],[Diff jour
Instantané]]</f>
        <v>2.6966292134760916</v>
      </c>
      <c r="V343" s="81">
        <f>Tableau1[[#This Row],[Conso HC / jour_x000D_
Instantané]]*365</f>
        <v>984.26966291877341</v>
      </c>
      <c r="W343" s="79">
        <f>Tableau1[[#This Row],[Index HC_x000D_
kWh]]-$R$5</f>
        <v>5859</v>
      </c>
      <c r="X343" s="82">
        <f>Tableau1[[#This Row],[Différence HC
Cumul]]/(Tableau1[[#This Row],[Diff jour_x000D_
Cumul]]*24)</f>
        <v>0.42923286560618257</v>
      </c>
      <c r="Y343" s="82">
        <f>Tableau1[[#This Row],[Différence HC
Cumul]]/Tableau1[[#This Row],[Diff jour_x000D_
Cumul]]</f>
        <v>10.301588774548382</v>
      </c>
      <c r="Z343" s="82">
        <f>Tableau1[[#This Row],[Conso HC / jour_x000D_
Cumul]]*365</f>
        <v>3760.0799027101593</v>
      </c>
      <c r="AA343" s="79">
        <f>Tableau1[[#This Row],[Différence HP
Instantané]]+Tableau1[[#This Row],[Différence_x000D_ HC
Instantané]]</f>
        <v>11</v>
      </c>
      <c r="AB343" s="80">
        <f>Tableau1[[#This Row],[Conso HP + HC
Instantané]]/(Tableau1[[#This Row],[Diff jour
Instantané]]*24)</f>
        <v>0.41198501872551396</v>
      </c>
      <c r="AC343" s="80">
        <f>IF(ISERROR(Tableau1[[#This Row],[Date]]-A342),"",Tableau1[[#This Row],[Conso HP + HC
Instantané]]/Tableau1[[#This Row],[Diff jour
Instantané]])</f>
        <v>9.887640449412336</v>
      </c>
      <c r="AD343" s="80">
        <f>Tableau1[[#This Row],[Conso HP + HC / jour_x000D_
Instantané]]*365</f>
        <v>3608.9887640355028</v>
      </c>
      <c r="AE343" s="79">
        <f>Tableau1[[#This Row],[Différence HP
Cumul]]+Tableau1[[#This Row],[Différence HC
Cumul]]</f>
        <v>19514</v>
      </c>
      <c r="AF343" s="77">
        <f>(Tableau1[[#This Row],[Conso HP + HC
Cumul]]-AE$6)/Tableau1[[#This Row],[Diff jour_x000D_
Cumul
depuis le 24/01]]</f>
        <v>31.927930946037012</v>
      </c>
      <c r="AG343" s="77">
        <f>(Tableau1[[#This Row],[Conso HP + HC
Cumul]]-AE$59)/Tableau1[[#This Row],[Diff jour_x000D_
Cumul
depuis
précédente facture
16/02/2021]]</f>
        <v>30.182362845210367</v>
      </c>
      <c r="AH343" s="80">
        <f>Tableau1[[#This Row],[Conso HP + HC
Cumul]]/(Tableau1[[#This Row],[Diff jour_x000D_
Cumul]]*24)</f>
        <v>1.4296040517902453</v>
      </c>
      <c r="AI343" s="80">
        <f>Tableau1[[#This Row],[Conso HP + HC
Cumul]]/Tableau1[[#This Row],[Diff jour_x000D_
Cumul]]</f>
        <v>34.310497242965887</v>
      </c>
      <c r="AJ343" s="80">
        <f>Tableau1[[#This Row],[Conso HP + HC / jour_x000D_
Cumul]]*365</f>
        <v>12523.331493682548</v>
      </c>
      <c r="AK343" s="83">
        <f>(Tableau1[[#This Row],[Différence HP
Cumul]]*0.1799)+(Tableau1[[#This Row],[Différence HC
Cumul]]*0.1346)</f>
        <v>3245.1559000000002</v>
      </c>
      <c r="AL343" s="83">
        <f>Tableau1[[#This Row],[Montant
Tarif HP/HC]]/Tableau1[[#This Row],[Diff jour_x000D_
Cumul]]</f>
        <v>5.7057964825225209</v>
      </c>
      <c r="AM343" s="83">
        <f>(Tableau1[[#This Row],[Montant
Tarif HP/HC]]-AK$6)/Tableau1[[#This Row],[Diff jour_x000D_
Cumul
depuis le 24/01]]</f>
        <v>5.3154743691078483</v>
      </c>
      <c r="AN343" s="83">
        <f>(Tableau1[[#This Row],[Montant
Tarif HP/HC]]-AK$59)/Tableau1[[#This Row],[Diff jour_x000D_
Cumul
depuis
précédente facture
16/02/2021]]</f>
        <v>5.0245408129797076</v>
      </c>
      <c r="AO343" s="83">
        <f>Tableau1[[#This Row],[Conso HP + HC
Cumul]]*0.1599</f>
        <v>3120.2885999999999</v>
      </c>
      <c r="AP343" s="83">
        <f>Tableau1[[#This Row],[Montant
Tarif normal]]/Tableau1[[#This Row],[Diff jour_x000D_
Cumul]]</f>
        <v>5.4862485091502444</v>
      </c>
      <c r="AQ343" s="83">
        <f>(Tableau1[[#This Row],[Conso HP / an
Cumul]]*0.1799)+(Tableau1[[#This Row],[Conso HC / an_x000D_
Cumul]]*0.1346)</f>
        <v>2082.6157161207202</v>
      </c>
      <c r="AR343" s="83">
        <f>Tableau1[[#This Row],[Conso HP + HC / an_x000D_
Cumul]]*0.1599</f>
        <v>2002.4807058398392</v>
      </c>
      <c r="AS343" s="79">
        <f>MONTH(Tableau1[[#This Row],[Date]])</f>
        <v>7</v>
      </c>
      <c r="AT343" s="79">
        <f>YEAR(Tableau1[[#This Row],[Date]])</f>
        <v>2022</v>
      </c>
    </row>
    <row r="344" spans="1:46" x14ac:dyDescent="0.2">
      <c r="A344" s="74">
        <v>44752.465277777781</v>
      </c>
      <c r="B344" s="75"/>
      <c r="C344" s="76">
        <f>IF(ISERROR(Tableau1[[#This Row],[Date]]-A343),"",Tableau1[[#This Row],[Date]]-A343)</f>
        <v>1.0097222222248092</v>
      </c>
      <c r="D344" s="77">
        <f>IF(ISERROR(Tableau1[[#This Row],[Date]]-A343),"",Tableau1[[#This Row],[Date]]-A343)</f>
        <v>1.0097222222248092</v>
      </c>
      <c r="E344" s="76">
        <f>Tableau1[[#This Row],[Date]]-$A$5</f>
        <v>569.75694444444525</v>
      </c>
      <c r="F344" s="77">
        <f>Tableau1[[#This Row],[Date]]-$A$5</f>
        <v>569.75694444444525</v>
      </c>
      <c r="G344" s="77">
        <f>Tableau1[[#This Row],[Diff jour_x000D_
Cumul]]-F$6</f>
        <v>531.67361111111677</v>
      </c>
      <c r="H344" s="77">
        <f>Tableau1[[#This Row],[Diff jour_x000D_
Cumul]]-F$59</f>
        <v>509.15416666666715</v>
      </c>
      <c r="I344" s="78">
        <v>193423</v>
      </c>
      <c r="J344" s="79">
        <f>IF(ISERROR(Tableau1[[#This Row],[Index HP
kWh]]-I343),"",Tableau1[[#This Row],[Index HP
kWh]]-I343)</f>
        <v>9</v>
      </c>
      <c r="K344" s="77">
        <f>IF(ISERROR(Tableau1[[#This Row],[Différence HP
Instantané]]/(Tableau1[[#This Row],[Diff jour
Instantané]]*24)),"",Tableau1[[#This Row],[Différence HP
Instantané]]/(Tableau1[[#This Row],[Diff jour
Instantané]]*24))</f>
        <v>0.37138927097566471</v>
      </c>
      <c r="L344" s="77">
        <f>Tableau1[[#This Row],[Différence HP
Instantané]]/Tableau1[[#This Row],[Diff jour
Instantané]]</f>
        <v>8.9133425034159526</v>
      </c>
      <c r="M344" s="77">
        <f>Tableau1[[#This Row],[Conso HP / jour
Instantané]]*365</f>
        <v>3253.3700137468227</v>
      </c>
      <c r="N344" s="79">
        <f>Tableau1[[#This Row],[Index HP
kWh]]-$I$5</f>
        <v>13664</v>
      </c>
      <c r="O344" s="80">
        <f>Tableau1[[#This Row],[Différence HP
Cumul]]/(Tableau1[[#This Row],[Diff jour_x000D_
Cumul]]*24)</f>
        <v>0.99925650557620671</v>
      </c>
      <c r="P344" s="80">
        <f>Tableau1[[#This Row],[Différence HP
Cumul]]/Tableau1[[#This Row],[Diff jour_x000D_
Cumul]]</f>
        <v>23.982156133828962</v>
      </c>
      <c r="Q344" s="80">
        <f>Tableau1[[#This Row],[Conso HP / jour
Cumul]]*365</f>
        <v>8753.4869888475714</v>
      </c>
      <c r="R344" s="78">
        <v>125293</v>
      </c>
      <c r="S344" s="79">
        <f>Tableau1[[#This Row],[Index HC_x000D_
kWh]]-R343</f>
        <v>2</v>
      </c>
      <c r="T344" s="81">
        <f>Tableau1[[#This Row],[Différence_x000D_ HC
Instantané]]/(Tableau1[[#This Row],[Diff jour
Instantané]]*24)</f>
        <v>8.2530949105703272E-2</v>
      </c>
      <c r="U344" s="81">
        <f>Tableau1[[#This Row],[Différence_x000D_ HC
Instantané]]/Tableau1[[#This Row],[Diff jour
Instantané]]</f>
        <v>1.9807427785368783</v>
      </c>
      <c r="V344" s="81">
        <f>Tableau1[[#This Row],[Conso HC / jour_x000D_
Instantané]]*365</f>
        <v>722.97111416596056</v>
      </c>
      <c r="W344" s="79">
        <f>Tableau1[[#This Row],[Index HC_x000D_
kWh]]-$R$5</f>
        <v>5861</v>
      </c>
      <c r="X344" s="82">
        <f>Tableau1[[#This Row],[Différence HC
Cumul]]/(Tableau1[[#This Row],[Diff jour_x000D_
Cumul]]*24)</f>
        <v>0.42861844109939606</v>
      </c>
      <c r="Y344" s="82">
        <f>Tableau1[[#This Row],[Différence HC
Cumul]]/Tableau1[[#This Row],[Diff jour_x000D_
Cumul]]</f>
        <v>10.286842586385506</v>
      </c>
      <c r="Z344" s="82">
        <f>Tableau1[[#This Row],[Conso HC / jour_x000D_
Cumul]]*365</f>
        <v>3754.6975440307097</v>
      </c>
      <c r="AA344" s="79">
        <f>Tableau1[[#This Row],[Différence HP
Instantané]]+Tableau1[[#This Row],[Différence_x000D_ HC
Instantané]]</f>
        <v>11</v>
      </c>
      <c r="AB344" s="80">
        <f>Tableau1[[#This Row],[Conso HP + HC
Instantané]]/(Tableau1[[#This Row],[Diff jour
Instantané]]*24)</f>
        <v>0.45392022008136795</v>
      </c>
      <c r="AC344" s="80">
        <f>IF(ISERROR(Tableau1[[#This Row],[Date]]-A343),"",Tableau1[[#This Row],[Conso HP + HC
Instantané]]/Tableau1[[#This Row],[Diff jour
Instantané]])</f>
        <v>10.894085281952831</v>
      </c>
      <c r="AD344" s="80">
        <f>Tableau1[[#This Row],[Conso HP + HC / jour_x000D_
Instantané]]*365</f>
        <v>3976.3411279127836</v>
      </c>
      <c r="AE344" s="79">
        <f>Tableau1[[#This Row],[Différence HP
Cumul]]+Tableau1[[#This Row],[Différence HC
Cumul]]</f>
        <v>19525</v>
      </c>
      <c r="AF344" s="77">
        <f>(Tableau1[[#This Row],[Conso HP + HC
Cumul]]-AE$6)/Tableau1[[#This Row],[Diff jour_x000D_
Cumul
depuis le 24/01]]</f>
        <v>31.887984744190568</v>
      </c>
      <c r="AG344" s="77">
        <f>(Tableau1[[#This Row],[Conso HP + HC
Cumul]]-AE$59)/Tableau1[[#This Row],[Diff jour_x000D_
Cumul
depuis
précédente facture
16/02/2021]]</f>
        <v>30.144111557566852</v>
      </c>
      <c r="AH344" s="80">
        <f>Tableau1[[#This Row],[Conso HP + HC
Cumul]]/(Tableau1[[#This Row],[Diff jour_x000D_
Cumul]]*24)</f>
        <v>1.4278749466756029</v>
      </c>
      <c r="AI344" s="80">
        <f>Tableau1[[#This Row],[Conso HP + HC
Cumul]]/Tableau1[[#This Row],[Diff jour_x000D_
Cumul]]</f>
        <v>34.268998720214469</v>
      </c>
      <c r="AJ344" s="80">
        <f>Tableau1[[#This Row],[Conso HP + HC / jour_x000D_
Cumul]]*365</f>
        <v>12508.184532878282</v>
      </c>
      <c r="AK344" s="83">
        <f>(Tableau1[[#This Row],[Différence HP
Cumul]]*0.1799)+(Tableau1[[#This Row],[Différence HC
Cumul]]*0.1346)</f>
        <v>3247.0442000000003</v>
      </c>
      <c r="AL344" s="83">
        <f>Tableau1[[#This Row],[Montant
Tarif HP/HC]]/Tableau1[[#This Row],[Diff jour_x000D_
Cumul]]</f>
        <v>5.6989989006033195</v>
      </c>
      <c r="AM344" s="83">
        <f>(Tableau1[[#This Row],[Montant
Tarif HP/HC]]-AK$6)/Tableau1[[#This Row],[Diff jour_x000D_
Cumul
depuis le 24/01]]</f>
        <v>5.3089311581614096</v>
      </c>
      <c r="AN344" s="83">
        <f>(Tableau1[[#This Row],[Montant
Tarif HP/HC]]-AK$59)/Tableau1[[#This Row],[Diff jour_x000D_
Cumul
depuis
précédente facture
16/02/2021]]</f>
        <v>5.0182851624835259</v>
      </c>
      <c r="AO344" s="83">
        <f>Tableau1[[#This Row],[Conso HP + HC
Cumul]]*0.1599</f>
        <v>3122.0474999999997</v>
      </c>
      <c r="AP344" s="83">
        <f>Tableau1[[#This Row],[Montant
Tarif normal]]/Tableau1[[#This Row],[Diff jour_x000D_
Cumul]]</f>
        <v>5.4796128953622931</v>
      </c>
      <c r="AQ344" s="83">
        <f>(Tableau1[[#This Row],[Conso HP / an
Cumul]]*0.1799)+(Tableau1[[#This Row],[Conso HC / an_x000D_
Cumul]]*0.1346)</f>
        <v>2080.1345987202117</v>
      </c>
      <c r="AR344" s="83">
        <f>Tableau1[[#This Row],[Conso HP + HC / an_x000D_
Cumul]]*0.1599</f>
        <v>2000.0587068072371</v>
      </c>
      <c r="AS344" s="79">
        <f>MONTH(Tableau1[[#This Row],[Date]])</f>
        <v>7</v>
      </c>
      <c r="AT344" s="79">
        <f>YEAR(Tableau1[[#This Row],[Date]])</f>
        <v>2022</v>
      </c>
    </row>
    <row r="345" spans="1:46" x14ac:dyDescent="0.2">
      <c r="A345" s="74">
        <v>44753.314583333333</v>
      </c>
      <c r="B345" s="75"/>
      <c r="C345" s="76">
        <f>IF(ISERROR(Tableau1[[#This Row],[Date]]-A344),"",Tableau1[[#This Row],[Date]]-A344)</f>
        <v>0.84930555555183673</v>
      </c>
      <c r="D345" s="77">
        <f>IF(ISERROR(Tableau1[[#This Row],[Date]]-A344),"",Tableau1[[#This Row],[Date]]-A344)</f>
        <v>0.84930555555183673</v>
      </c>
      <c r="E345" s="76">
        <f>Tableau1[[#This Row],[Date]]-$A$5</f>
        <v>570.60624999999709</v>
      </c>
      <c r="F345" s="77">
        <f>Tableau1[[#This Row],[Date]]-$A$5</f>
        <v>570.60624999999709</v>
      </c>
      <c r="G345" s="77">
        <f>Tableau1[[#This Row],[Diff jour_x000D_
Cumul]]-F$6</f>
        <v>532.52291666666861</v>
      </c>
      <c r="H345" s="77">
        <f>Tableau1[[#This Row],[Diff jour_x000D_
Cumul]]-F$59</f>
        <v>510.00347222221899</v>
      </c>
      <c r="I345" s="78">
        <v>193426</v>
      </c>
      <c r="J345" s="79">
        <f>IF(ISERROR(Tableau1[[#This Row],[Index HP
kWh]]-I344),"",Tableau1[[#This Row],[Index HP
kWh]]-I344)</f>
        <v>3</v>
      </c>
      <c r="K345" s="77">
        <f>IF(ISERROR(Tableau1[[#This Row],[Différence HP
Instantané]]/(Tableau1[[#This Row],[Diff jour
Instantané]]*24)),"",Tableau1[[#This Row],[Différence HP
Instantané]]/(Tableau1[[#This Row],[Diff jour
Instantané]]*24))</f>
        <v>0.14717906786654797</v>
      </c>
      <c r="L345" s="77">
        <f>Tableau1[[#This Row],[Différence HP
Instantané]]/Tableau1[[#This Row],[Diff jour
Instantané]]</f>
        <v>3.532297628797151</v>
      </c>
      <c r="M345" s="77">
        <f>Tableau1[[#This Row],[Conso HP / jour
Instantané]]*365</f>
        <v>1289.28863451096</v>
      </c>
      <c r="N345" s="79">
        <f>Tableau1[[#This Row],[Index HP
kWh]]-$I$5</f>
        <v>13667</v>
      </c>
      <c r="O345" s="80">
        <f>Tableau1[[#This Row],[Différence HP
Cumul]]/(Tableau1[[#This Row],[Diff jour_x000D_
Cumul]]*24)</f>
        <v>0.99798825080050602</v>
      </c>
      <c r="P345" s="80">
        <f>Tableau1[[#This Row],[Différence HP
Cumul]]/Tableau1[[#This Row],[Diff jour_x000D_
Cumul]]</f>
        <v>23.951718019212144</v>
      </c>
      <c r="Q345" s="80">
        <f>Tableau1[[#This Row],[Conso HP / jour
Cumul]]*365</f>
        <v>8742.377077012432</v>
      </c>
      <c r="R345" s="78">
        <v>125295</v>
      </c>
      <c r="S345" s="79">
        <f>Tableau1[[#This Row],[Index HC_x000D_
kWh]]-R344</f>
        <v>2</v>
      </c>
      <c r="T345" s="81">
        <f>Tableau1[[#This Row],[Différence_x000D_ HC
Instantané]]/(Tableau1[[#This Row],[Diff jour
Instantané]]*24)</f>
        <v>9.8119378577698646E-2</v>
      </c>
      <c r="U345" s="81">
        <f>Tableau1[[#This Row],[Différence_x000D_ HC
Instantané]]/Tableau1[[#This Row],[Diff jour
Instantané]]</f>
        <v>2.3548650858647675</v>
      </c>
      <c r="V345" s="81">
        <f>Tableau1[[#This Row],[Conso HC / jour_x000D_
Instantané]]*365</f>
        <v>859.5257563406401</v>
      </c>
      <c r="W345" s="79">
        <f>Tableau1[[#This Row],[Index HC_x000D_
kWh]]-$R$5</f>
        <v>5863</v>
      </c>
      <c r="X345" s="82">
        <f>Tableau1[[#This Row],[Différence HC
Cumul]]/(Tableau1[[#This Row],[Diff jour_x000D_
Cumul]]*24)</f>
        <v>0.42812651748323455</v>
      </c>
      <c r="Y345" s="82">
        <f>Tableau1[[#This Row],[Différence HC
Cumul]]/Tableau1[[#This Row],[Diff jour_x000D_
Cumul]]</f>
        <v>10.27503641959763</v>
      </c>
      <c r="Z345" s="82">
        <f>Tableau1[[#This Row],[Conso HC / jour_x000D_
Cumul]]*365</f>
        <v>3750.3882931531348</v>
      </c>
      <c r="AA345" s="79">
        <f>Tableau1[[#This Row],[Différence HP
Instantané]]+Tableau1[[#This Row],[Différence_x000D_ HC
Instantané]]</f>
        <v>5</v>
      </c>
      <c r="AB345" s="80">
        <f>Tableau1[[#This Row],[Conso HP + HC
Instantané]]/(Tableau1[[#This Row],[Diff jour
Instantané]]*24)</f>
        <v>0.24529844644424662</v>
      </c>
      <c r="AC345" s="80">
        <f>IF(ISERROR(Tableau1[[#This Row],[Date]]-A344),"",Tableau1[[#This Row],[Conso HP + HC
Instantané]]/Tableau1[[#This Row],[Diff jour
Instantané]])</f>
        <v>5.887162714661919</v>
      </c>
      <c r="AD345" s="80">
        <f>Tableau1[[#This Row],[Conso HP + HC / jour_x000D_
Instantané]]*365</f>
        <v>2148.8143908516004</v>
      </c>
      <c r="AE345" s="79">
        <f>Tableau1[[#This Row],[Différence HP
Cumul]]+Tableau1[[#This Row],[Différence HC
Cumul]]</f>
        <v>19530</v>
      </c>
      <c r="AF345" s="77">
        <f>(Tableau1[[#This Row],[Conso HP + HC
Cumul]]-AE$6)/Tableau1[[#This Row],[Diff jour_x000D_
Cumul
depuis le 24/01]]</f>
        <v>31.846516777446865</v>
      </c>
      <c r="AG345" s="77">
        <f>(Tableau1[[#This Row],[Conso HP + HC
Cumul]]-AE$59)/Tableau1[[#This Row],[Diff jour_x000D_
Cumul
depuis
précédente facture
16/02/2021]]</f>
        <v>30.103716614129997</v>
      </c>
      <c r="AH345" s="80">
        <f>Tableau1[[#This Row],[Conso HP + HC
Cumul]]/(Tableau1[[#This Row],[Diff jour_x000D_
Cumul]]*24)</f>
        <v>1.4261147682837405</v>
      </c>
      <c r="AI345" s="80">
        <f>Tableau1[[#This Row],[Conso HP + HC
Cumul]]/Tableau1[[#This Row],[Diff jour_x000D_
Cumul]]</f>
        <v>34.226754438809778</v>
      </c>
      <c r="AJ345" s="80">
        <f>Tableau1[[#This Row],[Conso HP + HC / jour_x000D_
Cumul]]*365</f>
        <v>12492.765370165569</v>
      </c>
      <c r="AK345" s="83">
        <f>(Tableau1[[#This Row],[Différence HP
Cumul]]*0.1799)+(Tableau1[[#This Row],[Différence HC
Cumul]]*0.1346)</f>
        <v>3247.8530999999998</v>
      </c>
      <c r="AL345" s="83">
        <f>Tableau1[[#This Row],[Montant
Tarif HP/HC]]/Tableau1[[#This Row],[Diff jour_x000D_
Cumul]]</f>
        <v>5.6919339737341055</v>
      </c>
      <c r="AM345" s="83">
        <f>(Tableau1[[#This Row],[Montant
Tarif HP/HC]]-AK$6)/Tableau1[[#This Row],[Diff jour_x000D_
Cumul
depuis le 24/01]]</f>
        <v>5.3019830914944777</v>
      </c>
      <c r="AN345" s="83">
        <f>(Tableau1[[#This Row],[Montant
Tarif HP/HC]]-AK$59)/Tableau1[[#This Row],[Diff jour_x000D_
Cumul
depuis
précédente facture
16/02/2021]]</f>
        <v>5.0115143115856009</v>
      </c>
      <c r="AO345" s="83">
        <f>Tableau1[[#This Row],[Conso HP + HC
Cumul]]*0.1599</f>
        <v>3122.8469999999998</v>
      </c>
      <c r="AP345" s="83">
        <f>Tableau1[[#This Row],[Montant
Tarif normal]]/Tableau1[[#This Row],[Diff jour_x000D_
Cumul]]</f>
        <v>5.4728580347656823</v>
      </c>
      <c r="AQ345" s="83">
        <f>(Tableau1[[#This Row],[Conso HP / an
Cumul]]*0.1799)+(Tableau1[[#This Row],[Conso HC / an_x000D_
Cumul]]*0.1346)</f>
        <v>2077.5559004129482</v>
      </c>
      <c r="AR345" s="83">
        <f>Tableau1[[#This Row],[Conso HP + HC / an_x000D_
Cumul]]*0.1599</f>
        <v>1997.5931826894744</v>
      </c>
      <c r="AS345" s="79">
        <f>MONTH(Tableau1[[#This Row],[Date]])</f>
        <v>7</v>
      </c>
      <c r="AT345" s="79">
        <f>YEAR(Tableau1[[#This Row],[Date]])</f>
        <v>2022</v>
      </c>
    </row>
    <row r="346" spans="1:46" x14ac:dyDescent="0.2">
      <c r="A346" s="74">
        <v>44754.320138888892</v>
      </c>
      <c r="B346" s="75"/>
      <c r="C346" s="76">
        <f>IF(ISERROR(Tableau1[[#This Row],[Date]]-A345),"",Tableau1[[#This Row],[Date]]-A345)</f>
        <v>1.0055555555591127</v>
      </c>
      <c r="D346" s="77">
        <f>IF(ISERROR(Tableau1[[#This Row],[Date]]-A345),"",Tableau1[[#This Row],[Date]]-A345)</f>
        <v>1.0055555555591127</v>
      </c>
      <c r="E346" s="76">
        <f>Tableau1[[#This Row],[Date]]-$A$5</f>
        <v>571.6118055555562</v>
      </c>
      <c r="F346" s="77">
        <f>Tableau1[[#This Row],[Date]]-$A$5</f>
        <v>571.6118055555562</v>
      </c>
      <c r="G346" s="77">
        <f>Tableau1[[#This Row],[Diff jour_x000D_
Cumul]]-F$6</f>
        <v>533.52847222222772</v>
      </c>
      <c r="H346" s="77">
        <f>Tableau1[[#This Row],[Diff jour_x000D_
Cumul]]-F$59</f>
        <v>511.0090277777781</v>
      </c>
      <c r="I346" s="78">
        <v>193434</v>
      </c>
      <c r="J346" s="79">
        <f>IF(ISERROR(Tableau1[[#This Row],[Index HP
kWh]]-I345),"",Tableau1[[#This Row],[Index HP
kWh]]-I345)</f>
        <v>8</v>
      </c>
      <c r="K346" s="77">
        <f>IF(ISERROR(Tableau1[[#This Row],[Différence HP
Instantané]]/(Tableau1[[#This Row],[Diff jour
Instantané]]*24)),"",Tableau1[[#This Row],[Différence HP
Instantané]]/(Tableau1[[#This Row],[Diff jour
Instantané]]*24))</f>
        <v>0.33149171270600969</v>
      </c>
      <c r="L346" s="77">
        <f>Tableau1[[#This Row],[Différence HP
Instantané]]/Tableau1[[#This Row],[Diff jour
Instantané]]</f>
        <v>7.9558011049442321</v>
      </c>
      <c r="M346" s="77">
        <f>Tableau1[[#This Row],[Conso HP / jour
Instantané]]*365</f>
        <v>2903.8674033046445</v>
      </c>
      <c r="N346" s="79">
        <f>Tableau1[[#This Row],[Index HP
kWh]]-$I$5</f>
        <v>13675</v>
      </c>
      <c r="O346" s="80">
        <f>Tableau1[[#This Row],[Différence HP
Cumul]]/(Tableau1[[#This Row],[Diff jour_x000D_
Cumul]]*24)</f>
        <v>0.99681577799618659</v>
      </c>
      <c r="P346" s="80">
        <f>Tableau1[[#This Row],[Différence HP
Cumul]]/Tableau1[[#This Row],[Diff jour_x000D_
Cumul]]</f>
        <v>23.923578671908476</v>
      </c>
      <c r="Q346" s="80">
        <f>Tableau1[[#This Row],[Conso HP / jour
Cumul]]*365</f>
        <v>8732.1062152465947</v>
      </c>
      <c r="R346" s="78">
        <v>125297</v>
      </c>
      <c r="S346" s="79">
        <f>Tableau1[[#This Row],[Index HC_x000D_
kWh]]-R345</f>
        <v>2</v>
      </c>
      <c r="T346" s="81">
        <f>Tableau1[[#This Row],[Différence_x000D_ HC
Instantané]]/(Tableau1[[#This Row],[Diff jour
Instantané]]*24)</f>
        <v>8.2872928176502422E-2</v>
      </c>
      <c r="U346" s="81">
        <f>Tableau1[[#This Row],[Différence_x000D_ HC
Instantané]]/Tableau1[[#This Row],[Diff jour
Instantané]]</f>
        <v>1.988950276236058</v>
      </c>
      <c r="V346" s="81">
        <f>Tableau1[[#This Row],[Conso HC / jour_x000D_
Instantané]]*365</f>
        <v>725.96685082616114</v>
      </c>
      <c r="W346" s="79">
        <f>Tableau1[[#This Row],[Index HC_x000D_
kWh]]-$R$5</f>
        <v>5865</v>
      </c>
      <c r="X346" s="82">
        <f>Tableau1[[#This Row],[Différence HC
Cumul]]/(Tableau1[[#This Row],[Diff jour_x000D_
Cumul]]*24)</f>
        <v>0.42751916182432426</v>
      </c>
      <c r="Y346" s="82">
        <f>Tableau1[[#This Row],[Différence HC
Cumul]]/Tableau1[[#This Row],[Diff jour_x000D_
Cumul]]</f>
        <v>10.260459883783781</v>
      </c>
      <c r="Z346" s="82">
        <f>Tableau1[[#This Row],[Conso HC / jour_x000D_
Cumul]]*365</f>
        <v>3745.0678575810803</v>
      </c>
      <c r="AA346" s="79">
        <f>Tableau1[[#This Row],[Différence HP
Instantané]]+Tableau1[[#This Row],[Différence_x000D_ HC
Instantané]]</f>
        <v>10</v>
      </c>
      <c r="AB346" s="80">
        <f>Tableau1[[#This Row],[Conso HP + HC
Instantané]]/(Tableau1[[#This Row],[Diff jour
Instantané]]*24)</f>
        <v>0.41436464088251207</v>
      </c>
      <c r="AC346" s="80">
        <f>IF(ISERROR(Tableau1[[#This Row],[Date]]-A345),"",Tableau1[[#This Row],[Conso HP + HC
Instantané]]/Tableau1[[#This Row],[Diff jour
Instantané]])</f>
        <v>9.944751381180291</v>
      </c>
      <c r="AD346" s="80">
        <f>Tableau1[[#This Row],[Conso HP + HC / jour_x000D_
Instantané]]*365</f>
        <v>3629.8342541308061</v>
      </c>
      <c r="AE346" s="79">
        <f>Tableau1[[#This Row],[Différence HP
Cumul]]+Tableau1[[#This Row],[Différence HC
Cumul]]</f>
        <v>19540</v>
      </c>
      <c r="AF346" s="77">
        <f>(Tableau1[[#This Row],[Conso HP + HC
Cumul]]-AE$6)/Tableau1[[#This Row],[Diff jour_x000D_
Cumul
depuis le 24/01]]</f>
        <v>31.805237927268472</v>
      </c>
      <c r="AG346" s="77">
        <f>(Tableau1[[#This Row],[Conso HP + HC
Cumul]]-AE$59)/Tableau1[[#This Row],[Diff jour_x000D_
Cumul
depuis
précédente facture
16/02/2021]]</f>
        <v>30.064048118306218</v>
      </c>
      <c r="AH346" s="80">
        <f>Tableau1[[#This Row],[Conso HP + HC
Cumul]]/(Tableau1[[#This Row],[Diff jour_x000D_
Cumul]]*24)</f>
        <v>1.4243349398205107</v>
      </c>
      <c r="AI346" s="80">
        <f>Tableau1[[#This Row],[Conso HP + HC
Cumul]]/Tableau1[[#This Row],[Diff jour_x000D_
Cumul]]</f>
        <v>34.184038555692261</v>
      </c>
      <c r="AJ346" s="80">
        <f>Tableau1[[#This Row],[Conso HP + HC / jour_x000D_
Cumul]]*365</f>
        <v>12477.174072827675</v>
      </c>
      <c r="AK346" s="83">
        <f>(Tableau1[[#This Row],[Différence HP
Cumul]]*0.1799)+(Tableau1[[#This Row],[Différence HC
Cumul]]*0.1346)</f>
        <v>3249.5615000000003</v>
      </c>
      <c r="AL346" s="83">
        <f>Tableau1[[#This Row],[Montant
Tarif HP/HC]]/Tableau1[[#This Row],[Diff jour_x000D_
Cumul]]</f>
        <v>5.6849097034336324</v>
      </c>
      <c r="AM346" s="83">
        <f>(Tableau1[[#This Row],[Montant
Tarif HP/HC]]-AK$6)/Tableau1[[#This Row],[Diff jour_x000D_
Cumul
depuis le 24/01]]</f>
        <v>5.2951923788300874</v>
      </c>
      <c r="AN346" s="83">
        <f>(Tableau1[[#This Row],[Montant
Tarif HP/HC]]-AK$59)/Tableau1[[#This Row],[Diff jour_x000D_
Cumul
depuis
précédente facture
16/02/2021]]</f>
        <v>5.004995921739801</v>
      </c>
      <c r="AO346" s="83">
        <f>Tableau1[[#This Row],[Conso HP + HC
Cumul]]*0.1599</f>
        <v>3124.4459999999999</v>
      </c>
      <c r="AP346" s="83">
        <f>Tableau1[[#This Row],[Montant
Tarif normal]]/Tableau1[[#This Row],[Diff jour_x000D_
Cumul]]</f>
        <v>5.4660277650551921</v>
      </c>
      <c r="AQ346" s="83">
        <f>(Tableau1[[#This Row],[Conso HP / an
Cumul]]*0.1799)+(Tableau1[[#This Row],[Conso HC / an_x000D_
Cumul]]*0.1346)</f>
        <v>2074.9920417532758</v>
      </c>
      <c r="AR346" s="83">
        <f>Tableau1[[#This Row],[Conso HP + HC / an_x000D_
Cumul]]*0.1599</f>
        <v>1995.100134245145</v>
      </c>
      <c r="AS346" s="79">
        <f>MONTH(Tableau1[[#This Row],[Date]])</f>
        <v>7</v>
      </c>
      <c r="AT346" s="79">
        <f>YEAR(Tableau1[[#This Row],[Date]])</f>
        <v>2022</v>
      </c>
    </row>
    <row r="347" spans="1:46" x14ac:dyDescent="0.2">
      <c r="A347" s="74">
        <v>44755.311805555553</v>
      </c>
      <c r="B347" s="75"/>
      <c r="C347" s="76">
        <f>IF(ISERROR(Tableau1[[#This Row],[Date]]-A346),"",Tableau1[[#This Row],[Date]]-A346)</f>
        <v>0.99166666666133096</v>
      </c>
      <c r="D347" s="77">
        <f>IF(ISERROR(Tableau1[[#This Row],[Date]]-A346),"",Tableau1[[#This Row],[Date]]-A346)</f>
        <v>0.99166666666133096</v>
      </c>
      <c r="E347" s="76">
        <f>Tableau1[[#This Row],[Date]]-$A$5</f>
        <v>572.60347222221753</v>
      </c>
      <c r="F347" s="77">
        <f>Tableau1[[#This Row],[Date]]-$A$5</f>
        <v>572.60347222221753</v>
      </c>
      <c r="G347" s="77">
        <f>Tableau1[[#This Row],[Diff jour_x000D_
Cumul]]-F$6</f>
        <v>534.52013888888905</v>
      </c>
      <c r="H347" s="77">
        <f>Tableau1[[#This Row],[Diff jour_x000D_
Cumul]]-F$59</f>
        <v>512.00069444443943</v>
      </c>
      <c r="I347" s="78">
        <v>193441</v>
      </c>
      <c r="J347" s="79">
        <f>IF(ISERROR(Tableau1[[#This Row],[Index HP
kWh]]-I346),"",Tableau1[[#This Row],[Index HP
kWh]]-I346)</f>
        <v>7</v>
      </c>
      <c r="K347" s="77">
        <f>IF(ISERROR(Tableau1[[#This Row],[Différence HP
Instantané]]/(Tableau1[[#This Row],[Diff jour
Instantané]]*24)),"",Tableau1[[#This Row],[Différence HP
Instantané]]/(Tableau1[[#This Row],[Diff jour
Instantané]]*24))</f>
        <v>0.29411764706040605</v>
      </c>
      <c r="L347" s="77">
        <f>Tableau1[[#This Row],[Différence HP
Instantané]]/Tableau1[[#This Row],[Diff jour
Instantané]]</f>
        <v>7.0588235294497448</v>
      </c>
      <c r="M347" s="77">
        <f>Tableau1[[#This Row],[Conso HP / jour
Instantané]]*365</f>
        <v>2576.4705882491567</v>
      </c>
      <c r="N347" s="79">
        <f>Tableau1[[#This Row],[Index HP
kWh]]-$I$5</f>
        <v>13682</v>
      </c>
      <c r="O347" s="80">
        <f>Tableau1[[#This Row],[Différence HP
Cumul]]/(Tableau1[[#This Row],[Diff jour_x000D_
Cumul]]*24)</f>
        <v>0.99559880613524088</v>
      </c>
      <c r="P347" s="80">
        <f>Tableau1[[#This Row],[Différence HP
Cumul]]/Tableau1[[#This Row],[Diff jour_x000D_
Cumul]]</f>
        <v>23.89437134724578</v>
      </c>
      <c r="Q347" s="80">
        <f>Tableau1[[#This Row],[Conso HP / jour
Cumul]]*365</f>
        <v>8721.4455417447098</v>
      </c>
      <c r="R347" s="78">
        <v>125301</v>
      </c>
      <c r="S347" s="79">
        <f>Tableau1[[#This Row],[Index HC_x000D_
kWh]]-R346</f>
        <v>4</v>
      </c>
      <c r="T347" s="81">
        <f>Tableau1[[#This Row],[Différence_x000D_ HC
Instantané]]/(Tableau1[[#This Row],[Diff jour
Instantané]]*24)</f>
        <v>0.16806722689166059</v>
      </c>
      <c r="U347" s="81">
        <f>Tableau1[[#This Row],[Différence_x000D_ HC
Instantané]]/Tableau1[[#This Row],[Diff jour
Instantané]]</f>
        <v>4.0336134453998547</v>
      </c>
      <c r="V347" s="81">
        <f>Tableau1[[#This Row],[Conso HC / jour_x000D_
Instantané]]*365</f>
        <v>1472.268907570947</v>
      </c>
      <c r="W347" s="79">
        <f>Tableau1[[#This Row],[Index HC_x000D_
kWh]]-$R$5</f>
        <v>5869</v>
      </c>
      <c r="X347" s="82">
        <f>Tableau1[[#This Row],[Différence HC
Cumul]]/(Tableau1[[#This Row],[Diff jour_x000D_
Cumul]]*24)</f>
        <v>0.427069828475934</v>
      </c>
      <c r="Y347" s="82">
        <f>Tableau1[[#This Row],[Différence HC
Cumul]]/Tableau1[[#This Row],[Diff jour_x000D_
Cumul]]</f>
        <v>10.249675883422416</v>
      </c>
      <c r="Z347" s="82">
        <f>Tableau1[[#This Row],[Conso HC / jour_x000D_
Cumul]]*365</f>
        <v>3741.131697449182</v>
      </c>
      <c r="AA347" s="79">
        <f>Tableau1[[#This Row],[Différence HP
Instantané]]+Tableau1[[#This Row],[Différence_x000D_ HC
Instantané]]</f>
        <v>11</v>
      </c>
      <c r="AB347" s="80">
        <f>Tableau1[[#This Row],[Conso HP + HC
Instantané]]/(Tableau1[[#This Row],[Diff jour
Instantané]]*24)</f>
        <v>0.46218487395206664</v>
      </c>
      <c r="AC347" s="80">
        <f>IF(ISERROR(Tableau1[[#This Row],[Date]]-A346),"",Tableau1[[#This Row],[Conso HP + HC
Instantané]]/Tableau1[[#This Row],[Diff jour
Instantané]])</f>
        <v>11.092436974849599</v>
      </c>
      <c r="AD347" s="80">
        <f>Tableau1[[#This Row],[Conso HP + HC / jour_x000D_
Instantané]]*365</f>
        <v>4048.7394958201039</v>
      </c>
      <c r="AE347" s="79">
        <f>Tableau1[[#This Row],[Différence HP
Cumul]]+Tableau1[[#This Row],[Différence HC
Cumul]]</f>
        <v>19551</v>
      </c>
      <c r="AF347" s="77">
        <f>(Tableau1[[#This Row],[Conso HP + HC
Cumul]]-AE$6)/Tableau1[[#This Row],[Diff jour_x000D_
Cumul
depuis le 24/01]]</f>
        <v>31.766810573866216</v>
      </c>
      <c r="AG347" s="77">
        <f>(Tableau1[[#This Row],[Conso HP + HC
Cumul]]-AE$59)/Tableau1[[#This Row],[Diff jour_x000D_
Cumul
depuis
précédente facture
16/02/2021]]</f>
        <v>30.027303022864032</v>
      </c>
      <c r="AH347" s="80">
        <f>Tableau1[[#This Row],[Conso HP + HC
Cumul]]/(Tableau1[[#This Row],[Diff jour_x000D_
Cumul]]*24)</f>
        <v>1.4226686346111748</v>
      </c>
      <c r="AI347" s="80">
        <f>Tableau1[[#This Row],[Conso HP + HC
Cumul]]/Tableau1[[#This Row],[Diff jour_x000D_
Cumul]]</f>
        <v>34.1440472306682</v>
      </c>
      <c r="AJ347" s="80">
        <f>Tableau1[[#This Row],[Conso HP + HC / jour_x000D_
Cumul]]*365</f>
        <v>12462.577239193894</v>
      </c>
      <c r="AK347" s="83">
        <f>(Tableau1[[#This Row],[Différence HP
Cumul]]*0.1799)+(Tableau1[[#This Row],[Différence HC
Cumul]]*0.1346)</f>
        <v>3251.3591999999999</v>
      </c>
      <c r="AL347" s="83">
        <f>Tableau1[[#This Row],[Montant
Tarif HP/HC]]/Tableau1[[#This Row],[Diff jour_x000D_
Cumul]]</f>
        <v>5.6782037792781725</v>
      </c>
      <c r="AM347" s="83">
        <f>(Tableau1[[#This Row],[Montant
Tarif HP/HC]]-AK$6)/Tableau1[[#This Row],[Diff jour_x000D_
Cumul
depuis le 24/01]]</f>
        <v>5.2887316947054002</v>
      </c>
      <c r="AN347" s="83">
        <f>(Tableau1[[#This Row],[Montant
Tarif HP/HC]]-AK$59)/Tableau1[[#This Row],[Diff jour_x000D_
Cumul
depuis
précédente facture
16/02/2021]]</f>
        <v>4.9988131418008006</v>
      </c>
      <c r="AO347" s="83">
        <f>Tableau1[[#This Row],[Conso HP + HC
Cumul]]*0.1599</f>
        <v>3126.2048999999997</v>
      </c>
      <c r="AP347" s="83">
        <f>Tableau1[[#This Row],[Montant
Tarif normal]]/Tableau1[[#This Row],[Diff jour_x000D_
Cumul]]</f>
        <v>5.4596331521838444</v>
      </c>
      <c r="AQ347" s="83">
        <f>(Tableau1[[#This Row],[Conso HP / an
Cumul]]*0.1799)+(Tableau1[[#This Row],[Conso HC / an_x000D_
Cumul]]*0.1346)</f>
        <v>2072.5443794365333</v>
      </c>
      <c r="AR347" s="83">
        <f>Tableau1[[#This Row],[Conso HP + HC / an_x000D_
Cumul]]*0.1599</f>
        <v>1992.7661005471034</v>
      </c>
      <c r="AS347" s="79">
        <f>MONTH(Tableau1[[#This Row],[Date]])</f>
        <v>7</v>
      </c>
      <c r="AT347" s="79">
        <f>YEAR(Tableau1[[#This Row],[Date]])</f>
        <v>2022</v>
      </c>
    </row>
    <row r="348" spans="1:46" x14ac:dyDescent="0.2">
      <c r="A348" s="74">
        <v>44756.347222222219</v>
      </c>
      <c r="B348" s="75"/>
      <c r="C348" s="76">
        <f>IF(ISERROR(Tableau1[[#This Row],[Date]]-A347),"",Tableau1[[#This Row],[Date]]-A347)</f>
        <v>1.0354166666656965</v>
      </c>
      <c r="D348" s="77">
        <f>IF(ISERROR(Tableau1[[#This Row],[Date]]-A347),"",Tableau1[[#This Row],[Date]]-A347)</f>
        <v>1.0354166666656965</v>
      </c>
      <c r="E348" s="76">
        <f>Tableau1[[#This Row],[Date]]-$A$5</f>
        <v>573.63888888888323</v>
      </c>
      <c r="F348" s="77">
        <f>Tableau1[[#This Row],[Date]]-$A$5</f>
        <v>573.63888888888323</v>
      </c>
      <c r="G348" s="77">
        <f>Tableau1[[#This Row],[Diff jour_x000D_
Cumul]]-F$6</f>
        <v>535.55555555555475</v>
      </c>
      <c r="H348" s="77">
        <f>Tableau1[[#This Row],[Diff jour_x000D_
Cumul]]-F$59</f>
        <v>513.03611111110513</v>
      </c>
      <c r="I348" s="78">
        <v>193450</v>
      </c>
      <c r="J348" s="79">
        <f>IF(ISERROR(Tableau1[[#This Row],[Index HP
kWh]]-I347),"",Tableau1[[#This Row],[Index HP
kWh]]-I347)</f>
        <v>9</v>
      </c>
      <c r="K348" s="77">
        <f>IF(ISERROR(Tableau1[[#This Row],[Différence HP
Instantané]]/(Tableau1[[#This Row],[Diff jour
Instantané]]*24)),"",Tableau1[[#This Row],[Différence HP
Instantané]]/(Tableau1[[#This Row],[Diff jour
Instantané]]*24))</f>
        <v>0.36217303822971558</v>
      </c>
      <c r="L348" s="77">
        <f>Tableau1[[#This Row],[Différence HP
Instantané]]/Tableau1[[#This Row],[Diff jour
Instantané]]</f>
        <v>8.6921529175131749</v>
      </c>
      <c r="M348" s="77">
        <f>Tableau1[[#This Row],[Conso HP / jour
Instantané]]*365</f>
        <v>3172.6358148923086</v>
      </c>
      <c r="N348" s="79">
        <f>Tableau1[[#This Row],[Index HP
kWh]]-$I$5</f>
        <v>13691</v>
      </c>
      <c r="O348" s="80">
        <f>Tableau1[[#This Row],[Différence HP
Cumul]]/(Tableau1[[#This Row],[Diff jour_x000D_
Cumul]]*24)</f>
        <v>0.9944554743111812</v>
      </c>
      <c r="P348" s="80">
        <f>Tableau1[[#This Row],[Différence HP
Cumul]]/Tableau1[[#This Row],[Diff jour_x000D_
Cumul]]</f>
        <v>23.866931383468348</v>
      </c>
      <c r="Q348" s="80">
        <f>Tableau1[[#This Row],[Conso HP / jour
Cumul]]*365</f>
        <v>8711.4299549659463</v>
      </c>
      <c r="R348" s="78">
        <v>125303</v>
      </c>
      <c r="S348" s="79">
        <f>Tableau1[[#This Row],[Index HC_x000D_
kWh]]-R347</f>
        <v>2</v>
      </c>
      <c r="T348" s="81">
        <f>Tableau1[[#This Row],[Différence_x000D_ HC
Instantané]]/(Tableau1[[#This Row],[Diff jour
Instantané]]*24)</f>
        <v>8.0482897384381247E-2</v>
      </c>
      <c r="U348" s="81">
        <f>Tableau1[[#This Row],[Différence_x000D_ HC
Instantané]]/Tableau1[[#This Row],[Diff jour
Instantané]]</f>
        <v>1.9315895372251499</v>
      </c>
      <c r="V348" s="81">
        <f>Tableau1[[#This Row],[Conso HC / jour_x000D_
Instantané]]*365</f>
        <v>705.0301810871797</v>
      </c>
      <c r="W348" s="79">
        <f>Tableau1[[#This Row],[Index HC_x000D_
kWh]]-$R$5</f>
        <v>5871</v>
      </c>
      <c r="X348" s="82">
        <f>Tableau1[[#This Row],[Différence HC
Cumul]]/(Tableau1[[#This Row],[Diff jour_x000D_
Cumul]]*24)</f>
        <v>0.42644423998838249</v>
      </c>
      <c r="Y348" s="82">
        <f>Tableau1[[#This Row],[Différence HC
Cumul]]/Tableau1[[#This Row],[Diff jour_x000D_
Cumul]]</f>
        <v>10.234661759721179</v>
      </c>
      <c r="Z348" s="82">
        <f>Tableau1[[#This Row],[Conso HC / jour_x000D_
Cumul]]*365</f>
        <v>3735.6515422982307</v>
      </c>
      <c r="AA348" s="79">
        <f>Tableau1[[#This Row],[Différence HP
Instantané]]+Tableau1[[#This Row],[Différence_x000D_ HC
Instantané]]</f>
        <v>11</v>
      </c>
      <c r="AB348" s="80">
        <f>Tableau1[[#This Row],[Conso HP + HC
Instantané]]/(Tableau1[[#This Row],[Diff jour
Instantané]]*24)</f>
        <v>0.44265593561409683</v>
      </c>
      <c r="AC348" s="80">
        <f>IF(ISERROR(Tableau1[[#This Row],[Date]]-A347),"",Tableau1[[#This Row],[Conso HP + HC
Instantané]]/Tableau1[[#This Row],[Diff jour
Instantané]])</f>
        <v>10.623742454738323</v>
      </c>
      <c r="AD348" s="80">
        <f>Tableau1[[#This Row],[Conso HP + HC / jour_x000D_
Instantané]]*365</f>
        <v>3877.6659959794879</v>
      </c>
      <c r="AE348" s="79">
        <f>Tableau1[[#This Row],[Différence HP
Cumul]]+Tableau1[[#This Row],[Différence HC
Cumul]]</f>
        <v>19562</v>
      </c>
      <c r="AF348" s="77">
        <f>(Tableau1[[#This Row],[Conso HP + HC
Cumul]]-AE$6)/Tableau1[[#This Row],[Diff jour_x000D_
Cumul
depuis le 24/01]]</f>
        <v>31.725933609958552</v>
      </c>
      <c r="AG348" s="77">
        <f>(Tableau1[[#This Row],[Conso HP + HC
Cumul]]-AE$59)/Tableau1[[#This Row],[Diff jour_x000D_
Cumul
depuis
précédente facture
16/02/2021]]</f>
        <v>29.988142485097239</v>
      </c>
      <c r="AH348" s="80">
        <f>Tableau1[[#This Row],[Conso HP + HC
Cumul]]/(Tableau1[[#This Row],[Diff jour_x000D_
Cumul]]*24)</f>
        <v>1.4208997142995636</v>
      </c>
      <c r="AI348" s="80">
        <f>Tableau1[[#This Row],[Conso HP + HC
Cumul]]/Tableau1[[#This Row],[Diff jour_x000D_
Cumul]]</f>
        <v>34.101593143189525</v>
      </c>
      <c r="AJ348" s="80">
        <f>Tableau1[[#This Row],[Conso HP + HC / jour_x000D_
Cumul]]*365</f>
        <v>12447.081497264177</v>
      </c>
      <c r="AK348" s="83">
        <f>(Tableau1[[#This Row],[Différence HP
Cumul]]*0.1799)+(Tableau1[[#This Row],[Différence HC
Cumul]]*0.1346)</f>
        <v>3253.2475000000004</v>
      </c>
      <c r="AL348" s="83">
        <f>Tableau1[[#This Row],[Montant
Tarif HP/HC]]/Tableau1[[#This Row],[Diff jour_x000D_
Cumul]]</f>
        <v>5.6712464287444275</v>
      </c>
      <c r="AM348" s="83">
        <f>(Tableau1[[#This Row],[Montant
Tarif HP/HC]]-AK$6)/Tableau1[[#This Row],[Diff jour_x000D_
Cumul
depuis le 24/01]]</f>
        <v>5.2820325933610048</v>
      </c>
      <c r="AN348" s="83">
        <f>(Tableau1[[#This Row],[Montant
Tarif HP/HC]]-AK$59)/Tableau1[[#This Row],[Diff jour_x000D_
Cumul
depuis
précédente facture
16/02/2021]]</f>
        <v>4.9924051046872968</v>
      </c>
      <c r="AO348" s="83">
        <f>Tableau1[[#This Row],[Conso HP + HC
Cumul]]*0.1599</f>
        <v>3127.9637999999995</v>
      </c>
      <c r="AP348" s="83">
        <f>Tableau1[[#This Row],[Montant
Tarif normal]]/Tableau1[[#This Row],[Diff jour_x000D_
Cumul]]</f>
        <v>5.452844743596005</v>
      </c>
      <c r="AQ348" s="83">
        <f>(Tableau1[[#This Row],[Conso HP / an
Cumul]]*0.1799)+(Tableau1[[#This Row],[Conso HC / an_x000D_
Cumul]]*0.1346)</f>
        <v>2070.0049464917156</v>
      </c>
      <c r="AR348" s="83">
        <f>Tableau1[[#This Row],[Conso HP + HC / an_x000D_
Cumul]]*0.1599</f>
        <v>1990.2883314125418</v>
      </c>
      <c r="AS348" s="79">
        <f>MONTH(Tableau1[[#This Row],[Date]])</f>
        <v>7</v>
      </c>
      <c r="AT348" s="79">
        <f>YEAR(Tableau1[[#This Row],[Date]])</f>
        <v>2022</v>
      </c>
    </row>
    <row r="349" spans="1:46" x14ac:dyDescent="0.2">
      <c r="A349" s="74">
        <v>44757.318055555559</v>
      </c>
      <c r="B349" s="75"/>
      <c r="C349" s="76">
        <f>IF(ISERROR(Tableau1[[#This Row],[Date]]-A348),"",Tableau1[[#This Row],[Date]]-A348)</f>
        <v>0.97083333334012423</v>
      </c>
      <c r="D349" s="77">
        <f>IF(ISERROR(Tableau1[[#This Row],[Date]]-A348),"",Tableau1[[#This Row],[Date]]-A348)</f>
        <v>0.97083333334012423</v>
      </c>
      <c r="E349" s="76">
        <f>Tableau1[[#This Row],[Date]]-$A$5</f>
        <v>574.60972222222335</v>
      </c>
      <c r="F349" s="77">
        <f>Tableau1[[#This Row],[Date]]-$A$5</f>
        <v>574.60972222222335</v>
      </c>
      <c r="G349" s="77">
        <f>Tableau1[[#This Row],[Diff jour_x000D_
Cumul]]-F$6</f>
        <v>536.52638888889487</v>
      </c>
      <c r="H349" s="77">
        <f>Tableau1[[#This Row],[Diff jour_x000D_
Cumul]]-F$59</f>
        <v>514.00694444444525</v>
      </c>
      <c r="I349" s="78">
        <v>193453</v>
      </c>
      <c r="J349" s="79">
        <f>IF(ISERROR(Tableau1[[#This Row],[Index HP
kWh]]-I348),"",Tableau1[[#This Row],[Index HP
kWh]]-I348)</f>
        <v>3</v>
      </c>
      <c r="K349" s="77">
        <f>IF(ISERROR(Tableau1[[#This Row],[Différence HP
Instantané]]/(Tableau1[[#This Row],[Diff jour
Instantané]]*24)),"",Tableau1[[#This Row],[Différence HP
Instantané]]/(Tableau1[[#This Row],[Diff jour
Instantané]]*24))</f>
        <v>0.12875536480596633</v>
      </c>
      <c r="L349" s="77">
        <f>Tableau1[[#This Row],[Différence HP
Instantané]]/Tableau1[[#This Row],[Diff jour
Instantané]]</f>
        <v>3.0901287553431915</v>
      </c>
      <c r="M349" s="77">
        <f>Tableau1[[#This Row],[Conso HP / jour
Instantané]]*365</f>
        <v>1127.8969957002648</v>
      </c>
      <c r="N349" s="79">
        <f>Tableau1[[#This Row],[Index HP
kWh]]-$I$5</f>
        <v>13694</v>
      </c>
      <c r="O349" s="80">
        <f>Tableau1[[#This Row],[Différence HP
Cumul]]/(Tableau1[[#This Row],[Diff jour_x000D_
Cumul]]*24)</f>
        <v>0.99299282846569581</v>
      </c>
      <c r="P349" s="80">
        <f>Tableau1[[#This Row],[Différence HP
Cumul]]/Tableau1[[#This Row],[Diff jour_x000D_
Cumul]]</f>
        <v>23.8318278831767</v>
      </c>
      <c r="Q349" s="80">
        <f>Tableau1[[#This Row],[Conso HP / jour
Cumul]]*365</f>
        <v>8698.6171773594961</v>
      </c>
      <c r="R349" s="78">
        <v>125305</v>
      </c>
      <c r="S349" s="79">
        <f>Tableau1[[#This Row],[Index HC_x000D_
kWh]]-R348</f>
        <v>2</v>
      </c>
      <c r="T349" s="81">
        <f>Tableau1[[#This Row],[Différence_x000D_ HC
Instantané]]/(Tableau1[[#This Row],[Diff jour
Instantané]]*24)</f>
        <v>8.5836909870644212E-2</v>
      </c>
      <c r="U349" s="81">
        <f>Tableau1[[#This Row],[Différence_x000D_ HC
Instantané]]/Tableau1[[#This Row],[Diff jour
Instantané]]</f>
        <v>2.0600858368954613</v>
      </c>
      <c r="V349" s="81">
        <f>Tableau1[[#This Row],[Conso HC / jour_x000D_
Instantané]]*365</f>
        <v>751.93133046684341</v>
      </c>
      <c r="W349" s="79">
        <f>Tableau1[[#This Row],[Index HC_x000D_
kWh]]-$R$5</f>
        <v>5873</v>
      </c>
      <c r="X349" s="82">
        <f>Tableau1[[#This Row],[Différence HC
Cumul]]/(Tableau1[[#This Row],[Diff jour_x000D_
Cumul]]*24)</f>
        <v>0.42586876599817669</v>
      </c>
      <c r="Y349" s="82">
        <f>Tableau1[[#This Row],[Différence HC
Cumul]]/Tableau1[[#This Row],[Diff jour_x000D_
Cumul]]</f>
        <v>10.22085038395624</v>
      </c>
      <c r="Z349" s="82">
        <f>Tableau1[[#This Row],[Conso HC / jour_x000D_
Cumul]]*365</f>
        <v>3730.6103901440274</v>
      </c>
      <c r="AA349" s="79">
        <f>Tableau1[[#This Row],[Différence HP
Instantané]]+Tableau1[[#This Row],[Différence_x000D_ HC
Instantané]]</f>
        <v>5</v>
      </c>
      <c r="AB349" s="80">
        <f>Tableau1[[#This Row],[Conso HP + HC
Instantané]]/(Tableau1[[#This Row],[Diff jour
Instantané]]*24)</f>
        <v>0.21459227467661054</v>
      </c>
      <c r="AC349" s="80">
        <f>IF(ISERROR(Tableau1[[#This Row],[Date]]-A348),"",Tableau1[[#This Row],[Conso HP + HC
Instantané]]/Tableau1[[#This Row],[Diff jour
Instantané]])</f>
        <v>5.1502145922386529</v>
      </c>
      <c r="AD349" s="80">
        <f>Tableau1[[#This Row],[Conso HP + HC / jour_x000D_
Instantané]]*365</f>
        <v>1879.8283261671083</v>
      </c>
      <c r="AE349" s="79">
        <f>Tableau1[[#This Row],[Différence HP
Cumul]]+Tableau1[[#This Row],[Différence HC
Cumul]]</f>
        <v>19567</v>
      </c>
      <c r="AF349" s="77">
        <f>(Tableau1[[#This Row],[Conso HP + HC
Cumul]]-AE$6)/Tableau1[[#This Row],[Diff jour_x000D_
Cumul
depuis le 24/01]]</f>
        <v>31.677845399547664</v>
      </c>
      <c r="AG349" s="77">
        <f>(Tableau1[[#This Row],[Conso HP + HC
Cumul]]-AE$59)/Tableau1[[#This Row],[Diff jour_x000D_
Cumul
depuis
précédente facture
16/02/2021]]</f>
        <v>29.941229717497286</v>
      </c>
      <c r="AH349" s="80">
        <f>Tableau1[[#This Row],[Conso HP + HC
Cumul]]/(Tableau1[[#This Row],[Diff jour_x000D_
Cumul]]*24)</f>
        <v>1.4188615944638725</v>
      </c>
      <c r="AI349" s="80">
        <f>Tableau1[[#This Row],[Conso HP + HC
Cumul]]/Tableau1[[#This Row],[Diff jour_x000D_
Cumul]]</f>
        <v>34.05267826713294</v>
      </c>
      <c r="AJ349" s="80">
        <f>Tableau1[[#This Row],[Conso HP + HC / jour_x000D_
Cumul]]*365</f>
        <v>12429.227567503523</v>
      </c>
      <c r="AK349" s="83">
        <f>(Tableau1[[#This Row],[Différence HP
Cumul]]*0.1799)+(Tableau1[[#This Row],[Différence HC
Cumul]]*0.1346)</f>
        <v>3254.0563999999999</v>
      </c>
      <c r="AL349" s="83">
        <f>Tableau1[[#This Row],[Montant
Tarif HP/HC]]/Tableau1[[#This Row],[Diff jour_x000D_
Cumul]]</f>
        <v>5.663072297863998</v>
      </c>
      <c r="AM349" s="83">
        <f>(Tableau1[[#This Row],[Montant
Tarif HP/HC]]-AK$6)/Tableau1[[#This Row],[Diff jour_x000D_
Cumul
depuis le 24/01]]</f>
        <v>5.2739825264884903</v>
      </c>
      <c r="AN349" s="83">
        <f>(Tableau1[[#This Row],[Montant
Tarif HP/HC]]-AK$59)/Tableau1[[#This Row],[Diff jour_x000D_
Cumul
depuis
précédente facture
16/02/2021]]</f>
        <v>4.9845493873029092</v>
      </c>
      <c r="AO349" s="83">
        <f>Tableau1[[#This Row],[Conso HP + HC
Cumul]]*0.1599</f>
        <v>3128.7632999999996</v>
      </c>
      <c r="AP349" s="83">
        <f>Tableau1[[#This Row],[Montant
Tarif normal]]/Tableau1[[#This Row],[Diff jour_x000D_
Cumul]]</f>
        <v>5.4450232549145561</v>
      </c>
      <c r="AQ349" s="83">
        <f>(Tableau1[[#This Row],[Conso HP / an
Cumul]]*0.1799)+(Tableau1[[#This Row],[Conso HC / an_x000D_
Cumul]]*0.1346)</f>
        <v>2067.0213887203595</v>
      </c>
      <c r="AR349" s="83">
        <f>Tableau1[[#This Row],[Conso HP + HC / an_x000D_
Cumul]]*0.1599</f>
        <v>1987.4334880438132</v>
      </c>
      <c r="AS349" s="79">
        <f>MONTH(Tableau1[[#This Row],[Date]])</f>
        <v>7</v>
      </c>
      <c r="AT349" s="79">
        <f>YEAR(Tableau1[[#This Row],[Date]])</f>
        <v>2022</v>
      </c>
    </row>
    <row r="350" spans="1:46" x14ac:dyDescent="0.2">
      <c r="A350" s="74">
        <v>44758.425694444442</v>
      </c>
      <c r="B350" s="75"/>
      <c r="C350" s="76">
        <f>IF(ISERROR(Tableau1[[#This Row],[Date]]-A349),"",Tableau1[[#This Row],[Date]]-A349)</f>
        <v>1.1076388888832298</v>
      </c>
      <c r="D350" s="77">
        <f>IF(ISERROR(Tableau1[[#This Row],[Date]]-A349),"",Tableau1[[#This Row],[Date]]-A349)</f>
        <v>1.1076388888832298</v>
      </c>
      <c r="E350" s="76">
        <f>Tableau1[[#This Row],[Date]]-$A$5</f>
        <v>575.71736111110658</v>
      </c>
      <c r="F350" s="77">
        <f>Tableau1[[#This Row],[Date]]-$A$5</f>
        <v>575.71736111110658</v>
      </c>
      <c r="G350" s="77">
        <f>Tableau1[[#This Row],[Diff jour_x000D_
Cumul]]-F$6</f>
        <v>537.6340277777781</v>
      </c>
      <c r="H350" s="77">
        <f>Tableau1[[#This Row],[Diff jour_x000D_
Cumul]]-F$59</f>
        <v>515.11458333332848</v>
      </c>
      <c r="I350" s="78">
        <v>193462</v>
      </c>
      <c r="J350" s="79">
        <f>IF(ISERROR(Tableau1[[#This Row],[Index HP
kWh]]-I349),"",Tableau1[[#This Row],[Index HP
kWh]]-I349)</f>
        <v>9</v>
      </c>
      <c r="K350" s="77">
        <f>IF(ISERROR(Tableau1[[#This Row],[Différence HP
Instantané]]/(Tableau1[[#This Row],[Diff jour
Instantané]]*24)),"",Tableau1[[#This Row],[Différence HP
Instantané]]/(Tableau1[[#This Row],[Diff jour
Instantané]]*24))</f>
        <v>0.33855799373213724</v>
      </c>
      <c r="L350" s="77">
        <f>Tableau1[[#This Row],[Différence HP
Instantané]]/Tableau1[[#This Row],[Diff jour
Instantané]]</f>
        <v>8.1253918495712938</v>
      </c>
      <c r="M350" s="77">
        <f>Tableau1[[#This Row],[Conso HP / jour
Instantané]]*365</f>
        <v>2965.7680250935223</v>
      </c>
      <c r="N350" s="79">
        <f>Tableau1[[#This Row],[Index HP
kWh]]-$I$5</f>
        <v>13703</v>
      </c>
      <c r="O350" s="80">
        <f>Tableau1[[#This Row],[Différence HP
Cumul]]/(Tableau1[[#This Row],[Diff jour_x000D_
Cumul]]*24)</f>
        <v>0.99173374280638582</v>
      </c>
      <c r="P350" s="80">
        <f>Tableau1[[#This Row],[Différence HP
Cumul]]/Tableau1[[#This Row],[Diff jour_x000D_
Cumul]]</f>
        <v>23.801609827353261</v>
      </c>
      <c r="Q350" s="80">
        <f>Tableau1[[#This Row],[Conso HP / jour
Cumul]]*365</f>
        <v>8687.5875869839401</v>
      </c>
      <c r="R350" s="78">
        <v>125308</v>
      </c>
      <c r="S350" s="79">
        <f>Tableau1[[#This Row],[Index HC_x000D_
kWh]]-R349</f>
        <v>3</v>
      </c>
      <c r="T350" s="81">
        <f>Tableau1[[#This Row],[Différence_x000D_ HC
Instantané]]/(Tableau1[[#This Row],[Diff jour
Instantané]]*24)</f>
        <v>0.11285266457737909</v>
      </c>
      <c r="U350" s="81">
        <f>Tableau1[[#This Row],[Différence_x000D_ HC
Instantané]]/Tableau1[[#This Row],[Diff jour
Instantané]]</f>
        <v>2.7084639498570979</v>
      </c>
      <c r="V350" s="81">
        <f>Tableau1[[#This Row],[Conso HC / jour_x000D_
Instantané]]*365</f>
        <v>988.58934169784072</v>
      </c>
      <c r="W350" s="79">
        <f>Tableau1[[#This Row],[Index HC_x000D_
kWh]]-$R$5</f>
        <v>5876</v>
      </c>
      <c r="X350" s="82">
        <f>Tableau1[[#This Row],[Différence HC
Cumul]]/(Tableau1[[#This Row],[Diff jour_x000D_
Cumul]]*24)</f>
        <v>0.42526654548130505</v>
      </c>
      <c r="Y350" s="82">
        <f>Tableau1[[#This Row],[Différence HC
Cumul]]/Tableau1[[#This Row],[Diff jour_x000D_
Cumul]]</f>
        <v>10.206397091551322</v>
      </c>
      <c r="Z350" s="82">
        <f>Tableau1[[#This Row],[Conso HC / jour_x000D_
Cumul]]*365</f>
        <v>3725.3349384162325</v>
      </c>
      <c r="AA350" s="79">
        <f>Tableau1[[#This Row],[Différence HP
Instantané]]+Tableau1[[#This Row],[Différence_x000D_ HC
Instantané]]</f>
        <v>12</v>
      </c>
      <c r="AB350" s="80">
        <f>Tableau1[[#This Row],[Conso HP + HC
Instantané]]/(Tableau1[[#This Row],[Diff jour
Instantané]]*24)</f>
        <v>0.45141065830951638</v>
      </c>
      <c r="AC350" s="80">
        <f>IF(ISERROR(Tableau1[[#This Row],[Date]]-A349),"",Tableau1[[#This Row],[Conso HP + HC
Instantané]]/Tableau1[[#This Row],[Diff jour
Instantané]])</f>
        <v>10.833855799428392</v>
      </c>
      <c r="AD350" s="80">
        <f>Tableau1[[#This Row],[Conso HP + HC / jour_x000D_
Instantané]]*365</f>
        <v>3954.3573667913629</v>
      </c>
      <c r="AE350" s="79">
        <f>Tableau1[[#This Row],[Différence HP
Cumul]]+Tableau1[[#This Row],[Différence HC
Cumul]]</f>
        <v>19579</v>
      </c>
      <c r="AF350" s="77">
        <f>(Tableau1[[#This Row],[Conso HP + HC
Cumul]]-AE$6)/Tableau1[[#This Row],[Diff jour_x000D_
Cumul
depuis le 24/01]]</f>
        <v>31.634902408055854</v>
      </c>
      <c r="AG350" s="77">
        <f>(Tableau1[[#This Row],[Conso HP + HC
Cumul]]-AE$59)/Tableau1[[#This Row],[Diff jour_x000D_
Cumul
depuis
précédente facture
16/02/2021]]</f>
        <v>29.900143576469919</v>
      </c>
      <c r="AH350" s="80">
        <f>Tableau1[[#This Row],[Conso HP + HC
Cumul]]/(Tableau1[[#This Row],[Diff jour_x000D_
Cumul]]*24)</f>
        <v>1.4170002882876909</v>
      </c>
      <c r="AI350" s="80">
        <f>Tableau1[[#This Row],[Conso HP + HC
Cumul]]/Tableau1[[#This Row],[Diff jour_x000D_
Cumul]]</f>
        <v>34.008006918904584</v>
      </c>
      <c r="AJ350" s="80">
        <f>Tableau1[[#This Row],[Conso HP + HC / jour_x000D_
Cumul]]*365</f>
        <v>12412.922525400174</v>
      </c>
      <c r="AK350" s="83">
        <f>(Tableau1[[#This Row],[Différence HP
Cumul]]*0.1799)+(Tableau1[[#This Row],[Différence HC
Cumul]]*0.1346)</f>
        <v>3256.0792999999999</v>
      </c>
      <c r="AL350" s="83">
        <f>Tableau1[[#This Row],[Montant
Tarif HP/HC]]/Tableau1[[#This Row],[Diff jour_x000D_
Cumul]]</f>
        <v>5.6556906564636593</v>
      </c>
      <c r="AM350" s="83">
        <f>(Tableau1[[#This Row],[Montant
Tarif HP/HC]]-AK$6)/Tableau1[[#This Row],[Diff jour_x000D_
Cumul
depuis le 24/01]]</f>
        <v>5.266879612706389</v>
      </c>
      <c r="AN350" s="83">
        <f>(Tableau1[[#This Row],[Montant
Tarif HP/HC]]-AK$59)/Tableau1[[#This Row],[Diff jour_x000D_
Cumul
depuis
précédente facture
16/02/2021]]</f>
        <v>4.9777583142909609</v>
      </c>
      <c r="AO350" s="83">
        <f>Tableau1[[#This Row],[Conso HP + HC
Cumul]]*0.1599</f>
        <v>3130.6820999999995</v>
      </c>
      <c r="AP350" s="83">
        <f>Tableau1[[#This Row],[Montant
Tarif normal]]/Tableau1[[#This Row],[Diff jour_x000D_
Cumul]]</f>
        <v>5.4378803063328416</v>
      </c>
      <c r="AQ350" s="83">
        <f>(Tableau1[[#This Row],[Conso HP / an
Cumul]]*0.1799)+(Tableau1[[#This Row],[Conso HC / an_x000D_
Cumul]]*0.1346)</f>
        <v>2064.3270896092358</v>
      </c>
      <c r="AR350" s="83">
        <f>Tableau1[[#This Row],[Conso HP + HC / an_x000D_
Cumul]]*0.1599</f>
        <v>1984.8263118114876</v>
      </c>
      <c r="AS350" s="79">
        <f>MONTH(Tableau1[[#This Row],[Date]])</f>
        <v>7</v>
      </c>
      <c r="AT350" s="79">
        <f>YEAR(Tableau1[[#This Row],[Date]])</f>
        <v>2022</v>
      </c>
    </row>
    <row r="351" spans="1:46" x14ac:dyDescent="0.2">
      <c r="A351" s="74">
        <v>44759.459722222222</v>
      </c>
      <c r="B351" s="75"/>
      <c r="C351" s="76">
        <f>IF(ISERROR(Tableau1[[#This Row],[Date]]-A350),"",Tableau1[[#This Row],[Date]]-A350)</f>
        <v>1.0340277777795563</v>
      </c>
      <c r="D351" s="77">
        <f>IF(ISERROR(Tableau1[[#This Row],[Date]]-A350),"",Tableau1[[#This Row],[Date]]-A350)</f>
        <v>1.0340277777795563</v>
      </c>
      <c r="E351" s="76">
        <f>Tableau1[[#This Row],[Date]]-$A$5</f>
        <v>576.75138888888614</v>
      </c>
      <c r="F351" s="77">
        <f>Tableau1[[#This Row],[Date]]-$A$5</f>
        <v>576.75138888888614</v>
      </c>
      <c r="G351" s="77">
        <f>Tableau1[[#This Row],[Diff jour_x000D_
Cumul]]-F$6</f>
        <v>538.66805555555766</v>
      </c>
      <c r="H351" s="77">
        <f>Tableau1[[#This Row],[Diff jour_x000D_
Cumul]]-F$59</f>
        <v>516.14861111110804</v>
      </c>
      <c r="I351" s="78">
        <v>193468</v>
      </c>
      <c r="J351" s="79">
        <f>IF(ISERROR(Tableau1[[#This Row],[Index HP
kWh]]-I350),"",Tableau1[[#This Row],[Index HP
kWh]]-I350)</f>
        <v>6</v>
      </c>
      <c r="K351" s="77">
        <f>IF(ISERROR(Tableau1[[#This Row],[Différence HP
Instantané]]/(Tableau1[[#This Row],[Diff jour
Instantané]]*24)),"",Tableau1[[#This Row],[Différence HP
Instantané]]/(Tableau1[[#This Row],[Diff jour
Instantané]]*24))</f>
        <v>0.24177300201435917</v>
      </c>
      <c r="L351" s="77">
        <f>Tableau1[[#This Row],[Différence HP
Instantané]]/Tableau1[[#This Row],[Diff jour
Instantané]]</f>
        <v>5.8025520483446194</v>
      </c>
      <c r="M351" s="77">
        <f>Tableau1[[#This Row],[Conso HP / jour
Instantané]]*365</f>
        <v>2117.9314976457858</v>
      </c>
      <c r="N351" s="79">
        <f>Tableau1[[#This Row],[Index HP
kWh]]-$I$5</f>
        <v>13709</v>
      </c>
      <c r="O351" s="80">
        <f>Tableau1[[#This Row],[Différence HP
Cumul]]/(Tableau1[[#This Row],[Diff jour_x000D_
Cumul]]*24)</f>
        <v>0.99038917692728656</v>
      </c>
      <c r="P351" s="80">
        <f>Tableau1[[#This Row],[Différence HP
Cumul]]/Tableau1[[#This Row],[Diff jour_x000D_
Cumul]]</f>
        <v>23.769340246254878</v>
      </c>
      <c r="Q351" s="80">
        <f>Tableau1[[#This Row],[Conso HP / jour
Cumul]]*365</f>
        <v>8675.8091898830298</v>
      </c>
      <c r="R351" s="78">
        <v>125310</v>
      </c>
      <c r="S351" s="79">
        <f>Tableau1[[#This Row],[Index HC_x000D_
kWh]]-R350</f>
        <v>2</v>
      </c>
      <c r="T351" s="81">
        <f>Tableau1[[#This Row],[Différence_x000D_ HC
Instantané]]/(Tableau1[[#This Row],[Diff jour
Instantané]]*24)</f>
        <v>8.0591000671453056E-2</v>
      </c>
      <c r="U351" s="81">
        <f>Tableau1[[#This Row],[Différence_x000D_ HC
Instantané]]/Tableau1[[#This Row],[Diff jour
Instantané]]</f>
        <v>1.9341840161148733</v>
      </c>
      <c r="V351" s="81">
        <f>Tableau1[[#This Row],[Conso HC / jour_x000D_
Instantané]]*365</f>
        <v>705.97716588192873</v>
      </c>
      <c r="W351" s="79">
        <f>Tableau1[[#This Row],[Index HC_x000D_
kWh]]-$R$5</f>
        <v>5878</v>
      </c>
      <c r="X351" s="82">
        <f>Tableau1[[#This Row],[Différence HC
Cumul]]/(Tableau1[[#This Row],[Diff jour_x000D_
Cumul]]*24)</f>
        <v>0.42464859449840181</v>
      </c>
      <c r="Y351" s="82">
        <f>Tableau1[[#This Row],[Différence HC
Cumul]]/Tableau1[[#This Row],[Diff jour_x000D_
Cumul]]</f>
        <v>10.191566267961644</v>
      </c>
      <c r="Z351" s="82">
        <f>Tableau1[[#This Row],[Conso HC / jour_x000D_
Cumul]]*365</f>
        <v>3719.9216878060001</v>
      </c>
      <c r="AA351" s="79">
        <f>Tableau1[[#This Row],[Différence HP
Instantané]]+Tableau1[[#This Row],[Différence_x000D_ HC
Instantané]]</f>
        <v>8</v>
      </c>
      <c r="AB351" s="80">
        <f>Tableau1[[#This Row],[Conso HP + HC
Instantané]]/(Tableau1[[#This Row],[Diff jour
Instantané]]*24)</f>
        <v>0.32236400268581222</v>
      </c>
      <c r="AC351" s="80">
        <f>IF(ISERROR(Tableau1[[#This Row],[Date]]-A350),"",Tableau1[[#This Row],[Conso HP + HC
Instantané]]/Tableau1[[#This Row],[Diff jour
Instantané]])</f>
        <v>7.7367360644594934</v>
      </c>
      <c r="AD351" s="80">
        <f>Tableau1[[#This Row],[Conso HP + HC / jour_x000D_
Instantané]]*365</f>
        <v>2823.9086635277149</v>
      </c>
      <c r="AE351" s="79">
        <f>Tableau1[[#This Row],[Différence HP
Cumul]]+Tableau1[[#This Row],[Différence HC
Cumul]]</f>
        <v>19587</v>
      </c>
      <c r="AF351" s="77">
        <f>(Tableau1[[#This Row],[Conso HP + HC
Cumul]]-AE$6)/Tableau1[[#This Row],[Diff jour_x000D_
Cumul
depuis le 24/01]]</f>
        <v>31.58902746228468</v>
      </c>
      <c r="AG351" s="77">
        <f>(Tableau1[[#This Row],[Conso HP + HC
Cumul]]-AE$59)/Tableau1[[#This Row],[Diff jour_x000D_
Cumul
depuis
précédente facture
16/02/2021]]</f>
        <v>29.855742451436697</v>
      </c>
      <c r="AH351" s="80">
        <f>Tableau1[[#This Row],[Conso HP + HC
Cumul]]/(Tableau1[[#This Row],[Diff jour_x000D_
Cumul]]*24)</f>
        <v>1.4150377714256883</v>
      </c>
      <c r="AI351" s="80">
        <f>Tableau1[[#This Row],[Conso HP + HC
Cumul]]/Tableau1[[#This Row],[Diff jour_x000D_
Cumul]]</f>
        <v>33.960906514216525</v>
      </c>
      <c r="AJ351" s="80">
        <f>Tableau1[[#This Row],[Conso HP + HC / jour_x000D_
Cumul]]*365</f>
        <v>12395.730877689031</v>
      </c>
      <c r="AK351" s="83">
        <f>(Tableau1[[#This Row],[Différence HP
Cumul]]*0.1799)+(Tableau1[[#This Row],[Différence HC
Cumul]]*0.1346)</f>
        <v>3257.4279000000001</v>
      </c>
      <c r="AL351" s="83">
        <f>Tableau1[[#This Row],[Montant
Tarif HP/HC]]/Tableau1[[#This Row],[Diff jour_x000D_
Cumul]]</f>
        <v>5.64788912996889</v>
      </c>
      <c r="AM351" s="83">
        <f>(Tableau1[[#This Row],[Montant
Tarif HP/HC]]-AK$6)/Tableau1[[#This Row],[Diff jour_x000D_
Cumul
depuis le 24/01]]</f>
        <v>5.2592728876008268</v>
      </c>
      <c r="AN351" s="83">
        <f>(Tableau1[[#This Row],[Montant
Tarif HP/HC]]-AK$59)/Tableau1[[#This Row],[Diff jour_x000D_
Cumul
depuis
précédente facture
16/02/2021]]</f>
        <v>4.9703989214992745</v>
      </c>
      <c r="AO351" s="83">
        <f>Tableau1[[#This Row],[Conso HP + HC
Cumul]]*0.1599</f>
        <v>3131.9612999999999</v>
      </c>
      <c r="AP351" s="83">
        <f>Tableau1[[#This Row],[Montant
Tarif normal]]/Tableau1[[#This Row],[Diff jour_x000D_
Cumul]]</f>
        <v>5.4303489516232215</v>
      </c>
      <c r="AQ351" s="83">
        <f>(Tableau1[[#This Row],[Conso HP / an
Cumul]]*0.1799)+(Tableau1[[#This Row],[Conso HC / an_x000D_
Cumul]]*0.1346)</f>
        <v>2061.479532438645</v>
      </c>
      <c r="AR351" s="83">
        <f>Tableau1[[#This Row],[Conso HP + HC / an_x000D_
Cumul]]*0.1599</f>
        <v>1982.077367342476</v>
      </c>
      <c r="AS351" s="79">
        <f>MONTH(Tableau1[[#This Row],[Date]])</f>
        <v>7</v>
      </c>
      <c r="AT351" s="79">
        <f>YEAR(Tableau1[[#This Row],[Date]])</f>
        <v>2022</v>
      </c>
    </row>
    <row r="352" spans="1:46" x14ac:dyDescent="0.2">
      <c r="A352" s="74">
        <v>44760.376388888886</v>
      </c>
      <c r="B352" s="75"/>
      <c r="C352" s="76">
        <f>IF(ISERROR(Tableau1[[#This Row],[Date]]-A351),"",Tableau1[[#This Row],[Date]]-A351)</f>
        <v>0.91666666666424135</v>
      </c>
      <c r="D352" s="77">
        <f>IF(ISERROR(Tableau1[[#This Row],[Date]]-A351),"",Tableau1[[#This Row],[Date]]-A351)</f>
        <v>0.91666666666424135</v>
      </c>
      <c r="E352" s="76">
        <f>Tableau1[[#This Row],[Date]]-$A$5</f>
        <v>577.66805555555038</v>
      </c>
      <c r="F352" s="77">
        <f>Tableau1[[#This Row],[Date]]-$A$5</f>
        <v>577.66805555555038</v>
      </c>
      <c r="G352" s="77">
        <f>Tableau1[[#This Row],[Diff jour_x000D_
Cumul]]-F$6</f>
        <v>539.5847222222219</v>
      </c>
      <c r="H352" s="77">
        <f>Tableau1[[#This Row],[Diff jour_x000D_
Cumul]]-F$59</f>
        <v>517.06527777777228</v>
      </c>
      <c r="I352" s="78">
        <v>193476</v>
      </c>
      <c r="J352" s="79">
        <f>IF(ISERROR(Tableau1[[#This Row],[Index HP
kWh]]-I351),"",Tableau1[[#This Row],[Index HP
kWh]]-I351)</f>
        <v>8</v>
      </c>
      <c r="K352" s="77">
        <f>IF(ISERROR(Tableau1[[#This Row],[Différence HP
Instantané]]/(Tableau1[[#This Row],[Diff jour
Instantané]]*24)),"",Tableau1[[#This Row],[Différence HP
Instantané]]/(Tableau1[[#This Row],[Diff jour
Instantané]]*24))</f>
        <v>0.36363636363732577</v>
      </c>
      <c r="L352" s="77">
        <f>Tableau1[[#This Row],[Différence HP
Instantané]]/Tableau1[[#This Row],[Diff jour
Instantané]]</f>
        <v>8.7272727272958175</v>
      </c>
      <c r="M352" s="77">
        <f>Tableau1[[#This Row],[Conso HP / jour
Instantané]]*365</f>
        <v>3185.4545454629733</v>
      </c>
      <c r="N352" s="79">
        <f>Tableau1[[#This Row],[Index HP
kWh]]-$I$5</f>
        <v>13717</v>
      </c>
      <c r="O352" s="80">
        <f>Tableau1[[#This Row],[Différence HP
Cumul]]/(Tableau1[[#This Row],[Diff jour_x000D_
Cumul]]*24)</f>
        <v>0.98939462061305794</v>
      </c>
      <c r="P352" s="80">
        <f>Tableau1[[#This Row],[Différence HP
Cumul]]/Tableau1[[#This Row],[Diff jour_x000D_
Cumul]]</f>
        <v>23.745470894713392</v>
      </c>
      <c r="Q352" s="80">
        <f>Tableau1[[#This Row],[Conso HP / jour
Cumul]]*365</f>
        <v>8667.0968765703874</v>
      </c>
      <c r="R352" s="78">
        <v>125312</v>
      </c>
      <c r="S352" s="79">
        <f>Tableau1[[#This Row],[Index HC_x000D_
kWh]]-R351</f>
        <v>2</v>
      </c>
      <c r="T352" s="81">
        <f>Tableau1[[#This Row],[Différence_x000D_ HC
Instantané]]/(Tableau1[[#This Row],[Diff jour
Instantané]]*24)</f>
        <v>9.0909090909331441E-2</v>
      </c>
      <c r="U352" s="81">
        <f>Tableau1[[#This Row],[Différence_x000D_ HC
Instantané]]/Tableau1[[#This Row],[Diff jour
Instantané]]</f>
        <v>2.1818181818239544</v>
      </c>
      <c r="V352" s="81">
        <f>Tableau1[[#This Row],[Conso HC / jour_x000D_
Instantané]]*365</f>
        <v>796.36363636574333</v>
      </c>
      <c r="W352" s="79">
        <f>Tableau1[[#This Row],[Index HC_x000D_
kWh]]-$R$5</f>
        <v>5880</v>
      </c>
      <c r="X352" s="82">
        <f>Tableau1[[#This Row],[Différence HC
Cumul]]/(Tableau1[[#This Row],[Diff jour_x000D_
Cumul]]*24)</f>
        <v>0.42411900336843195</v>
      </c>
      <c r="Y352" s="82">
        <f>Tableau1[[#This Row],[Différence HC
Cumul]]/Tableau1[[#This Row],[Diff jour_x000D_
Cumul]]</f>
        <v>10.178856080842367</v>
      </c>
      <c r="Z352" s="82">
        <f>Tableau1[[#This Row],[Conso HC / jour_x000D_
Cumul]]*365</f>
        <v>3715.2824695074642</v>
      </c>
      <c r="AA352" s="79">
        <f>Tableau1[[#This Row],[Différence HP
Instantané]]+Tableau1[[#This Row],[Différence_x000D_ HC
Instantané]]</f>
        <v>10</v>
      </c>
      <c r="AB352" s="80">
        <f>Tableau1[[#This Row],[Conso HP + HC
Instantané]]/(Tableau1[[#This Row],[Diff jour
Instantané]]*24)</f>
        <v>0.45454545454665718</v>
      </c>
      <c r="AC352" s="80">
        <f>IF(ISERROR(Tableau1[[#This Row],[Date]]-A351),"",Tableau1[[#This Row],[Conso HP + HC
Instantané]]/Tableau1[[#This Row],[Diff jour
Instantané]])</f>
        <v>10.909090909119772</v>
      </c>
      <c r="AD352" s="80">
        <f>Tableau1[[#This Row],[Conso HP + HC / jour_x000D_
Instantané]]*365</f>
        <v>3981.8181818287171</v>
      </c>
      <c r="AE352" s="79">
        <f>Tableau1[[#This Row],[Différence HP
Cumul]]+Tableau1[[#This Row],[Différence HC
Cumul]]</f>
        <v>19597</v>
      </c>
      <c r="AF352" s="77">
        <f>(Tableau1[[#This Row],[Conso HP + HC
Cumul]]-AE$6)/Tableau1[[#This Row],[Diff jour_x000D_
Cumul
depuis le 24/01]]</f>
        <v>31.553895614168322</v>
      </c>
      <c r="AG352" s="77">
        <f>(Tableau1[[#This Row],[Conso HP + HC
Cumul]]-AE$59)/Tableau1[[#This Row],[Diff jour_x000D_
Cumul
depuis
précédente facture
16/02/2021]]</f>
        <v>29.822153338687944</v>
      </c>
      <c r="AH352" s="80">
        <f>Tableau1[[#This Row],[Conso HP + HC
Cumul]]/(Tableau1[[#This Row],[Diff jour_x000D_
Cumul]]*24)</f>
        <v>1.4135136239814898</v>
      </c>
      <c r="AI352" s="80">
        <f>Tableau1[[#This Row],[Conso HP + HC
Cumul]]/Tableau1[[#This Row],[Diff jour_x000D_
Cumul]]</f>
        <v>33.924326975555758</v>
      </c>
      <c r="AJ352" s="80">
        <f>Tableau1[[#This Row],[Conso HP + HC / jour_x000D_
Cumul]]*365</f>
        <v>12382.379346077852</v>
      </c>
      <c r="AK352" s="83">
        <f>(Tableau1[[#This Row],[Différence HP
Cumul]]*0.1799)+(Tableau1[[#This Row],[Différence HC
Cumul]]*0.1346)</f>
        <v>3259.1363000000001</v>
      </c>
      <c r="AL352" s="83">
        <f>Tableau1[[#This Row],[Montant
Tarif HP/HC]]/Tableau1[[#This Row],[Diff jour_x000D_
Cumul]]</f>
        <v>5.6418842424403222</v>
      </c>
      <c r="AM352" s="83">
        <f>(Tableau1[[#This Row],[Montant
Tarif HP/HC]]-AK$6)/Tableau1[[#This Row],[Diff jour_x000D_
Cumul
depuis le 24/01]]</f>
        <v>5.2535043770801142</v>
      </c>
      <c r="AN352" s="83">
        <f>(Tableau1[[#This Row],[Montant
Tarif HP/HC]]-AK$59)/Tableau1[[#This Row],[Diff jour_x000D_
Cumul
depuis
précédente facture
16/02/2021]]</f>
        <v>4.9648913016033855</v>
      </c>
      <c r="AO352" s="83">
        <f>Tableau1[[#This Row],[Conso HP + HC
Cumul]]*0.1599</f>
        <v>3133.5602999999996</v>
      </c>
      <c r="AP352" s="83">
        <f>Tableau1[[#This Row],[Montant
Tarif normal]]/Tableau1[[#This Row],[Diff jour_x000D_
Cumul]]</f>
        <v>5.4244998833913654</v>
      </c>
      <c r="AQ352" s="83">
        <f>(Tableau1[[#This Row],[Conso HP / an
Cumul]]*0.1799)+(Tableau1[[#This Row],[Conso HC / an_x000D_
Cumul]]*0.1346)</f>
        <v>2059.2877484907171</v>
      </c>
      <c r="AR352" s="83">
        <f>Tableau1[[#This Row],[Conso HP + HC / an_x000D_
Cumul]]*0.1599</f>
        <v>1979.9424574378484</v>
      </c>
      <c r="AS352" s="79">
        <f>MONTH(Tableau1[[#This Row],[Date]])</f>
        <v>7</v>
      </c>
      <c r="AT352" s="79">
        <f>YEAR(Tableau1[[#This Row],[Date]])</f>
        <v>2022</v>
      </c>
    </row>
    <row r="353" spans="1:46" x14ac:dyDescent="0.2">
      <c r="A353" s="74">
        <v>44761.365972222222</v>
      </c>
      <c r="B353" s="75"/>
      <c r="C353" s="76">
        <f>IF(ISERROR(Tableau1[[#This Row],[Date]]-A352),"",Tableau1[[#This Row],[Date]]-A352)</f>
        <v>0.98958333333575865</v>
      </c>
      <c r="D353" s="77">
        <f>IF(ISERROR(Tableau1[[#This Row],[Date]]-A352),"",Tableau1[[#This Row],[Date]]-A352)</f>
        <v>0.98958333333575865</v>
      </c>
      <c r="E353" s="76">
        <f>Tableau1[[#This Row],[Date]]-$A$5</f>
        <v>578.65763888888614</v>
      </c>
      <c r="F353" s="77">
        <f>Tableau1[[#This Row],[Date]]-$A$5</f>
        <v>578.65763888888614</v>
      </c>
      <c r="G353" s="77">
        <f>Tableau1[[#This Row],[Diff jour_x000D_
Cumul]]-F$6</f>
        <v>540.57430555555766</v>
      </c>
      <c r="H353" s="77">
        <f>Tableau1[[#This Row],[Diff jour_x000D_
Cumul]]-F$59</f>
        <v>518.05486111110804</v>
      </c>
      <c r="I353" s="78">
        <v>193482</v>
      </c>
      <c r="J353" s="79">
        <f>IF(ISERROR(Tableau1[[#This Row],[Index HP
kWh]]-I352),"",Tableau1[[#This Row],[Index HP
kWh]]-I352)</f>
        <v>6</v>
      </c>
      <c r="K353" s="77">
        <f>IF(ISERROR(Tableau1[[#This Row],[Différence HP
Instantané]]/(Tableau1[[#This Row],[Diff jour
Instantané]]*24)),"",Tableau1[[#This Row],[Différence HP
Instantané]]/(Tableau1[[#This Row],[Diff jour
Instantané]]*24))</f>
        <v>0.25263157894674926</v>
      </c>
      <c r="L353" s="77">
        <f>Tableau1[[#This Row],[Différence HP
Instantané]]/Tableau1[[#This Row],[Diff jour
Instantané]]</f>
        <v>6.0631578947219822</v>
      </c>
      <c r="M353" s="77">
        <f>Tableau1[[#This Row],[Conso HP / jour
Instantané]]*365</f>
        <v>2213.0526315735233</v>
      </c>
      <c r="N353" s="79">
        <f>Tableau1[[#This Row],[Index HP
kWh]]-$I$5</f>
        <v>13723</v>
      </c>
      <c r="O353" s="80">
        <f>Tableau1[[#This Row],[Différence HP
Cumul]]/(Tableau1[[#This Row],[Diff jour_x000D_
Cumul]]*24)</f>
        <v>0.98813465551858393</v>
      </c>
      <c r="P353" s="80">
        <f>Tableau1[[#This Row],[Différence HP
Cumul]]/Tableau1[[#This Row],[Diff jour_x000D_
Cumul]]</f>
        <v>23.715231732446014</v>
      </c>
      <c r="Q353" s="80">
        <f>Tableau1[[#This Row],[Conso HP / jour
Cumul]]*365</f>
        <v>8656.0595823427957</v>
      </c>
      <c r="R353" s="78">
        <v>125315</v>
      </c>
      <c r="S353" s="79">
        <f>Tableau1[[#This Row],[Index HC_x000D_
kWh]]-R352</f>
        <v>3</v>
      </c>
      <c r="T353" s="81">
        <f>Tableau1[[#This Row],[Différence_x000D_ HC
Instantané]]/(Tableau1[[#This Row],[Diff jour
Instantané]]*24)</f>
        <v>0.12631578947337463</v>
      </c>
      <c r="U353" s="81">
        <f>Tableau1[[#This Row],[Différence_x000D_ HC
Instantané]]/Tableau1[[#This Row],[Diff jour
Instantané]]</f>
        <v>3.0315789473609911</v>
      </c>
      <c r="V353" s="81">
        <f>Tableau1[[#This Row],[Conso HC / jour_x000D_
Instantané]]*365</f>
        <v>1106.5263157867616</v>
      </c>
      <c r="W353" s="79">
        <f>Tableau1[[#This Row],[Index HC_x000D_
kWh]]-$R$5</f>
        <v>5883</v>
      </c>
      <c r="X353" s="82">
        <f>Tableau1[[#This Row],[Différence HC
Cumul]]/(Tableau1[[#This Row],[Diff jour_x000D_
Cumul]]*24)</f>
        <v>0.42360971933366098</v>
      </c>
      <c r="Y353" s="82">
        <f>Tableau1[[#This Row],[Différence HC
Cumul]]/Tableau1[[#This Row],[Diff jour_x000D_
Cumul]]</f>
        <v>10.166633264007864</v>
      </c>
      <c r="Z353" s="82">
        <f>Tableau1[[#This Row],[Conso HC / jour_x000D_
Cumul]]*365</f>
        <v>3710.8211413628701</v>
      </c>
      <c r="AA353" s="79">
        <f>Tableau1[[#This Row],[Différence HP
Instantané]]+Tableau1[[#This Row],[Différence_x000D_ HC
Instantané]]</f>
        <v>9</v>
      </c>
      <c r="AB353" s="80">
        <f>Tableau1[[#This Row],[Conso HP + HC
Instantané]]/(Tableau1[[#This Row],[Diff jour
Instantané]]*24)</f>
        <v>0.37894736842012389</v>
      </c>
      <c r="AC353" s="80">
        <f>IF(ISERROR(Tableau1[[#This Row],[Date]]-A352),"",Tableau1[[#This Row],[Conso HP + HC
Instantané]]/Tableau1[[#This Row],[Diff jour
Instantané]])</f>
        <v>9.0947368420829733</v>
      </c>
      <c r="AD353" s="80">
        <f>Tableau1[[#This Row],[Conso HP + HC / jour_x000D_
Instantané]]*365</f>
        <v>3319.5789473602854</v>
      </c>
      <c r="AE353" s="79">
        <f>Tableau1[[#This Row],[Différence HP
Cumul]]+Tableau1[[#This Row],[Différence HC
Cumul]]</f>
        <v>19606</v>
      </c>
      <c r="AF353" s="77">
        <f>(Tableau1[[#This Row],[Conso HP + HC
Cumul]]-AE$6)/Tableau1[[#This Row],[Diff jour_x000D_
Cumul
depuis le 24/01]]</f>
        <v>31.512781545347096</v>
      </c>
      <c r="AG353" s="77">
        <f>(Tableau1[[#This Row],[Conso HP + HC
Cumul]]-AE$59)/Tableau1[[#This Row],[Diff jour_x000D_
Cumul
depuis
précédente facture
16/02/2021]]</f>
        <v>29.782560030241505</v>
      </c>
      <c r="AH353" s="80">
        <f>Tableau1[[#This Row],[Conso HP + HC
Cumul]]/(Tableau1[[#This Row],[Diff jour_x000D_
Cumul]]*24)</f>
        <v>1.4117443748522449</v>
      </c>
      <c r="AI353" s="80">
        <f>Tableau1[[#This Row],[Conso HP + HC
Cumul]]/Tableau1[[#This Row],[Diff jour_x000D_
Cumul]]</f>
        <v>33.881864996453878</v>
      </c>
      <c r="AJ353" s="80">
        <f>Tableau1[[#This Row],[Conso HP + HC / jour_x000D_
Cumul]]*365</f>
        <v>12366.880723705666</v>
      </c>
      <c r="AK353" s="83">
        <f>(Tableau1[[#This Row],[Différence HP
Cumul]]*0.1799)+(Tableau1[[#This Row],[Différence HC
Cumul]]*0.1346)</f>
        <v>3260.6194999999998</v>
      </c>
      <c r="AL353" s="83">
        <f>Tableau1[[#This Row],[Montant
Tarif HP/HC]]/Tableau1[[#This Row],[Diff jour_x000D_
Cumul]]</f>
        <v>5.6347990260024963</v>
      </c>
      <c r="AM353" s="83">
        <f>(Tableau1[[#This Row],[Montant
Tarif HP/HC]]-AK$6)/Tableau1[[#This Row],[Diff jour_x000D_
Cumul
depuis le 24/01]]</f>
        <v>5.2466309827382451</v>
      </c>
      <c r="AN353" s="83">
        <f>(Tableau1[[#This Row],[Montant
Tarif HP/HC]]-AK$59)/Tableau1[[#This Row],[Diff jour_x000D_
Cumul
depuis
précédente facture
16/02/2021]]</f>
        <v>4.9582704319979269</v>
      </c>
      <c r="AO353" s="83">
        <f>Tableau1[[#This Row],[Conso HP + HC
Cumul]]*0.1599</f>
        <v>3134.9993999999997</v>
      </c>
      <c r="AP353" s="83">
        <f>Tableau1[[#This Row],[Montant
Tarif normal]]/Tableau1[[#This Row],[Diff jour_x000D_
Cumul]]</f>
        <v>5.4177102129329748</v>
      </c>
      <c r="AQ353" s="83">
        <f>(Tableau1[[#This Row],[Conso HP / an
Cumul]]*0.1799)+(Tableau1[[#This Row],[Conso HC / an_x000D_
Cumul]]*0.1346)</f>
        <v>2056.7016444909113</v>
      </c>
      <c r="AR353" s="83">
        <f>Tableau1[[#This Row],[Conso HP + HC / an_x000D_
Cumul]]*0.1599</f>
        <v>1977.464227720536</v>
      </c>
      <c r="AS353" s="79">
        <f>MONTH(Tableau1[[#This Row],[Date]])</f>
        <v>7</v>
      </c>
      <c r="AT353" s="79">
        <f>YEAR(Tableau1[[#This Row],[Date]])</f>
        <v>2022</v>
      </c>
    </row>
    <row r="354" spans="1:46" x14ac:dyDescent="0.2">
      <c r="A354" s="74">
        <v>44762.32708333333</v>
      </c>
      <c r="B354" s="75"/>
      <c r="C354" s="76">
        <f>IF(ISERROR(Tableau1[[#This Row],[Date]]-A353),"",Tableau1[[#This Row],[Date]]-A353)</f>
        <v>0.96111111110803904</v>
      </c>
      <c r="D354" s="77">
        <f>IF(ISERROR(Tableau1[[#This Row],[Date]]-A353),"",Tableau1[[#This Row],[Date]]-A353)</f>
        <v>0.96111111110803904</v>
      </c>
      <c r="E354" s="76">
        <f>Tableau1[[#This Row],[Date]]-$A$5</f>
        <v>579.61874999999418</v>
      </c>
      <c r="F354" s="77">
        <f>Tableau1[[#This Row],[Date]]-$A$5</f>
        <v>579.61874999999418</v>
      </c>
      <c r="G354" s="77">
        <f>Tableau1[[#This Row],[Diff jour_x000D_
Cumul]]-F$6</f>
        <v>541.5354166666657</v>
      </c>
      <c r="H354" s="77">
        <f>Tableau1[[#This Row],[Diff jour_x000D_
Cumul]]-F$59</f>
        <v>519.01597222221608</v>
      </c>
      <c r="I354" s="78">
        <v>193490</v>
      </c>
      <c r="J354" s="79">
        <f>IF(ISERROR(Tableau1[[#This Row],[Index HP
kWh]]-I353),"",Tableau1[[#This Row],[Index HP
kWh]]-I353)</f>
        <v>8</v>
      </c>
      <c r="K354" s="77">
        <f>IF(ISERROR(Tableau1[[#This Row],[Différence HP
Instantané]]/(Tableau1[[#This Row],[Diff jour
Instantané]]*24)),"",Tableau1[[#This Row],[Différence HP
Instantané]]/(Tableau1[[#This Row],[Diff jour
Instantané]]*24))</f>
        <v>0.34682080924966346</v>
      </c>
      <c r="L354" s="77">
        <f>Tableau1[[#This Row],[Différence HP
Instantané]]/Tableau1[[#This Row],[Diff jour
Instantané]]</f>
        <v>8.3236994219919236</v>
      </c>
      <c r="M354" s="77">
        <f>Tableau1[[#This Row],[Conso HP / jour
Instantané]]*365</f>
        <v>3038.1502890270522</v>
      </c>
      <c r="N354" s="79">
        <f>Tableau1[[#This Row],[Index HP
kWh]]-$I$5</f>
        <v>13731</v>
      </c>
      <c r="O354" s="80">
        <f>Tableau1[[#This Row],[Différence HP
Cumul]]/(Tableau1[[#This Row],[Diff jour_x000D_
Cumul]]*24)</f>
        <v>0.9870712429506564</v>
      </c>
      <c r="P354" s="80">
        <f>Tableau1[[#This Row],[Différence HP
Cumul]]/Tableau1[[#This Row],[Diff jour_x000D_
Cumul]]</f>
        <v>23.689709830815751</v>
      </c>
      <c r="Q354" s="80">
        <f>Tableau1[[#This Row],[Conso HP / jour
Cumul]]*365</f>
        <v>8646.7440882477495</v>
      </c>
      <c r="R354" s="78">
        <v>125316</v>
      </c>
      <c r="S354" s="79">
        <f>Tableau1[[#This Row],[Index HC_x000D_
kWh]]-R353</f>
        <v>1</v>
      </c>
      <c r="T354" s="81">
        <f>Tableau1[[#This Row],[Différence_x000D_ HC
Instantané]]/(Tableau1[[#This Row],[Diff jour
Instantané]]*24)</f>
        <v>4.3352601156207933E-2</v>
      </c>
      <c r="U354" s="81">
        <f>Tableau1[[#This Row],[Différence_x000D_ HC
Instantané]]/Tableau1[[#This Row],[Diff jour
Instantané]]</f>
        <v>1.0404624277489904</v>
      </c>
      <c r="V354" s="81">
        <f>Tableau1[[#This Row],[Conso HC / jour_x000D_
Instantané]]*365</f>
        <v>379.76878612838152</v>
      </c>
      <c r="W354" s="79">
        <f>Tableau1[[#This Row],[Index HC_x000D_
kWh]]-$R$5</f>
        <v>5884</v>
      </c>
      <c r="X354" s="82">
        <f>Tableau1[[#This Row],[Différence HC
Cumul]]/(Tableau1[[#This Row],[Diff jour_x000D_
Cumul]]*24)</f>
        <v>0.42297918531218864</v>
      </c>
      <c r="Y354" s="82">
        <f>Tableau1[[#This Row],[Différence HC
Cumul]]/Tableau1[[#This Row],[Diff jour_x000D_
Cumul]]</f>
        <v>10.151500447492527</v>
      </c>
      <c r="Z354" s="82">
        <f>Tableau1[[#This Row],[Conso HC / jour_x000D_
Cumul]]*365</f>
        <v>3705.2976633347726</v>
      </c>
      <c r="AA354" s="79">
        <f>Tableau1[[#This Row],[Différence HP
Instantané]]+Tableau1[[#This Row],[Différence_x000D_ HC
Instantané]]</f>
        <v>9</v>
      </c>
      <c r="AB354" s="80">
        <f>Tableau1[[#This Row],[Conso HP + HC
Instantané]]/(Tableau1[[#This Row],[Diff jour
Instantané]]*24)</f>
        <v>0.39017341040587139</v>
      </c>
      <c r="AC354" s="80">
        <f>IF(ISERROR(Tableau1[[#This Row],[Date]]-A353),"",Tableau1[[#This Row],[Conso HP + HC
Instantané]]/Tableau1[[#This Row],[Diff jour
Instantané]])</f>
        <v>9.3641618497409134</v>
      </c>
      <c r="AD354" s="80">
        <f>Tableau1[[#This Row],[Conso HP + HC / jour_x000D_
Instantané]]*365</f>
        <v>3417.9190751554333</v>
      </c>
      <c r="AE354" s="79">
        <f>Tableau1[[#This Row],[Différence HP
Cumul]]+Tableau1[[#This Row],[Différence HC
Cumul]]</f>
        <v>19615</v>
      </c>
      <c r="AF354" s="77">
        <f>(Tableau1[[#This Row],[Conso HP + HC
Cumul]]-AE$6)/Tableau1[[#This Row],[Diff jour_x000D_
Cumul
depuis le 24/01]]</f>
        <v>31.473472418316803</v>
      </c>
      <c r="AG354" s="77">
        <f>(Tableau1[[#This Row],[Conso HP + HC
Cumul]]-AE$59)/Tableau1[[#This Row],[Diff jour_x000D_
Cumul
depuis
précédente facture
16/02/2021]]</f>
        <v>29.744749345382839</v>
      </c>
      <c r="AH354" s="80">
        <f>Tableau1[[#This Row],[Conso HP + HC
Cumul]]/(Tableau1[[#This Row],[Diff jour_x000D_
Cumul]]*24)</f>
        <v>1.410050428262845</v>
      </c>
      <c r="AI354" s="80">
        <f>Tableau1[[#This Row],[Conso HP + HC
Cumul]]/Tableau1[[#This Row],[Diff jour_x000D_
Cumul]]</f>
        <v>33.841210278308282</v>
      </c>
      <c r="AJ354" s="80">
        <f>Tableau1[[#This Row],[Conso HP + HC / jour_x000D_
Cumul]]*365</f>
        <v>12352.041751582523</v>
      </c>
      <c r="AK354" s="83">
        <f>(Tableau1[[#This Row],[Différence HP
Cumul]]*0.1799)+(Tableau1[[#This Row],[Différence HC
Cumul]]*0.1346)</f>
        <v>3262.1932999999999</v>
      </c>
      <c r="AL354" s="83">
        <f>Tableau1[[#This Row],[Montant
Tarif HP/HC]]/Tableau1[[#This Row],[Diff jour_x000D_
Cumul]]</f>
        <v>5.628170758796248</v>
      </c>
      <c r="AM354" s="83">
        <f>(Tableau1[[#This Row],[Montant
Tarif HP/HC]]-AK$6)/Tableau1[[#This Row],[Diff jour_x000D_
Cumul
depuis le 24/01]]</f>
        <v>5.2402255007944323</v>
      </c>
      <c r="AN354" s="83">
        <f>(Tableau1[[#This Row],[Montant
Tarif HP/HC]]-AK$59)/Tableau1[[#This Row],[Diff jour_x000D_
Cumul
depuis
précédente facture
16/02/2021]]</f>
        <v>4.9521210089071381</v>
      </c>
      <c r="AO354" s="83">
        <f>Tableau1[[#This Row],[Conso HP + HC
Cumul]]*0.1599</f>
        <v>3136.4384999999997</v>
      </c>
      <c r="AP354" s="83">
        <f>Tableau1[[#This Row],[Montant
Tarif normal]]/Tableau1[[#This Row],[Diff jour_x000D_
Cumul]]</f>
        <v>5.4112095235014932</v>
      </c>
      <c r="AQ354" s="83">
        <f>(Tableau1[[#This Row],[Conso HP / an
Cumul]]*0.1799)+(Tableau1[[#This Row],[Conso HC / an_x000D_
Cumul]]*0.1346)</f>
        <v>2054.2823269606306</v>
      </c>
      <c r="AR354" s="83">
        <f>Tableau1[[#This Row],[Conso HP + HC / an_x000D_
Cumul]]*0.1599</f>
        <v>1975.0914760780452</v>
      </c>
      <c r="AS354" s="79">
        <f>MONTH(Tableau1[[#This Row],[Date]])</f>
        <v>7</v>
      </c>
      <c r="AT354" s="79">
        <f>YEAR(Tableau1[[#This Row],[Date]])</f>
        <v>2022</v>
      </c>
    </row>
    <row r="355" spans="1:46" x14ac:dyDescent="0.2">
      <c r="A355" s="74">
        <v>44763.347222222219</v>
      </c>
      <c r="B355" s="75"/>
      <c r="C355" s="76">
        <f>IF(ISERROR(Tableau1[[#This Row],[Date]]-A354),"",Tableau1[[#This Row],[Date]]-A354)</f>
        <v>1.0201388888890506</v>
      </c>
      <c r="D355" s="77">
        <f>IF(ISERROR(Tableau1[[#This Row],[Date]]-A354),"",Tableau1[[#This Row],[Date]]-A354)</f>
        <v>1.0201388888890506</v>
      </c>
      <c r="E355" s="76">
        <f>Tableau1[[#This Row],[Date]]-$A$5</f>
        <v>580.63888888888323</v>
      </c>
      <c r="F355" s="77">
        <f>Tableau1[[#This Row],[Date]]-$A$5</f>
        <v>580.63888888888323</v>
      </c>
      <c r="G355" s="77">
        <f>Tableau1[[#This Row],[Diff jour_x000D_
Cumul]]-F$6</f>
        <v>542.55555555555475</v>
      </c>
      <c r="H355" s="77">
        <f>Tableau1[[#This Row],[Diff jour_x000D_
Cumul]]-F$59</f>
        <v>520.03611111110513</v>
      </c>
      <c r="I355" s="78">
        <v>193496</v>
      </c>
      <c r="J355" s="79">
        <f>IF(ISERROR(Tableau1[[#This Row],[Index HP
kWh]]-I354),"",Tableau1[[#This Row],[Index HP
kWh]]-I354)</f>
        <v>6</v>
      </c>
      <c r="K355" s="77">
        <f>IF(ISERROR(Tableau1[[#This Row],[Différence HP
Instantané]]/(Tableau1[[#This Row],[Diff jour
Instantané]]*24)),"",Tableau1[[#This Row],[Différence HP
Instantané]]/(Tableau1[[#This Row],[Diff jour
Instantané]]*24))</f>
        <v>0.24506466984339206</v>
      </c>
      <c r="L355" s="77">
        <f>Tableau1[[#This Row],[Différence HP
Instantané]]/Tableau1[[#This Row],[Diff jour
Instantané]]</f>
        <v>5.8815520762414097</v>
      </c>
      <c r="M355" s="77">
        <f>Tableau1[[#This Row],[Conso HP / jour
Instantané]]*365</f>
        <v>2146.7665078281148</v>
      </c>
      <c r="N355" s="79">
        <f>Tableau1[[#This Row],[Index HP
kWh]]-$I$5</f>
        <v>13737</v>
      </c>
      <c r="O355" s="80">
        <f>Tableau1[[#This Row],[Différence HP
Cumul]]/(Tableau1[[#This Row],[Diff jour_x000D_
Cumul]]*24)</f>
        <v>0.9857675931684543</v>
      </c>
      <c r="P355" s="80">
        <f>Tableau1[[#This Row],[Différence HP
Cumul]]/Tableau1[[#This Row],[Diff jour_x000D_
Cumul]]</f>
        <v>23.658422236042902</v>
      </c>
      <c r="Q355" s="80">
        <f>Tableau1[[#This Row],[Conso HP / jour
Cumul]]*365</f>
        <v>8635.3241161556598</v>
      </c>
      <c r="R355" s="78">
        <v>125318</v>
      </c>
      <c r="S355" s="79">
        <f>Tableau1[[#This Row],[Index HC_x000D_
kWh]]-R354</f>
        <v>2</v>
      </c>
      <c r="T355" s="81">
        <f>Tableau1[[#This Row],[Différence_x000D_ HC
Instantané]]/(Tableau1[[#This Row],[Diff jour
Instantané]]*24)</f>
        <v>8.1688223281130692E-2</v>
      </c>
      <c r="U355" s="81">
        <f>Tableau1[[#This Row],[Différence_x000D_ HC
Instantané]]/Tableau1[[#This Row],[Diff jour
Instantané]]</f>
        <v>1.9605173587471365</v>
      </c>
      <c r="V355" s="81">
        <f>Tableau1[[#This Row],[Conso HC / jour_x000D_
Instantané]]*365</f>
        <v>715.5888359427048</v>
      </c>
      <c r="W355" s="79">
        <f>Tableau1[[#This Row],[Index HC_x000D_
kWh]]-$R$5</f>
        <v>5886</v>
      </c>
      <c r="X355" s="82">
        <f>Tableau1[[#This Row],[Différence HC
Cumul]]/(Tableau1[[#This Row],[Diff jour_x000D_
Cumul]]*24)</f>
        <v>0.42237956274219424</v>
      </c>
      <c r="Y355" s="82">
        <f>Tableau1[[#This Row],[Différence HC
Cumul]]/Tableau1[[#This Row],[Diff jour_x000D_
Cumul]]</f>
        <v>10.137109505812662</v>
      </c>
      <c r="Z355" s="82">
        <f>Tableau1[[#This Row],[Conso HC / jour_x000D_
Cumul]]*365</f>
        <v>3700.0449696216215</v>
      </c>
      <c r="AA355" s="79">
        <f>Tableau1[[#This Row],[Différence HP
Instantané]]+Tableau1[[#This Row],[Différence_x000D_ HC
Instantané]]</f>
        <v>8</v>
      </c>
      <c r="AB355" s="80">
        <f>Tableau1[[#This Row],[Conso HP + HC
Instantané]]/(Tableau1[[#This Row],[Diff jour
Instantané]]*24)</f>
        <v>0.32675289312452277</v>
      </c>
      <c r="AC355" s="80">
        <f>IF(ISERROR(Tableau1[[#This Row],[Date]]-A354),"",Tableau1[[#This Row],[Conso HP + HC
Instantané]]/Tableau1[[#This Row],[Diff jour
Instantané]])</f>
        <v>7.842069434988546</v>
      </c>
      <c r="AD355" s="80">
        <f>Tableau1[[#This Row],[Conso HP + HC / jour_x000D_
Instantané]]*365</f>
        <v>2862.3553437708192</v>
      </c>
      <c r="AE355" s="79">
        <f>Tableau1[[#This Row],[Différence HP
Cumul]]+Tableau1[[#This Row],[Différence HC
Cumul]]</f>
        <v>19623</v>
      </c>
      <c r="AF355" s="77">
        <f>(Tableau1[[#This Row],[Conso HP + HC
Cumul]]-AE$6)/Tableau1[[#This Row],[Diff jour_x000D_
Cumul
depuis le 24/01]]</f>
        <v>31.429039524882292</v>
      </c>
      <c r="AG355" s="77">
        <f>(Tableau1[[#This Row],[Conso HP + HC
Cumul]]-AE$59)/Tableau1[[#This Row],[Diff jour_x000D_
Cumul
depuis
précédente facture
16/02/2021]]</f>
        <v>29.701783529990248</v>
      </c>
      <c r="AH355" s="80">
        <f>Tableau1[[#This Row],[Conso HP + HC
Cumul]]/(Tableau1[[#This Row],[Diff jour_x000D_
Cumul]]*24)</f>
        <v>1.4081471559106487</v>
      </c>
      <c r="AI355" s="80">
        <f>Tableau1[[#This Row],[Conso HP + HC
Cumul]]/Tableau1[[#This Row],[Diff jour_x000D_
Cumul]]</f>
        <v>33.795531741855562</v>
      </c>
      <c r="AJ355" s="80">
        <f>Tableau1[[#This Row],[Conso HP + HC / jour_x000D_
Cumul]]*365</f>
        <v>12335.36908577728</v>
      </c>
      <c r="AK355" s="83">
        <f>(Tableau1[[#This Row],[Différence HP
Cumul]]*0.1799)+(Tableau1[[#This Row],[Différence HC
Cumul]]*0.1346)</f>
        <v>3263.5419000000002</v>
      </c>
      <c r="AL355" s="83">
        <f>Tableau1[[#This Row],[Montant
Tarif HP/HC]]/Tableau1[[#This Row],[Diff jour_x000D_
Cumul]]</f>
        <v>5.6206050997465029</v>
      </c>
      <c r="AM355" s="83">
        <f>(Tableau1[[#This Row],[Montant
Tarif HP/HC]]-AK$6)/Tableau1[[#This Row],[Diff jour_x000D_
Cumul
depuis le 24/01]]</f>
        <v>5.2328582224042677</v>
      </c>
      <c r="AN355" s="83">
        <f>(Tableau1[[#This Row],[Montant
Tarif HP/HC]]-AK$59)/Tableau1[[#This Row],[Diff jour_x000D_
Cumul
depuis
précédente facture
16/02/2021]]</f>
        <v>4.9449998664623216</v>
      </c>
      <c r="AO355" s="83">
        <f>Tableau1[[#This Row],[Conso HP + HC
Cumul]]*0.1599</f>
        <v>3137.7176999999997</v>
      </c>
      <c r="AP355" s="83">
        <f>Tableau1[[#This Row],[Montant
Tarif normal]]/Tableau1[[#This Row],[Diff jour_x000D_
Cumul]]</f>
        <v>5.4039055255227044</v>
      </c>
      <c r="AQ355" s="83">
        <f>(Tableau1[[#This Row],[Conso HP / an
Cumul]]*0.1799)+(Tableau1[[#This Row],[Conso HC / an_x000D_
Cumul]]*0.1346)</f>
        <v>2051.5208614074736</v>
      </c>
      <c r="AR355" s="83">
        <f>Tableau1[[#This Row],[Conso HP + HC / an_x000D_
Cumul]]*0.1599</f>
        <v>1972.425516815787</v>
      </c>
      <c r="AS355" s="79">
        <f>MONTH(Tableau1[[#This Row],[Date]])</f>
        <v>7</v>
      </c>
      <c r="AT355" s="79">
        <f>YEAR(Tableau1[[#This Row],[Date]])</f>
        <v>2022</v>
      </c>
    </row>
    <row r="356" spans="1:46" x14ac:dyDescent="0.2">
      <c r="A356" s="74">
        <v>44764.329861111109</v>
      </c>
      <c r="B356" s="75"/>
      <c r="C356" s="76">
        <f>IF(ISERROR(Tableau1[[#This Row],[Date]]-A355),"",Tableau1[[#This Row],[Date]]-A355)</f>
        <v>0.98263888889050577</v>
      </c>
      <c r="D356" s="77">
        <f>IF(ISERROR(Tableau1[[#This Row],[Date]]-A355),"",Tableau1[[#This Row],[Date]]-A355)</f>
        <v>0.98263888889050577</v>
      </c>
      <c r="E356" s="76">
        <f>Tableau1[[#This Row],[Date]]-$A$5</f>
        <v>581.62152777777374</v>
      </c>
      <c r="F356" s="77">
        <f>Tableau1[[#This Row],[Date]]-$A$5</f>
        <v>581.62152777777374</v>
      </c>
      <c r="G356" s="77">
        <f>Tableau1[[#This Row],[Diff jour_x000D_
Cumul]]-F$6</f>
        <v>543.53819444444525</v>
      </c>
      <c r="H356" s="77">
        <f>Tableau1[[#This Row],[Diff jour_x000D_
Cumul]]-F$59</f>
        <v>521.01874999999563</v>
      </c>
      <c r="I356" s="78">
        <v>193504</v>
      </c>
      <c r="J356" s="79">
        <f>IF(ISERROR(Tableau1[[#This Row],[Index HP
kWh]]-I355),"",Tableau1[[#This Row],[Index HP
kWh]]-I355)</f>
        <v>8</v>
      </c>
      <c r="K356" s="77">
        <f>IF(ISERROR(Tableau1[[#This Row],[Différence HP
Instantané]]/(Tableau1[[#This Row],[Diff jour
Instantané]]*24)),"",Tableau1[[#This Row],[Différence HP
Instantané]]/(Tableau1[[#This Row],[Diff jour
Instantané]]*24))</f>
        <v>0.3392226148404312</v>
      </c>
      <c r="L356" s="77">
        <f>Tableau1[[#This Row],[Différence HP
Instantané]]/Tableau1[[#This Row],[Diff jour
Instantané]]</f>
        <v>8.1413427561703493</v>
      </c>
      <c r="M356" s="77">
        <f>Tableau1[[#This Row],[Conso HP / jour
Instantané]]*365</f>
        <v>2971.5901060021774</v>
      </c>
      <c r="N356" s="79">
        <f>Tableau1[[#This Row],[Index HP
kWh]]-$I$5</f>
        <v>13745</v>
      </c>
      <c r="O356" s="80">
        <f>Tableau1[[#This Row],[Différence HP
Cumul]]/(Tableau1[[#This Row],[Diff jour_x000D_
Cumul]]*24)</f>
        <v>0.98467526730226884</v>
      </c>
      <c r="P356" s="80">
        <f>Tableau1[[#This Row],[Différence HP
Cumul]]/Tableau1[[#This Row],[Diff jour_x000D_
Cumul]]</f>
        <v>23.632206415254451</v>
      </c>
      <c r="Q356" s="80">
        <f>Tableau1[[#This Row],[Conso HP / jour
Cumul]]*365</f>
        <v>8625.755341567874</v>
      </c>
      <c r="R356" s="78">
        <v>125320</v>
      </c>
      <c r="S356" s="79">
        <f>Tableau1[[#This Row],[Index HC_x000D_
kWh]]-R355</f>
        <v>2</v>
      </c>
      <c r="T356" s="81">
        <f>Tableau1[[#This Row],[Différence_x000D_ HC
Instantané]]/(Tableau1[[#This Row],[Diff jour
Instantané]]*24)</f>
        <v>8.4805653710107801E-2</v>
      </c>
      <c r="U356" s="81">
        <f>Tableau1[[#This Row],[Différence_x000D_ HC
Instantané]]/Tableau1[[#This Row],[Diff jour
Instantané]]</f>
        <v>2.0353356890425873</v>
      </c>
      <c r="V356" s="81">
        <f>Tableau1[[#This Row],[Conso HC / jour_x000D_
Instantané]]*365</f>
        <v>742.89752650054436</v>
      </c>
      <c r="W356" s="79">
        <f>Tableau1[[#This Row],[Index HC_x000D_
kWh]]-$R$5</f>
        <v>5888</v>
      </c>
      <c r="X356" s="82">
        <f>Tableau1[[#This Row],[Différence HC
Cumul]]/(Tableau1[[#This Row],[Diff jour_x000D_
Cumul]]*24)</f>
        <v>0.42180923782289986</v>
      </c>
      <c r="Y356" s="82">
        <f>Tableau1[[#This Row],[Différence HC
Cumul]]/Tableau1[[#This Row],[Diff jour_x000D_
Cumul]]</f>
        <v>10.123421707749598</v>
      </c>
      <c r="Z356" s="82">
        <f>Tableau1[[#This Row],[Conso HC / jour_x000D_
Cumul]]*365</f>
        <v>3695.0489233286035</v>
      </c>
      <c r="AA356" s="79">
        <f>Tableau1[[#This Row],[Différence HP
Instantané]]+Tableau1[[#This Row],[Différence_x000D_ HC
Instantané]]</f>
        <v>10</v>
      </c>
      <c r="AB356" s="80">
        <f>Tableau1[[#This Row],[Conso HP + HC
Instantané]]/(Tableau1[[#This Row],[Diff jour
Instantané]]*24)</f>
        <v>0.42402826855053904</v>
      </c>
      <c r="AC356" s="80">
        <f>IF(ISERROR(Tableau1[[#This Row],[Date]]-A355),"",Tableau1[[#This Row],[Conso HP + HC
Instantané]]/Tableau1[[#This Row],[Diff jour
Instantané]])</f>
        <v>10.176678445212938</v>
      </c>
      <c r="AD356" s="80">
        <f>Tableau1[[#This Row],[Conso HP + HC / jour_x000D_
Instantané]]*365</f>
        <v>3714.4876325027221</v>
      </c>
      <c r="AE356" s="79">
        <f>Tableau1[[#This Row],[Différence HP
Cumul]]+Tableau1[[#This Row],[Différence HC
Cumul]]</f>
        <v>19633</v>
      </c>
      <c r="AF356" s="77">
        <f>(Tableau1[[#This Row],[Conso HP + HC
Cumul]]-AE$6)/Tableau1[[#This Row],[Diff jour_x000D_
Cumul
depuis le 24/01]]</f>
        <v>31.390618312369394</v>
      </c>
      <c r="AG356" s="77">
        <f>(Tableau1[[#This Row],[Conso HP + HC
Cumul]]-AE$59)/Tableau1[[#This Row],[Diff jour_x000D_
Cumul
depuis
précédente facture
16/02/2021]]</f>
        <v>29.664959274498528</v>
      </c>
      <c r="AH356" s="80">
        <f>Tableau1[[#This Row],[Conso HP + HC
Cumul]]/(Tableau1[[#This Row],[Diff jour_x000D_
Cumul]]*24)</f>
        <v>1.4064845051251686</v>
      </c>
      <c r="AI356" s="80">
        <f>Tableau1[[#This Row],[Conso HP + HC
Cumul]]/Tableau1[[#This Row],[Diff jour_x000D_
Cumul]]</f>
        <v>33.755628123004051</v>
      </c>
      <c r="AJ356" s="80">
        <f>Tableau1[[#This Row],[Conso HP + HC / jour_x000D_
Cumul]]*365</f>
        <v>12320.804264896478</v>
      </c>
      <c r="AK356" s="83">
        <f>(Tableau1[[#This Row],[Différence HP
Cumul]]*0.1799)+(Tableau1[[#This Row],[Différence HC
Cumul]]*0.1346)</f>
        <v>3265.2503000000002</v>
      </c>
      <c r="AL356" s="83">
        <f>Tableau1[[#This Row],[Montant
Tarif HP/HC]]/Tableau1[[#This Row],[Diff jour_x000D_
Cumul]]</f>
        <v>5.6140464959673722</v>
      </c>
      <c r="AM356" s="83">
        <f>(Tableau1[[#This Row],[Montant
Tarif HP/HC]]-AK$6)/Tableau1[[#This Row],[Diff jour_x000D_
Cumul
depuis le 24/01]]</f>
        <v>5.2265410766645939</v>
      </c>
      <c r="AN356" s="83">
        <f>(Tableau1[[#This Row],[Montant
Tarif HP/HC]]-AK$59)/Tableau1[[#This Row],[Diff jour_x000D_
Cumul
depuis
précédente facture
16/02/2021]]</f>
        <v>4.9389525808812476</v>
      </c>
      <c r="AO356" s="83">
        <f>Tableau1[[#This Row],[Conso HP + HC
Cumul]]*0.1599</f>
        <v>3139.3166999999999</v>
      </c>
      <c r="AP356" s="83">
        <f>Tableau1[[#This Row],[Montant
Tarif normal]]/Tableau1[[#This Row],[Diff jour_x000D_
Cumul]]</f>
        <v>5.3975249368683471</v>
      </c>
      <c r="AQ356" s="83">
        <f>(Tableau1[[#This Row],[Conso HP / an
Cumul]]*0.1799)+(Tableau1[[#This Row],[Conso HC / an_x000D_
Cumul]]*0.1346)</f>
        <v>2049.1269710280908</v>
      </c>
      <c r="AR356" s="83">
        <f>Tableau1[[#This Row],[Conso HP + HC / an_x000D_
Cumul]]*0.1599</f>
        <v>1970.0966019569466</v>
      </c>
      <c r="AS356" s="79">
        <f>MONTH(Tableau1[[#This Row],[Date]])</f>
        <v>7</v>
      </c>
      <c r="AT356" s="79">
        <f>YEAR(Tableau1[[#This Row],[Date]])</f>
        <v>2022</v>
      </c>
    </row>
    <row r="357" spans="1:46" x14ac:dyDescent="0.2">
      <c r="A357" s="74">
        <v>44765.144444444442</v>
      </c>
      <c r="B357" s="75"/>
      <c r="C357" s="76">
        <f>IF(ISERROR(Tableau1[[#This Row],[Date]]-A356),"",Tableau1[[#This Row],[Date]]-A356)</f>
        <v>0.81458333333284827</v>
      </c>
      <c r="D357" s="77">
        <f>IF(ISERROR(Tableau1[[#This Row],[Date]]-A356),"",Tableau1[[#This Row],[Date]]-A356)</f>
        <v>0.81458333333284827</v>
      </c>
      <c r="E357" s="76">
        <f>Tableau1[[#This Row],[Date]]-$A$5</f>
        <v>582.43611111110658</v>
      </c>
      <c r="F357" s="77">
        <f>Tableau1[[#This Row],[Date]]-$A$5</f>
        <v>582.43611111110658</v>
      </c>
      <c r="G357" s="77">
        <f>Tableau1[[#This Row],[Diff jour_x000D_
Cumul]]-F$6</f>
        <v>544.3527777777781</v>
      </c>
      <c r="H357" s="77">
        <f>Tableau1[[#This Row],[Diff jour_x000D_
Cumul]]-F$59</f>
        <v>521.83333333332848</v>
      </c>
      <c r="I357" s="78">
        <v>193512</v>
      </c>
      <c r="J357" s="79">
        <f>IF(ISERROR(Tableau1[[#This Row],[Index HP
kWh]]-I356),"",Tableau1[[#This Row],[Index HP
kWh]]-I356)</f>
        <v>8</v>
      </c>
      <c r="K357" s="77">
        <f>IF(ISERROR(Tableau1[[#This Row],[Différence HP
Instantané]]/(Tableau1[[#This Row],[Diff jour
Instantané]]*24)),"",Tableau1[[#This Row],[Différence HP
Instantané]]/(Tableau1[[#This Row],[Diff jour
Instantané]]*24))</f>
        <v>0.40920716112556338</v>
      </c>
      <c r="L357" s="77">
        <f>Tableau1[[#This Row],[Différence HP
Instantané]]/Tableau1[[#This Row],[Diff jour
Instantané]]</f>
        <v>9.8209718670135207</v>
      </c>
      <c r="M357" s="77">
        <f>Tableau1[[#This Row],[Conso HP / jour
Instantané]]*365</f>
        <v>3584.6547314599352</v>
      </c>
      <c r="N357" s="79">
        <f>Tableau1[[#This Row],[Index HP
kWh]]-$I$5</f>
        <v>13753</v>
      </c>
      <c r="O357" s="80">
        <f>Tableau1[[#This Row],[Différence HP
Cumul]]/(Tableau1[[#This Row],[Diff jour_x000D_
Cumul]]*24)</f>
        <v>0.98387042927932777</v>
      </c>
      <c r="P357" s="80">
        <f>Tableau1[[#This Row],[Différence HP
Cumul]]/Tableau1[[#This Row],[Diff jour_x000D_
Cumul]]</f>
        <v>23.612890302703867</v>
      </c>
      <c r="Q357" s="80">
        <f>Tableau1[[#This Row],[Conso HP / jour
Cumul]]*365</f>
        <v>8618.7049604869117</v>
      </c>
      <c r="R357" s="78">
        <v>125322</v>
      </c>
      <c r="S357" s="79">
        <f>Tableau1[[#This Row],[Index HC_x000D_
kWh]]-R356</f>
        <v>2</v>
      </c>
      <c r="T357" s="81">
        <f>Tableau1[[#This Row],[Différence_x000D_ HC
Instantané]]/(Tableau1[[#This Row],[Diff jour
Instantané]]*24)</f>
        <v>0.10230179028139084</v>
      </c>
      <c r="U357" s="81">
        <f>Tableau1[[#This Row],[Différence_x000D_ HC
Instantané]]/Tableau1[[#This Row],[Diff jour
Instantané]]</f>
        <v>2.4552429667533802</v>
      </c>
      <c r="V357" s="81">
        <f>Tableau1[[#This Row],[Conso HC / jour_x000D_
Instantané]]*365</f>
        <v>896.1636828649838</v>
      </c>
      <c r="W357" s="79">
        <f>Tableau1[[#This Row],[Index HC_x000D_
kWh]]-$R$5</f>
        <v>5890</v>
      </c>
      <c r="X357" s="82">
        <f>Tableau1[[#This Row],[Différence HC
Cumul]]/(Tableau1[[#This Row],[Diff jour_x000D_
Cumul]]*24)</f>
        <v>0.42136238118630409</v>
      </c>
      <c r="Y357" s="82">
        <f>Tableau1[[#This Row],[Différence HC
Cumul]]/Tableau1[[#This Row],[Diff jour_x000D_
Cumul]]</f>
        <v>10.112697148471298</v>
      </c>
      <c r="Z357" s="82">
        <f>Tableau1[[#This Row],[Conso HC / jour_x000D_
Cumul]]*365</f>
        <v>3691.1344591920238</v>
      </c>
      <c r="AA357" s="79">
        <f>Tableau1[[#This Row],[Différence HP
Instantané]]+Tableau1[[#This Row],[Différence_x000D_ HC
Instantané]]</f>
        <v>10</v>
      </c>
      <c r="AB357" s="80">
        <f>Tableau1[[#This Row],[Conso HP + HC
Instantané]]/(Tableau1[[#This Row],[Diff jour
Instantané]]*24)</f>
        <v>0.51150895140695418</v>
      </c>
      <c r="AC357" s="80">
        <f>IF(ISERROR(Tableau1[[#This Row],[Date]]-A356),"",Tableau1[[#This Row],[Conso HP + HC
Instantané]]/Tableau1[[#This Row],[Diff jour
Instantané]])</f>
        <v>12.2762148337669</v>
      </c>
      <c r="AD357" s="80">
        <f>Tableau1[[#This Row],[Conso HP + HC / jour_x000D_
Instantané]]*365</f>
        <v>4480.8184143249182</v>
      </c>
      <c r="AE357" s="79">
        <f>Tableau1[[#This Row],[Différence HP
Cumul]]+Tableau1[[#This Row],[Différence HC
Cumul]]</f>
        <v>19643</v>
      </c>
      <c r="AF357" s="77">
        <f>(Tableau1[[#This Row],[Conso HP + HC
Cumul]]-AE$6)/Tableau1[[#This Row],[Diff jour_x000D_
Cumul
depuis le 24/01]]</f>
        <v>31.362015033143315</v>
      </c>
      <c r="AG357" s="77">
        <f>(Tableau1[[#This Row],[Conso HP + HC
Cumul]]-AE$59)/Tableau1[[#This Row],[Diff jour_x000D_
Cumul
depuis
précédente facture
16/02/2021]]</f>
        <v>29.637815394442946</v>
      </c>
      <c r="AH357" s="80">
        <f>Tableau1[[#This Row],[Conso HP + HC
Cumul]]/(Tableau1[[#This Row],[Diff jour_x000D_
Cumul]]*24)</f>
        <v>1.4052328104656318</v>
      </c>
      <c r="AI357" s="80">
        <f>Tableau1[[#This Row],[Conso HP + HC
Cumul]]/Tableau1[[#This Row],[Diff jour_x000D_
Cumul]]</f>
        <v>33.725587451175166</v>
      </c>
      <c r="AJ357" s="80">
        <f>Tableau1[[#This Row],[Conso HP + HC / jour_x000D_
Cumul]]*365</f>
        <v>12309.839419678936</v>
      </c>
      <c r="AK357" s="83">
        <f>(Tableau1[[#This Row],[Différence HP
Cumul]]*0.1799)+(Tableau1[[#This Row],[Différence HC
Cumul]]*0.1346)</f>
        <v>3266.9587000000001</v>
      </c>
      <c r="AL357" s="83">
        <f>Tableau1[[#This Row],[Montant
Tarif HP/HC]]/Tableau1[[#This Row],[Diff jour_x000D_
Cumul]]</f>
        <v>5.6091280016406628</v>
      </c>
      <c r="AM357" s="83">
        <f>(Tableau1[[#This Row],[Montant
Tarif HP/HC]]-AK$6)/Tableau1[[#This Row],[Diff jour_x000D_
Cumul
depuis le 24/01]]</f>
        <v>5.2218583537024061</v>
      </c>
      <c r="AN357" s="83">
        <f>(Tableau1[[#This Row],[Montant
Tarif HP/HC]]-AK$59)/Tableau1[[#This Row],[Diff jour_x000D_
Cumul
depuis
précédente facture
16/02/2021]]</f>
        <v>4.9345167039285034</v>
      </c>
      <c r="AO357" s="83">
        <f>Tableau1[[#This Row],[Conso HP + HC
Cumul]]*0.1599</f>
        <v>3140.9156999999996</v>
      </c>
      <c r="AP357" s="83">
        <f>Tableau1[[#This Row],[Montant
Tarif normal]]/Tableau1[[#This Row],[Diff jour_x000D_
Cumul]]</f>
        <v>5.3927214334429081</v>
      </c>
      <c r="AQ357" s="83">
        <f>(Tableau1[[#This Row],[Conso HP / an
Cumul]]*0.1799)+(Tableau1[[#This Row],[Conso HC / an_x000D_
Cumul]]*0.1346)</f>
        <v>2047.3317205988419</v>
      </c>
      <c r="AR357" s="83">
        <f>Tableau1[[#This Row],[Conso HP + HC / an_x000D_
Cumul]]*0.1599</f>
        <v>1968.3433232066616</v>
      </c>
      <c r="AS357" s="79">
        <f>MONTH(Tableau1[[#This Row],[Date]])</f>
        <v>7</v>
      </c>
      <c r="AT357" s="79">
        <f>YEAR(Tableau1[[#This Row],[Date]])</f>
        <v>2022</v>
      </c>
    </row>
    <row r="358" spans="1:46" x14ac:dyDescent="0.2">
      <c r="A358" s="74">
        <v>44779.277777777781</v>
      </c>
      <c r="B358" s="75"/>
      <c r="C358" s="76">
        <f>IF(ISERROR(Tableau1[[#This Row],[Date]]-A357),"",Tableau1[[#This Row],[Date]]-A357)</f>
        <v>14.133333333338669</v>
      </c>
      <c r="D358" s="77">
        <f>IF(ISERROR(Tableau1[[#This Row],[Date]]-A357),"",Tableau1[[#This Row],[Date]]-A357)</f>
        <v>14.133333333338669</v>
      </c>
      <c r="E358" s="76">
        <f>Tableau1[[#This Row],[Date]]-$A$5</f>
        <v>596.56944444444525</v>
      </c>
      <c r="F358" s="77">
        <f>Tableau1[[#This Row],[Date]]-$A$5</f>
        <v>596.56944444444525</v>
      </c>
      <c r="G358" s="77">
        <f>Tableau1[[#This Row],[Diff jour_x000D_
Cumul]]-F$6</f>
        <v>558.48611111111677</v>
      </c>
      <c r="H358" s="77">
        <f>Tableau1[[#This Row],[Diff jour_x000D_
Cumul]]-F$59</f>
        <v>535.96666666666715</v>
      </c>
      <c r="I358" s="78">
        <v>193555</v>
      </c>
      <c r="J358" s="79">
        <f>IF(ISERROR(Tableau1[[#This Row],[Index HP
kWh]]-I357),"",Tableau1[[#This Row],[Index HP
kWh]]-I357)</f>
        <v>43</v>
      </c>
      <c r="K358" s="77">
        <f>IF(ISERROR(Tableau1[[#This Row],[Différence HP
Instantané]]/(Tableau1[[#This Row],[Diff jour
Instantané]]*24)),"",Tableau1[[#This Row],[Différence HP
Instantané]]/(Tableau1[[#This Row],[Diff jour
Instantané]]*24))</f>
        <v>0.12676886792448044</v>
      </c>
      <c r="L358" s="77">
        <f>Tableau1[[#This Row],[Différence HP
Instantané]]/Tableau1[[#This Row],[Diff jour
Instantané]]</f>
        <v>3.0424528301875307</v>
      </c>
      <c r="M358" s="77">
        <f>Tableau1[[#This Row],[Conso HP / jour
Instantané]]*365</f>
        <v>1110.4952830184486</v>
      </c>
      <c r="N358" s="79">
        <f>Tableau1[[#This Row],[Index HP
kWh]]-$I$5</f>
        <v>13796</v>
      </c>
      <c r="O358" s="80">
        <f>Tableau1[[#This Row],[Différence HP
Cumul]]/(Tableau1[[#This Row],[Diff jour_x000D_
Cumul]]*24)</f>
        <v>0.96356482667101118</v>
      </c>
      <c r="P358" s="80">
        <f>Tableau1[[#This Row],[Différence HP
Cumul]]/Tableau1[[#This Row],[Diff jour_x000D_
Cumul]]</f>
        <v>23.125555840104269</v>
      </c>
      <c r="Q358" s="80">
        <f>Tableau1[[#This Row],[Conso HP / jour
Cumul]]*365</f>
        <v>8440.8278816380589</v>
      </c>
      <c r="R358" s="78">
        <v>125353</v>
      </c>
      <c r="S358" s="79">
        <f>Tableau1[[#This Row],[Index HC_x000D_
kWh]]-R357</f>
        <v>31</v>
      </c>
      <c r="T358" s="81">
        <f>Tableau1[[#This Row],[Différence_x000D_ HC
Instantané]]/(Tableau1[[#This Row],[Diff jour
Instantané]]*24)</f>
        <v>9.1391509433927764E-2</v>
      </c>
      <c r="U358" s="81">
        <f>Tableau1[[#This Row],[Différence_x000D_ HC
Instantané]]/Tableau1[[#This Row],[Diff jour
Instantané]]</f>
        <v>2.1933962264142663</v>
      </c>
      <c r="V358" s="81">
        <f>Tableau1[[#This Row],[Conso HC / jour_x000D_
Instantané]]*365</f>
        <v>800.58962264120726</v>
      </c>
      <c r="W358" s="79">
        <f>Tableau1[[#This Row],[Index HC_x000D_
kWh]]-$R$5</f>
        <v>5921</v>
      </c>
      <c r="X358" s="82">
        <f>Tableau1[[#This Row],[Différence HC
Cumul]]/(Tableau1[[#This Row],[Diff jour_x000D_
Cumul]]*24)</f>
        <v>0.41354503759923583</v>
      </c>
      <c r="Y358" s="82">
        <f>Tableau1[[#This Row],[Différence HC
Cumul]]/Tableau1[[#This Row],[Diff jour_x000D_
Cumul]]</f>
        <v>9.9250809023816604</v>
      </c>
      <c r="Z358" s="82">
        <f>Tableau1[[#This Row],[Conso HC / jour_x000D_
Cumul]]*365</f>
        <v>3622.6545293693061</v>
      </c>
      <c r="AA358" s="79">
        <f>Tableau1[[#This Row],[Différence HP
Instantané]]+Tableau1[[#This Row],[Différence_x000D_ HC
Instantané]]</f>
        <v>74</v>
      </c>
      <c r="AB358" s="80">
        <f>Tableau1[[#This Row],[Conso HP + HC
Instantané]]/(Tableau1[[#This Row],[Diff jour
Instantané]]*24)</f>
        <v>0.21816037735840821</v>
      </c>
      <c r="AC358" s="80">
        <f>IF(ISERROR(Tableau1[[#This Row],[Date]]-A357),"",Tableau1[[#This Row],[Conso HP + HC
Instantané]]/Tableau1[[#This Row],[Diff jour
Instantané]])</f>
        <v>5.235849056601797</v>
      </c>
      <c r="AD358" s="80">
        <f>Tableau1[[#This Row],[Conso HP + HC / jour_x000D_
Instantané]]*365</f>
        <v>1911.084905659656</v>
      </c>
      <c r="AE358" s="79">
        <f>Tableau1[[#This Row],[Différence HP
Cumul]]+Tableau1[[#This Row],[Différence HC
Cumul]]</f>
        <v>19717</v>
      </c>
      <c r="AF358" s="77">
        <f>(Tableau1[[#This Row],[Conso HP + HC
Cumul]]-AE$6)/Tableau1[[#This Row],[Diff jour_x000D_
Cumul
depuis le 24/01]]</f>
        <v>30.700853000422459</v>
      </c>
      <c r="AG358" s="77">
        <f>(Tableau1[[#This Row],[Conso HP + HC
Cumul]]-AE$59)/Tableau1[[#This Row],[Diff jour_x000D_
Cumul
depuis
précédente facture
16/02/2021]]</f>
        <v>28.994340444057439</v>
      </c>
      <c r="AH358" s="80">
        <f>Tableau1[[#This Row],[Conso HP + HC
Cumul]]/(Tableau1[[#This Row],[Diff jour_x000D_
Cumul]]*24)</f>
        <v>1.3771098642702471</v>
      </c>
      <c r="AI358" s="80">
        <f>Tableau1[[#This Row],[Conso HP + HC
Cumul]]/Tableau1[[#This Row],[Diff jour_x000D_
Cumul]]</f>
        <v>33.050636742485928</v>
      </c>
      <c r="AJ358" s="80">
        <f>Tableau1[[#This Row],[Conso HP + HC / jour_x000D_
Cumul]]*365</f>
        <v>12063.482411007364</v>
      </c>
      <c r="AK358" s="83">
        <f>(Tableau1[[#This Row],[Différence HP
Cumul]]*0.1799)+(Tableau1[[#This Row],[Différence HC
Cumul]]*0.1346)</f>
        <v>3278.8670000000002</v>
      </c>
      <c r="AL358" s="83">
        <f>Tableau1[[#This Row],[Montant
Tarif HP/HC]]/Tableau1[[#This Row],[Diff jour_x000D_
Cumul]]</f>
        <v>5.4962033850953294</v>
      </c>
      <c r="AM358" s="83">
        <f>(Tableau1[[#This Row],[Montant
Tarif HP/HC]]-AK$6)/Tableau1[[#This Row],[Diff jour_x000D_
Cumul
depuis le 24/01]]</f>
        <v>5.1110338166172919</v>
      </c>
      <c r="AN358" s="83">
        <f>(Tableau1[[#This Row],[Montant
Tarif HP/HC]]-AK$59)/Tableau1[[#This Row],[Diff jour_x000D_
Cumul
depuis
précédente facture
16/02/2021]]</f>
        <v>4.8266128490577733</v>
      </c>
      <c r="AO358" s="83">
        <f>Tableau1[[#This Row],[Conso HP + HC
Cumul]]*0.1599</f>
        <v>3152.7482999999997</v>
      </c>
      <c r="AP358" s="83">
        <f>Tableau1[[#This Row],[Montant
Tarif normal]]/Tableau1[[#This Row],[Diff jour_x000D_
Cumul]]</f>
        <v>5.2847968151234994</v>
      </c>
      <c r="AQ358" s="83">
        <f>(Tableau1[[#This Row],[Conso HP / an
Cumul]]*0.1799)+(Tableau1[[#This Row],[Conso HC / an_x000D_
Cumul]]*0.1346)</f>
        <v>2006.1142355597954</v>
      </c>
      <c r="AR358" s="83">
        <f>Tableau1[[#This Row],[Conso HP + HC / an_x000D_
Cumul]]*0.1599</f>
        <v>1928.9508375200774</v>
      </c>
      <c r="AS358" s="79">
        <f>MONTH(Tableau1[[#This Row],[Date]])</f>
        <v>8</v>
      </c>
      <c r="AT358" s="79">
        <f>YEAR(Tableau1[[#This Row],[Date]])</f>
        <v>2022</v>
      </c>
    </row>
    <row r="359" spans="1:46" x14ac:dyDescent="0.2">
      <c r="A359" s="74">
        <v>44780.34097222222</v>
      </c>
      <c r="B359" s="75"/>
      <c r="C359" s="76">
        <f>IF(ISERROR(Tableau1[[#This Row],[Date]]-A358),"",Tableau1[[#This Row],[Date]]-A358)</f>
        <v>1.0631944444394321</v>
      </c>
      <c r="D359" s="77">
        <f>IF(ISERROR(Tableau1[[#This Row],[Date]]-A358),"",Tableau1[[#This Row],[Date]]-A358)</f>
        <v>1.0631944444394321</v>
      </c>
      <c r="E359" s="76">
        <f>Tableau1[[#This Row],[Date]]-$A$5</f>
        <v>597.63263888888469</v>
      </c>
      <c r="F359" s="77">
        <f>Tableau1[[#This Row],[Date]]-$A$5</f>
        <v>597.63263888888469</v>
      </c>
      <c r="G359" s="77">
        <f>Tableau1[[#This Row],[Diff jour_x000D_
Cumul]]-F$6</f>
        <v>559.5493055555562</v>
      </c>
      <c r="H359" s="77">
        <f>Tableau1[[#This Row],[Diff jour_x000D_
Cumul]]-F$59</f>
        <v>537.02986111110658</v>
      </c>
      <c r="I359" s="78">
        <v>193563</v>
      </c>
      <c r="J359" s="79">
        <f>IF(ISERROR(Tableau1[[#This Row],[Index HP
kWh]]-I358),"",Tableau1[[#This Row],[Index HP
kWh]]-I358)</f>
        <v>8</v>
      </c>
      <c r="K359" s="77">
        <f>IF(ISERROR(Tableau1[[#This Row],[Différence HP
Instantané]]/(Tableau1[[#This Row],[Diff jour
Instantané]]*24)),"",Tableau1[[#This Row],[Différence HP
Instantané]]/(Tableau1[[#This Row],[Diff jour
Instantané]]*24))</f>
        <v>0.31352057478919848</v>
      </c>
      <c r="L359" s="77">
        <f>Tableau1[[#This Row],[Différence HP
Instantané]]/Tableau1[[#This Row],[Diff jour
Instantané]]</f>
        <v>7.5244937949407644</v>
      </c>
      <c r="M359" s="77">
        <f>Tableau1[[#This Row],[Conso HP / jour
Instantané]]*365</f>
        <v>2746.440235153379</v>
      </c>
      <c r="N359" s="79">
        <f>Tableau1[[#This Row],[Index HP
kWh]]-$I$5</f>
        <v>13804</v>
      </c>
      <c r="O359" s="80">
        <f>Tableau1[[#This Row],[Différence HP
Cumul]]/(Tableau1[[#This Row],[Diff jour_x000D_
Cumul]]*24)</f>
        <v>0.96240839144263168</v>
      </c>
      <c r="P359" s="80">
        <f>Tableau1[[#This Row],[Différence HP
Cumul]]/Tableau1[[#This Row],[Diff jour_x000D_
Cumul]]</f>
        <v>23.097801394623161</v>
      </c>
      <c r="Q359" s="80">
        <f>Tableau1[[#This Row],[Conso HP / jour
Cumul]]*365</f>
        <v>8430.6975090374544</v>
      </c>
      <c r="R359" s="78">
        <v>125356</v>
      </c>
      <c r="S359" s="79">
        <f>Tableau1[[#This Row],[Index HC_x000D_
kWh]]-R358</f>
        <v>3</v>
      </c>
      <c r="T359" s="81">
        <f>Tableau1[[#This Row],[Différence_x000D_ HC
Instantané]]/(Tableau1[[#This Row],[Diff jour
Instantané]]*24)</f>
        <v>0.11757021554594944</v>
      </c>
      <c r="U359" s="81">
        <f>Tableau1[[#This Row],[Différence_x000D_ HC
Instantané]]/Tableau1[[#This Row],[Diff jour
Instantané]]</f>
        <v>2.8216851731027868</v>
      </c>
      <c r="V359" s="81">
        <f>Tableau1[[#This Row],[Conso HC / jour_x000D_
Instantané]]*365</f>
        <v>1029.9150881825171</v>
      </c>
      <c r="W359" s="79">
        <f>Tableau1[[#This Row],[Index HC_x000D_
kWh]]-$R$5</f>
        <v>5924</v>
      </c>
      <c r="X359" s="82">
        <f>Tableau1[[#This Row],[Différence HC
Cumul]]/(Tableau1[[#This Row],[Diff jour_x000D_
Cumul]]*24)</f>
        <v>0.41301849542930674</v>
      </c>
      <c r="Y359" s="82">
        <f>Tableau1[[#This Row],[Différence HC
Cumul]]/Tableau1[[#This Row],[Diff jour_x000D_
Cumul]]</f>
        <v>9.9124438903033614</v>
      </c>
      <c r="Z359" s="82">
        <f>Tableau1[[#This Row],[Conso HC / jour_x000D_
Cumul]]*365</f>
        <v>3618.042019960727</v>
      </c>
      <c r="AA359" s="79">
        <f>Tableau1[[#This Row],[Différence HP
Instantané]]+Tableau1[[#This Row],[Différence_x000D_ HC
Instantané]]</f>
        <v>11</v>
      </c>
      <c r="AB359" s="80">
        <f>Tableau1[[#This Row],[Conso HP + HC
Instantané]]/(Tableau1[[#This Row],[Diff jour
Instantané]]*24)</f>
        <v>0.43109079033514797</v>
      </c>
      <c r="AC359" s="80">
        <f>IF(ISERROR(Tableau1[[#This Row],[Date]]-A358),"",Tableau1[[#This Row],[Conso HP + HC
Instantané]]/Tableau1[[#This Row],[Diff jour
Instantané]])</f>
        <v>10.346178968043551</v>
      </c>
      <c r="AD359" s="80">
        <f>Tableau1[[#This Row],[Conso HP + HC / jour_x000D_
Instantané]]*365</f>
        <v>3776.3553233358962</v>
      </c>
      <c r="AE359" s="79">
        <f>Tableau1[[#This Row],[Différence HP
Cumul]]+Tableau1[[#This Row],[Différence HC
Cumul]]</f>
        <v>19728</v>
      </c>
      <c r="AF359" s="77">
        <f>(Tableau1[[#This Row],[Conso HP + HC
Cumul]]-AE$6)/Tableau1[[#This Row],[Diff jour_x000D_
Cumul
depuis le 24/01]]</f>
        <v>30.662177273127767</v>
      </c>
      <c r="AG359" s="77">
        <f>(Tableau1[[#This Row],[Conso HP + HC
Cumul]]-AE$59)/Tableau1[[#This Row],[Diff jour_x000D_
Cumul
depuis
précédente facture
16/02/2021]]</f>
        <v>28.95742141382086</v>
      </c>
      <c r="AH359" s="80">
        <f>Tableau1[[#This Row],[Conso HP + HC
Cumul]]/(Tableau1[[#This Row],[Diff jour_x000D_
Cumul]]*24)</f>
        <v>1.3754268868719384</v>
      </c>
      <c r="AI359" s="80">
        <f>Tableau1[[#This Row],[Conso HP + HC
Cumul]]/Tableau1[[#This Row],[Diff jour_x000D_
Cumul]]</f>
        <v>33.010245284926519</v>
      </c>
      <c r="AJ359" s="80">
        <f>Tableau1[[#This Row],[Conso HP + HC / jour_x000D_
Cumul]]*365</f>
        <v>12048.73952899818</v>
      </c>
      <c r="AK359" s="83">
        <f>(Tableau1[[#This Row],[Différence HP
Cumul]]*0.1799)+(Tableau1[[#This Row],[Différence HC
Cumul]]*0.1346)</f>
        <v>3280.71</v>
      </c>
      <c r="AL359" s="83">
        <f>Tableau1[[#This Row],[Montant
Tarif HP/HC]]/Tableau1[[#This Row],[Diff jour_x000D_
Cumul]]</f>
        <v>5.4895094185275388</v>
      </c>
      <c r="AM359" s="83">
        <f>(Tableau1[[#This Row],[Montant
Tarif HP/HC]]-AK$6)/Tableau1[[#This Row],[Diff jour_x000D_
Cumul
depuis le 24/01]]</f>
        <v>5.1046161109325281</v>
      </c>
      <c r="AN359" s="83">
        <f>(Tableau1[[#This Row],[Montant
Tarif HP/HC]]-AK$59)/Tableau1[[#This Row],[Diff jour_x000D_
Cumul
depuis
précédente facture
16/02/2021]]</f>
        <v>4.8204891151563203</v>
      </c>
      <c r="AO359" s="83">
        <f>Tableau1[[#This Row],[Conso HP + HC
Cumul]]*0.1599</f>
        <v>3154.5071999999996</v>
      </c>
      <c r="AP359" s="83">
        <f>Tableau1[[#This Row],[Montant
Tarif normal]]/Tableau1[[#This Row],[Diff jour_x000D_
Cumul]]</f>
        <v>5.2783382210597498</v>
      </c>
      <c r="AQ359" s="83">
        <f>(Tableau1[[#This Row],[Conso HP / an
Cumul]]*0.1799)+(Tableau1[[#This Row],[Conso HC / an_x000D_
Cumul]]*0.1346)</f>
        <v>2003.6709377625518</v>
      </c>
      <c r="AR359" s="83">
        <f>Tableau1[[#This Row],[Conso HP + HC / an_x000D_
Cumul]]*0.1599</f>
        <v>1926.5934506868089</v>
      </c>
      <c r="AS359" s="79">
        <f>MONTH(Tableau1[[#This Row],[Date]])</f>
        <v>8</v>
      </c>
      <c r="AT359" s="79">
        <f>YEAR(Tableau1[[#This Row],[Date]])</f>
        <v>2022</v>
      </c>
    </row>
    <row r="360" spans="1:46" x14ac:dyDescent="0.2">
      <c r="A360" s="74">
        <v>44781.331944444442</v>
      </c>
      <c r="B360" s="75"/>
      <c r="C360" s="76">
        <f>IF(ISERROR(Tableau1[[#This Row],[Date]]-A359),"",Tableau1[[#This Row],[Date]]-A359)</f>
        <v>0.99097222222189885</v>
      </c>
      <c r="D360" s="77">
        <f>IF(ISERROR(Tableau1[[#This Row],[Date]]-A359),"",Tableau1[[#This Row],[Date]]-A359)</f>
        <v>0.99097222222189885</v>
      </c>
      <c r="E360" s="76">
        <f>Tableau1[[#This Row],[Date]]-$A$5</f>
        <v>598.62361111110658</v>
      </c>
      <c r="F360" s="77">
        <f>Tableau1[[#This Row],[Date]]-$A$5</f>
        <v>598.62361111110658</v>
      </c>
      <c r="G360" s="77">
        <f>Tableau1[[#This Row],[Diff jour_x000D_
Cumul]]-F$6</f>
        <v>560.5402777777781</v>
      </c>
      <c r="H360" s="77">
        <f>Tableau1[[#This Row],[Diff jour_x000D_
Cumul]]-F$59</f>
        <v>538.02083333332848</v>
      </c>
      <c r="I360" s="78">
        <v>193572</v>
      </c>
      <c r="J360" s="79">
        <f>IF(ISERROR(Tableau1[[#This Row],[Index HP
kWh]]-I359),"",Tableau1[[#This Row],[Index HP
kWh]]-I359)</f>
        <v>9</v>
      </c>
      <c r="K360" s="77">
        <f>IF(ISERROR(Tableau1[[#This Row],[Différence HP
Instantané]]/(Tableau1[[#This Row],[Diff jour
Instantané]]*24)),"",Tableau1[[#This Row],[Différence HP
Instantané]]/(Tableau1[[#This Row],[Diff jour
Instantané]]*24))</f>
        <v>0.37841625788379551</v>
      </c>
      <c r="L360" s="77">
        <f>Tableau1[[#This Row],[Différence HP
Instantané]]/Tableau1[[#This Row],[Diff jour
Instantané]]</f>
        <v>9.0819901892110924</v>
      </c>
      <c r="M360" s="77">
        <f>Tableau1[[#This Row],[Conso HP / jour
Instantané]]*365</f>
        <v>3314.9264190620488</v>
      </c>
      <c r="N360" s="79">
        <f>Tableau1[[#This Row],[Index HP
kWh]]-$I$5</f>
        <v>13813</v>
      </c>
      <c r="O360" s="80">
        <f>Tableau1[[#This Row],[Différence HP
Cumul]]/(Tableau1[[#This Row],[Diff jour_x000D_
Cumul]]*24)</f>
        <v>0.96144164042978952</v>
      </c>
      <c r="P360" s="80">
        <f>Tableau1[[#This Row],[Différence HP
Cumul]]/Tableau1[[#This Row],[Diff jour_x000D_
Cumul]]</f>
        <v>23.074599370314946</v>
      </c>
      <c r="Q360" s="80">
        <f>Tableau1[[#This Row],[Conso HP / jour
Cumul]]*365</f>
        <v>8422.2287701649548</v>
      </c>
      <c r="R360" s="78">
        <v>125359</v>
      </c>
      <c r="S360" s="79">
        <f>Tableau1[[#This Row],[Index HC_x000D_
kWh]]-R359</f>
        <v>3</v>
      </c>
      <c r="T360" s="81">
        <f>Tableau1[[#This Row],[Différence_x000D_ HC
Instantané]]/(Tableau1[[#This Row],[Diff jour
Instantané]]*24)</f>
        <v>0.12613875262793184</v>
      </c>
      <c r="U360" s="81">
        <f>Tableau1[[#This Row],[Différence_x000D_ HC
Instantané]]/Tableau1[[#This Row],[Diff jour
Instantané]]</f>
        <v>3.0273300630703641</v>
      </c>
      <c r="V360" s="81">
        <f>Tableau1[[#This Row],[Conso HC / jour_x000D_
Instantané]]*365</f>
        <v>1104.975473020683</v>
      </c>
      <c r="W360" s="79">
        <f>Tableau1[[#This Row],[Index HC_x000D_
kWh]]-$R$5</f>
        <v>5927</v>
      </c>
      <c r="X360" s="82">
        <f>Tableau1[[#This Row],[Différence HC
Cumul]]/(Tableau1[[#This Row],[Diff jour_x000D_
Cumul]]*24)</f>
        <v>0.41254358957701892</v>
      </c>
      <c r="Y360" s="82">
        <f>Tableau1[[#This Row],[Différence HC
Cumul]]/Tableau1[[#This Row],[Diff jour_x000D_
Cumul]]</f>
        <v>9.9010461498484545</v>
      </c>
      <c r="Z360" s="82">
        <f>Tableau1[[#This Row],[Conso HC / jour_x000D_
Cumul]]*365</f>
        <v>3613.8818446946857</v>
      </c>
      <c r="AA360" s="79">
        <f>Tableau1[[#This Row],[Différence HP
Instantané]]+Tableau1[[#This Row],[Différence_x000D_ HC
Instantané]]</f>
        <v>12</v>
      </c>
      <c r="AB360" s="80">
        <f>Tableau1[[#This Row],[Conso HP + HC
Instantané]]/(Tableau1[[#This Row],[Diff jour
Instantané]]*24)</f>
        <v>0.50455501051172735</v>
      </c>
      <c r="AC360" s="80">
        <f>IF(ISERROR(Tableau1[[#This Row],[Date]]-A359),"",Tableau1[[#This Row],[Conso HP + HC
Instantané]]/Tableau1[[#This Row],[Diff jour
Instantané]])</f>
        <v>12.109320252281456</v>
      </c>
      <c r="AD360" s="80">
        <f>Tableau1[[#This Row],[Conso HP + HC / jour_x000D_
Instantané]]*365</f>
        <v>4419.901892082732</v>
      </c>
      <c r="AE360" s="79">
        <f>Tableau1[[#This Row],[Différence HP
Cumul]]+Tableau1[[#This Row],[Différence HC
Cumul]]</f>
        <v>19740</v>
      </c>
      <c r="AF360" s="77">
        <f>(Tableau1[[#This Row],[Conso HP + HC
Cumul]]-AE$6)/Tableau1[[#This Row],[Diff jour_x000D_
Cumul
depuis le 24/01]]</f>
        <v>30.629377906731833</v>
      </c>
      <c r="AG360" s="77">
        <f>(Tableau1[[#This Row],[Conso HP + HC
Cumul]]-AE$59)/Tableau1[[#This Row],[Diff jour_x000D_
Cumul
depuis
précédente facture
16/02/2021]]</f>
        <v>28.926389157793096</v>
      </c>
      <c r="AH360" s="80">
        <f>Tableau1[[#This Row],[Conso HP + HC
Cumul]]/(Tableau1[[#This Row],[Diff jour_x000D_
Cumul]]*24)</f>
        <v>1.3739852300068085</v>
      </c>
      <c r="AI360" s="80">
        <f>Tableau1[[#This Row],[Conso HP + HC
Cumul]]/Tableau1[[#This Row],[Diff jour_x000D_
Cumul]]</f>
        <v>32.975645520163404</v>
      </c>
      <c r="AJ360" s="80">
        <f>Tableau1[[#This Row],[Conso HP + HC / jour_x000D_
Cumul]]*365</f>
        <v>12036.110614859643</v>
      </c>
      <c r="AK360" s="83">
        <f>(Tableau1[[#This Row],[Différence HP
Cumul]]*0.1799)+(Tableau1[[#This Row],[Différence HC
Cumul]]*0.1346)</f>
        <v>3282.7329</v>
      </c>
      <c r="AL360" s="83">
        <f>Tableau1[[#This Row],[Montant
Tarif HP/HC]]/Tableau1[[#This Row],[Diff jour_x000D_
Cumul]]</f>
        <v>5.4838012384892609</v>
      </c>
      <c r="AM360" s="83">
        <f>(Tableau1[[#This Row],[Montant
Tarif HP/HC]]-AK$6)/Tableau1[[#This Row],[Diff jour_x000D_
Cumul
depuis le 24/01]]</f>
        <v>5.0992005629489379</v>
      </c>
      <c r="AN360" s="83">
        <f>(Tableau1[[#This Row],[Montant
Tarif HP/HC]]-AK$59)/Tableau1[[#This Row],[Diff jour_x000D_
Cumul
depuis
précédente facture
16/02/2021]]</f>
        <v>4.8153702226525121</v>
      </c>
      <c r="AO360" s="83">
        <f>Tableau1[[#This Row],[Conso HP + HC
Cumul]]*0.1599</f>
        <v>3156.4259999999999</v>
      </c>
      <c r="AP360" s="83">
        <f>Tableau1[[#This Row],[Montant
Tarif normal]]/Tableau1[[#This Row],[Diff jour_x000D_
Cumul]]</f>
        <v>5.2728057186741282</v>
      </c>
      <c r="AQ360" s="83">
        <f>(Tableau1[[#This Row],[Conso HP / an
Cumul]]*0.1799)+(Tableau1[[#This Row],[Conso HC / an_x000D_
Cumul]]*0.1346)</f>
        <v>2001.58745204858</v>
      </c>
      <c r="AR360" s="83">
        <f>Tableau1[[#This Row],[Conso HP + HC / an_x000D_
Cumul]]*0.1599</f>
        <v>1924.5740873160566</v>
      </c>
      <c r="AS360" s="79">
        <f>MONTH(Tableau1[[#This Row],[Date]])</f>
        <v>8</v>
      </c>
      <c r="AT360" s="79">
        <f>YEAR(Tableau1[[#This Row],[Date]])</f>
        <v>2022</v>
      </c>
    </row>
    <row r="361" spans="1:46" x14ac:dyDescent="0.2">
      <c r="A361" s="74">
        <v>44782.318055555559</v>
      </c>
      <c r="B361" s="75"/>
      <c r="C361" s="76">
        <f>IF(ISERROR(Tableau1[[#This Row],[Date]]-A360),"",Tableau1[[#This Row],[Date]]-A360)</f>
        <v>0.98611111111677019</v>
      </c>
      <c r="D361" s="77">
        <f>IF(ISERROR(Tableau1[[#This Row],[Date]]-A360),"",Tableau1[[#This Row],[Date]]-A360)</f>
        <v>0.98611111111677019</v>
      </c>
      <c r="E361" s="76">
        <f>Tableau1[[#This Row],[Date]]-$A$5</f>
        <v>599.60972222222335</v>
      </c>
      <c r="F361" s="77">
        <f>Tableau1[[#This Row],[Date]]-$A$5</f>
        <v>599.60972222222335</v>
      </c>
      <c r="G361" s="77">
        <f>Tableau1[[#This Row],[Diff jour_x000D_
Cumul]]-F$6</f>
        <v>561.52638888889487</v>
      </c>
      <c r="H361" s="77">
        <f>Tableau1[[#This Row],[Diff jour_x000D_
Cumul]]-F$59</f>
        <v>539.00694444444525</v>
      </c>
      <c r="I361" s="78">
        <v>193578</v>
      </c>
      <c r="J361" s="79">
        <f>IF(ISERROR(Tableau1[[#This Row],[Index HP
kWh]]-I360),"",Tableau1[[#This Row],[Index HP
kWh]]-I360)</f>
        <v>6</v>
      </c>
      <c r="K361" s="77">
        <f>IF(ISERROR(Tableau1[[#This Row],[Différence HP
Instantané]]/(Tableau1[[#This Row],[Diff jour
Instantané]]*24)),"",Tableau1[[#This Row],[Différence HP
Instantané]]/(Tableau1[[#This Row],[Diff jour
Instantané]]*24))</f>
        <v>0.25352112675910848</v>
      </c>
      <c r="L361" s="77">
        <f>Tableau1[[#This Row],[Différence HP
Instantané]]/Tableau1[[#This Row],[Diff jour
Instantané]]</f>
        <v>6.0845070422186032</v>
      </c>
      <c r="M361" s="77">
        <f>Tableau1[[#This Row],[Conso HP / jour
Instantané]]*365</f>
        <v>2220.84507040979</v>
      </c>
      <c r="N361" s="79">
        <f>Tableau1[[#This Row],[Index HP
kWh]]-$I$5</f>
        <v>13819</v>
      </c>
      <c r="O361" s="80">
        <f>Tableau1[[#This Row],[Différence HP
Cumul]]/(Tableau1[[#This Row],[Diff jour_x000D_
Cumul]]*24)</f>
        <v>0.96027740266237815</v>
      </c>
      <c r="P361" s="80">
        <f>Tableau1[[#This Row],[Différence HP
Cumul]]/Tableau1[[#This Row],[Diff jour_x000D_
Cumul]]</f>
        <v>23.046657663897076</v>
      </c>
      <c r="Q361" s="80">
        <f>Tableau1[[#This Row],[Conso HP / jour
Cumul]]*365</f>
        <v>8412.0300473224324</v>
      </c>
      <c r="R361" s="78">
        <v>125362</v>
      </c>
      <c r="S361" s="79">
        <f>Tableau1[[#This Row],[Index HC_x000D_
kWh]]-R360</f>
        <v>3</v>
      </c>
      <c r="T361" s="81">
        <f>Tableau1[[#This Row],[Différence_x000D_ HC
Instantané]]/(Tableau1[[#This Row],[Diff jour
Instantané]]*24)</f>
        <v>0.12676056337955424</v>
      </c>
      <c r="U361" s="81">
        <f>Tableau1[[#This Row],[Différence_x000D_ HC
Instantané]]/Tableau1[[#This Row],[Diff jour
Instantané]]</f>
        <v>3.0422535211093016</v>
      </c>
      <c r="V361" s="81">
        <f>Tableau1[[#This Row],[Conso HC / jour_x000D_
Instantané]]*365</f>
        <v>1110.422535204895</v>
      </c>
      <c r="W361" s="79">
        <f>Tableau1[[#This Row],[Index HC_x000D_
kWh]]-$R$5</f>
        <v>5930</v>
      </c>
      <c r="X361" s="82">
        <f>Tableau1[[#This Row],[Différence HC
Cumul]]/(Tableau1[[#This Row],[Diff jour_x000D_
Cumul]]*24)</f>
        <v>0.41207359416657519</v>
      </c>
      <c r="Y361" s="82">
        <f>Tableau1[[#This Row],[Différence HC
Cumul]]/Tableau1[[#This Row],[Diff jour_x000D_
Cumul]]</f>
        <v>9.8897662599978045</v>
      </c>
      <c r="Z361" s="82">
        <f>Tableau1[[#This Row],[Conso HC / jour_x000D_
Cumul]]*365</f>
        <v>3609.7646848991985</v>
      </c>
      <c r="AA361" s="79">
        <f>Tableau1[[#This Row],[Différence HP
Instantané]]+Tableau1[[#This Row],[Différence_x000D_ HC
Instantané]]</f>
        <v>9</v>
      </c>
      <c r="AB361" s="80">
        <f>Tableau1[[#This Row],[Conso HP + HC
Instantané]]/(Tableau1[[#This Row],[Diff jour
Instantané]]*24)</f>
        <v>0.3802816901386627</v>
      </c>
      <c r="AC361" s="80">
        <f>IF(ISERROR(Tableau1[[#This Row],[Date]]-A360),"",Tableau1[[#This Row],[Conso HP + HC
Instantané]]/Tableau1[[#This Row],[Diff jour
Instantané]])</f>
        <v>9.1267605633279043</v>
      </c>
      <c r="AD361" s="80">
        <f>Tableau1[[#This Row],[Conso HP + HC / jour_x000D_
Instantané]]*365</f>
        <v>3331.2676056146852</v>
      </c>
      <c r="AE361" s="79">
        <f>Tableau1[[#This Row],[Différence HP
Cumul]]+Tableau1[[#This Row],[Différence HC
Cumul]]</f>
        <v>19749</v>
      </c>
      <c r="AF361" s="77">
        <f>(Tableau1[[#This Row],[Conso HP + HC
Cumul]]-AE$6)/Tableau1[[#This Row],[Diff jour_x000D_
Cumul
depuis le 24/01]]</f>
        <v>30.591616600584885</v>
      </c>
      <c r="AG361" s="77">
        <f>(Tableau1[[#This Row],[Conso HP + HC
Cumul]]-AE$59)/Tableau1[[#This Row],[Diff jour_x000D_
Cumul
depuis
précédente facture
16/02/2021]]</f>
        <v>28.890165814190148</v>
      </c>
      <c r="AH361" s="80">
        <f>Tableau1[[#This Row],[Conso HP + HC
Cumul]]/(Tableau1[[#This Row],[Diff jour_x000D_
Cumul]]*24)</f>
        <v>1.3723509968289533</v>
      </c>
      <c r="AI361" s="80">
        <f>Tableau1[[#This Row],[Conso HP + HC
Cumul]]/Tableau1[[#This Row],[Diff jour_x000D_
Cumul]]</f>
        <v>32.936423923894878</v>
      </c>
      <c r="AJ361" s="80">
        <f>Tableau1[[#This Row],[Conso HP + HC / jour_x000D_
Cumul]]*365</f>
        <v>12021.794732221631</v>
      </c>
      <c r="AK361" s="83">
        <f>(Tableau1[[#This Row],[Différence HP
Cumul]]*0.1799)+(Tableau1[[#This Row],[Différence HC
Cumul]]*0.1346)</f>
        <v>3284.2161000000001</v>
      </c>
      <c r="AL361" s="83">
        <f>Tableau1[[#This Row],[Montant
Tarif HP/HC]]/Tableau1[[#This Row],[Diff jour_x000D_
Cumul]]</f>
        <v>5.4772562523307879</v>
      </c>
      <c r="AM361" s="83">
        <f>(Tableau1[[#This Row],[Montant
Tarif HP/HC]]-AK$6)/Tableau1[[#This Row],[Diff jour_x000D_
Cumul
depuis le 24/01]]</f>
        <v>5.0928870959363692</v>
      </c>
      <c r="AN361" s="83">
        <f>(Tableau1[[#This Row],[Montant
Tarif HP/HC]]-AK$59)/Tableau1[[#This Row],[Diff jour_x000D_
Cumul
depuis
précédente facture
16/02/2021]]</f>
        <v>4.8093122486053241</v>
      </c>
      <c r="AO361" s="83">
        <f>Tableau1[[#This Row],[Conso HP + HC
Cumul]]*0.1599</f>
        <v>3157.8650999999995</v>
      </c>
      <c r="AP361" s="83">
        <f>Tableau1[[#This Row],[Montant
Tarif normal]]/Tableau1[[#This Row],[Diff jour_x000D_
Cumul]]</f>
        <v>5.2665341854307908</v>
      </c>
      <c r="AQ361" s="83">
        <f>(Tableau1[[#This Row],[Conso HP / an
Cumul]]*0.1799)+(Tableau1[[#This Row],[Conso HC / an_x000D_
Cumul]]*0.1346)</f>
        <v>1999.1985321007378</v>
      </c>
      <c r="AR361" s="83">
        <f>Tableau1[[#This Row],[Conso HP + HC / an_x000D_
Cumul]]*0.1599</f>
        <v>1922.2849776822386</v>
      </c>
      <c r="AS361" s="79">
        <f>MONTH(Tableau1[[#This Row],[Date]])</f>
        <v>8</v>
      </c>
      <c r="AT361" s="79">
        <f>YEAR(Tableau1[[#This Row],[Date]])</f>
        <v>2022</v>
      </c>
    </row>
    <row r="362" spans="1:46" x14ac:dyDescent="0.2">
      <c r="A362" s="74">
        <v>44783.34652777778</v>
      </c>
      <c r="B362" s="75"/>
      <c r="C362" s="76">
        <f>IF(ISERROR(Tableau1[[#This Row],[Date]]-A361),"",Tableau1[[#This Row],[Date]]-A361)</f>
        <v>1.0284722222204437</v>
      </c>
      <c r="D362" s="77">
        <f>IF(ISERROR(Tableau1[[#This Row],[Date]]-A361),"",Tableau1[[#This Row],[Date]]-A361)</f>
        <v>1.0284722222204437</v>
      </c>
      <c r="E362" s="76">
        <f>Tableau1[[#This Row],[Date]]-$A$5</f>
        <v>600.6381944444438</v>
      </c>
      <c r="F362" s="77">
        <f>Tableau1[[#This Row],[Date]]-$A$5</f>
        <v>600.6381944444438</v>
      </c>
      <c r="G362" s="77">
        <f>Tableau1[[#This Row],[Diff jour_x000D_
Cumul]]-F$6</f>
        <v>562.55486111111531</v>
      </c>
      <c r="H362" s="77">
        <f>Tableau1[[#This Row],[Diff jour_x000D_
Cumul]]-F$59</f>
        <v>540.0354166666657</v>
      </c>
      <c r="I362" s="78">
        <v>193583</v>
      </c>
      <c r="J362" s="79">
        <f>IF(ISERROR(Tableau1[[#This Row],[Index HP
kWh]]-I361),"",Tableau1[[#This Row],[Index HP
kWh]]-I361)</f>
        <v>5</v>
      </c>
      <c r="K362" s="77">
        <f>IF(ISERROR(Tableau1[[#This Row],[Différence HP
Instantané]]/(Tableau1[[#This Row],[Diff jour
Instantané]]*24)),"",Tableau1[[#This Row],[Différence HP
Instantané]]/(Tableau1[[#This Row],[Diff jour
Instantané]]*24))</f>
        <v>0.20256583389636651</v>
      </c>
      <c r="L362" s="77">
        <f>Tableau1[[#This Row],[Différence HP
Instantané]]/Tableau1[[#This Row],[Diff jour
Instantané]]</f>
        <v>4.8615800135127962</v>
      </c>
      <c r="M362" s="77">
        <f>Tableau1[[#This Row],[Conso HP / jour
Instantané]]*365</f>
        <v>1774.4767049321706</v>
      </c>
      <c r="N362" s="79">
        <f>Tableau1[[#This Row],[Index HP
kWh]]-$I$5</f>
        <v>13824</v>
      </c>
      <c r="O362" s="80">
        <f>Tableau1[[#This Row],[Différence HP
Cumul]]/(Tableau1[[#This Row],[Diff jour_x000D_
Cumul]]*24)</f>
        <v>0.95897997384726308</v>
      </c>
      <c r="P362" s="80">
        <f>Tableau1[[#This Row],[Différence HP
Cumul]]/Tableau1[[#This Row],[Diff jour_x000D_
Cumul]]</f>
        <v>23.015519372334314</v>
      </c>
      <c r="Q362" s="80">
        <f>Tableau1[[#This Row],[Conso HP / jour
Cumul]]*365</f>
        <v>8400.6645709020249</v>
      </c>
      <c r="R362" s="78">
        <v>125365</v>
      </c>
      <c r="S362" s="79">
        <f>Tableau1[[#This Row],[Index HC_x000D_
kWh]]-R361</f>
        <v>3</v>
      </c>
      <c r="T362" s="81">
        <f>Tableau1[[#This Row],[Différence_x000D_ HC
Instantané]]/(Tableau1[[#This Row],[Diff jour
Instantané]]*24)</f>
        <v>0.12153950033781991</v>
      </c>
      <c r="U362" s="81">
        <f>Tableau1[[#This Row],[Différence_x000D_ HC
Instantané]]/Tableau1[[#This Row],[Diff jour
Instantané]]</f>
        <v>2.9169480081076777</v>
      </c>
      <c r="V362" s="81">
        <f>Tableau1[[#This Row],[Conso HC / jour_x000D_
Instantané]]*365</f>
        <v>1064.6860229593024</v>
      </c>
      <c r="W362" s="79">
        <f>Tableau1[[#This Row],[Index HC_x000D_
kWh]]-$R$5</f>
        <v>5933</v>
      </c>
      <c r="X362" s="82">
        <f>Tableau1[[#This Row],[Différence HC
Cumul]]/(Tableau1[[#This Row],[Diff jour_x000D_
Cumul]]*24)</f>
        <v>0.41157611290768314</v>
      </c>
      <c r="Y362" s="82">
        <f>Tableau1[[#This Row],[Différence HC
Cumul]]/Tableau1[[#This Row],[Diff jour_x000D_
Cumul]]</f>
        <v>9.8778267097843955</v>
      </c>
      <c r="Z362" s="82">
        <f>Tableau1[[#This Row],[Conso HC / jour_x000D_
Cumul]]*365</f>
        <v>3605.4067490713041</v>
      </c>
      <c r="AA362" s="79">
        <f>Tableau1[[#This Row],[Différence HP
Instantané]]+Tableau1[[#This Row],[Différence_x000D_ HC
Instantané]]</f>
        <v>8</v>
      </c>
      <c r="AB362" s="80">
        <f>Tableau1[[#This Row],[Conso HP + HC
Instantané]]/(Tableau1[[#This Row],[Diff jour
Instantané]]*24)</f>
        <v>0.32410533423418642</v>
      </c>
      <c r="AC362" s="80">
        <f>IF(ISERROR(Tableau1[[#This Row],[Date]]-A361),"",Tableau1[[#This Row],[Conso HP + HC
Instantané]]/Tableau1[[#This Row],[Diff jour
Instantané]])</f>
        <v>7.778528021620474</v>
      </c>
      <c r="AD362" s="80">
        <f>Tableau1[[#This Row],[Conso HP + HC / jour_x000D_
Instantané]]*365</f>
        <v>2839.162727891473</v>
      </c>
      <c r="AE362" s="79">
        <f>Tableau1[[#This Row],[Différence HP
Cumul]]+Tableau1[[#This Row],[Différence HC
Cumul]]</f>
        <v>19757</v>
      </c>
      <c r="AF362" s="77">
        <f>(Tableau1[[#This Row],[Conso HP + HC
Cumul]]-AE$6)/Tableau1[[#This Row],[Diff jour_x000D_
Cumul
depuis le 24/01]]</f>
        <v>30.549909329830566</v>
      </c>
      <c r="AG362" s="77">
        <f>(Tableau1[[#This Row],[Conso HP + HC
Cumul]]-AE$59)/Tableau1[[#This Row],[Diff jour_x000D_
Cumul
depuis
précédente facture
16/02/2021]]</f>
        <v>28.849959686286059</v>
      </c>
      <c r="AH362" s="80">
        <f>Tableau1[[#This Row],[Conso HP + HC
Cumul]]/(Tableau1[[#This Row],[Diff jour_x000D_
Cumul]]*24)</f>
        <v>1.3705560867549462</v>
      </c>
      <c r="AI362" s="80">
        <f>Tableau1[[#This Row],[Conso HP + HC
Cumul]]/Tableau1[[#This Row],[Diff jour_x000D_
Cumul]]</f>
        <v>32.893346082118711</v>
      </c>
      <c r="AJ362" s="80">
        <f>Tableau1[[#This Row],[Conso HP + HC / jour_x000D_
Cumul]]*365</f>
        <v>12006.071319973329</v>
      </c>
      <c r="AK362" s="83">
        <f>(Tableau1[[#This Row],[Différence HP
Cumul]]*0.1799)+(Tableau1[[#This Row],[Différence HC
Cumul]]*0.1346)</f>
        <v>3285.5194000000001</v>
      </c>
      <c r="AL362" s="83">
        <f>Tableau1[[#This Row],[Montant
Tarif HP/HC]]/Tableau1[[#This Row],[Diff jour_x000D_
Cumul]]</f>
        <v>5.470047410219923</v>
      </c>
      <c r="AM362" s="83">
        <f>(Tableau1[[#This Row],[Montant
Tarif HP/HC]]-AK$6)/Tableau1[[#This Row],[Diff jour_x000D_
Cumul
depuis le 24/01]]</f>
        <v>5.0858929462434768</v>
      </c>
      <c r="AN362" s="83">
        <f>(Tableau1[[#This Row],[Montant
Tarif HP/HC]]-AK$59)/Tableau1[[#This Row],[Diff jour_x000D_
Cumul
depuis
précédente facture
16/02/2021]]</f>
        <v>4.802566498339238</v>
      </c>
      <c r="AO362" s="83">
        <f>Tableau1[[#This Row],[Conso HP + HC
Cumul]]*0.1599</f>
        <v>3159.1442999999999</v>
      </c>
      <c r="AP362" s="83">
        <f>Tableau1[[#This Row],[Montant
Tarif normal]]/Tableau1[[#This Row],[Diff jour_x000D_
Cumul]]</f>
        <v>5.2596460385307813</v>
      </c>
      <c r="AQ362" s="83">
        <f>(Tableau1[[#This Row],[Conso HP / an
Cumul]]*0.1799)+(Tableau1[[#This Row],[Conso HC / an_x000D_
Cumul]]*0.1346)</f>
        <v>1996.5673047302719</v>
      </c>
      <c r="AR362" s="83">
        <f>Tableau1[[#This Row],[Conso HP + HC / an_x000D_
Cumul]]*0.1599</f>
        <v>1919.7708040637351</v>
      </c>
      <c r="AS362" s="79">
        <f>MONTH(Tableau1[[#This Row],[Date]])</f>
        <v>8</v>
      </c>
      <c r="AT362" s="79">
        <f>YEAR(Tableau1[[#This Row],[Date]])</f>
        <v>2022</v>
      </c>
    </row>
    <row r="363" spans="1:46" x14ac:dyDescent="0.2">
      <c r="A363" s="74">
        <v>44784.345833333333</v>
      </c>
      <c r="B363" s="75"/>
      <c r="C363" s="76">
        <f>IF(ISERROR(Tableau1[[#This Row],[Date]]-A362),"",Tableau1[[#This Row],[Date]]-A362)</f>
        <v>0.99930555555329192</v>
      </c>
      <c r="D363" s="77">
        <f>IF(ISERROR(Tableau1[[#This Row],[Date]]-A362),"",Tableau1[[#This Row],[Date]]-A362)</f>
        <v>0.99930555555329192</v>
      </c>
      <c r="E363" s="76">
        <f>Tableau1[[#This Row],[Date]]-$A$5</f>
        <v>601.63749999999709</v>
      </c>
      <c r="F363" s="77">
        <f>Tableau1[[#This Row],[Date]]-$A$5</f>
        <v>601.63749999999709</v>
      </c>
      <c r="G363" s="77">
        <f>Tableau1[[#This Row],[Diff jour_x000D_
Cumul]]-F$6</f>
        <v>563.55416666666861</v>
      </c>
      <c r="H363" s="77">
        <f>Tableau1[[#This Row],[Diff jour_x000D_
Cumul]]-F$59</f>
        <v>541.03472222221899</v>
      </c>
      <c r="I363" s="78">
        <v>193591</v>
      </c>
      <c r="J363" s="79">
        <f>IF(ISERROR(Tableau1[[#This Row],[Index HP
kWh]]-I362),"",Tableau1[[#This Row],[Index HP
kWh]]-I362)</f>
        <v>8</v>
      </c>
      <c r="K363" s="77">
        <f>IF(ISERROR(Tableau1[[#This Row],[Différence HP
Instantané]]/(Tableau1[[#This Row],[Diff jour
Instantané]]*24)),"",Tableau1[[#This Row],[Différence HP
Instantané]]/(Tableau1[[#This Row],[Diff jour
Instantané]]*24))</f>
        <v>0.33356497567830945</v>
      </c>
      <c r="L363" s="77">
        <f>Tableau1[[#This Row],[Différence HP
Instantané]]/Tableau1[[#This Row],[Diff jour
Instantané]]</f>
        <v>8.0055594162794268</v>
      </c>
      <c r="M363" s="77">
        <f>Tableau1[[#This Row],[Conso HP / jour
Instantané]]*365</f>
        <v>2922.0291869419907</v>
      </c>
      <c r="N363" s="79">
        <f>Tableau1[[#This Row],[Index HP
kWh]]-$I$5</f>
        <v>13832</v>
      </c>
      <c r="O363" s="80">
        <f>Tableau1[[#This Row],[Différence HP
Cumul]]/(Tableau1[[#This Row],[Diff jour_x000D_
Cumul]]*24)</f>
        <v>0.95794117443366833</v>
      </c>
      <c r="P363" s="80">
        <f>Tableau1[[#This Row],[Différence HP
Cumul]]/Tableau1[[#This Row],[Diff jour_x000D_
Cumul]]</f>
        <v>22.99058818640804</v>
      </c>
      <c r="Q363" s="80">
        <f>Tableau1[[#This Row],[Conso HP / jour
Cumul]]*365</f>
        <v>8391.564688038934</v>
      </c>
      <c r="R363" s="78">
        <v>125368</v>
      </c>
      <c r="S363" s="79">
        <f>Tableau1[[#This Row],[Index HC_x000D_
kWh]]-R362</f>
        <v>3</v>
      </c>
      <c r="T363" s="81">
        <f>Tableau1[[#This Row],[Différence_x000D_ HC
Instantané]]/(Tableau1[[#This Row],[Diff jour
Instantané]]*24)</f>
        <v>0.12508686587936604</v>
      </c>
      <c r="U363" s="81">
        <f>Tableau1[[#This Row],[Différence_x000D_ HC
Instantané]]/Tableau1[[#This Row],[Diff jour
Instantané]]</f>
        <v>3.0020847811047848</v>
      </c>
      <c r="V363" s="81">
        <f>Tableau1[[#This Row],[Conso HC / jour_x000D_
Instantané]]*365</f>
        <v>1095.7609451032465</v>
      </c>
      <c r="W363" s="79">
        <f>Tableau1[[#This Row],[Index HC_x000D_
kWh]]-$R$5</f>
        <v>5936</v>
      </c>
      <c r="X363" s="82">
        <f>Tableau1[[#This Row],[Différence HC
Cumul]]/(Tableau1[[#This Row],[Diff jour_x000D_
Cumul]]*24)</f>
        <v>0.41110026109299125</v>
      </c>
      <c r="Y363" s="82">
        <f>Tableau1[[#This Row],[Différence HC
Cumul]]/Tableau1[[#This Row],[Diff jour_x000D_
Cumul]]</f>
        <v>9.86640626623179</v>
      </c>
      <c r="Z363" s="82">
        <f>Tableau1[[#This Row],[Conso HC / jour_x000D_
Cumul]]*365</f>
        <v>3601.2382871746036</v>
      </c>
      <c r="AA363" s="79">
        <f>Tableau1[[#This Row],[Différence HP
Instantané]]+Tableau1[[#This Row],[Différence_x000D_ HC
Instantané]]</f>
        <v>11</v>
      </c>
      <c r="AB363" s="80">
        <f>Tableau1[[#This Row],[Conso HP + HC
Instantané]]/(Tableau1[[#This Row],[Diff jour
Instantané]]*24)</f>
        <v>0.45865184155767547</v>
      </c>
      <c r="AC363" s="80">
        <f>IF(ISERROR(Tableau1[[#This Row],[Date]]-A362),"",Tableau1[[#This Row],[Conso HP + HC
Instantané]]/Tableau1[[#This Row],[Diff jour
Instantané]])</f>
        <v>11.007644197384211</v>
      </c>
      <c r="AD363" s="80">
        <f>Tableau1[[#This Row],[Conso HP + HC / jour_x000D_
Instantané]]*365</f>
        <v>4017.790132045237</v>
      </c>
      <c r="AE363" s="79">
        <f>Tableau1[[#This Row],[Différence HP
Cumul]]+Tableau1[[#This Row],[Différence HC
Cumul]]</f>
        <v>19768</v>
      </c>
      <c r="AF363" s="77">
        <f>(Tableau1[[#This Row],[Conso HP + HC
Cumul]]-AE$6)/Tableau1[[#This Row],[Diff jour_x000D_
Cumul
depuis le 24/01]]</f>
        <v>30.515256593199307</v>
      </c>
      <c r="AG363" s="77">
        <f>(Tableau1[[#This Row],[Conso HP + HC
Cumul]]-AE$59)/Tableau1[[#This Row],[Diff jour_x000D_
Cumul
depuis
précédente facture
16/02/2021]]</f>
        <v>28.817004453914354</v>
      </c>
      <c r="AH363" s="80">
        <f>Tableau1[[#This Row],[Conso HP + HC
Cumul]]/(Tableau1[[#This Row],[Diff jour_x000D_
Cumul]]*24)</f>
        <v>1.3690414355266596</v>
      </c>
      <c r="AI363" s="80">
        <f>Tableau1[[#This Row],[Conso HP + HC
Cumul]]/Tableau1[[#This Row],[Diff jour_x000D_
Cumul]]</f>
        <v>32.856994452639832</v>
      </c>
      <c r="AJ363" s="80">
        <f>Tableau1[[#This Row],[Conso HP + HC / jour_x000D_
Cumul]]*365</f>
        <v>11992.802975213539</v>
      </c>
      <c r="AK363" s="83">
        <f>(Tableau1[[#This Row],[Différence HP
Cumul]]*0.1799)+(Tableau1[[#This Row],[Différence HC
Cumul]]*0.1346)</f>
        <v>3287.3624</v>
      </c>
      <c r="AL363" s="83">
        <f>Tableau1[[#This Row],[Montant
Tarif HP/HC]]/Tableau1[[#This Row],[Diff jour_x000D_
Cumul]]</f>
        <v>5.4640250981696052</v>
      </c>
      <c r="AM363" s="83">
        <f>(Tableau1[[#This Row],[Montant
Tarif HP/HC]]-AK$6)/Tableau1[[#This Row],[Diff jour_x000D_
Cumul
depuis le 24/01]]</f>
        <v>5.0801448544579246</v>
      </c>
      <c r="AN363" s="83">
        <f>(Tableau1[[#This Row],[Montant
Tarif HP/HC]]-AK$59)/Tableau1[[#This Row],[Diff jour_x000D_
Cumul
depuis
précédente facture
16/02/2021]]</f>
        <v>4.7971024656971881</v>
      </c>
      <c r="AO363" s="83">
        <f>Tableau1[[#This Row],[Conso HP + HC
Cumul]]*0.1599</f>
        <v>3160.9031999999997</v>
      </c>
      <c r="AP363" s="83">
        <f>Tableau1[[#This Row],[Montant
Tarif normal]]/Tableau1[[#This Row],[Diff jour_x000D_
Cumul]]</f>
        <v>5.2538334129771087</v>
      </c>
      <c r="AQ363" s="83">
        <f>(Tableau1[[#This Row],[Conso HP / an
Cumul]]*0.1799)+(Tableau1[[#This Row],[Conso HC / an_x000D_
Cumul]]*0.1346)</f>
        <v>1994.3691608319059</v>
      </c>
      <c r="AR363" s="83">
        <f>Tableau1[[#This Row],[Conso HP + HC / an_x000D_
Cumul]]*0.1599</f>
        <v>1917.6491957366447</v>
      </c>
      <c r="AS363" s="79">
        <f>MONTH(Tableau1[[#This Row],[Date]])</f>
        <v>8</v>
      </c>
      <c r="AT363" s="79">
        <f>YEAR(Tableau1[[#This Row],[Date]])</f>
        <v>2022</v>
      </c>
    </row>
    <row r="364" spans="1:46" x14ac:dyDescent="0.2">
      <c r="A364" s="74">
        <v>44785.351388888892</v>
      </c>
      <c r="B364" s="75"/>
      <c r="C364" s="76">
        <f>IF(ISERROR(Tableau1[[#This Row],[Date]]-A363),"",Tableau1[[#This Row],[Date]]-A363)</f>
        <v>1.0055555555591127</v>
      </c>
      <c r="D364" s="77">
        <f>IF(ISERROR(Tableau1[[#This Row],[Date]]-A363),"",Tableau1[[#This Row],[Date]]-A363)</f>
        <v>1.0055555555591127</v>
      </c>
      <c r="E364" s="76">
        <f>Tableau1[[#This Row],[Date]]-$A$5</f>
        <v>602.6430555555562</v>
      </c>
      <c r="F364" s="77">
        <f>Tableau1[[#This Row],[Date]]-$A$5</f>
        <v>602.6430555555562</v>
      </c>
      <c r="G364" s="77">
        <f>Tableau1[[#This Row],[Diff jour_x000D_
Cumul]]-F$6</f>
        <v>564.55972222222772</v>
      </c>
      <c r="H364" s="77">
        <f>Tableau1[[#This Row],[Diff jour_x000D_
Cumul]]-F$59</f>
        <v>542.0402777777781</v>
      </c>
      <c r="I364" s="78">
        <v>193597</v>
      </c>
      <c r="J364" s="79">
        <f>IF(ISERROR(Tableau1[[#This Row],[Index HP
kWh]]-I363),"",Tableau1[[#This Row],[Index HP
kWh]]-I363)</f>
        <v>6</v>
      </c>
      <c r="K364" s="77">
        <f>IF(ISERROR(Tableau1[[#This Row],[Différence HP
Instantané]]/(Tableau1[[#This Row],[Diff jour
Instantané]]*24)),"",Tableau1[[#This Row],[Différence HP
Instantané]]/(Tableau1[[#This Row],[Diff jour
Instantané]]*24))</f>
        <v>0.24861878452950725</v>
      </c>
      <c r="L364" s="77">
        <f>Tableau1[[#This Row],[Différence HP
Instantané]]/Tableau1[[#This Row],[Diff jour
Instantané]]</f>
        <v>5.9668508287081741</v>
      </c>
      <c r="M364" s="77">
        <f>Tableau1[[#This Row],[Conso HP / jour
Instantané]]*365</f>
        <v>2177.9005524784834</v>
      </c>
      <c r="N364" s="79">
        <f>Tableau1[[#This Row],[Index HP
kWh]]-$I$5</f>
        <v>13838</v>
      </c>
      <c r="O364" s="80">
        <f>Tableau1[[#This Row],[Différence HP
Cumul]]/(Tableau1[[#This Row],[Diff jour_x000D_
Cumul]]*24)</f>
        <v>0.95675761633360346</v>
      </c>
      <c r="P364" s="80">
        <f>Tableau1[[#This Row],[Différence HP
Cumul]]/Tableau1[[#This Row],[Diff jour_x000D_
Cumul]]</f>
        <v>22.962182792006484</v>
      </c>
      <c r="Q364" s="80">
        <f>Tableau1[[#This Row],[Conso HP / jour
Cumul]]*365</f>
        <v>8381.1967190823671</v>
      </c>
      <c r="R364" s="78">
        <v>125371</v>
      </c>
      <c r="S364" s="79">
        <f>Tableau1[[#This Row],[Index HC_x000D_
kWh]]-R363</f>
        <v>3</v>
      </c>
      <c r="T364" s="81">
        <f>Tableau1[[#This Row],[Différence_x000D_ HC
Instantané]]/(Tableau1[[#This Row],[Diff jour
Instantané]]*24)</f>
        <v>0.12430939226475363</v>
      </c>
      <c r="U364" s="81">
        <f>Tableau1[[#This Row],[Différence_x000D_ HC
Instantané]]/Tableau1[[#This Row],[Diff jour
Instantané]]</f>
        <v>2.983425414354087</v>
      </c>
      <c r="V364" s="81">
        <f>Tableau1[[#This Row],[Conso HC / jour_x000D_
Instantané]]*365</f>
        <v>1088.9502762392417</v>
      </c>
      <c r="W364" s="79">
        <f>Tableau1[[#This Row],[Index HC_x000D_
kWh]]-$R$5</f>
        <v>5939</v>
      </c>
      <c r="X364" s="82">
        <f>Tableau1[[#This Row],[Différence HC
Cumul]]/(Tableau1[[#This Row],[Diff jour_x000D_
Cumul]]*24)</f>
        <v>0.41062172881957443</v>
      </c>
      <c r="Y364" s="82">
        <f>Tableau1[[#This Row],[Différence HC
Cumul]]/Tableau1[[#This Row],[Diff jour_x000D_
Cumul]]</f>
        <v>9.8549214916697867</v>
      </c>
      <c r="Z364" s="82">
        <f>Tableau1[[#This Row],[Conso HC / jour_x000D_
Cumul]]*365</f>
        <v>3597.046344459472</v>
      </c>
      <c r="AA364" s="79">
        <f>Tableau1[[#This Row],[Différence HP
Instantané]]+Tableau1[[#This Row],[Différence_x000D_ HC
Instantané]]</f>
        <v>9</v>
      </c>
      <c r="AB364" s="80">
        <f>Tableau1[[#This Row],[Conso HP + HC
Instantané]]/(Tableau1[[#This Row],[Diff jour
Instantané]]*24)</f>
        <v>0.37292817679426088</v>
      </c>
      <c r="AC364" s="80">
        <f>IF(ISERROR(Tableau1[[#This Row],[Date]]-A363),"",Tableau1[[#This Row],[Conso HP + HC
Instantané]]/Tableau1[[#This Row],[Diff jour
Instantané]])</f>
        <v>8.9502762430622607</v>
      </c>
      <c r="AD364" s="80">
        <f>Tableau1[[#This Row],[Conso HP + HC / jour_x000D_
Instantané]]*365</f>
        <v>3266.8508287177251</v>
      </c>
      <c r="AE364" s="79">
        <f>Tableau1[[#This Row],[Différence HP
Cumul]]+Tableau1[[#This Row],[Différence HC
Cumul]]</f>
        <v>19777</v>
      </c>
      <c r="AF364" s="77">
        <f>(Tableau1[[#This Row],[Conso HP + HC
Cumul]]-AE$6)/Tableau1[[#This Row],[Diff jour_x000D_
Cumul
depuis le 24/01]]</f>
        <v>30.476846510185862</v>
      </c>
      <c r="AG364" s="77">
        <f>(Tableau1[[#This Row],[Conso HP + HC
Cumul]]-AE$59)/Tableau1[[#This Row],[Diff jour_x000D_
Cumul
depuis
précédente facture
16/02/2021]]</f>
        <v>28.780149076662489</v>
      </c>
      <c r="AH364" s="80">
        <f>Tableau1[[#This Row],[Conso HP + HC
Cumul]]/(Tableau1[[#This Row],[Diff jour_x000D_
Cumul]]*24)</f>
        <v>1.3673793451531779</v>
      </c>
      <c r="AI364" s="80">
        <f>Tableau1[[#This Row],[Conso HP + HC
Cumul]]/Tableau1[[#This Row],[Diff jour_x000D_
Cumul]]</f>
        <v>32.817104283676272</v>
      </c>
      <c r="AJ364" s="80">
        <f>Tableau1[[#This Row],[Conso HP + HC / jour_x000D_
Cumul]]*365</f>
        <v>11978.243063541839</v>
      </c>
      <c r="AK364" s="83">
        <f>(Tableau1[[#This Row],[Différence HP
Cumul]]*0.1799)+(Tableau1[[#This Row],[Différence HC
Cumul]]*0.1346)</f>
        <v>3288.8456000000001</v>
      </c>
      <c r="AL364" s="83">
        <f>Tableau1[[#This Row],[Montant
Tarif HP/HC]]/Tableau1[[#This Row],[Diff jour_x000D_
Cumul]]</f>
        <v>5.4573691170607201</v>
      </c>
      <c r="AM364" s="83">
        <f>(Tableau1[[#This Row],[Montant
Tarif HP/HC]]-AK$6)/Tableau1[[#This Row],[Diff jour_x000D_
Cumul
depuis le 24/01]]</f>
        <v>5.0737236243581654</v>
      </c>
      <c r="AN364" s="83">
        <f>(Tableau1[[#This Row],[Montant
Tarif HP/HC]]-AK$59)/Tableau1[[#This Row],[Diff jour_x000D_
Cumul
depuis
précédente facture
16/02/2021]]</f>
        <v>4.7909395417007214</v>
      </c>
      <c r="AO364" s="83">
        <f>Tableau1[[#This Row],[Conso HP + HC
Cumul]]*0.1599</f>
        <v>3162.3422999999998</v>
      </c>
      <c r="AP364" s="83">
        <f>Tableau1[[#This Row],[Montant
Tarif normal]]/Tableau1[[#This Row],[Diff jour_x000D_
Cumul]]</f>
        <v>5.2474549749598349</v>
      </c>
      <c r="AQ364" s="83">
        <f>(Tableau1[[#This Row],[Conso HP / an
Cumul]]*0.1799)+(Tableau1[[#This Row],[Conso HC / an_x000D_
Cumul]]*0.1346)</f>
        <v>1991.9397277271628</v>
      </c>
      <c r="AR364" s="83">
        <f>Tableau1[[#This Row],[Conso HP + HC / an_x000D_
Cumul]]*0.1599</f>
        <v>1915.3210658603398</v>
      </c>
      <c r="AS364" s="79">
        <f>MONTH(Tableau1[[#This Row],[Date]])</f>
        <v>8</v>
      </c>
      <c r="AT364" s="79">
        <f>YEAR(Tableau1[[#This Row],[Date]])</f>
        <v>2022</v>
      </c>
    </row>
    <row r="365" spans="1:46" x14ac:dyDescent="0.2">
      <c r="A365" s="74">
        <v>44786.336111111108</v>
      </c>
      <c r="B365" s="75"/>
      <c r="C365" s="76">
        <f>IF(ISERROR(Tableau1[[#This Row],[Date]]-A364),"",Tableau1[[#This Row],[Date]]-A364)</f>
        <v>0.98472222221607808</v>
      </c>
      <c r="D365" s="77">
        <f>IF(ISERROR(Tableau1[[#This Row],[Date]]-A364),"",Tableau1[[#This Row],[Date]]-A364)</f>
        <v>0.98472222221607808</v>
      </c>
      <c r="E365" s="76">
        <f>Tableau1[[#This Row],[Date]]-$A$5</f>
        <v>603.62777777777228</v>
      </c>
      <c r="F365" s="77">
        <f>Tableau1[[#This Row],[Date]]-$A$5</f>
        <v>603.62777777777228</v>
      </c>
      <c r="G365" s="77">
        <f>Tableau1[[#This Row],[Diff jour_x000D_
Cumul]]-F$6</f>
        <v>565.5444444444438</v>
      </c>
      <c r="H365" s="77">
        <f>Tableau1[[#This Row],[Diff jour_x000D_
Cumul]]-F$59</f>
        <v>543.02499999999418</v>
      </c>
      <c r="I365" s="78">
        <v>193602</v>
      </c>
      <c r="J365" s="79">
        <f>IF(ISERROR(Tableau1[[#This Row],[Index HP
kWh]]-I364),"",Tableau1[[#This Row],[Index HP
kWh]]-I364)</f>
        <v>5</v>
      </c>
      <c r="K365" s="77">
        <f>IF(ISERROR(Tableau1[[#This Row],[Différence HP
Instantané]]/(Tableau1[[#This Row],[Diff jour
Instantané]]*24)),"",Tableau1[[#This Row],[Différence HP
Instantané]]/(Tableau1[[#This Row],[Diff jour
Instantané]]*24))</f>
        <v>0.21156558533277281</v>
      </c>
      <c r="L365" s="77">
        <f>Tableau1[[#This Row],[Différence HP
Instantané]]/Tableau1[[#This Row],[Diff jour
Instantané]]</f>
        <v>5.0775740479865474</v>
      </c>
      <c r="M365" s="77">
        <f>Tableau1[[#This Row],[Conso HP / jour
Instantané]]*365</f>
        <v>1853.3145275150898</v>
      </c>
      <c r="N365" s="79">
        <f>Tableau1[[#This Row],[Index HP
kWh]]-$I$5</f>
        <v>13843</v>
      </c>
      <c r="O365" s="80">
        <f>Tableau1[[#This Row],[Différence HP
Cumul]]/(Tableau1[[#This Row],[Diff jour_x000D_
Cumul]]*24)</f>
        <v>0.9555419546630185</v>
      </c>
      <c r="P365" s="80">
        <f>Tableau1[[#This Row],[Différence HP
Cumul]]/Tableau1[[#This Row],[Diff jour_x000D_
Cumul]]</f>
        <v>22.933006911912443</v>
      </c>
      <c r="Q365" s="80">
        <f>Tableau1[[#This Row],[Conso HP / jour
Cumul]]*365</f>
        <v>8370.5475228480409</v>
      </c>
      <c r="R365" s="78">
        <v>125374</v>
      </c>
      <c r="S365" s="79">
        <f>Tableau1[[#This Row],[Index HC_x000D_
kWh]]-R364</f>
        <v>3</v>
      </c>
      <c r="T365" s="81">
        <f>Tableau1[[#This Row],[Différence_x000D_ HC
Instantané]]/(Tableau1[[#This Row],[Diff jour
Instantané]]*24)</f>
        <v>0.12693935119966368</v>
      </c>
      <c r="U365" s="81">
        <f>Tableau1[[#This Row],[Différence_x000D_ HC
Instantané]]/Tableau1[[#This Row],[Diff jour
Instantané]]</f>
        <v>3.0465444287919285</v>
      </c>
      <c r="V365" s="81">
        <f>Tableau1[[#This Row],[Conso HC / jour_x000D_
Instantané]]*365</f>
        <v>1111.988716509054</v>
      </c>
      <c r="W365" s="79">
        <f>Tableau1[[#This Row],[Index HC_x000D_
kWh]]-$R$5</f>
        <v>5942</v>
      </c>
      <c r="X365" s="82">
        <f>Tableau1[[#This Row],[Différence HC
Cumul]]/(Tableau1[[#This Row],[Diff jour_x000D_
Cumul]]*24)</f>
        <v>0.41015894637055955</v>
      </c>
      <c r="Y365" s="82">
        <f>Tableau1[[#This Row],[Différence HC
Cumul]]/Tableau1[[#This Row],[Diff jour_x000D_
Cumul]]</f>
        <v>9.8438147128934297</v>
      </c>
      <c r="Z365" s="82">
        <f>Tableau1[[#This Row],[Conso HC / jour_x000D_
Cumul]]*365</f>
        <v>3592.9923702061019</v>
      </c>
      <c r="AA365" s="79">
        <f>Tableau1[[#This Row],[Différence HP
Instantané]]+Tableau1[[#This Row],[Différence_x000D_ HC
Instantané]]</f>
        <v>8</v>
      </c>
      <c r="AB365" s="80">
        <f>Tableau1[[#This Row],[Conso HP + HC
Instantané]]/(Tableau1[[#This Row],[Diff jour
Instantané]]*24)</f>
        <v>0.33850493653243652</v>
      </c>
      <c r="AC365" s="80">
        <f>IF(ISERROR(Tableau1[[#This Row],[Date]]-A364),"",Tableau1[[#This Row],[Conso HP + HC
Instantané]]/Tableau1[[#This Row],[Diff jour
Instantané]])</f>
        <v>8.1241184767784755</v>
      </c>
      <c r="AD365" s="80">
        <f>Tableau1[[#This Row],[Conso HP + HC / jour_x000D_
Instantané]]*365</f>
        <v>2965.3032440241436</v>
      </c>
      <c r="AE365" s="79">
        <f>Tableau1[[#This Row],[Différence HP
Cumul]]+Tableau1[[#This Row],[Différence HC
Cumul]]</f>
        <v>19785</v>
      </c>
      <c r="AF365" s="77">
        <f>(Tableau1[[#This Row],[Conso HP + HC
Cumul]]-AE$6)/Tableau1[[#This Row],[Diff jour_x000D_
Cumul
depuis le 24/01]]</f>
        <v>30.43792608892123</v>
      </c>
      <c r="AG365" s="77">
        <f>(Tableau1[[#This Row],[Conso HP + HC
Cumul]]-AE$59)/Tableau1[[#This Row],[Diff jour_x000D_
Cumul
depuis
précédente facture
16/02/2021]]</f>
        <v>28.742691404631771</v>
      </c>
      <c r="AH365" s="80">
        <f>Tableau1[[#This Row],[Conso HP + HC
Cumul]]/(Tableau1[[#This Row],[Diff jour_x000D_
Cumul]]*24)</f>
        <v>1.3657009010335781</v>
      </c>
      <c r="AI365" s="80">
        <f>Tableau1[[#This Row],[Conso HP + HC
Cumul]]/Tableau1[[#This Row],[Diff jour_x000D_
Cumul]]</f>
        <v>32.776821624805869</v>
      </c>
      <c r="AJ365" s="80">
        <f>Tableau1[[#This Row],[Conso HP + HC / jour_x000D_
Cumul]]*365</f>
        <v>11963.539893054141</v>
      </c>
      <c r="AK365" s="83">
        <f>(Tableau1[[#This Row],[Différence HP
Cumul]]*0.1799)+(Tableau1[[#This Row],[Différence HC
Cumul]]*0.1346)</f>
        <v>3290.1489000000001</v>
      </c>
      <c r="AL365" s="83">
        <f>Tableau1[[#This Row],[Montant
Tarif HP/HC]]/Tableau1[[#This Row],[Diff jour_x000D_
Cumul]]</f>
        <v>5.4506254038085045</v>
      </c>
      <c r="AM365" s="83">
        <f>(Tableau1[[#This Row],[Montant
Tarif HP/HC]]-AK$6)/Tableau1[[#This Row],[Diff jour_x000D_
Cumul
depuis le 24/01]]</f>
        <v>5.0671937955559105</v>
      </c>
      <c r="AN365" s="83">
        <f>(Tableau1[[#This Row],[Montant
Tarif HP/HC]]-AK$59)/Tableau1[[#This Row],[Diff jour_x000D_
Cumul
depuis
précédente facture
16/02/2021]]</f>
        <v>4.7846517195341427</v>
      </c>
      <c r="AO365" s="83">
        <f>Tableau1[[#This Row],[Conso HP + HC
Cumul]]*0.1599</f>
        <v>3163.6214999999997</v>
      </c>
      <c r="AP365" s="83">
        <f>Tableau1[[#This Row],[Montant
Tarif normal]]/Tableau1[[#This Row],[Diff jour_x000D_
Cumul]]</f>
        <v>5.2410137778064589</v>
      </c>
      <c r="AQ365" s="83">
        <f>(Tableau1[[#This Row],[Conso HP / an
Cumul]]*0.1799)+(Tableau1[[#This Row],[Conso HC / an_x000D_
Cumul]]*0.1346)</f>
        <v>1989.4782723901039</v>
      </c>
      <c r="AR365" s="83">
        <f>Tableau1[[#This Row],[Conso HP + HC / an_x000D_
Cumul]]*0.1599</f>
        <v>1912.970028899357</v>
      </c>
      <c r="AS365" s="79">
        <f>MONTH(Tableau1[[#This Row],[Date]])</f>
        <v>8</v>
      </c>
      <c r="AT365" s="79">
        <f>YEAR(Tableau1[[#This Row],[Date]])</f>
        <v>2022</v>
      </c>
    </row>
    <row r="366" spans="1:46" x14ac:dyDescent="0.2">
      <c r="A366" s="74">
        <v>44789.318055555559</v>
      </c>
      <c r="B366" s="75"/>
      <c r="C366" s="76">
        <f>IF(ISERROR(Tableau1[[#This Row],[Date]]-A365),"",Tableau1[[#This Row],[Date]]-A365)</f>
        <v>2.9819444444510737</v>
      </c>
      <c r="D366" s="77">
        <f>IF(ISERROR(Tableau1[[#This Row],[Date]]-A365),"",Tableau1[[#This Row],[Date]]-A365)</f>
        <v>2.9819444444510737</v>
      </c>
      <c r="E366" s="76">
        <f>Tableau1[[#This Row],[Date]]-$A$5</f>
        <v>606.60972222222335</v>
      </c>
      <c r="F366" s="77">
        <f>Tableau1[[#This Row],[Date]]-$A$5</f>
        <v>606.60972222222335</v>
      </c>
      <c r="G366" s="77">
        <f>Tableau1[[#This Row],[Diff jour_x000D_
Cumul]]-F$6</f>
        <v>568.52638888889487</v>
      </c>
      <c r="H366" s="77">
        <f>Tableau1[[#This Row],[Diff jour_x000D_
Cumul]]-F$59</f>
        <v>546.00694444444525</v>
      </c>
      <c r="I366" s="78">
        <v>193619</v>
      </c>
      <c r="J366" s="79">
        <f>IF(ISERROR(Tableau1[[#This Row],[Index HP
kWh]]-I365),"",Tableau1[[#This Row],[Index HP
kWh]]-I365)</f>
        <v>17</v>
      </c>
      <c r="K366" s="77">
        <f>IF(ISERROR(Tableau1[[#This Row],[Différence HP
Instantané]]/(Tableau1[[#This Row],[Diff jour
Instantané]]*24)),"",Tableau1[[#This Row],[Différence HP
Instantané]]/(Tableau1[[#This Row],[Diff jour
Instantané]]*24))</f>
        <v>0.23754075454069223</v>
      </c>
      <c r="L366" s="77">
        <f>Tableau1[[#This Row],[Différence HP
Instantané]]/Tableau1[[#This Row],[Diff jour
Instantané]]</f>
        <v>5.7009781089766136</v>
      </c>
      <c r="M366" s="77">
        <f>Tableau1[[#This Row],[Conso HP / jour
Instantané]]*365</f>
        <v>2080.8570097764641</v>
      </c>
      <c r="N366" s="79">
        <f>Tableau1[[#This Row],[Index HP
kWh]]-$I$5</f>
        <v>13860</v>
      </c>
      <c r="O366" s="80">
        <f>Tableau1[[#This Row],[Différence HP
Cumul]]/(Tableau1[[#This Row],[Diff jour_x000D_
Cumul]]*24)</f>
        <v>0.95201243706483263</v>
      </c>
      <c r="P366" s="80">
        <f>Tableau1[[#This Row],[Différence HP
Cumul]]/Tableau1[[#This Row],[Diff jour_x000D_
Cumul]]</f>
        <v>22.848298489555983</v>
      </c>
      <c r="Q366" s="80">
        <f>Tableau1[[#This Row],[Conso HP / jour
Cumul]]*365</f>
        <v>8339.6289486879341</v>
      </c>
      <c r="R366" s="78">
        <v>125382</v>
      </c>
      <c r="S366" s="79">
        <f>Tableau1[[#This Row],[Index HC_x000D_
kWh]]-R365</f>
        <v>8</v>
      </c>
      <c r="T366" s="81">
        <f>Tableau1[[#This Row],[Différence_x000D_ HC
Instantané]]/(Tableau1[[#This Row],[Diff jour
Instantané]]*24)</f>
        <v>0.11178388448973751</v>
      </c>
      <c r="U366" s="81">
        <f>Tableau1[[#This Row],[Différence_x000D_ HC
Instantané]]/Tableau1[[#This Row],[Diff jour
Instantané]]</f>
        <v>2.6828132277537002</v>
      </c>
      <c r="V366" s="81">
        <f>Tableau1[[#This Row],[Conso HC / jour_x000D_
Instantané]]*365</f>
        <v>979.22682813010056</v>
      </c>
      <c r="W366" s="79">
        <f>Tableau1[[#This Row],[Index HC_x000D_
kWh]]-$R$5</f>
        <v>5950</v>
      </c>
      <c r="X366" s="82">
        <f>Tableau1[[#This Row],[Différence HC
Cumul]]/(Tableau1[[#This Row],[Diff jour_x000D_
Cumul]]*24)</f>
        <v>0.40869220783086246</v>
      </c>
      <c r="Y366" s="82">
        <f>Tableau1[[#This Row],[Différence HC
Cumul]]/Tableau1[[#This Row],[Diff jour_x000D_
Cumul]]</f>
        <v>9.8086129879407</v>
      </c>
      <c r="Z366" s="82">
        <f>Tableau1[[#This Row],[Conso HC / jour_x000D_
Cumul]]*365</f>
        <v>3580.1437405983556</v>
      </c>
      <c r="AA366" s="79">
        <f>Tableau1[[#This Row],[Différence HP
Instantané]]+Tableau1[[#This Row],[Différence_x000D_ HC
Instantané]]</f>
        <v>25</v>
      </c>
      <c r="AB366" s="80">
        <f>Tableau1[[#This Row],[Conso HP + HC
Instantané]]/(Tableau1[[#This Row],[Diff jour
Instantané]]*24)</f>
        <v>0.34932463903042976</v>
      </c>
      <c r="AC366" s="80">
        <f>IF(ISERROR(Tableau1[[#This Row],[Date]]-A365),"",Tableau1[[#This Row],[Conso HP + HC
Instantané]]/Tableau1[[#This Row],[Diff jour
Instantané]])</f>
        <v>8.3837913367303134</v>
      </c>
      <c r="AD366" s="80">
        <f>Tableau1[[#This Row],[Conso HP + HC / jour_x000D_
Instantané]]*365</f>
        <v>3060.0838379065644</v>
      </c>
      <c r="AE366" s="79">
        <f>Tableau1[[#This Row],[Différence HP
Cumul]]+Tableau1[[#This Row],[Différence HC
Cumul]]</f>
        <v>19810</v>
      </c>
      <c r="AF366" s="77">
        <f>(Tableau1[[#This Row],[Conso HP + HC
Cumul]]-AE$6)/Tableau1[[#This Row],[Diff jour_x000D_
Cumul
depuis le 24/01]]</f>
        <v>30.322251239192624</v>
      </c>
      <c r="AG366" s="77">
        <f>(Tableau1[[#This Row],[Conso HP + HC
Cumul]]-AE$59)/Tableau1[[#This Row],[Diff jour_x000D_
Cumul
depuis
précédente facture
16/02/2021]]</f>
        <v>28.631503974562754</v>
      </c>
      <c r="AH366" s="80">
        <f>Tableau1[[#This Row],[Conso HP + HC
Cumul]]/(Tableau1[[#This Row],[Diff jour_x000D_
Cumul]]*24)</f>
        <v>1.360704644895695</v>
      </c>
      <c r="AI366" s="80">
        <f>Tableau1[[#This Row],[Conso HP + HC
Cumul]]/Tableau1[[#This Row],[Diff jour_x000D_
Cumul]]</f>
        <v>32.656911477496685</v>
      </c>
      <c r="AJ366" s="80">
        <f>Tableau1[[#This Row],[Conso HP + HC / jour_x000D_
Cumul]]*365</f>
        <v>11919.77268928629</v>
      </c>
      <c r="AK366" s="83">
        <f>(Tableau1[[#This Row],[Différence HP
Cumul]]*0.1799)+(Tableau1[[#This Row],[Différence HC
Cumul]]*0.1346)</f>
        <v>3294.2840000000001</v>
      </c>
      <c r="AL366" s="83">
        <f>Tableau1[[#This Row],[Montant
Tarif HP/HC]]/Tableau1[[#This Row],[Diff jour_x000D_
Cumul]]</f>
        <v>5.4306482064479393</v>
      </c>
      <c r="AM366" s="83">
        <f>(Tableau1[[#This Row],[Montant
Tarif HP/HC]]-AK$6)/Tableau1[[#This Row],[Diff jour_x000D_
Cumul
depuis le 24/01]]</f>
        <v>5.04788951944471</v>
      </c>
      <c r="AN366" s="83">
        <f>(Tableau1[[#This Row],[Montant
Tarif HP/HC]]-AK$59)/Tableau1[[#This Row],[Diff jour_x000D_
Cumul
depuis
précédente facture
16/02/2021]]</f>
        <v>4.7660943262321078</v>
      </c>
      <c r="AO366" s="83">
        <f>Tableau1[[#This Row],[Conso HP + HC
Cumul]]*0.1599</f>
        <v>3167.6189999999997</v>
      </c>
      <c r="AP366" s="83">
        <f>Tableau1[[#This Row],[Montant
Tarif normal]]/Tableau1[[#This Row],[Diff jour_x000D_
Cumul]]</f>
        <v>5.2218401452517194</v>
      </c>
      <c r="AQ366" s="83">
        <f>(Tableau1[[#This Row],[Conso HP / an
Cumul]]*0.1799)+(Tableau1[[#This Row],[Conso HC / an_x000D_
Cumul]]*0.1346)</f>
        <v>1982.186595353498</v>
      </c>
      <c r="AR366" s="83">
        <f>Tableau1[[#This Row],[Conso HP + HC / an_x000D_
Cumul]]*0.1599</f>
        <v>1905.9716530168776</v>
      </c>
      <c r="AS366" s="79">
        <f>MONTH(Tableau1[[#This Row],[Date]])</f>
        <v>8</v>
      </c>
      <c r="AT366" s="79">
        <f>YEAR(Tableau1[[#This Row],[Date]])</f>
        <v>2022</v>
      </c>
    </row>
    <row r="367" spans="1:46" x14ac:dyDescent="0.2">
      <c r="A367" s="74">
        <v>44790.356944444444</v>
      </c>
      <c r="B367" s="75"/>
      <c r="C367" s="76">
        <f>IF(ISERROR(Tableau1[[#This Row],[Date]]-A366),"",Tableau1[[#This Row],[Date]]-A366)</f>
        <v>1.038888888884685</v>
      </c>
      <c r="D367" s="77">
        <f>IF(ISERROR(Tableau1[[#This Row],[Date]]-A366),"",Tableau1[[#This Row],[Date]]-A366)</f>
        <v>1.038888888884685</v>
      </c>
      <c r="E367" s="76">
        <f>Tableau1[[#This Row],[Date]]-$A$5</f>
        <v>607.64861111110804</v>
      </c>
      <c r="F367" s="77">
        <f>Tableau1[[#This Row],[Date]]-$A$5</f>
        <v>607.64861111110804</v>
      </c>
      <c r="G367" s="77">
        <f>Tableau1[[#This Row],[Diff jour_x000D_
Cumul]]-F$6</f>
        <v>569.56527777777956</v>
      </c>
      <c r="H367" s="77">
        <f>Tableau1[[#This Row],[Diff jour_x000D_
Cumul]]-F$59</f>
        <v>547.04583333332994</v>
      </c>
      <c r="I367" s="78">
        <v>193626</v>
      </c>
      <c r="J367" s="79">
        <f>IF(ISERROR(Tableau1[[#This Row],[Index HP
kWh]]-I366),"",Tableau1[[#This Row],[Index HP
kWh]]-I366)</f>
        <v>7</v>
      </c>
      <c r="K367" s="77">
        <f>IF(ISERROR(Tableau1[[#This Row],[Différence HP
Instantané]]/(Tableau1[[#This Row],[Diff jour
Instantané]]*24)),"",Tableau1[[#This Row],[Différence HP
Instantané]]/(Tableau1[[#This Row],[Diff jour
Instantané]]*24))</f>
        <v>0.28074866310274033</v>
      </c>
      <c r="L367" s="77">
        <f>Tableau1[[#This Row],[Différence HP
Instantané]]/Tableau1[[#This Row],[Diff jour
Instantané]]</f>
        <v>6.7379679144657683</v>
      </c>
      <c r="M367" s="77">
        <f>Tableau1[[#This Row],[Conso HP / jour
Instantané]]*365</f>
        <v>2459.3582887800053</v>
      </c>
      <c r="N367" s="79">
        <f>Tableau1[[#This Row],[Index HP
kWh]]-$I$5</f>
        <v>13867</v>
      </c>
      <c r="O367" s="80">
        <f>Tableau1[[#This Row],[Différence HP
Cumul]]/(Tableau1[[#This Row],[Diff jour_x000D_
Cumul]]*24)</f>
        <v>0.95086478616342618</v>
      </c>
      <c r="P367" s="80">
        <f>Tableau1[[#This Row],[Différence HP
Cumul]]/Tableau1[[#This Row],[Diff jour_x000D_
Cumul]]</f>
        <v>22.820754867922229</v>
      </c>
      <c r="Q367" s="80">
        <f>Tableau1[[#This Row],[Conso HP / jour
Cumul]]*365</f>
        <v>8329.5755267916138</v>
      </c>
      <c r="R367" s="78">
        <v>125384</v>
      </c>
      <c r="S367" s="79">
        <f>Tableau1[[#This Row],[Index HC_x000D_
kWh]]-R366</f>
        <v>2</v>
      </c>
      <c r="T367" s="81">
        <f>Tableau1[[#This Row],[Différence_x000D_ HC
Instantané]]/(Tableau1[[#This Row],[Diff jour
Instantané]]*24)</f>
        <v>8.0213903743640097E-2</v>
      </c>
      <c r="U367" s="81">
        <f>Tableau1[[#This Row],[Différence_x000D_ HC
Instantané]]/Tableau1[[#This Row],[Diff jour
Instantané]]</f>
        <v>1.9251336898473623</v>
      </c>
      <c r="V367" s="81">
        <f>Tableau1[[#This Row],[Conso HC / jour_x000D_
Instantané]]*365</f>
        <v>702.67379679428723</v>
      </c>
      <c r="W367" s="79">
        <f>Tableau1[[#This Row],[Index HC_x000D_
kWh]]-$R$5</f>
        <v>5952</v>
      </c>
      <c r="X367" s="82">
        <f>Tableau1[[#This Row],[Différence HC
Cumul]]/(Tableau1[[#This Row],[Diff jour_x000D_
Cumul]]*24)</f>
        <v>0.40813061276734064</v>
      </c>
      <c r="Y367" s="82">
        <f>Tableau1[[#This Row],[Différence HC
Cumul]]/Tableau1[[#This Row],[Diff jour_x000D_
Cumul]]</f>
        <v>9.7951347064161762</v>
      </c>
      <c r="Z367" s="82">
        <f>Tableau1[[#This Row],[Conso HC / jour_x000D_
Cumul]]*365</f>
        <v>3575.2241678419045</v>
      </c>
      <c r="AA367" s="79">
        <f>Tableau1[[#This Row],[Différence HP
Instantané]]+Tableau1[[#This Row],[Différence_x000D_ HC
Instantané]]</f>
        <v>9</v>
      </c>
      <c r="AB367" s="80">
        <f>Tableau1[[#This Row],[Conso HP + HC
Instantané]]/(Tableau1[[#This Row],[Diff jour
Instantané]]*24)</f>
        <v>0.36096256684638045</v>
      </c>
      <c r="AC367" s="80">
        <f>IF(ISERROR(Tableau1[[#This Row],[Date]]-A366),"",Tableau1[[#This Row],[Conso HP + HC
Instantané]]/Tableau1[[#This Row],[Diff jour
Instantané]])</f>
        <v>8.6631016043131304</v>
      </c>
      <c r="AD367" s="80">
        <f>Tableau1[[#This Row],[Conso HP + HC / jour_x000D_
Instantané]]*365</f>
        <v>3162.0320855742925</v>
      </c>
      <c r="AE367" s="79">
        <f>Tableau1[[#This Row],[Différence HP
Cumul]]+Tableau1[[#This Row],[Différence HC
Cumul]]</f>
        <v>19819</v>
      </c>
      <c r="AF367" s="77">
        <f>(Tableau1[[#This Row],[Conso HP + HC
Cumul]]-AE$6)/Tableau1[[#This Row],[Diff jour_x000D_
Cumul
depuis le 24/01]]</f>
        <v>30.282744880964188</v>
      </c>
      <c r="AG367" s="77">
        <f>(Tableau1[[#This Row],[Conso HP + HC
Cumul]]-AE$59)/Tableau1[[#This Row],[Diff jour_x000D_
Cumul
depuis
précédente facture
16/02/2021]]</f>
        <v>28.593582195276319</v>
      </c>
      <c r="AH367" s="80">
        <f>Tableau1[[#This Row],[Conso HP + HC
Cumul]]/(Tableau1[[#This Row],[Diff jour_x000D_
Cumul]]*24)</f>
        <v>1.3589953989307668</v>
      </c>
      <c r="AI367" s="80">
        <f>Tableau1[[#This Row],[Conso HP + HC
Cumul]]/Tableau1[[#This Row],[Diff jour_x000D_
Cumul]]</f>
        <v>32.615889574338404</v>
      </c>
      <c r="AJ367" s="80">
        <f>Tableau1[[#This Row],[Conso HP + HC / jour_x000D_
Cumul]]*365</f>
        <v>11904.799694633517</v>
      </c>
      <c r="AK367" s="83">
        <f>(Tableau1[[#This Row],[Différence HP
Cumul]]*0.1799)+(Tableau1[[#This Row],[Différence HC
Cumul]]*0.1346)</f>
        <v>3295.8125</v>
      </c>
      <c r="AL367" s="83">
        <f>Tableau1[[#This Row],[Montant
Tarif HP/HC]]/Tableau1[[#This Row],[Diff jour_x000D_
Cumul]]</f>
        <v>5.4238789322228262</v>
      </c>
      <c r="AM367" s="83">
        <f>(Tableau1[[#This Row],[Montant
Tarif HP/HC]]-AK$6)/Tableau1[[#This Row],[Diff jour_x000D_
Cumul
depuis le 24/01]]</f>
        <v>5.0413657784811354</v>
      </c>
      <c r="AN367" s="83">
        <f>(Tableau1[[#This Row],[Montant
Tarif HP/HC]]-AK$59)/Tableau1[[#This Row],[Diff jour_x000D_
Cumul
depuis
précédente facture
16/02/2021]]</f>
        <v>4.7598371860980864</v>
      </c>
      <c r="AO367" s="83">
        <f>Tableau1[[#This Row],[Conso HP + HC
Cumul]]*0.1599</f>
        <v>3169.0580999999997</v>
      </c>
      <c r="AP367" s="83">
        <f>Tableau1[[#This Row],[Montant
Tarif normal]]/Tableau1[[#This Row],[Diff jour_x000D_
Cumul]]</f>
        <v>5.2152807429367103</v>
      </c>
      <c r="AQ367" s="83">
        <f>(Tableau1[[#This Row],[Conso HP / an
Cumul]]*0.1799)+(Tableau1[[#This Row],[Conso HC / an_x000D_
Cumul]]*0.1346)</f>
        <v>1979.7158102613316</v>
      </c>
      <c r="AR367" s="83">
        <f>Tableau1[[#This Row],[Conso HP + HC / an_x000D_
Cumul]]*0.1599</f>
        <v>1903.5774711718991</v>
      </c>
      <c r="AS367" s="79">
        <f>MONTH(Tableau1[[#This Row],[Date]])</f>
        <v>8</v>
      </c>
      <c r="AT367" s="79">
        <f>YEAR(Tableau1[[#This Row],[Date]])</f>
        <v>2022</v>
      </c>
    </row>
    <row r="368" spans="1:46" x14ac:dyDescent="0.2">
      <c r="A368" s="74">
        <v>44791.316666666666</v>
      </c>
      <c r="B368" s="75"/>
      <c r="C368" s="76">
        <f>IF(ISERROR(Tableau1[[#This Row],[Date]]-A367),"",Tableau1[[#This Row],[Date]]-A367)</f>
        <v>0.95972222222189885</v>
      </c>
      <c r="D368" s="77">
        <f>IF(ISERROR(Tableau1[[#This Row],[Date]]-A367),"",Tableau1[[#This Row],[Date]]-A367)</f>
        <v>0.95972222222189885</v>
      </c>
      <c r="E368" s="76">
        <f>Tableau1[[#This Row],[Date]]-$A$5</f>
        <v>608.60833333332994</v>
      </c>
      <c r="F368" s="77">
        <f>Tableau1[[#This Row],[Date]]-$A$5</f>
        <v>608.60833333332994</v>
      </c>
      <c r="G368" s="77">
        <f>Tableau1[[#This Row],[Diff jour_x000D_
Cumul]]-F$6</f>
        <v>570.52500000000146</v>
      </c>
      <c r="H368" s="77">
        <f>Tableau1[[#This Row],[Diff jour_x000D_
Cumul]]-F$59</f>
        <v>548.00555555555184</v>
      </c>
      <c r="I368" s="78">
        <v>193635</v>
      </c>
      <c r="J368" s="79">
        <f>IF(ISERROR(Tableau1[[#This Row],[Index HP
kWh]]-I367),"",Tableau1[[#This Row],[Index HP
kWh]]-I367)</f>
        <v>9</v>
      </c>
      <c r="K368" s="77">
        <f>IF(ISERROR(Tableau1[[#This Row],[Différence HP
Instantané]]/(Tableau1[[#This Row],[Diff jour
Instantané]]*24)),"",Tableau1[[#This Row],[Différence HP
Instantané]]/(Tableau1[[#This Row],[Diff jour
Instantané]]*24))</f>
        <v>0.39073806078160778</v>
      </c>
      <c r="L368" s="77">
        <f>Tableau1[[#This Row],[Différence HP
Instantané]]/Tableau1[[#This Row],[Diff jour
Instantané]]</f>
        <v>9.3777134587585866</v>
      </c>
      <c r="M368" s="77">
        <f>Tableau1[[#This Row],[Conso HP / jour
Instantané]]*365</f>
        <v>3422.865412446884</v>
      </c>
      <c r="N368" s="79">
        <f>Tableau1[[#This Row],[Index HP
kWh]]-$I$5</f>
        <v>13876</v>
      </c>
      <c r="O368" s="80">
        <f>Tableau1[[#This Row],[Différence HP
Cumul]]/(Tableau1[[#This Row],[Diff jour_x000D_
Cumul]]*24)</f>
        <v>0.94998151520546037</v>
      </c>
      <c r="P368" s="80">
        <f>Tableau1[[#This Row],[Différence HP
Cumul]]/Tableau1[[#This Row],[Diff jour_x000D_
Cumul]]</f>
        <v>22.79955636493105</v>
      </c>
      <c r="Q368" s="80">
        <f>Tableau1[[#This Row],[Conso HP / jour
Cumul]]*365</f>
        <v>8321.8380731998332</v>
      </c>
      <c r="R368" s="78">
        <v>125387</v>
      </c>
      <c r="S368" s="79">
        <f>Tableau1[[#This Row],[Index HC_x000D_
kWh]]-R367</f>
        <v>3</v>
      </c>
      <c r="T368" s="81">
        <f>Tableau1[[#This Row],[Différence_x000D_ HC
Instantané]]/(Tableau1[[#This Row],[Diff jour
Instantané]]*24)</f>
        <v>0.13024602026053592</v>
      </c>
      <c r="U368" s="81">
        <f>Tableau1[[#This Row],[Différence_x000D_ HC
Instantané]]/Tableau1[[#This Row],[Diff jour
Instantané]]</f>
        <v>3.1259044862528622</v>
      </c>
      <c r="V368" s="81">
        <f>Tableau1[[#This Row],[Conso HC / jour_x000D_
Instantané]]*365</f>
        <v>1140.9551374822947</v>
      </c>
      <c r="W368" s="79">
        <f>Tableau1[[#This Row],[Index HC_x000D_
kWh]]-$R$5</f>
        <v>5955</v>
      </c>
      <c r="X368" s="82">
        <f>Tableau1[[#This Row],[Différence HC
Cumul]]/(Tableau1[[#This Row],[Diff jour_x000D_
Cumul]]*24)</f>
        <v>0.40769241301877462</v>
      </c>
      <c r="Y368" s="82">
        <f>Tableau1[[#This Row],[Différence HC
Cumul]]/Tableau1[[#This Row],[Diff jour_x000D_
Cumul]]</f>
        <v>9.7846179124505905</v>
      </c>
      <c r="Z368" s="82">
        <f>Tableau1[[#This Row],[Conso HC / jour_x000D_
Cumul]]*365</f>
        <v>3571.3855380444656</v>
      </c>
      <c r="AA368" s="79">
        <f>Tableau1[[#This Row],[Différence HP
Instantané]]+Tableau1[[#This Row],[Différence_x000D_ HC
Instantané]]</f>
        <v>12</v>
      </c>
      <c r="AB368" s="80">
        <f>Tableau1[[#This Row],[Conso HP + HC
Instantané]]/(Tableau1[[#This Row],[Diff jour
Instantané]]*24)</f>
        <v>0.52098408104214367</v>
      </c>
      <c r="AC368" s="80">
        <f>IF(ISERROR(Tableau1[[#This Row],[Date]]-A367),"",Tableau1[[#This Row],[Conso HP + HC
Instantané]]/Tableau1[[#This Row],[Diff jour
Instantané]])</f>
        <v>12.503617945011449</v>
      </c>
      <c r="AD368" s="80">
        <f>Tableau1[[#This Row],[Conso HP + HC / jour_x000D_
Instantané]]*365</f>
        <v>4563.8205499291789</v>
      </c>
      <c r="AE368" s="79">
        <f>Tableau1[[#This Row],[Différence HP
Cumul]]+Tableau1[[#This Row],[Différence HC
Cumul]]</f>
        <v>19831</v>
      </c>
      <c r="AF368" s="77">
        <f>(Tableau1[[#This Row],[Conso HP + HC
Cumul]]-AE$6)/Tableau1[[#This Row],[Diff jour_x000D_
Cumul
depuis le 24/01]]</f>
        <v>30.252837298978932</v>
      </c>
      <c r="AG368" s="77">
        <f>(Tableau1[[#This Row],[Conso HP + HC
Cumul]]-AE$59)/Tableau1[[#This Row],[Diff jour_x000D_
Cumul
depuis
précédente facture
16/02/2021]]</f>
        <v>28.565403838160798</v>
      </c>
      <c r="AH368" s="80">
        <f>Tableau1[[#This Row],[Conso HP + HC
Cumul]]/(Tableau1[[#This Row],[Diff jour_x000D_
Cumul]]*24)</f>
        <v>1.3576739282242349</v>
      </c>
      <c r="AI368" s="80">
        <f>Tableau1[[#This Row],[Conso HP + HC
Cumul]]/Tableau1[[#This Row],[Diff jour_x000D_
Cumul]]</f>
        <v>32.584174277381642</v>
      </c>
      <c r="AJ368" s="80">
        <f>Tableau1[[#This Row],[Conso HP + HC / jour_x000D_
Cumul]]*365</f>
        <v>11893.223611244299</v>
      </c>
      <c r="AK368" s="83">
        <f>(Tableau1[[#This Row],[Différence HP
Cumul]]*0.1799)+(Tableau1[[#This Row],[Différence HC
Cumul]]*0.1346)</f>
        <v>3297.8354000000004</v>
      </c>
      <c r="AL368" s="83">
        <f>Tableau1[[#This Row],[Montant
Tarif HP/HC]]/Tableau1[[#This Row],[Diff jour_x000D_
Cumul]]</f>
        <v>5.4186497610669457</v>
      </c>
      <c r="AM368" s="83">
        <f>(Tableau1[[#This Row],[Montant
Tarif HP/HC]]-AK$6)/Tableau1[[#This Row],[Diff jour_x000D_
Cumul
depuis le 24/01]]</f>
        <v>5.0364310065290621</v>
      </c>
      <c r="AN368" s="83">
        <f>(Tableau1[[#This Row],[Montant
Tarif HP/HC]]-AK$59)/Tableau1[[#This Row],[Diff jour_x000D_
Cumul
depuis
précédente facture
16/02/2021]]</f>
        <v>4.7551926683630867</v>
      </c>
      <c r="AO368" s="83">
        <f>Tableau1[[#This Row],[Conso HP + HC
Cumul]]*0.1599</f>
        <v>3170.9768999999997</v>
      </c>
      <c r="AP368" s="83">
        <f>Tableau1[[#This Row],[Montant
Tarif normal]]/Tableau1[[#This Row],[Diff jour_x000D_
Cumul]]</f>
        <v>5.2102094669533239</v>
      </c>
      <c r="AQ368" s="83">
        <f>(Tableau1[[#This Row],[Conso HP / an
Cumul]]*0.1799)+(Tableau1[[#This Row],[Conso HC / an_x000D_
Cumul]]*0.1346)</f>
        <v>1977.8071627894351</v>
      </c>
      <c r="AR368" s="83">
        <f>Tableau1[[#This Row],[Conso HP + HC / an_x000D_
Cumul]]*0.1599</f>
        <v>1901.7264554379633</v>
      </c>
      <c r="AS368" s="79">
        <f>MONTH(Tableau1[[#This Row],[Date]])</f>
        <v>8</v>
      </c>
      <c r="AT368" s="79">
        <f>YEAR(Tableau1[[#This Row],[Date]])</f>
        <v>2022</v>
      </c>
    </row>
    <row r="369" spans="1:46" x14ac:dyDescent="0.2">
      <c r="A369" s="74">
        <v>44792.306944444441</v>
      </c>
      <c r="B369" s="75"/>
      <c r="C369" s="76">
        <f>IF(ISERROR(Tableau1[[#This Row],[Date]]-A368),"",Tableau1[[#This Row],[Date]]-A368)</f>
        <v>0.99027777777519077</v>
      </c>
      <c r="D369" s="77">
        <f>IF(ISERROR(Tableau1[[#This Row],[Date]]-A368),"",Tableau1[[#This Row],[Date]]-A368)</f>
        <v>0.99027777777519077</v>
      </c>
      <c r="E369" s="76">
        <f>Tableau1[[#This Row],[Date]]-$A$5</f>
        <v>609.59861111110513</v>
      </c>
      <c r="F369" s="77">
        <f>Tableau1[[#This Row],[Date]]-$A$5</f>
        <v>609.59861111110513</v>
      </c>
      <c r="G369" s="77">
        <f>Tableau1[[#This Row],[Diff jour_x000D_
Cumul]]-F$6</f>
        <v>571.51527777777665</v>
      </c>
      <c r="H369" s="77">
        <f>Tableau1[[#This Row],[Diff jour_x000D_
Cumul]]-F$59</f>
        <v>548.99583333332703</v>
      </c>
      <c r="I369" s="78">
        <v>193641</v>
      </c>
      <c r="J369" s="79">
        <f>IF(ISERROR(Tableau1[[#This Row],[Index HP
kWh]]-I368),"",Tableau1[[#This Row],[Index HP
kWh]]-I368)</f>
        <v>6</v>
      </c>
      <c r="K369" s="77">
        <f>IF(ISERROR(Tableau1[[#This Row],[Différence HP
Instantané]]/(Tableau1[[#This Row],[Diff jour
Instantané]]*24)),"",Tableau1[[#This Row],[Différence HP
Instantané]]/(Tableau1[[#This Row],[Diff jour
Instantané]]*24))</f>
        <v>0.25245441795297369</v>
      </c>
      <c r="L369" s="77">
        <f>Tableau1[[#This Row],[Différence HP
Instantané]]/Tableau1[[#This Row],[Diff jour
Instantané]]</f>
        <v>6.058906030871368</v>
      </c>
      <c r="M369" s="77">
        <f>Tableau1[[#This Row],[Conso HP / jour
Instantané]]*365</f>
        <v>2211.5007012680494</v>
      </c>
      <c r="N369" s="79">
        <f>Tableau1[[#This Row],[Index HP
kWh]]-$I$5</f>
        <v>13882</v>
      </c>
      <c r="O369" s="80">
        <f>Tableau1[[#This Row],[Différence HP
Cumul]]/(Tableau1[[#This Row],[Diff jour_x000D_
Cumul]]*24)</f>
        <v>0.94884839978948832</v>
      </c>
      <c r="P369" s="80">
        <f>Tableau1[[#This Row],[Différence HP
Cumul]]/Tableau1[[#This Row],[Diff jour_x000D_
Cumul]]</f>
        <v>22.772361594947718</v>
      </c>
      <c r="Q369" s="80">
        <f>Tableau1[[#This Row],[Conso HP / jour
Cumul]]*365</f>
        <v>8311.9119821559161</v>
      </c>
      <c r="R369" s="78">
        <v>125390</v>
      </c>
      <c r="S369" s="79">
        <f>Tableau1[[#This Row],[Index HC_x000D_
kWh]]-R368</f>
        <v>3</v>
      </c>
      <c r="T369" s="81">
        <f>Tableau1[[#This Row],[Différence_x000D_ HC
Instantané]]/(Tableau1[[#This Row],[Diff jour
Instantané]]*24)</f>
        <v>0.12622720897648684</v>
      </c>
      <c r="U369" s="81">
        <f>Tableau1[[#This Row],[Différence_x000D_ HC
Instantané]]/Tableau1[[#This Row],[Diff jour
Instantané]]</f>
        <v>3.029453015435684</v>
      </c>
      <c r="V369" s="81">
        <f>Tableau1[[#This Row],[Conso HC / jour_x000D_
Instantané]]*365</f>
        <v>1105.7503506340247</v>
      </c>
      <c r="W369" s="79">
        <f>Tableau1[[#This Row],[Index HC_x000D_
kWh]]-$R$5</f>
        <v>5958</v>
      </c>
      <c r="X369" s="82">
        <f>Tableau1[[#This Row],[Différence HC
Cumul]]/(Tableau1[[#This Row],[Diff jour_x000D_
Cumul]]*24)</f>
        <v>0.40723517979727497</v>
      </c>
      <c r="Y369" s="82">
        <f>Tableau1[[#This Row],[Différence HC
Cumul]]/Tableau1[[#This Row],[Diff jour_x000D_
Cumul]]</f>
        <v>9.7736443151345984</v>
      </c>
      <c r="Z369" s="82">
        <f>Tableau1[[#This Row],[Conso HC / jour_x000D_
Cumul]]*365</f>
        <v>3567.3801750241282</v>
      </c>
      <c r="AA369" s="79">
        <f>Tableau1[[#This Row],[Différence HP
Instantané]]+Tableau1[[#This Row],[Différence_x000D_ HC
Instantané]]</f>
        <v>9</v>
      </c>
      <c r="AB369" s="80">
        <f>Tableau1[[#This Row],[Conso HP + HC
Instantané]]/(Tableau1[[#This Row],[Diff jour
Instantané]]*24)</f>
        <v>0.3786816269294605</v>
      </c>
      <c r="AC369" s="80">
        <f>IF(ISERROR(Tableau1[[#This Row],[Date]]-A368),"",Tableau1[[#This Row],[Conso HP + HC
Instantané]]/Tableau1[[#This Row],[Diff jour
Instantané]])</f>
        <v>9.0883590463070529</v>
      </c>
      <c r="AD369" s="80">
        <f>Tableau1[[#This Row],[Conso HP + HC / jour_x000D_
Instantané]]*365</f>
        <v>3317.2510519020743</v>
      </c>
      <c r="AE369" s="79">
        <f>Tableau1[[#This Row],[Différence HP
Cumul]]+Tableau1[[#This Row],[Différence HC
Cumul]]</f>
        <v>19840</v>
      </c>
      <c r="AF369" s="77">
        <f>(Tableau1[[#This Row],[Conso HP + HC
Cumul]]-AE$6)/Tableau1[[#This Row],[Diff jour_x000D_
Cumul
depuis le 24/01]]</f>
        <v>30.216165116612572</v>
      </c>
      <c r="AG369" s="77">
        <f>(Tableau1[[#This Row],[Conso HP + HC
Cumul]]-AE$59)/Tableau1[[#This Row],[Diff jour_x000D_
Cumul
depuis
précédente facture
16/02/2021]]</f>
        <v>28.530271176921829</v>
      </c>
      <c r="AH369" s="80">
        <f>Tableau1[[#This Row],[Conso HP + HC
Cumul]]/(Tableau1[[#This Row],[Diff jour_x000D_
Cumul]]*24)</f>
        <v>1.3560835795867632</v>
      </c>
      <c r="AI369" s="80">
        <f>Tableau1[[#This Row],[Conso HP + HC
Cumul]]/Tableau1[[#This Row],[Diff jour_x000D_
Cumul]]</f>
        <v>32.546005910082314</v>
      </c>
      <c r="AJ369" s="80">
        <f>Tableau1[[#This Row],[Conso HP + HC / jour_x000D_
Cumul]]*365</f>
        <v>11879.292157180045</v>
      </c>
      <c r="AK369" s="83">
        <f>(Tableau1[[#This Row],[Différence HP
Cumul]]*0.1799)+(Tableau1[[#This Row],[Différence HC
Cumul]]*0.1346)</f>
        <v>3299.3185999999996</v>
      </c>
      <c r="AL369" s="83">
        <f>Tableau1[[#This Row],[Montant
Tarif HP/HC]]/Tableau1[[#This Row],[Diff jour_x000D_
Cumul]]</f>
        <v>5.4122803757482112</v>
      </c>
      <c r="AM369" s="83">
        <f>(Tableau1[[#This Row],[Montant
Tarif HP/HC]]-AK$6)/Tableau1[[#This Row],[Diff jour_x000D_
Cumul
depuis le 24/01]]</f>
        <v>5.0302994719204159</v>
      </c>
      <c r="AN369" s="83">
        <f>(Tableau1[[#This Row],[Montant
Tarif HP/HC]]-AK$59)/Tableau1[[#This Row],[Diff jour_x000D_
Cumul
depuis
précédente facture
16/02/2021]]</f>
        <v>4.7493169195273728</v>
      </c>
      <c r="AO369" s="83">
        <f>Tableau1[[#This Row],[Conso HP + HC
Cumul]]*0.1599</f>
        <v>3172.4159999999997</v>
      </c>
      <c r="AP369" s="83">
        <f>Tableau1[[#This Row],[Montant
Tarif normal]]/Tableau1[[#This Row],[Diff jour_x000D_
Cumul]]</f>
        <v>5.2041063450221623</v>
      </c>
      <c r="AQ369" s="83">
        <f>(Tableau1[[#This Row],[Conso HP / an
Cumul]]*0.1799)+(Tableau1[[#This Row],[Conso HC / an_x000D_
Cumul]]*0.1346)</f>
        <v>1975.482337148097</v>
      </c>
      <c r="AR369" s="83">
        <f>Tableau1[[#This Row],[Conso HP + HC / an_x000D_
Cumul]]*0.1599</f>
        <v>1899.498815933089</v>
      </c>
      <c r="AS369" s="79">
        <f>MONTH(Tableau1[[#This Row],[Date]])</f>
        <v>8</v>
      </c>
      <c r="AT369" s="79">
        <f>YEAR(Tableau1[[#This Row],[Date]])</f>
        <v>2022</v>
      </c>
    </row>
    <row r="370" spans="1:46" x14ac:dyDescent="0.2">
      <c r="A370" s="74">
        <v>44793.30972222222</v>
      </c>
      <c r="B370" s="75"/>
      <c r="C370" s="76">
        <f>IF(ISERROR(Tableau1[[#This Row],[Date]]-A369),"",Tableau1[[#This Row],[Date]]-A369)</f>
        <v>1.0027777777795563</v>
      </c>
      <c r="D370" s="77">
        <f>IF(ISERROR(Tableau1[[#This Row],[Date]]-A369),"",Tableau1[[#This Row],[Date]]-A369)</f>
        <v>1.0027777777795563</v>
      </c>
      <c r="E370" s="76">
        <f>Tableau1[[#This Row],[Date]]-$A$5</f>
        <v>610.60138888888469</v>
      </c>
      <c r="F370" s="77">
        <f>Tableau1[[#This Row],[Date]]-$A$5</f>
        <v>610.60138888888469</v>
      </c>
      <c r="G370" s="77">
        <f>Tableau1[[#This Row],[Diff jour_x000D_
Cumul]]-F$6</f>
        <v>572.5180555555562</v>
      </c>
      <c r="H370" s="77">
        <f>Tableau1[[#This Row],[Diff jour_x000D_
Cumul]]-F$59</f>
        <v>549.99861111110658</v>
      </c>
      <c r="I370" s="78">
        <v>193648</v>
      </c>
      <c r="J370" s="79">
        <f>IF(ISERROR(Tableau1[[#This Row],[Index HP
kWh]]-I369),"",Tableau1[[#This Row],[Index HP
kWh]]-I369)</f>
        <v>7</v>
      </c>
      <c r="K370" s="77">
        <f>IF(ISERROR(Tableau1[[#This Row],[Différence HP
Instantané]]/(Tableau1[[#This Row],[Diff jour
Instantané]]*24)),"",Tableau1[[#This Row],[Différence HP
Instantané]]/(Tableau1[[#This Row],[Diff jour
Instantané]]*24))</f>
        <v>0.29085872576125699</v>
      </c>
      <c r="L370" s="77">
        <f>Tableau1[[#This Row],[Différence HP
Instantané]]/Tableau1[[#This Row],[Diff jour
Instantané]]</f>
        <v>6.9806094182701672</v>
      </c>
      <c r="M370" s="77">
        <f>Tableau1[[#This Row],[Conso HP / jour
Instantané]]*365</f>
        <v>2547.9224376686111</v>
      </c>
      <c r="N370" s="79">
        <f>Tableau1[[#This Row],[Index HP
kWh]]-$I$5</f>
        <v>13889</v>
      </c>
      <c r="O370" s="80">
        <f>Tableau1[[#This Row],[Différence HP
Cumul]]/(Tableau1[[#This Row],[Diff jour_x000D_
Cumul]]*24)</f>
        <v>0.94776779723087867</v>
      </c>
      <c r="P370" s="80">
        <f>Tableau1[[#This Row],[Différence HP
Cumul]]/Tableau1[[#This Row],[Diff jour_x000D_
Cumul]]</f>
        <v>22.746427133541086</v>
      </c>
      <c r="Q370" s="80">
        <f>Tableau1[[#This Row],[Conso HP / jour
Cumul]]*365</f>
        <v>8302.4459037424967</v>
      </c>
      <c r="R370" s="78">
        <v>125393</v>
      </c>
      <c r="S370" s="79">
        <f>Tableau1[[#This Row],[Index HC_x000D_
kWh]]-R369</f>
        <v>3</v>
      </c>
      <c r="T370" s="81">
        <f>Tableau1[[#This Row],[Différence_x000D_ HC
Instantané]]/(Tableau1[[#This Row],[Diff jour
Instantané]]*24)</f>
        <v>0.12465373961196727</v>
      </c>
      <c r="U370" s="81">
        <f>Tableau1[[#This Row],[Différence_x000D_ HC
Instantané]]/Tableau1[[#This Row],[Diff jour
Instantané]]</f>
        <v>2.9916897506872147</v>
      </c>
      <c r="V370" s="81">
        <f>Tableau1[[#This Row],[Conso HC / jour_x000D_
Instantané]]*365</f>
        <v>1091.9667590008335</v>
      </c>
      <c r="W370" s="79">
        <f>Tableau1[[#This Row],[Index HC_x000D_
kWh]]-$R$5</f>
        <v>5961</v>
      </c>
      <c r="X370" s="82">
        <f>Tableau1[[#This Row],[Différence HC
Cumul]]/(Tableau1[[#This Row],[Diff jour_x000D_
Cumul]]*24)</f>
        <v>0.40677110226029717</v>
      </c>
      <c r="Y370" s="82">
        <f>Tableau1[[#This Row],[Différence HC
Cumul]]/Tableau1[[#This Row],[Diff jour_x000D_
Cumul]]</f>
        <v>9.7625064542471325</v>
      </c>
      <c r="Z370" s="82">
        <f>Tableau1[[#This Row],[Conso HC / jour_x000D_
Cumul]]*365</f>
        <v>3563.3148558002035</v>
      </c>
      <c r="AA370" s="79">
        <f>Tableau1[[#This Row],[Différence HP
Instantané]]+Tableau1[[#This Row],[Différence_x000D_ HC
Instantané]]</f>
        <v>10</v>
      </c>
      <c r="AB370" s="80">
        <f>Tableau1[[#This Row],[Conso HP + HC
Instantané]]/(Tableau1[[#This Row],[Diff jour
Instantané]]*24)</f>
        <v>0.41551246537322423</v>
      </c>
      <c r="AC370" s="80">
        <f>IF(ISERROR(Tableau1[[#This Row],[Date]]-A369),"",Tableau1[[#This Row],[Conso HP + HC
Instantané]]/Tableau1[[#This Row],[Diff jour
Instantané]])</f>
        <v>9.9722991689573828</v>
      </c>
      <c r="AD370" s="80">
        <f>Tableau1[[#This Row],[Conso HP + HC / jour_x000D_
Instantané]]*365</f>
        <v>3639.8891966694446</v>
      </c>
      <c r="AE370" s="79">
        <f>Tableau1[[#This Row],[Différence HP
Cumul]]+Tableau1[[#This Row],[Différence HC
Cumul]]</f>
        <v>19850</v>
      </c>
      <c r="AF370" s="77">
        <f>(Tableau1[[#This Row],[Conso HP + HC
Cumul]]-AE$6)/Tableau1[[#This Row],[Diff jour_x000D_
Cumul
depuis le 24/01]]</f>
        <v>30.180707546826486</v>
      </c>
      <c r="AG370" s="77">
        <f>(Tableau1[[#This Row],[Conso HP + HC
Cumul]]-AE$59)/Tableau1[[#This Row],[Diff jour_x000D_
Cumul
depuis
précédente facture
16/02/2021]]</f>
        <v>28.496435597059822</v>
      </c>
      <c r="AH370" s="80">
        <f>Tableau1[[#This Row],[Conso HP + HC
Cumul]]/(Tableau1[[#This Row],[Diff jour_x000D_
Cumul]]*24)</f>
        <v>1.3545388994911758</v>
      </c>
      <c r="AI370" s="80">
        <f>Tableau1[[#This Row],[Conso HP + HC
Cumul]]/Tableau1[[#This Row],[Diff jour_x000D_
Cumul]]</f>
        <v>32.508933587788221</v>
      </c>
      <c r="AJ370" s="80">
        <f>Tableau1[[#This Row],[Conso HP + HC / jour_x000D_
Cumul]]*365</f>
        <v>11865.7607595427</v>
      </c>
      <c r="AK370" s="83">
        <f>(Tableau1[[#This Row],[Différence HP
Cumul]]*0.1799)+(Tableau1[[#This Row],[Différence HC
Cumul]]*0.1346)</f>
        <v>3300.9817000000003</v>
      </c>
      <c r="AL370" s="83">
        <f>Tableau1[[#This Row],[Montant
Tarif HP/HC]]/Tableau1[[#This Row],[Diff jour_x000D_
Cumul]]</f>
        <v>5.4061156100657062</v>
      </c>
      <c r="AM370" s="83">
        <f>(Tableau1[[#This Row],[Montant
Tarif HP/HC]]-AK$6)/Tableau1[[#This Row],[Diff jour_x000D_
Cumul
depuis le 24/01]]</f>
        <v>5.0243936799664199</v>
      </c>
      <c r="AN370" s="83">
        <f>(Tableau1[[#This Row],[Montant
Tarif HP/HC]]-AK$59)/Tableau1[[#This Row],[Diff jour_x000D_
Cumul
depuis
précédente facture
16/02/2021]]</f>
        <v>4.7436816153576542</v>
      </c>
      <c r="AO370" s="83">
        <f>Tableau1[[#This Row],[Conso HP + HC
Cumul]]*0.1599</f>
        <v>3174.0149999999999</v>
      </c>
      <c r="AP370" s="83">
        <f>Tableau1[[#This Row],[Montant
Tarif normal]]/Tableau1[[#This Row],[Diff jour_x000D_
Cumul]]</f>
        <v>5.1981784806873366</v>
      </c>
      <c r="AQ370" s="83">
        <f>(Tableau1[[#This Row],[Conso HP / an
Cumul]]*0.1799)+(Tableau1[[#This Row],[Conso HC / an_x000D_
Cumul]]*0.1346)</f>
        <v>1973.2321976739827</v>
      </c>
      <c r="AR370" s="83">
        <f>Tableau1[[#This Row],[Conso HP + HC / an_x000D_
Cumul]]*0.1599</f>
        <v>1897.3351454508775</v>
      </c>
      <c r="AS370" s="79">
        <f>MONTH(Tableau1[[#This Row],[Date]])</f>
        <v>8</v>
      </c>
      <c r="AT370" s="79">
        <f>YEAR(Tableau1[[#This Row],[Date]])</f>
        <v>2022</v>
      </c>
    </row>
    <row r="371" spans="1:46" x14ac:dyDescent="0.2">
      <c r="A371" s="74">
        <v>44795.320138888892</v>
      </c>
      <c r="B371" s="75"/>
      <c r="C371" s="76">
        <f>IF(ISERROR(Tableau1[[#This Row],[Date]]-A370),"",Tableau1[[#This Row],[Date]]-A370)</f>
        <v>2.0104166666715173</v>
      </c>
      <c r="D371" s="77">
        <f>IF(ISERROR(Tableau1[[#This Row],[Date]]-A370),"",Tableau1[[#This Row],[Date]]-A370)</f>
        <v>2.0104166666715173</v>
      </c>
      <c r="E371" s="76">
        <f>Tableau1[[#This Row],[Date]]-$A$5</f>
        <v>612.6118055555562</v>
      </c>
      <c r="F371" s="77">
        <f>Tableau1[[#This Row],[Date]]-$A$5</f>
        <v>612.6118055555562</v>
      </c>
      <c r="G371" s="77">
        <f>Tableau1[[#This Row],[Diff jour_x000D_
Cumul]]-F$6</f>
        <v>574.52847222222772</v>
      </c>
      <c r="H371" s="77">
        <f>Tableau1[[#This Row],[Diff jour_x000D_
Cumul]]-F$59</f>
        <v>552.0090277777781</v>
      </c>
      <c r="I371" s="78">
        <v>193662</v>
      </c>
      <c r="J371" s="79">
        <f>IF(ISERROR(Tableau1[[#This Row],[Index HP
kWh]]-I370),"",Tableau1[[#This Row],[Index HP
kWh]]-I370)</f>
        <v>14</v>
      </c>
      <c r="K371" s="77">
        <f>IF(ISERROR(Tableau1[[#This Row],[Différence HP
Instantané]]/(Tableau1[[#This Row],[Diff jour
Instantané]]*24)),"",Tableau1[[#This Row],[Différence HP
Instantané]]/(Tableau1[[#This Row],[Diff jour
Instantané]]*24))</f>
        <v>0.2901554404138077</v>
      </c>
      <c r="L371" s="77">
        <f>Tableau1[[#This Row],[Différence HP
Instantané]]/Tableau1[[#This Row],[Diff jour
Instantané]]</f>
        <v>6.9637305699313847</v>
      </c>
      <c r="M371" s="77">
        <f>Tableau1[[#This Row],[Conso HP / jour
Instantané]]*365</f>
        <v>2541.7616580249555</v>
      </c>
      <c r="N371" s="79">
        <f>Tableau1[[#This Row],[Index HP
kWh]]-$I$5</f>
        <v>13903</v>
      </c>
      <c r="O371" s="80">
        <f>Tableau1[[#This Row],[Différence HP
Cumul]]/(Tableau1[[#This Row],[Diff jour_x000D_
Cumul]]*24)</f>
        <v>0.94560970163042701</v>
      </c>
      <c r="P371" s="80">
        <f>Tableau1[[#This Row],[Différence HP
Cumul]]/Tableau1[[#This Row],[Diff jour_x000D_
Cumul]]</f>
        <v>22.694632839130247</v>
      </c>
      <c r="Q371" s="80">
        <f>Tableau1[[#This Row],[Conso HP / jour
Cumul]]*365</f>
        <v>8283.54098628254</v>
      </c>
      <c r="R371" s="78">
        <v>125399</v>
      </c>
      <c r="S371" s="79">
        <f>Tableau1[[#This Row],[Index HC_x000D_
kWh]]-R370</f>
        <v>6</v>
      </c>
      <c r="T371" s="81">
        <f>Tableau1[[#This Row],[Différence_x000D_ HC
Instantané]]/(Tableau1[[#This Row],[Diff jour
Instantané]]*24)</f>
        <v>0.12435233160591759</v>
      </c>
      <c r="U371" s="81">
        <f>Tableau1[[#This Row],[Différence_x000D_ HC
Instantané]]/Tableau1[[#This Row],[Diff jour
Instantané]]</f>
        <v>2.9844559585420218</v>
      </c>
      <c r="V371" s="81">
        <f>Tableau1[[#This Row],[Conso HC / jour_x000D_
Instantané]]*365</f>
        <v>1089.3264248678379</v>
      </c>
      <c r="W371" s="79">
        <f>Tableau1[[#This Row],[Index HC_x000D_
kWh]]-$R$5</f>
        <v>5967</v>
      </c>
      <c r="X371" s="82">
        <f>Tableau1[[#This Row],[Différence HC
Cumul]]/(Tableau1[[#This Row],[Diff jour_x000D_
Cumul]]*24)</f>
        <v>0.40584428466005595</v>
      </c>
      <c r="Y371" s="82">
        <f>Tableau1[[#This Row],[Différence HC
Cumul]]/Tableau1[[#This Row],[Diff jour_x000D_
Cumul]]</f>
        <v>9.7402628318413438</v>
      </c>
      <c r="Z371" s="82">
        <f>Tableau1[[#This Row],[Conso HC / jour_x000D_
Cumul]]*365</f>
        <v>3555.1959336220907</v>
      </c>
      <c r="AA371" s="79">
        <f>Tableau1[[#This Row],[Différence HP
Instantané]]+Tableau1[[#This Row],[Différence_x000D_ HC
Instantané]]</f>
        <v>20</v>
      </c>
      <c r="AB371" s="80">
        <f>Tableau1[[#This Row],[Conso HP + HC
Instantané]]/(Tableau1[[#This Row],[Diff jour
Instantané]]*24)</f>
        <v>0.41450777201972527</v>
      </c>
      <c r="AC371" s="80">
        <f>IF(ISERROR(Tableau1[[#This Row],[Date]]-A370),"",Tableau1[[#This Row],[Conso HP + HC
Instantané]]/Tableau1[[#This Row],[Diff jour
Instantané]])</f>
        <v>9.948186528473407</v>
      </c>
      <c r="AD371" s="80">
        <f>Tableau1[[#This Row],[Conso HP + HC / jour_x000D_
Instantané]]*365</f>
        <v>3631.0880828927934</v>
      </c>
      <c r="AE371" s="79">
        <f>Tableau1[[#This Row],[Différence HP
Cumul]]+Tableau1[[#This Row],[Différence HC
Cumul]]</f>
        <v>19870</v>
      </c>
      <c r="AF371" s="77">
        <f>(Tableau1[[#This Row],[Conso HP + HC
Cumul]]-AE$6)/Tableau1[[#This Row],[Diff jour_x000D_
Cumul
depuis le 24/01]]</f>
        <v>30.109908971245456</v>
      </c>
      <c r="AG371" s="77">
        <f>(Tableau1[[#This Row],[Conso HP + HC
Cumul]]-AE$59)/Tableau1[[#This Row],[Diff jour_x000D_
Cumul
depuis
précédente facture
16/02/2021]]</f>
        <v>28.428882881092157</v>
      </c>
      <c r="AH371" s="80">
        <f>Tableau1[[#This Row],[Conso HP + HC
Cumul]]/(Tableau1[[#This Row],[Diff jour_x000D_
Cumul]]*24)</f>
        <v>1.3514539862904829</v>
      </c>
      <c r="AI371" s="80">
        <f>Tableau1[[#This Row],[Conso HP + HC
Cumul]]/Tableau1[[#This Row],[Diff jour_x000D_
Cumul]]</f>
        <v>32.434895670971592</v>
      </c>
      <c r="AJ371" s="80">
        <f>Tableau1[[#This Row],[Conso HP + HC / jour_x000D_
Cumul]]*365</f>
        <v>11838.736919904632</v>
      </c>
      <c r="AK371" s="83">
        <f>(Tableau1[[#This Row],[Différence HP
Cumul]]*0.1799)+(Tableau1[[#This Row],[Différence HC
Cumul]]*0.1346)</f>
        <v>3304.3078999999998</v>
      </c>
      <c r="AL371" s="83">
        <f>Tableau1[[#This Row],[Montant
Tarif HP/HC]]/Tableau1[[#This Row],[Diff jour_x000D_
Cumul]]</f>
        <v>5.3938038249253761</v>
      </c>
      <c r="AM371" s="83">
        <f>(Tableau1[[#This Row],[Montant
Tarif HP/HC]]-AK$6)/Tableau1[[#This Row],[Diff jour_x000D_
Cumul
depuis le 24/01]]</f>
        <v>5.012601531932539</v>
      </c>
      <c r="AN371" s="83">
        <f>(Tableau1[[#This Row],[Montant
Tarif HP/HC]]-AK$59)/Tableau1[[#This Row],[Diff jour_x000D_
Cumul
depuis
précédente facture
16/02/2021]]</f>
        <v>4.7324307548311504</v>
      </c>
      <c r="AO371" s="83">
        <f>Tableau1[[#This Row],[Conso HP + HC
Cumul]]*0.1599</f>
        <v>3177.2129999999997</v>
      </c>
      <c r="AP371" s="83">
        <f>Tableau1[[#This Row],[Montant
Tarif normal]]/Tableau1[[#This Row],[Diff jour_x000D_
Cumul]]</f>
        <v>5.1863398177883573</v>
      </c>
      <c r="AQ371" s="83">
        <f>(Tableau1[[#This Row],[Conso HP / an
Cumul]]*0.1799)+(Tableau1[[#This Row],[Conso HC / an_x000D_
Cumul]]*0.1346)</f>
        <v>1968.7383960977625</v>
      </c>
      <c r="AR371" s="83">
        <f>Tableau1[[#This Row],[Conso HP + HC / an_x000D_
Cumul]]*0.1599</f>
        <v>1893.0140334927505</v>
      </c>
      <c r="AS371" s="79">
        <f>MONTH(Tableau1[[#This Row],[Date]])</f>
        <v>8</v>
      </c>
      <c r="AT371" s="79">
        <f>YEAR(Tableau1[[#This Row],[Date]])</f>
        <v>2022</v>
      </c>
    </row>
    <row r="372" spans="1:46" x14ac:dyDescent="0.2">
      <c r="A372" s="74">
        <v>44796.306250000001</v>
      </c>
      <c r="B372" s="75"/>
      <c r="C372" s="76">
        <f>IF(ISERROR(Tableau1[[#This Row],[Date]]-A371),"",Tableau1[[#This Row],[Date]]-A371)</f>
        <v>0.98611111110949423</v>
      </c>
      <c r="D372" s="77">
        <f>IF(ISERROR(Tableau1[[#This Row],[Date]]-A371),"",Tableau1[[#This Row],[Date]]-A371)</f>
        <v>0.98611111110949423</v>
      </c>
      <c r="E372" s="76">
        <f>Tableau1[[#This Row],[Date]]-$A$5</f>
        <v>613.5979166666657</v>
      </c>
      <c r="F372" s="77">
        <f>Tableau1[[#This Row],[Date]]-$A$5</f>
        <v>613.5979166666657</v>
      </c>
      <c r="G372" s="77">
        <f>Tableau1[[#This Row],[Diff jour_x000D_
Cumul]]-F$6</f>
        <v>575.51458333333721</v>
      </c>
      <c r="H372" s="77">
        <f>Tableau1[[#This Row],[Diff jour_x000D_
Cumul]]-F$59</f>
        <v>552.9951388888876</v>
      </c>
      <c r="I372" s="78">
        <v>193668</v>
      </c>
      <c r="J372" s="79">
        <f>IF(ISERROR(Tableau1[[#This Row],[Index HP
kWh]]-I371),"",Tableau1[[#This Row],[Index HP
kWh]]-I371)</f>
        <v>6</v>
      </c>
      <c r="K372" s="77">
        <f>IF(ISERROR(Tableau1[[#This Row],[Différence HP
Instantané]]/(Tableau1[[#This Row],[Diff jour
Instantané]]*24)),"",Tableau1[[#This Row],[Différence HP
Instantané]]/(Tableau1[[#This Row],[Diff jour
Instantané]]*24))</f>
        <v>0.25352112676097904</v>
      </c>
      <c r="L372" s="77">
        <f>Tableau1[[#This Row],[Différence HP
Instantané]]/Tableau1[[#This Row],[Diff jour
Instantané]]</f>
        <v>6.0845070422634979</v>
      </c>
      <c r="M372" s="77">
        <f>Tableau1[[#This Row],[Conso HP / jour
Instantané]]*365</f>
        <v>2220.8450704261768</v>
      </c>
      <c r="N372" s="79">
        <f>Tableau1[[#This Row],[Index HP
kWh]]-$I$5</f>
        <v>13909</v>
      </c>
      <c r="O372" s="80">
        <f>Tableau1[[#This Row],[Différence HP
Cumul]]/(Tableau1[[#This Row],[Diff jour_x000D_
Cumul]]*24)</f>
        <v>0.94449744845124706</v>
      </c>
      <c r="P372" s="80">
        <f>Tableau1[[#This Row],[Différence HP
Cumul]]/Tableau1[[#This Row],[Diff jour_x000D_
Cumul]]</f>
        <v>22.66793876282993</v>
      </c>
      <c r="Q372" s="80">
        <f>Tableau1[[#This Row],[Conso HP / jour
Cumul]]*365</f>
        <v>8273.7976484329247</v>
      </c>
      <c r="R372" s="78">
        <v>125401</v>
      </c>
      <c r="S372" s="79">
        <f>Tableau1[[#This Row],[Index HC_x000D_
kWh]]-R371</f>
        <v>2</v>
      </c>
      <c r="T372" s="81">
        <f>Tableau1[[#This Row],[Différence_x000D_ HC
Instantané]]/(Tableau1[[#This Row],[Diff jour
Instantané]]*24)</f>
        <v>8.4507042253659695E-2</v>
      </c>
      <c r="U372" s="81">
        <f>Tableau1[[#This Row],[Différence_x000D_ HC
Instantané]]/Tableau1[[#This Row],[Diff jour
Instantané]]</f>
        <v>2.0281690140878323</v>
      </c>
      <c r="V372" s="81">
        <f>Tableau1[[#This Row],[Conso HC / jour_x000D_
Instantané]]*365</f>
        <v>740.28169014205878</v>
      </c>
      <c r="W372" s="79">
        <f>Tableau1[[#This Row],[Index HC_x000D_
kWh]]-$R$5</f>
        <v>5969</v>
      </c>
      <c r="X372" s="82">
        <f>Tableau1[[#This Row],[Différence HC
Cumul]]/(Tableau1[[#This Row],[Diff jour_x000D_
Cumul]]*24)</f>
        <v>0.40532786467794191</v>
      </c>
      <c r="Y372" s="82">
        <f>Tableau1[[#This Row],[Différence HC
Cumul]]/Tableau1[[#This Row],[Diff jour_x000D_
Cumul]]</f>
        <v>9.7278687522706058</v>
      </c>
      <c r="Z372" s="82">
        <f>Tableau1[[#This Row],[Conso HC / jour_x000D_
Cumul]]*365</f>
        <v>3550.6720945787711</v>
      </c>
      <c r="AA372" s="79">
        <f>Tableau1[[#This Row],[Différence HP
Instantané]]+Tableau1[[#This Row],[Différence_x000D_ HC
Instantané]]</f>
        <v>8</v>
      </c>
      <c r="AB372" s="80">
        <f>Tableau1[[#This Row],[Conso HP + HC
Instantané]]/(Tableau1[[#This Row],[Diff jour
Instantané]]*24)</f>
        <v>0.33802816901463878</v>
      </c>
      <c r="AC372" s="80">
        <f>IF(ISERROR(Tableau1[[#This Row],[Date]]-A371),"",Tableau1[[#This Row],[Conso HP + HC
Instantané]]/Tableau1[[#This Row],[Diff jour
Instantané]])</f>
        <v>8.1126760563513294</v>
      </c>
      <c r="AD372" s="80">
        <f>Tableau1[[#This Row],[Conso HP + HC / jour_x000D_
Instantané]]*365</f>
        <v>2961.1267605682351</v>
      </c>
      <c r="AE372" s="79">
        <f>Tableau1[[#This Row],[Différence HP
Cumul]]+Tableau1[[#This Row],[Différence HC
Cumul]]</f>
        <v>19878</v>
      </c>
      <c r="AF372" s="77">
        <f>(Tableau1[[#This Row],[Conso HP + HC
Cumul]]-AE$6)/Tableau1[[#This Row],[Diff jour_x000D_
Cumul
depuis le 24/01]]</f>
        <v>30.072217978837575</v>
      </c>
      <c r="AG372" s="77">
        <f>(Tableau1[[#This Row],[Conso HP + HC
Cumul]]-AE$59)/Tableau1[[#This Row],[Diff jour_x000D_
Cumul
depuis
précédente facture
16/02/2021]]</f>
        <v>28.392654647104912</v>
      </c>
      <c r="AH372" s="80">
        <f>Tableau1[[#This Row],[Conso HP + HC
Cumul]]/(Tableau1[[#This Row],[Diff jour_x000D_
Cumul]]*24)</f>
        <v>1.3498253131291889</v>
      </c>
      <c r="AI372" s="80">
        <f>Tableau1[[#This Row],[Conso HP + HC
Cumul]]/Tableau1[[#This Row],[Diff jour_x000D_
Cumul]]</f>
        <v>32.395807515100536</v>
      </c>
      <c r="AJ372" s="80">
        <f>Tableau1[[#This Row],[Conso HP + HC / jour_x000D_
Cumul]]*365</f>
        <v>11824.469743011696</v>
      </c>
      <c r="AK372" s="83">
        <f>(Tableau1[[#This Row],[Différence HP
Cumul]]*0.1799)+(Tableau1[[#This Row],[Différence HC
Cumul]]*0.1346)</f>
        <v>3305.6565000000001</v>
      </c>
      <c r="AL372" s="83">
        <f>Tableau1[[#This Row],[Montant
Tarif HP/HC]]/Tableau1[[#This Row],[Diff jour_x000D_
Cumul]]</f>
        <v>5.3873333174887277</v>
      </c>
      <c r="AM372" s="83">
        <f>(Tableau1[[#This Row],[Montant
Tarif HP/HC]]-AK$6)/Tableau1[[#This Row],[Diff jour_x000D_
Cumul
depuis le 24/01]]</f>
        <v>5.0063560219658161</v>
      </c>
      <c r="AN372" s="83">
        <f>(Tableau1[[#This Row],[Montant
Tarif HP/HC]]-AK$59)/Tableau1[[#This Row],[Diff jour_x000D_
Cumul
depuis
précédente facture
16/02/2021]]</f>
        <v>4.7264305166435925</v>
      </c>
      <c r="AO372" s="83">
        <f>Tableau1[[#This Row],[Conso HP + HC
Cumul]]*0.1599</f>
        <v>3178.4921999999997</v>
      </c>
      <c r="AP372" s="83">
        <f>Tableau1[[#This Row],[Montant
Tarif normal]]/Tableau1[[#This Row],[Diff jour_x000D_
Cumul]]</f>
        <v>5.1800896216645747</v>
      </c>
      <c r="AQ372" s="83">
        <f>(Tableau1[[#This Row],[Conso HP / an
Cumul]]*0.1799)+(Tableau1[[#This Row],[Conso HC / an_x000D_
Cumul]]*0.1346)</f>
        <v>1966.3766608833857</v>
      </c>
      <c r="AR372" s="83">
        <f>Tableau1[[#This Row],[Conso HP + HC / an_x000D_
Cumul]]*0.1599</f>
        <v>1890.7327119075701</v>
      </c>
      <c r="AS372" s="79">
        <f>MONTH(Tableau1[[#This Row],[Date]])</f>
        <v>8</v>
      </c>
      <c r="AT372" s="79">
        <f>YEAR(Tableau1[[#This Row],[Date]])</f>
        <v>2022</v>
      </c>
    </row>
    <row r="373" spans="1:46" x14ac:dyDescent="0.2">
      <c r="A373" s="74">
        <v>44797.310416666667</v>
      </c>
      <c r="B373" s="75"/>
      <c r="C373" s="76">
        <f>IF(ISERROR(Tableau1[[#This Row],[Date]]-A372),"",Tableau1[[#This Row],[Date]]-A372)</f>
        <v>1.0041666666656965</v>
      </c>
      <c r="D373" s="77">
        <f>IF(ISERROR(Tableau1[[#This Row],[Date]]-A372),"",Tableau1[[#This Row],[Date]]-A372)</f>
        <v>1.0041666666656965</v>
      </c>
      <c r="E373" s="76">
        <f>Tableau1[[#This Row],[Date]]-$A$5</f>
        <v>614.60208333333139</v>
      </c>
      <c r="F373" s="77">
        <f>Tableau1[[#This Row],[Date]]-$A$5</f>
        <v>614.60208333333139</v>
      </c>
      <c r="G373" s="77">
        <f>Tableau1[[#This Row],[Diff jour_x000D_
Cumul]]-F$6</f>
        <v>576.51875000000291</v>
      </c>
      <c r="H373" s="77">
        <f>Tableau1[[#This Row],[Diff jour_x000D_
Cumul]]-F$59</f>
        <v>553.99930555555329</v>
      </c>
      <c r="I373" s="78">
        <v>193675</v>
      </c>
      <c r="J373" s="79">
        <f>IF(ISERROR(Tableau1[[#This Row],[Index HP
kWh]]-I372),"",Tableau1[[#This Row],[Index HP
kWh]]-I372)</f>
        <v>7</v>
      </c>
      <c r="K373" s="77">
        <f>IF(ISERROR(Tableau1[[#This Row],[Différence HP
Instantané]]/(Tableau1[[#This Row],[Diff jour
Instantané]]*24)),"",Tableau1[[#This Row],[Différence HP
Instantané]]/(Tableau1[[#This Row],[Diff jour
Instantané]]*24))</f>
        <v>0.29045643153555034</v>
      </c>
      <c r="L373" s="77">
        <f>Tableau1[[#This Row],[Différence HP
Instantané]]/Tableau1[[#This Row],[Diff jour
Instantané]]</f>
        <v>6.9709543568532073</v>
      </c>
      <c r="M373" s="77">
        <f>Tableau1[[#This Row],[Conso HP / jour
Instantané]]*365</f>
        <v>2544.3983402514204</v>
      </c>
      <c r="N373" s="79">
        <f>Tableau1[[#This Row],[Index HP
kWh]]-$I$5</f>
        <v>13916</v>
      </c>
      <c r="O373" s="80">
        <f>Tableau1[[#This Row],[Différence HP
Cumul]]/(Tableau1[[#This Row],[Diff jour_x000D_
Cumul]]*24)</f>
        <v>0.94342884454372877</v>
      </c>
      <c r="P373" s="80">
        <f>Tableau1[[#This Row],[Différence HP
Cumul]]/Tableau1[[#This Row],[Diff jour_x000D_
Cumul]]</f>
        <v>22.642292269049491</v>
      </c>
      <c r="Q373" s="80">
        <f>Tableau1[[#This Row],[Conso HP / jour
Cumul]]*365</f>
        <v>8264.4366782030647</v>
      </c>
      <c r="R373" s="78">
        <v>125405</v>
      </c>
      <c r="S373" s="79">
        <f>Tableau1[[#This Row],[Index HC_x000D_
kWh]]-R372</f>
        <v>4</v>
      </c>
      <c r="T373" s="81">
        <f>Tableau1[[#This Row],[Différence_x000D_ HC
Instantané]]/(Tableau1[[#This Row],[Diff jour
Instantané]]*24)</f>
        <v>0.16597510373460017</v>
      </c>
      <c r="U373" s="81">
        <f>Tableau1[[#This Row],[Différence_x000D_ HC
Instantané]]/Tableau1[[#This Row],[Diff jour
Instantané]]</f>
        <v>3.9834024896304046</v>
      </c>
      <c r="V373" s="81">
        <f>Tableau1[[#This Row],[Conso HC / jour_x000D_
Instantané]]*365</f>
        <v>1453.9419087150977</v>
      </c>
      <c r="W373" s="79">
        <f>Tableau1[[#This Row],[Index HC_x000D_
kWh]]-$R$5</f>
        <v>5973</v>
      </c>
      <c r="X373" s="82">
        <f>Tableau1[[#This Row],[Différence HC
Cumul]]/(Tableau1[[#This Row],[Diff jour_x000D_
Cumul]]*24)</f>
        <v>0.40493679853835096</v>
      </c>
      <c r="Y373" s="82">
        <f>Tableau1[[#This Row],[Différence HC
Cumul]]/Tableau1[[#This Row],[Diff jour_x000D_
Cumul]]</f>
        <v>9.7184831649204231</v>
      </c>
      <c r="Z373" s="82">
        <f>Tableau1[[#This Row],[Conso HC / jour_x000D_
Cumul]]*365</f>
        <v>3547.2463551959545</v>
      </c>
      <c r="AA373" s="79">
        <f>Tableau1[[#This Row],[Différence HP
Instantané]]+Tableau1[[#This Row],[Différence_x000D_ HC
Instantané]]</f>
        <v>11</v>
      </c>
      <c r="AB373" s="80">
        <f>Tableau1[[#This Row],[Conso HP + HC
Instantané]]/(Tableau1[[#This Row],[Diff jour
Instantané]]*24)</f>
        <v>0.45643153527015051</v>
      </c>
      <c r="AC373" s="80">
        <f>IF(ISERROR(Tableau1[[#This Row],[Date]]-A372),"",Tableau1[[#This Row],[Conso HP + HC
Instantané]]/Tableau1[[#This Row],[Diff jour
Instantané]])</f>
        <v>10.954356846483613</v>
      </c>
      <c r="AD373" s="80">
        <f>Tableau1[[#This Row],[Conso HP + HC / jour_x000D_
Instantané]]*365</f>
        <v>3998.3402489665186</v>
      </c>
      <c r="AE373" s="79">
        <f>Tableau1[[#This Row],[Différence HP
Cumul]]+Tableau1[[#This Row],[Différence HC
Cumul]]</f>
        <v>19889</v>
      </c>
      <c r="AF373" s="77">
        <f>(Tableau1[[#This Row],[Conso HP + HC
Cumul]]-AE$6)/Tableau1[[#This Row],[Diff jour_x000D_
Cumul
depuis le 24/01]]</f>
        <v>30.038918942358617</v>
      </c>
      <c r="AG373" s="77">
        <f>(Tableau1[[#This Row],[Conso HP + HC
Cumul]]-AE$59)/Tableau1[[#This Row],[Diff jour_x000D_
Cumul
depuis
précédente facture
16/02/2021]]</f>
        <v>28.361046381175385</v>
      </c>
      <c r="AH373" s="80">
        <f>Tableau1[[#This Row],[Conso HP + HC
Cumul]]/(Tableau1[[#This Row],[Diff jour_x000D_
Cumul]]*24)</f>
        <v>1.3483656430820796</v>
      </c>
      <c r="AI373" s="80">
        <f>Tableau1[[#This Row],[Conso HP + HC
Cumul]]/Tableau1[[#This Row],[Diff jour_x000D_
Cumul]]</f>
        <v>32.360775433969913</v>
      </c>
      <c r="AJ373" s="80">
        <f>Tableau1[[#This Row],[Conso HP + HC / jour_x000D_
Cumul]]*365</f>
        <v>11811.683033399018</v>
      </c>
      <c r="AK373" s="83">
        <f>(Tableau1[[#This Row],[Différence HP
Cumul]]*0.1799)+(Tableau1[[#This Row],[Différence HC
Cumul]]*0.1346)</f>
        <v>3307.4542000000001</v>
      </c>
      <c r="AL373" s="83">
        <f>Tableau1[[#This Row],[Montant
Tarif HP/HC]]/Tableau1[[#This Row],[Diff jour_x000D_
Cumul]]</f>
        <v>5.3814562132002921</v>
      </c>
      <c r="AM373" s="83">
        <f>(Tableau1[[#This Row],[Montant
Tarif HP/HC]]-AK$6)/Tableau1[[#This Row],[Diff jour_x000D_
Cumul
depuis le 24/01]]</f>
        <v>5.0007542686165634</v>
      </c>
      <c r="AN373" s="83">
        <f>(Tableau1[[#This Row],[Montant
Tarif HP/HC]]-AK$59)/Tableau1[[#This Row],[Diff jour_x000D_
Cumul
depuis
précédente facture
16/02/2021]]</f>
        <v>4.721108445031664</v>
      </c>
      <c r="AO373" s="83">
        <f>Tableau1[[#This Row],[Conso HP + HC
Cumul]]*0.1599</f>
        <v>3180.2511</v>
      </c>
      <c r="AP373" s="83">
        <f>Tableau1[[#This Row],[Montant
Tarif normal]]/Tableau1[[#This Row],[Diff jour_x000D_
Cumul]]</f>
        <v>5.1744879918917892</v>
      </c>
      <c r="AQ373" s="83">
        <f>(Tableau1[[#This Row],[Conso HP / an
Cumul]]*0.1799)+(Tableau1[[#This Row],[Conso HC / an_x000D_
Cumul]]*0.1346)</f>
        <v>1964.231517818107</v>
      </c>
      <c r="AR373" s="83">
        <f>Tableau1[[#This Row],[Conso HP + HC / an_x000D_
Cumul]]*0.1599</f>
        <v>1888.6881170405029</v>
      </c>
      <c r="AS373" s="79">
        <f>MONTH(Tableau1[[#This Row],[Date]])</f>
        <v>8</v>
      </c>
      <c r="AT373" s="79">
        <f>YEAR(Tableau1[[#This Row],[Date]])</f>
        <v>2022</v>
      </c>
    </row>
    <row r="374" spans="1:46" x14ac:dyDescent="0.2">
      <c r="A374" s="74">
        <v>44798.316666666666</v>
      </c>
      <c r="B374" s="75"/>
      <c r="C374" s="76">
        <f>IF(ISERROR(Tableau1[[#This Row],[Date]]-A373),"",Tableau1[[#This Row],[Date]]-A373)</f>
        <v>1.0062499999985448</v>
      </c>
      <c r="D374" s="77">
        <f>IF(ISERROR(Tableau1[[#This Row],[Date]]-A373),"",Tableau1[[#This Row],[Date]]-A373)</f>
        <v>1.0062499999985448</v>
      </c>
      <c r="E374" s="76">
        <f>Tableau1[[#This Row],[Date]]-$A$5</f>
        <v>615.60833333332994</v>
      </c>
      <c r="F374" s="77">
        <f>Tableau1[[#This Row],[Date]]-$A$5</f>
        <v>615.60833333332994</v>
      </c>
      <c r="G374" s="77">
        <f>Tableau1[[#This Row],[Diff jour_x000D_
Cumul]]-F$6</f>
        <v>577.52500000000146</v>
      </c>
      <c r="H374" s="77">
        <f>Tableau1[[#This Row],[Diff jour_x000D_
Cumul]]-F$59</f>
        <v>555.00555555555184</v>
      </c>
      <c r="I374" s="78">
        <v>193685</v>
      </c>
      <c r="J374" s="79">
        <f>IF(ISERROR(Tableau1[[#This Row],[Index HP
kWh]]-I373),"",Tableau1[[#This Row],[Index HP
kWh]]-I373)</f>
        <v>10</v>
      </c>
      <c r="K374" s="77">
        <f>IF(ISERROR(Tableau1[[#This Row],[Différence HP
Instantané]]/(Tableau1[[#This Row],[Diff jour
Instantané]]*24)),"",Tableau1[[#This Row],[Différence HP
Instantané]]/(Tableau1[[#This Row],[Diff jour
Instantané]]*24))</f>
        <v>0.41407867494883899</v>
      </c>
      <c r="L374" s="77">
        <f>Tableau1[[#This Row],[Différence HP
Instantané]]/Tableau1[[#This Row],[Diff jour
Instantané]]</f>
        <v>9.9378881987721357</v>
      </c>
      <c r="M374" s="77">
        <f>Tableau1[[#This Row],[Conso HP / jour
Instantané]]*365</f>
        <v>3627.3291925518297</v>
      </c>
      <c r="N374" s="79">
        <f>Tableau1[[#This Row],[Index HP
kWh]]-$I$5</f>
        <v>13926</v>
      </c>
      <c r="O374" s="80">
        <f>Tableau1[[#This Row],[Différence HP
Cumul]]/(Tableau1[[#This Row],[Diff jour_x000D_
Cumul]]*24)</f>
        <v>0.942563588861971</v>
      </c>
      <c r="P374" s="80">
        <f>Tableau1[[#This Row],[Différence HP
Cumul]]/Tableau1[[#This Row],[Diff jour_x000D_
Cumul]]</f>
        <v>22.621526132687304</v>
      </c>
      <c r="Q374" s="80">
        <f>Tableau1[[#This Row],[Conso HP / jour
Cumul]]*365</f>
        <v>8256.8570384308659</v>
      </c>
      <c r="R374" s="78">
        <v>125408</v>
      </c>
      <c r="S374" s="79">
        <f>Tableau1[[#This Row],[Index HC_x000D_
kWh]]-R373</f>
        <v>3</v>
      </c>
      <c r="T374" s="81">
        <f>Tableau1[[#This Row],[Différence_x000D_ HC
Instantané]]/(Tableau1[[#This Row],[Diff jour
Instantané]]*24)</f>
        <v>0.1242236024846517</v>
      </c>
      <c r="U374" s="81">
        <f>Tableau1[[#This Row],[Différence_x000D_ HC
Instantané]]/Tableau1[[#This Row],[Diff jour
Instantané]]</f>
        <v>2.9813664596316407</v>
      </c>
      <c r="V374" s="81">
        <f>Tableau1[[#This Row],[Conso HC / jour_x000D_
Instantané]]*365</f>
        <v>1088.1987577655489</v>
      </c>
      <c r="W374" s="79">
        <f>Tableau1[[#This Row],[Index HC_x000D_
kWh]]-$R$5</f>
        <v>5976</v>
      </c>
      <c r="X374" s="82">
        <f>Tableau1[[#This Row],[Différence HC
Cumul]]/(Tableau1[[#This Row],[Diff jour_x000D_
Cumul]]*24)</f>
        <v>0.40447795540996256</v>
      </c>
      <c r="Y374" s="82">
        <f>Tableau1[[#This Row],[Différence HC
Cumul]]/Tableau1[[#This Row],[Diff jour_x000D_
Cumul]]</f>
        <v>9.7074709298391024</v>
      </c>
      <c r="Z374" s="82">
        <f>Tableau1[[#This Row],[Conso HC / jour_x000D_
Cumul]]*365</f>
        <v>3543.2268893912724</v>
      </c>
      <c r="AA374" s="79">
        <f>Tableau1[[#This Row],[Différence HP
Instantané]]+Tableau1[[#This Row],[Différence_x000D_ HC
Instantané]]</f>
        <v>13</v>
      </c>
      <c r="AB374" s="80">
        <f>Tableau1[[#This Row],[Conso HP + HC
Instantané]]/(Tableau1[[#This Row],[Diff jour
Instantané]]*24)</f>
        <v>0.53830227743349068</v>
      </c>
      <c r="AC374" s="80">
        <f>IF(ISERROR(Tableau1[[#This Row],[Date]]-A373),"",Tableau1[[#This Row],[Conso HP + HC
Instantané]]/Tableau1[[#This Row],[Diff jour
Instantané]])</f>
        <v>12.919254658403776</v>
      </c>
      <c r="AD374" s="80">
        <f>Tableau1[[#This Row],[Conso HP + HC / jour_x000D_
Instantané]]*365</f>
        <v>4715.5279503173788</v>
      </c>
      <c r="AE374" s="79">
        <f>Tableau1[[#This Row],[Différence HP
Cumul]]+Tableau1[[#This Row],[Différence HC
Cumul]]</f>
        <v>19902</v>
      </c>
      <c r="AF374" s="77">
        <f>(Tableau1[[#This Row],[Conso HP + HC
Cumul]]-AE$6)/Tableau1[[#This Row],[Diff jour_x000D_
Cumul
depuis le 24/01]]</f>
        <v>30.009090515562022</v>
      </c>
      <c r="AG374" s="77">
        <f>(Tableau1[[#This Row],[Conso HP + HC
Cumul]]-AE$59)/Tableau1[[#This Row],[Diff jour_x000D_
Cumul
depuis
précédente facture
16/02/2021]]</f>
        <v>28.33304971922222</v>
      </c>
      <c r="AH374" s="80">
        <f>Tableau1[[#This Row],[Conso HP + HC
Cumul]]/(Tableau1[[#This Row],[Diff jour_x000D_
Cumul]]*24)</f>
        <v>1.3470415442719337</v>
      </c>
      <c r="AI374" s="80">
        <f>Tableau1[[#This Row],[Conso HP + HC
Cumul]]/Tableau1[[#This Row],[Diff jour_x000D_
Cumul]]</f>
        <v>32.328997062526405</v>
      </c>
      <c r="AJ374" s="80">
        <f>Tableau1[[#This Row],[Conso HP + HC / jour_x000D_
Cumul]]*365</f>
        <v>11800.083927822137</v>
      </c>
      <c r="AK374" s="83">
        <f>(Tableau1[[#This Row],[Différence HP
Cumul]]*0.1799)+(Tableau1[[#This Row],[Différence HC
Cumul]]*0.1346)</f>
        <v>3309.6570000000002</v>
      </c>
      <c r="AL374" s="83">
        <f>Tableau1[[#This Row],[Montant
Tarif HP/HC]]/Tableau1[[#This Row],[Diff jour_x000D_
Cumul]]</f>
        <v>5.376238138426789</v>
      </c>
      <c r="AM374" s="83">
        <f>(Tableau1[[#This Row],[Montant
Tarif HP/HC]]-AK$6)/Tableau1[[#This Row],[Diff jour_x000D_
Cumul
depuis le 24/01]]</f>
        <v>4.995855417514381</v>
      </c>
      <c r="AN374" s="83">
        <f>(Tableau1[[#This Row],[Montant
Tarif HP/HC]]-AK$59)/Tableau1[[#This Row],[Diff jour_x000D_
Cumul
depuis
précédente facture
16/02/2021]]</f>
        <v>4.7165178326543593</v>
      </c>
      <c r="AO374" s="83">
        <f>Tableau1[[#This Row],[Conso HP + HC
Cumul]]*0.1599</f>
        <v>3182.3297999999995</v>
      </c>
      <c r="AP374" s="83">
        <f>Tableau1[[#This Row],[Montant
Tarif normal]]/Tableau1[[#This Row],[Diff jour_x000D_
Cumul]]</f>
        <v>5.1694066302979715</v>
      </c>
      <c r="AQ374" s="83">
        <f>(Tableau1[[#This Row],[Conso HP / an
Cumul]]*0.1799)+(Tableau1[[#This Row],[Conso HC / an_x000D_
Cumul]]*0.1346)</f>
        <v>1962.326920525778</v>
      </c>
      <c r="AR374" s="83">
        <f>Tableau1[[#This Row],[Conso HP + HC / an_x000D_
Cumul]]*0.1599</f>
        <v>1886.8334200587597</v>
      </c>
      <c r="AS374" s="79">
        <f>MONTH(Tableau1[[#This Row],[Date]])</f>
        <v>8</v>
      </c>
      <c r="AT374" s="79">
        <f>YEAR(Tableau1[[#This Row],[Date]])</f>
        <v>2022</v>
      </c>
    </row>
    <row r="375" spans="1:46" x14ac:dyDescent="0.2">
      <c r="A375" s="74">
        <v>44799.321527777778</v>
      </c>
      <c r="B375" s="75"/>
      <c r="C375" s="76">
        <f>IF(ISERROR(Tableau1[[#This Row],[Date]]-A374),"",Tableau1[[#This Row],[Date]]-A374)</f>
        <v>1.0048611111124046</v>
      </c>
      <c r="D375" s="77">
        <f>IF(ISERROR(Tableau1[[#This Row],[Date]]-A374),"",Tableau1[[#This Row],[Date]]-A374)</f>
        <v>1.0048611111124046</v>
      </c>
      <c r="E375" s="76">
        <f>Tableau1[[#This Row],[Date]]-$A$5</f>
        <v>616.61319444444234</v>
      </c>
      <c r="F375" s="77">
        <f>Tableau1[[#This Row],[Date]]-$A$5</f>
        <v>616.61319444444234</v>
      </c>
      <c r="G375" s="77">
        <f>Tableau1[[#This Row],[Diff jour_x000D_
Cumul]]-F$6</f>
        <v>578.52986111111386</v>
      </c>
      <c r="H375" s="77">
        <f>Tableau1[[#This Row],[Diff jour_x000D_
Cumul]]-F$59</f>
        <v>556.01041666666424</v>
      </c>
      <c r="I375" s="78">
        <v>193690</v>
      </c>
      <c r="J375" s="79">
        <f>IF(ISERROR(Tableau1[[#This Row],[Index HP
kWh]]-I374),"",Tableau1[[#This Row],[Index HP
kWh]]-I374)</f>
        <v>5</v>
      </c>
      <c r="K375" s="77">
        <f>IF(ISERROR(Tableau1[[#This Row],[Différence HP
Instantané]]/(Tableau1[[#This Row],[Diff jour
Instantané]]*24)),"",Tableau1[[#This Row],[Différence HP
Instantané]]/(Tableau1[[#This Row],[Diff jour
Instantané]]*24))</f>
        <v>0.20732550103636063</v>
      </c>
      <c r="L375" s="77">
        <f>Tableau1[[#This Row],[Différence HP
Instantané]]/Tableau1[[#This Row],[Diff jour
Instantané]]</f>
        <v>4.9758120248726554</v>
      </c>
      <c r="M375" s="77">
        <f>Tableau1[[#This Row],[Conso HP / jour
Instantané]]*365</f>
        <v>1816.1713890785193</v>
      </c>
      <c r="N375" s="79">
        <f>Tableau1[[#This Row],[Index HP
kWh]]-$I$5</f>
        <v>13931</v>
      </c>
      <c r="O375" s="80">
        <f>Tableau1[[#This Row],[Différence HP
Cumul]]/(Tableau1[[#This Row],[Diff jour_x000D_
Cumul]]*24)</f>
        <v>0.94136541118993744</v>
      </c>
      <c r="P375" s="80">
        <f>Tableau1[[#This Row],[Différence HP
Cumul]]/Tableau1[[#This Row],[Diff jour_x000D_
Cumul]]</f>
        <v>22.592769868558499</v>
      </c>
      <c r="Q375" s="80">
        <f>Tableau1[[#This Row],[Conso HP / jour
Cumul]]*365</f>
        <v>8246.3610020238521</v>
      </c>
      <c r="R375" s="78">
        <v>125411</v>
      </c>
      <c r="S375" s="79">
        <f>Tableau1[[#This Row],[Index HC_x000D_
kWh]]-R374</f>
        <v>3</v>
      </c>
      <c r="T375" s="81">
        <f>Tableau1[[#This Row],[Différence_x000D_ HC
Instantané]]/(Tableau1[[#This Row],[Diff jour
Instantané]]*24)</f>
        <v>0.12439530062181638</v>
      </c>
      <c r="U375" s="81">
        <f>Tableau1[[#This Row],[Différence_x000D_ HC
Instantané]]/Tableau1[[#This Row],[Diff jour
Instantané]]</f>
        <v>2.9854872149235931</v>
      </c>
      <c r="V375" s="81">
        <f>Tableau1[[#This Row],[Conso HC / jour_x000D_
Instantané]]*365</f>
        <v>1089.7028334471115</v>
      </c>
      <c r="W375" s="79">
        <f>Tableau1[[#This Row],[Index HC_x000D_
kWh]]-$R$5</f>
        <v>5979</v>
      </c>
      <c r="X375" s="82">
        <f>Tableau1[[#This Row],[Différence HC
Cumul]]/(Tableau1[[#This Row],[Diff jour_x000D_
Cumul]]*24)</f>
        <v>0.40402151988404539</v>
      </c>
      <c r="Y375" s="82">
        <f>Tableau1[[#This Row],[Différence HC
Cumul]]/Tableau1[[#This Row],[Diff jour_x000D_
Cumul]]</f>
        <v>9.6965164772170898</v>
      </c>
      <c r="Z375" s="82">
        <f>Tableau1[[#This Row],[Conso HC / jour_x000D_
Cumul]]*365</f>
        <v>3539.2285141842376</v>
      </c>
      <c r="AA375" s="79">
        <f>Tableau1[[#This Row],[Différence HP
Instantané]]+Tableau1[[#This Row],[Différence_x000D_ HC
Instantané]]</f>
        <v>8</v>
      </c>
      <c r="AB375" s="80">
        <f>Tableau1[[#This Row],[Conso HP + HC
Instantané]]/(Tableau1[[#This Row],[Diff jour
Instantané]]*24)</f>
        <v>0.33172080165817702</v>
      </c>
      <c r="AC375" s="80">
        <f>IF(ISERROR(Tableau1[[#This Row],[Date]]-A374),"",Tableau1[[#This Row],[Conso HP + HC
Instantané]]/Tableau1[[#This Row],[Diff jour
Instantané]])</f>
        <v>7.9612992397962481</v>
      </c>
      <c r="AD375" s="80">
        <f>Tableau1[[#This Row],[Conso HP + HC / jour_x000D_
Instantané]]*365</f>
        <v>2905.8742225256306</v>
      </c>
      <c r="AE375" s="79">
        <f>Tableau1[[#This Row],[Différence HP
Cumul]]+Tableau1[[#This Row],[Différence HC
Cumul]]</f>
        <v>19910</v>
      </c>
      <c r="AF375" s="77">
        <f>(Tableau1[[#This Row],[Conso HP + HC
Cumul]]-AE$6)/Tableau1[[#This Row],[Diff jour_x000D_
Cumul
depuis le 24/01]]</f>
        <v>29.970795226886015</v>
      </c>
      <c r="AG375" s="77">
        <f>(Tableau1[[#This Row],[Conso HP + HC
Cumul]]-AE$59)/Tableau1[[#This Row],[Diff jour_x000D_
Cumul
depuis
précédente facture
16/02/2021]]</f>
        <v>28.296232459673767</v>
      </c>
      <c r="AH375" s="80">
        <f>Tableau1[[#This Row],[Conso HP + HC
Cumul]]/(Tableau1[[#This Row],[Diff jour_x000D_
Cumul]]*24)</f>
        <v>1.3453869310739828</v>
      </c>
      <c r="AI375" s="80">
        <f>Tableau1[[#This Row],[Conso HP + HC
Cumul]]/Tableau1[[#This Row],[Diff jour_x000D_
Cumul]]</f>
        <v>32.289286345775587</v>
      </c>
      <c r="AJ375" s="80">
        <f>Tableau1[[#This Row],[Conso HP + HC / jour_x000D_
Cumul]]*365</f>
        <v>11785.589516208089</v>
      </c>
      <c r="AK375" s="83">
        <f>(Tableau1[[#This Row],[Différence HP
Cumul]]*0.1799)+(Tableau1[[#This Row],[Différence HC
Cumul]]*0.1346)</f>
        <v>3310.9603000000002</v>
      </c>
      <c r="AL375" s="83">
        <f>Tableau1[[#This Row],[Montant
Tarif HP/HC]]/Tableau1[[#This Row],[Diff jour_x000D_
Cumul]]</f>
        <v>5.3695904171870943</v>
      </c>
      <c r="AM375" s="83">
        <f>(Tableau1[[#This Row],[Montant
Tarif HP/HC]]-AK$6)/Tableau1[[#This Row],[Diff jour_x000D_
Cumul
depuis le 24/01]]</f>
        <v>4.9894307866082741</v>
      </c>
      <c r="AN375" s="83">
        <f>(Tableau1[[#This Row],[Montant
Tarif HP/HC]]-AK$59)/Tableau1[[#This Row],[Diff jour_x000D_
Cumul
depuis
précédente facture
16/02/2021]]</f>
        <v>4.7103378309009702</v>
      </c>
      <c r="AO375" s="83">
        <f>Tableau1[[#This Row],[Conso HP + HC
Cumul]]*0.1599</f>
        <v>3183.6089999999999</v>
      </c>
      <c r="AP375" s="83">
        <f>Tableau1[[#This Row],[Montant
Tarif normal]]/Tableau1[[#This Row],[Diff jour_x000D_
Cumul]]</f>
        <v>5.1630568866895166</v>
      </c>
      <c r="AQ375" s="83">
        <f>(Tableau1[[#This Row],[Conso HP / an
Cumul]]*0.1799)+(Tableau1[[#This Row],[Conso HC / an_x000D_
Cumul]]*0.1346)</f>
        <v>1959.9005022732892</v>
      </c>
      <c r="AR375" s="83">
        <f>Tableau1[[#This Row],[Conso HP + HC / an_x000D_
Cumul]]*0.1599</f>
        <v>1884.5157636416732</v>
      </c>
      <c r="AS375" s="79">
        <f>MONTH(Tableau1[[#This Row],[Date]])</f>
        <v>8</v>
      </c>
      <c r="AT375" s="79">
        <f>YEAR(Tableau1[[#This Row],[Date]])</f>
        <v>2022</v>
      </c>
    </row>
    <row r="376" spans="1:46" x14ac:dyDescent="0.2">
      <c r="A376" s="74">
        <v>44800.306944444441</v>
      </c>
      <c r="B376" s="75"/>
      <c r="C376" s="76">
        <f>IF(ISERROR(Tableau1[[#This Row],[Date]]-A375),"",Tableau1[[#This Row],[Date]]-A375)</f>
        <v>0.98541666666278616</v>
      </c>
      <c r="D376" s="77">
        <f>IF(ISERROR(Tableau1[[#This Row],[Date]]-A375),"",Tableau1[[#This Row],[Date]]-A375)</f>
        <v>0.98541666666278616</v>
      </c>
      <c r="E376" s="76">
        <f>Tableau1[[#This Row],[Date]]-$A$5</f>
        <v>617.59861111110513</v>
      </c>
      <c r="F376" s="77">
        <f>Tableau1[[#This Row],[Date]]-$A$5</f>
        <v>617.59861111110513</v>
      </c>
      <c r="G376" s="77">
        <f>Tableau1[[#This Row],[Diff jour_x000D_
Cumul]]-F$6</f>
        <v>579.51527777777665</v>
      </c>
      <c r="H376" s="77">
        <f>Tableau1[[#This Row],[Diff jour_x000D_
Cumul]]-F$59</f>
        <v>556.99583333332703</v>
      </c>
      <c r="I376" s="78">
        <v>193698</v>
      </c>
      <c r="J376" s="79">
        <f>IF(ISERROR(Tableau1[[#This Row],[Index HP
kWh]]-I375),"",Tableau1[[#This Row],[Index HP
kWh]]-I375)</f>
        <v>8</v>
      </c>
      <c r="K376" s="77">
        <f>IF(ISERROR(Tableau1[[#This Row],[Différence HP
Instantané]]/(Tableau1[[#This Row],[Diff jour
Instantané]]*24)),"",Tableau1[[#This Row],[Différence HP
Instantané]]/(Tableau1[[#This Row],[Diff jour
Instantané]]*24))</f>
        <v>0.33826638477934473</v>
      </c>
      <c r="L376" s="77">
        <f>Tableau1[[#This Row],[Différence HP
Instantané]]/Tableau1[[#This Row],[Diff jour
Instantané]]</f>
        <v>8.1183932347042749</v>
      </c>
      <c r="M376" s="77">
        <f>Tableau1[[#This Row],[Conso HP / jour
Instantané]]*365</f>
        <v>2963.2135306670602</v>
      </c>
      <c r="N376" s="79">
        <f>Tableau1[[#This Row],[Index HP
kWh]]-$I$5</f>
        <v>13939</v>
      </c>
      <c r="O376" s="80">
        <f>Tableau1[[#This Row],[Différence HP
Cumul]]/(Tableau1[[#This Row],[Diff jour_x000D_
Cumul]]*24)</f>
        <v>0.94040312950474403</v>
      </c>
      <c r="P376" s="80">
        <f>Tableau1[[#This Row],[Différence HP
Cumul]]/Tableau1[[#This Row],[Diff jour_x000D_
Cumul]]</f>
        <v>22.569675108113859</v>
      </c>
      <c r="Q376" s="80">
        <f>Tableau1[[#This Row],[Conso HP / jour
Cumul]]*365</f>
        <v>8237.9314144615582</v>
      </c>
      <c r="R376" s="78">
        <v>125414</v>
      </c>
      <c r="S376" s="79">
        <f>Tableau1[[#This Row],[Index HC_x000D_
kWh]]-R375</f>
        <v>3</v>
      </c>
      <c r="T376" s="81">
        <f>Tableau1[[#This Row],[Différence_x000D_ HC
Instantané]]/(Tableau1[[#This Row],[Diff jour
Instantané]]*24)</f>
        <v>0.12684989429225429</v>
      </c>
      <c r="U376" s="81">
        <f>Tableau1[[#This Row],[Différence_x000D_ HC
Instantané]]/Tableau1[[#This Row],[Diff jour
Instantané]]</f>
        <v>3.0443974630141026</v>
      </c>
      <c r="V376" s="81">
        <f>Tableau1[[#This Row],[Conso HC / jour_x000D_
Instantané]]*365</f>
        <v>1111.2050740001475</v>
      </c>
      <c r="W376" s="79">
        <f>Tableau1[[#This Row],[Index HC_x000D_
kWh]]-$R$5</f>
        <v>5982</v>
      </c>
      <c r="X376" s="82">
        <f>Tableau1[[#This Row],[Différence HC
Cumul]]/(Tableau1[[#This Row],[Diff jour_x000D_
Cumul]]*24)</f>
        <v>0.40357927546433597</v>
      </c>
      <c r="Y376" s="82">
        <f>Tableau1[[#This Row],[Différence HC
Cumul]]/Tableau1[[#This Row],[Diff jour_x000D_
Cumul]]</f>
        <v>9.6859026111440638</v>
      </c>
      <c r="Z376" s="82">
        <f>Tableau1[[#This Row],[Conso HC / jour_x000D_
Cumul]]*365</f>
        <v>3535.3544530675831</v>
      </c>
      <c r="AA376" s="79">
        <f>Tableau1[[#This Row],[Différence HP
Instantané]]+Tableau1[[#This Row],[Différence_x000D_ HC
Instantané]]</f>
        <v>11</v>
      </c>
      <c r="AB376" s="80">
        <f>Tableau1[[#This Row],[Conso HP + HC
Instantané]]/(Tableau1[[#This Row],[Diff jour
Instantané]]*24)</f>
        <v>0.46511627907159903</v>
      </c>
      <c r="AC376" s="80">
        <f>IF(ISERROR(Tableau1[[#This Row],[Date]]-A375),"",Tableau1[[#This Row],[Conso HP + HC
Instantané]]/Tableau1[[#This Row],[Diff jour
Instantané]])</f>
        <v>11.162790697718377</v>
      </c>
      <c r="AD376" s="80">
        <f>Tableau1[[#This Row],[Conso HP + HC / jour_x000D_
Instantané]]*365</f>
        <v>4074.4186046672075</v>
      </c>
      <c r="AE376" s="79">
        <f>Tableau1[[#This Row],[Différence HP
Cumul]]+Tableau1[[#This Row],[Différence HC
Cumul]]</f>
        <v>19921</v>
      </c>
      <c r="AF376" s="77">
        <f>(Tableau1[[#This Row],[Conso HP + HC
Cumul]]-AE$6)/Tableau1[[#This Row],[Diff jour_x000D_
Cumul
depuis le 24/01]]</f>
        <v>29.938813807516397</v>
      </c>
      <c r="AG376" s="77">
        <f>(Tableau1[[#This Row],[Conso HP + HC
Cumul]]-AE$59)/Tableau1[[#This Row],[Diff jour_x000D_
Cumul
depuis
précédente facture
16/02/2021]]</f>
        <v>28.265920600842637</v>
      </c>
      <c r="AH376" s="80">
        <f>Tableau1[[#This Row],[Conso HP + HC
Cumul]]/(Tableau1[[#This Row],[Diff jour_x000D_
Cumul]]*24)</f>
        <v>1.3439824049690801</v>
      </c>
      <c r="AI376" s="80">
        <f>Tableau1[[#This Row],[Conso HP + HC
Cumul]]/Tableau1[[#This Row],[Diff jour_x000D_
Cumul]]</f>
        <v>32.255577719257921</v>
      </c>
      <c r="AJ376" s="80">
        <f>Tableau1[[#This Row],[Conso HP + HC / jour_x000D_
Cumul]]*365</f>
        <v>11773.285867529141</v>
      </c>
      <c r="AK376" s="83">
        <f>(Tableau1[[#This Row],[Différence HP
Cumul]]*0.1799)+(Tableau1[[#This Row],[Différence HC
Cumul]]*0.1346)</f>
        <v>3312.8033</v>
      </c>
      <c r="AL376" s="83">
        <f>Tableau1[[#This Row],[Montant
Tarif HP/HC]]/Tableau1[[#This Row],[Diff jour_x000D_
Cumul]]</f>
        <v>5.364007043409674</v>
      </c>
      <c r="AM376" s="83">
        <f>(Tableau1[[#This Row],[Montant
Tarif HP/HC]]-AK$6)/Tableau1[[#This Row],[Diff jour_x000D_
Cumul
depuis le 24/01]]</f>
        <v>4.9841269259989884</v>
      </c>
      <c r="AN376" s="83">
        <f>(Tableau1[[#This Row],[Montant
Tarif HP/HC]]-AK$59)/Tableau1[[#This Row],[Diff jour_x000D_
Cumul
depuis
précédente facture
16/02/2021]]</f>
        <v>4.7053132952820347</v>
      </c>
      <c r="AO376" s="83">
        <f>Tableau1[[#This Row],[Conso HP + HC
Cumul]]*0.1599</f>
        <v>3185.3678999999997</v>
      </c>
      <c r="AP376" s="83">
        <f>Tableau1[[#This Row],[Montant
Tarif normal]]/Tableau1[[#This Row],[Diff jour_x000D_
Cumul]]</f>
        <v>5.1576668773093415</v>
      </c>
      <c r="AQ376" s="83">
        <f>(Tableau1[[#This Row],[Conso HP / an
Cumul]]*0.1799)+(Tableau1[[#This Row],[Conso HC / an_x000D_
Cumul]]*0.1346)</f>
        <v>1957.8625708445311</v>
      </c>
      <c r="AR376" s="83">
        <f>Tableau1[[#This Row],[Conso HP + HC / an_x000D_
Cumul]]*0.1599</f>
        <v>1882.5484102179096</v>
      </c>
      <c r="AS376" s="79">
        <f>MONTH(Tableau1[[#This Row],[Date]])</f>
        <v>8</v>
      </c>
      <c r="AT376" s="79">
        <f>YEAR(Tableau1[[#This Row],[Date]])</f>
        <v>2022</v>
      </c>
    </row>
    <row r="377" spans="1:46" x14ac:dyDescent="0.2">
      <c r="A377" s="74">
        <v>44802.320833333331</v>
      </c>
      <c r="B377" s="75"/>
      <c r="C377" s="76">
        <f>IF(ISERROR(Tableau1[[#This Row],[Date]]-A376),"",Tableau1[[#This Row],[Date]]-A376)</f>
        <v>2.0138888888905058</v>
      </c>
      <c r="D377" s="77">
        <f>IF(ISERROR(Tableau1[[#This Row],[Date]]-A376),"",Tableau1[[#This Row],[Date]]-A376)</f>
        <v>2.0138888888905058</v>
      </c>
      <c r="E377" s="76">
        <f>Tableau1[[#This Row],[Date]]-$A$5</f>
        <v>619.61249999999563</v>
      </c>
      <c r="F377" s="77">
        <f>Tableau1[[#This Row],[Date]]-$A$5</f>
        <v>619.61249999999563</v>
      </c>
      <c r="G377" s="77">
        <f>Tableau1[[#This Row],[Diff jour_x000D_
Cumul]]-F$6</f>
        <v>581.52916666666715</v>
      </c>
      <c r="H377" s="77">
        <f>Tableau1[[#This Row],[Diff jour_x000D_
Cumul]]-F$59</f>
        <v>559.00972222221753</v>
      </c>
      <c r="I377" s="78">
        <v>193707</v>
      </c>
      <c r="J377" s="79">
        <f>IF(ISERROR(Tableau1[[#This Row],[Index HP
kWh]]-I376),"",Tableau1[[#This Row],[Index HP
kWh]]-I376)</f>
        <v>9</v>
      </c>
      <c r="K377" s="77">
        <f>IF(ISERROR(Tableau1[[#This Row],[Différence HP
Instantané]]/(Tableau1[[#This Row],[Diff jour
Instantané]]*24)),"",Tableau1[[#This Row],[Différence HP
Instantané]]/(Tableau1[[#This Row],[Diff jour
Instantané]]*24))</f>
        <v>0.18620689655157463</v>
      </c>
      <c r="L377" s="77">
        <f>Tableau1[[#This Row],[Différence HP
Instantané]]/Tableau1[[#This Row],[Diff jour
Instantané]]</f>
        <v>4.4689655172377911</v>
      </c>
      <c r="M377" s="77">
        <f>Tableau1[[#This Row],[Conso HP / jour
Instantané]]*365</f>
        <v>1631.1724137917938</v>
      </c>
      <c r="N377" s="79">
        <f>Tableau1[[#This Row],[Index HP
kWh]]-$I$5</f>
        <v>13948</v>
      </c>
      <c r="O377" s="80">
        <f>Tableau1[[#This Row],[Différence HP
Cumul]]/(Tableau1[[#This Row],[Diff jour_x000D_
Cumul]]*24)</f>
        <v>0.93795181127990601</v>
      </c>
      <c r="P377" s="80">
        <f>Tableau1[[#This Row],[Différence HP
Cumul]]/Tableau1[[#This Row],[Diff jour_x000D_
Cumul]]</f>
        <v>22.510843470717745</v>
      </c>
      <c r="Q377" s="80">
        <f>Tableau1[[#This Row],[Conso HP / jour
Cumul]]*365</f>
        <v>8216.4578668119775</v>
      </c>
      <c r="R377" s="78">
        <v>125419</v>
      </c>
      <c r="S377" s="79">
        <f>Tableau1[[#This Row],[Index HC_x000D_
kWh]]-R376</f>
        <v>5</v>
      </c>
      <c r="T377" s="81">
        <f>Tableau1[[#This Row],[Différence_x000D_ HC
Instantané]]/(Tableau1[[#This Row],[Diff jour
Instantané]]*24)</f>
        <v>0.10344827586198591</v>
      </c>
      <c r="U377" s="81">
        <f>Tableau1[[#This Row],[Différence_x000D_ HC
Instantané]]/Tableau1[[#This Row],[Diff jour
Instantané]]</f>
        <v>2.4827586206876617</v>
      </c>
      <c r="V377" s="81">
        <f>Tableau1[[#This Row],[Conso HC / jour_x000D_
Instantané]]*365</f>
        <v>906.20689655099659</v>
      </c>
      <c r="W377" s="79">
        <f>Tableau1[[#This Row],[Index HC_x000D_
kWh]]-$R$5</f>
        <v>5987</v>
      </c>
      <c r="X377" s="82">
        <f>Tableau1[[#This Row],[Différence HC
Cumul]]/(Tableau1[[#This Row],[Diff jour_x000D_
Cumul]]*24)</f>
        <v>0.40260377789882401</v>
      </c>
      <c r="Y377" s="82">
        <f>Tableau1[[#This Row],[Différence HC
Cumul]]/Tableau1[[#This Row],[Diff jour_x000D_
Cumul]]</f>
        <v>9.6624906695717758</v>
      </c>
      <c r="Z377" s="82">
        <f>Tableau1[[#This Row],[Conso HC / jour_x000D_
Cumul]]*365</f>
        <v>3526.8090943936982</v>
      </c>
      <c r="AA377" s="79">
        <f>Tableau1[[#This Row],[Différence HP
Instantané]]+Tableau1[[#This Row],[Différence_x000D_ HC
Instantané]]</f>
        <v>14</v>
      </c>
      <c r="AB377" s="80">
        <f>Tableau1[[#This Row],[Conso HP + HC
Instantané]]/(Tableau1[[#This Row],[Diff jour
Instantané]]*24)</f>
        <v>0.28965517241356054</v>
      </c>
      <c r="AC377" s="80">
        <f>IF(ISERROR(Tableau1[[#This Row],[Date]]-A376),"",Tableau1[[#This Row],[Conso HP + HC
Instantané]]/Tableau1[[#This Row],[Diff jour
Instantané]])</f>
        <v>6.9517241379254529</v>
      </c>
      <c r="AD377" s="80">
        <f>Tableau1[[#This Row],[Conso HP + HC / jour_x000D_
Instantané]]*365</f>
        <v>2537.3793103427902</v>
      </c>
      <c r="AE377" s="79">
        <f>Tableau1[[#This Row],[Différence HP
Cumul]]+Tableau1[[#This Row],[Différence HC
Cumul]]</f>
        <v>19935</v>
      </c>
      <c r="AF377" s="77">
        <f>(Tableau1[[#This Row],[Conso HP + HC
Cumul]]-AE$6)/Tableau1[[#This Row],[Diff jour_x000D_
Cumul
depuis le 24/01]]</f>
        <v>29.859207405762081</v>
      </c>
      <c r="AG377" s="77">
        <f>(Tableau1[[#This Row],[Conso HP + HC
Cumul]]-AE$59)/Tableau1[[#This Row],[Diff jour_x000D_
Cumul
depuis
précédente facture
16/02/2021]]</f>
        <v>28.189134058988476</v>
      </c>
      <c r="AH377" s="80">
        <f>Tableau1[[#This Row],[Conso HP + HC
Cumul]]/(Tableau1[[#This Row],[Diff jour_x000D_
Cumul]]*24)</f>
        <v>1.34055558917873</v>
      </c>
      <c r="AI377" s="80">
        <f>Tableau1[[#This Row],[Conso HP + HC
Cumul]]/Tableau1[[#This Row],[Diff jour_x000D_
Cumul]]</f>
        <v>32.173334140289519</v>
      </c>
      <c r="AJ377" s="80">
        <f>Tableau1[[#This Row],[Conso HP + HC / jour_x000D_
Cumul]]*365</f>
        <v>11743.266961205674</v>
      </c>
      <c r="AK377" s="83">
        <f>(Tableau1[[#This Row],[Différence HP
Cumul]]*0.1799)+(Tableau1[[#This Row],[Différence HC
Cumul]]*0.1346)</f>
        <v>3315.0953999999997</v>
      </c>
      <c r="AL377" s="83">
        <f>Tableau1[[#This Row],[Montant
Tarif HP/HC]]/Tableau1[[#This Row],[Diff jour_x000D_
Cumul]]</f>
        <v>5.3502719845064828</v>
      </c>
      <c r="AM377" s="83">
        <f>(Tableau1[[#This Row],[Montant
Tarif HP/HC]]-AK$6)/Tableau1[[#This Row],[Diff jour_x000D_
Cumul
depuis le 24/01]]</f>
        <v>4.970807941705413</v>
      </c>
      <c r="AN377" s="83">
        <f>(Tableau1[[#This Row],[Montant
Tarif HP/HC]]-AK$59)/Tableau1[[#This Row],[Diff jour_x000D_
Cumul
depuis
précédente facture
16/02/2021]]</f>
        <v>4.6924622161709957</v>
      </c>
      <c r="AO377" s="83">
        <f>Tableau1[[#This Row],[Conso HP + HC
Cumul]]*0.1599</f>
        <v>3187.6064999999999</v>
      </c>
      <c r="AP377" s="83">
        <f>Tableau1[[#This Row],[Montant
Tarif normal]]/Tableau1[[#This Row],[Diff jour_x000D_
Cumul]]</f>
        <v>5.1445161290322945</v>
      </c>
      <c r="AQ377" s="83">
        <f>(Tableau1[[#This Row],[Conso HP / an
Cumul]]*0.1799)+(Tableau1[[#This Row],[Conso HC / an_x000D_
Cumul]]*0.1346)</f>
        <v>1952.8492743448664</v>
      </c>
      <c r="AR377" s="83">
        <f>Tableau1[[#This Row],[Conso HP + HC / an_x000D_
Cumul]]*0.1599</f>
        <v>1877.7483870967872</v>
      </c>
      <c r="AS377" s="79">
        <f>MONTH(Tableau1[[#This Row],[Date]])</f>
        <v>8</v>
      </c>
      <c r="AT377" s="79">
        <f>YEAR(Tableau1[[#This Row],[Date]])</f>
        <v>2022</v>
      </c>
    </row>
    <row r="378" spans="1:46" x14ac:dyDescent="0.2">
      <c r="A378" s="74">
        <v>44803.3125</v>
      </c>
      <c r="B378" s="75"/>
      <c r="C378" s="76">
        <f>IF(ISERROR(Tableau1[[#This Row],[Date]]-A377),"",Tableau1[[#This Row],[Date]]-A377)</f>
        <v>0.99166666666860692</v>
      </c>
      <c r="D378" s="77">
        <f>IF(ISERROR(Tableau1[[#This Row],[Date]]-A377),"",Tableau1[[#This Row],[Date]]-A377)</f>
        <v>0.99166666666860692</v>
      </c>
      <c r="E378" s="76">
        <f>Tableau1[[#This Row],[Date]]-$A$5</f>
        <v>620.60416666666424</v>
      </c>
      <c r="F378" s="77">
        <f>Tableau1[[#This Row],[Date]]-$A$5</f>
        <v>620.60416666666424</v>
      </c>
      <c r="G378" s="77">
        <f>Tableau1[[#This Row],[Diff jour_x000D_
Cumul]]-F$6</f>
        <v>582.52083333333576</v>
      </c>
      <c r="H378" s="77">
        <f>Tableau1[[#This Row],[Diff jour_x000D_
Cumul]]-F$59</f>
        <v>560.00138888888614</v>
      </c>
      <c r="I378" s="78">
        <v>193713</v>
      </c>
      <c r="J378" s="79">
        <f>IF(ISERROR(Tableau1[[#This Row],[Index HP
kWh]]-I377),"",Tableau1[[#This Row],[Index HP
kWh]]-I377)</f>
        <v>6</v>
      </c>
      <c r="K378" s="77">
        <f>IF(ISERROR(Tableau1[[#This Row],[Différence HP
Instantané]]/(Tableau1[[#This Row],[Diff jour
Instantané]]*24)),"",Tableau1[[#This Row],[Différence HP
Instantané]]/(Tableau1[[#This Row],[Diff jour
Instantané]]*24))</f>
        <v>0.25210084033564123</v>
      </c>
      <c r="L378" s="77">
        <f>Tableau1[[#This Row],[Différence HP
Instantané]]/Tableau1[[#This Row],[Diff jour
Instantané]]</f>
        <v>6.0504201680553891</v>
      </c>
      <c r="M378" s="77">
        <f>Tableau1[[#This Row],[Conso HP / jour
Instantané]]*365</f>
        <v>2208.4033613402171</v>
      </c>
      <c r="N378" s="79">
        <f>Tableau1[[#This Row],[Index HP
kWh]]-$I$5</f>
        <v>13954</v>
      </c>
      <c r="O378" s="80">
        <f>Tableau1[[#This Row],[Différence HP
Cumul]]/(Tableau1[[#This Row],[Diff jour_x000D_
Cumul]]*24)</f>
        <v>0.93685588640102413</v>
      </c>
      <c r="P378" s="80">
        <f>Tableau1[[#This Row],[Différence HP
Cumul]]/Tableau1[[#This Row],[Diff jour_x000D_
Cumul]]</f>
        <v>22.484541273624579</v>
      </c>
      <c r="Q378" s="80">
        <f>Tableau1[[#This Row],[Conso HP / jour
Cumul]]*365</f>
        <v>8206.8575648729711</v>
      </c>
      <c r="R378" s="78">
        <v>125422</v>
      </c>
      <c r="S378" s="79">
        <f>Tableau1[[#This Row],[Index HC_x000D_
kWh]]-R377</f>
        <v>3</v>
      </c>
      <c r="T378" s="81">
        <f>Tableau1[[#This Row],[Différence_x000D_ HC
Instantané]]/(Tableau1[[#This Row],[Diff jour
Instantané]]*24)</f>
        <v>0.12605042016782061</v>
      </c>
      <c r="U378" s="81">
        <f>Tableau1[[#This Row],[Différence_x000D_ HC
Instantané]]/Tableau1[[#This Row],[Diff jour
Instantané]]</f>
        <v>3.0252100840276945</v>
      </c>
      <c r="V378" s="81">
        <f>Tableau1[[#This Row],[Conso HC / jour_x000D_
Instantané]]*365</f>
        <v>1104.2016806701085</v>
      </c>
      <c r="W378" s="79">
        <f>Tableau1[[#This Row],[Index HC_x000D_
kWh]]-$R$5</f>
        <v>5990</v>
      </c>
      <c r="X378" s="82">
        <f>Tableau1[[#This Row],[Différence HC
Cumul]]/(Tableau1[[#This Row],[Diff jour_x000D_
Cumul]]*24)</f>
        <v>0.40216187183188584</v>
      </c>
      <c r="Y378" s="82">
        <f>Tableau1[[#This Row],[Différence HC
Cumul]]/Tableau1[[#This Row],[Diff jour_x000D_
Cumul]]</f>
        <v>9.6518849239652607</v>
      </c>
      <c r="Z378" s="82">
        <f>Tableau1[[#This Row],[Conso HC / jour_x000D_
Cumul]]*365</f>
        <v>3522.9379972473203</v>
      </c>
      <c r="AA378" s="79">
        <f>Tableau1[[#This Row],[Différence HP
Instantané]]+Tableau1[[#This Row],[Différence_x000D_ HC
Instantané]]</f>
        <v>9</v>
      </c>
      <c r="AB378" s="80">
        <f>Tableau1[[#This Row],[Conso HP + HC
Instantané]]/(Tableau1[[#This Row],[Diff jour
Instantané]]*24)</f>
        <v>0.37815126050346182</v>
      </c>
      <c r="AC378" s="80">
        <f>IF(ISERROR(Tableau1[[#This Row],[Date]]-A377),"",Tableau1[[#This Row],[Conso HP + HC
Instantané]]/Tableau1[[#This Row],[Diff jour
Instantané]])</f>
        <v>9.0756302520830836</v>
      </c>
      <c r="AD378" s="80">
        <f>Tableau1[[#This Row],[Conso HP + HC / jour_x000D_
Instantané]]*365</f>
        <v>3312.6050420103256</v>
      </c>
      <c r="AE378" s="79">
        <f>Tableau1[[#This Row],[Différence HP
Cumul]]+Tableau1[[#This Row],[Différence HC
Cumul]]</f>
        <v>19944</v>
      </c>
      <c r="AF378" s="77">
        <f>(Tableau1[[#This Row],[Conso HP + HC
Cumul]]-AE$6)/Tableau1[[#This Row],[Diff jour_x000D_
Cumul
depuis le 24/01]]</f>
        <v>29.823826043417494</v>
      </c>
      <c r="AG378" s="77">
        <f>(Tableau1[[#This Row],[Conso HP + HC
Cumul]]-AE$59)/Tableau1[[#This Row],[Diff jour_x000D_
Cumul
depuis
précédente facture
16/02/2021]]</f>
        <v>28.15528731327565</v>
      </c>
      <c r="AH378" s="80">
        <f>Tableau1[[#This Row],[Conso HP + HC
Cumul]]/(Tableau1[[#This Row],[Diff jour_x000D_
Cumul]]*24)</f>
        <v>1.3390177582329099</v>
      </c>
      <c r="AI378" s="80">
        <f>Tableau1[[#This Row],[Conso HP + HC
Cumul]]/Tableau1[[#This Row],[Diff jour_x000D_
Cumul]]</f>
        <v>32.136426197589842</v>
      </c>
      <c r="AJ378" s="80">
        <f>Tableau1[[#This Row],[Conso HP + HC / jour_x000D_
Cumul]]*365</f>
        <v>11729.795562120293</v>
      </c>
      <c r="AK378" s="83">
        <f>(Tableau1[[#This Row],[Différence HP
Cumul]]*0.1799)+(Tableau1[[#This Row],[Différence HC
Cumul]]*0.1346)</f>
        <v>3316.5785999999998</v>
      </c>
      <c r="AL378" s="83">
        <f>Tableau1[[#This Row],[Montant
Tarif HP/HC]]/Tableau1[[#This Row],[Diff jour_x000D_
Cumul]]</f>
        <v>5.3441126858907859</v>
      </c>
      <c r="AM378" s="83">
        <f>(Tableau1[[#This Row],[Montant
Tarif HP/HC]]-AK$6)/Tableau1[[#This Row],[Diff jour_x000D_
Cumul
depuis le 24/01]]</f>
        <v>4.96489195665389</v>
      </c>
      <c r="AN378" s="83">
        <f>(Tableau1[[#This Row],[Montant
Tarif HP/HC]]-AK$59)/Tableau1[[#This Row],[Diff jour_x000D_
Cumul
depuis
précédente facture
16/02/2021]]</f>
        <v>4.6868012331318845</v>
      </c>
      <c r="AO378" s="83">
        <f>Tableau1[[#This Row],[Conso HP + HC
Cumul]]*0.1599</f>
        <v>3189.0455999999999</v>
      </c>
      <c r="AP378" s="83">
        <f>Tableau1[[#This Row],[Montant
Tarif normal]]/Tableau1[[#This Row],[Diff jour_x000D_
Cumul]]</f>
        <v>5.1386145489946156</v>
      </c>
      <c r="AQ378" s="83">
        <f>(Tableau1[[#This Row],[Conso HP / an
Cumul]]*0.1799)+(Tableau1[[#This Row],[Conso HC / an_x000D_
Cumul]]*0.1346)</f>
        <v>1950.6011303501368</v>
      </c>
      <c r="AR378" s="83">
        <f>Tableau1[[#This Row],[Conso HP + HC / an_x000D_
Cumul]]*0.1599</f>
        <v>1875.5943103830346</v>
      </c>
      <c r="AS378" s="79">
        <f>MONTH(Tableau1[[#This Row],[Date]])</f>
        <v>8</v>
      </c>
      <c r="AT378" s="79">
        <f>YEAR(Tableau1[[#This Row],[Date]])</f>
        <v>2022</v>
      </c>
    </row>
    <row r="379" spans="1:46" x14ac:dyDescent="0.2">
      <c r="A379" s="74">
        <v>44804.359722222223</v>
      </c>
      <c r="B379" s="75"/>
      <c r="C379" s="76">
        <f>IF(ISERROR(Tableau1[[#This Row],[Date]]-A378),"",Tableau1[[#This Row],[Date]]-A378)</f>
        <v>1.047222222223354</v>
      </c>
      <c r="D379" s="77">
        <f>IF(ISERROR(Tableau1[[#This Row],[Date]]-A378),"",Tableau1[[#This Row],[Date]]-A378)</f>
        <v>1.047222222223354</v>
      </c>
      <c r="E379" s="76">
        <f>Tableau1[[#This Row],[Date]]-$A$5</f>
        <v>621.6513888888876</v>
      </c>
      <c r="F379" s="77">
        <f>Tableau1[[#This Row],[Date]]-$A$5</f>
        <v>621.6513888888876</v>
      </c>
      <c r="G379" s="77">
        <f>Tableau1[[#This Row],[Diff jour_x000D_
Cumul]]-F$6</f>
        <v>583.56805555555911</v>
      </c>
      <c r="H379" s="77">
        <f>Tableau1[[#This Row],[Diff jour_x000D_
Cumul]]-F$59</f>
        <v>561.04861111110949</v>
      </c>
      <c r="I379" s="78">
        <v>193719</v>
      </c>
      <c r="J379" s="79">
        <f>IF(ISERROR(Tableau1[[#This Row],[Index HP
kWh]]-I378),"",Tableau1[[#This Row],[Index HP
kWh]]-I378)</f>
        <v>6</v>
      </c>
      <c r="K379" s="77">
        <f>IF(ISERROR(Tableau1[[#This Row],[Différence HP
Instantané]]/(Tableau1[[#This Row],[Diff jour
Instantané]]*24)),"",Tableau1[[#This Row],[Différence HP
Instantané]]/(Tableau1[[#This Row],[Diff jour
Instantané]]*24))</f>
        <v>0.23872679045067038</v>
      </c>
      <c r="L379" s="77">
        <f>Tableau1[[#This Row],[Différence HP
Instantané]]/Tableau1[[#This Row],[Diff jour
Instantané]]</f>
        <v>5.7294429708160886</v>
      </c>
      <c r="M379" s="77">
        <f>Tableau1[[#This Row],[Conso HP / jour
Instantané]]*365</f>
        <v>2091.2466843478724</v>
      </c>
      <c r="N379" s="79">
        <f>Tableau1[[#This Row],[Index HP
kWh]]-$I$5</f>
        <v>13960</v>
      </c>
      <c r="O379" s="80">
        <f>Tableau1[[#This Row],[Différence HP
Cumul]]/(Tableau1[[#This Row],[Diff jour_x000D_
Cumul]]*24)</f>
        <v>0.93567983127378218</v>
      </c>
      <c r="P379" s="80">
        <f>Tableau1[[#This Row],[Différence HP
Cumul]]/Tableau1[[#This Row],[Diff jour_x000D_
Cumul]]</f>
        <v>22.456315950570772</v>
      </c>
      <c r="Q379" s="80">
        <f>Tableau1[[#This Row],[Conso HP / jour
Cumul]]*365</f>
        <v>8196.5553219583326</v>
      </c>
      <c r="R379" s="78">
        <v>125425</v>
      </c>
      <c r="S379" s="79">
        <f>Tableau1[[#This Row],[Index HC_x000D_
kWh]]-R378</f>
        <v>3</v>
      </c>
      <c r="T379" s="81">
        <f>Tableau1[[#This Row],[Différence_x000D_ HC
Instantané]]/(Tableau1[[#This Row],[Diff jour
Instantané]]*24)</f>
        <v>0.11936339522533519</v>
      </c>
      <c r="U379" s="81">
        <f>Tableau1[[#This Row],[Différence_x000D_ HC
Instantané]]/Tableau1[[#This Row],[Diff jour
Instantané]]</f>
        <v>2.8647214854080443</v>
      </c>
      <c r="V379" s="81">
        <f>Tableau1[[#This Row],[Conso HC / jour_x000D_
Instantané]]*365</f>
        <v>1045.6233421739362</v>
      </c>
      <c r="W379" s="79">
        <f>Tableau1[[#This Row],[Index HC_x000D_
kWh]]-$R$5</f>
        <v>5993</v>
      </c>
      <c r="X379" s="82">
        <f>Tableau1[[#This Row],[Différence HC
Cumul]]/(Tableau1[[#This Row],[Diff jour_x000D_
Cumul]]*24)</f>
        <v>0.40168547484411005</v>
      </c>
      <c r="Y379" s="82">
        <f>Tableau1[[#This Row],[Différence HC
Cumul]]/Tableau1[[#This Row],[Diff jour_x000D_
Cumul]]</f>
        <v>9.6404513962586407</v>
      </c>
      <c r="Z379" s="82">
        <f>Tableau1[[#This Row],[Conso HC / jour_x000D_
Cumul]]*365</f>
        <v>3518.7647596344041</v>
      </c>
      <c r="AA379" s="79">
        <f>Tableau1[[#This Row],[Différence HP
Instantané]]+Tableau1[[#This Row],[Différence_x000D_ HC
Instantané]]</f>
        <v>9</v>
      </c>
      <c r="AB379" s="80">
        <f>Tableau1[[#This Row],[Conso HP + HC
Instantané]]/(Tableau1[[#This Row],[Diff jour
Instantané]]*24)</f>
        <v>0.35809018567600553</v>
      </c>
      <c r="AC379" s="80">
        <f>IF(ISERROR(Tableau1[[#This Row],[Date]]-A378),"",Tableau1[[#This Row],[Conso HP + HC
Instantané]]/Tableau1[[#This Row],[Diff jour
Instantané]])</f>
        <v>8.5941644562241333</v>
      </c>
      <c r="AD379" s="80">
        <f>Tableau1[[#This Row],[Conso HP + HC / jour_x000D_
Instantané]]*365</f>
        <v>3136.8700265218085</v>
      </c>
      <c r="AE379" s="79">
        <f>Tableau1[[#This Row],[Différence HP
Cumul]]+Tableau1[[#This Row],[Différence HC
Cumul]]</f>
        <v>19953</v>
      </c>
      <c r="AF379" s="77">
        <f>(Tableau1[[#This Row],[Conso HP + HC
Cumul]]-AE$6)/Tableau1[[#This Row],[Diff jour_x000D_
Cumul
depuis le 24/01]]</f>
        <v>29.785729075681271</v>
      </c>
      <c r="AG379" s="77">
        <f>(Tableau1[[#This Row],[Conso HP + HC
Cumul]]-AE$59)/Tableau1[[#This Row],[Diff jour_x000D_
Cumul
depuis
précédente facture
16/02/2021]]</f>
        <v>28.118775606193839</v>
      </c>
      <c r="AH379" s="80">
        <f>Tableau1[[#This Row],[Conso HP + HC
Cumul]]/(Tableau1[[#This Row],[Diff jour_x000D_
Cumul]]*24)</f>
        <v>1.3373653061178923</v>
      </c>
      <c r="AI379" s="80">
        <f>Tableau1[[#This Row],[Conso HP + HC
Cumul]]/Tableau1[[#This Row],[Diff jour_x000D_
Cumul]]</f>
        <v>32.096767346829409</v>
      </c>
      <c r="AJ379" s="80">
        <f>Tableau1[[#This Row],[Conso HP + HC / jour_x000D_
Cumul]]*365</f>
        <v>11715.320081592734</v>
      </c>
      <c r="AK379" s="83">
        <f>(Tableau1[[#This Row],[Différence HP
Cumul]]*0.1799)+(Tableau1[[#This Row],[Différence HC
Cumul]]*0.1346)</f>
        <v>3318.0617999999999</v>
      </c>
      <c r="AL379" s="83">
        <f>Tableau1[[#This Row],[Montant
Tarif HP/HC]]/Tableau1[[#This Row],[Diff jour_x000D_
Cumul]]</f>
        <v>5.337495997444095</v>
      </c>
      <c r="AM379" s="83">
        <f>(Tableau1[[#This Row],[Montant
Tarif HP/HC]]-AK$6)/Tableau1[[#This Row],[Diff jour_x000D_
Cumul
depuis le 24/01]]</f>
        <v>4.9585239843967246</v>
      </c>
      <c r="AN379" s="83">
        <f>(Tableau1[[#This Row],[Montant
Tarif HP/HC]]-AK$59)/Tableau1[[#This Row],[Diff jour_x000D_
Cumul
depuis
précédente facture
16/02/2021]]</f>
        <v>4.680696731071543</v>
      </c>
      <c r="AO379" s="83">
        <f>Tableau1[[#This Row],[Conso HP + HC
Cumul]]*0.1599</f>
        <v>3190.4846999999995</v>
      </c>
      <c r="AP379" s="83">
        <f>Tableau1[[#This Row],[Montant
Tarif normal]]/Tableau1[[#This Row],[Diff jour_x000D_
Cumul]]</f>
        <v>5.1322730987580218</v>
      </c>
      <c r="AQ379" s="83">
        <f>(Tableau1[[#This Row],[Conso HP / an
Cumul]]*0.1799)+(Tableau1[[#This Row],[Conso HC / an_x000D_
Cumul]]*0.1346)</f>
        <v>1948.1860390670947</v>
      </c>
      <c r="AR379" s="83">
        <f>Tableau1[[#This Row],[Conso HP + HC / an_x000D_
Cumul]]*0.1599</f>
        <v>1873.279681046678</v>
      </c>
      <c r="AS379" s="79">
        <f>MONTH(Tableau1[[#This Row],[Date]])</f>
        <v>8</v>
      </c>
      <c r="AT379" s="79">
        <f>YEAR(Tableau1[[#This Row],[Date]])</f>
        <v>2022</v>
      </c>
    </row>
    <row r="380" spans="1:46" x14ac:dyDescent="0.2">
      <c r="A380" s="74">
        <v>44805.369444444441</v>
      </c>
      <c r="B380" s="75"/>
      <c r="C380" s="76">
        <f>IF(ISERROR(Tableau1[[#This Row],[Date]]-A379),"",Tableau1[[#This Row],[Date]]-A379)</f>
        <v>1.0097222222175333</v>
      </c>
      <c r="D380" s="77">
        <f>IF(ISERROR(Tableau1[[#This Row],[Date]]-A379),"",Tableau1[[#This Row],[Date]]-A379)</f>
        <v>1.0097222222175333</v>
      </c>
      <c r="E380" s="76">
        <f>Tableau1[[#This Row],[Date]]-$A$5</f>
        <v>622.66111111110513</v>
      </c>
      <c r="F380" s="77">
        <f>Tableau1[[#This Row],[Date]]-$A$5</f>
        <v>622.66111111110513</v>
      </c>
      <c r="G380" s="77">
        <f>Tableau1[[#This Row],[Diff jour_x000D_
Cumul]]-F$6</f>
        <v>584.57777777777665</v>
      </c>
      <c r="H380" s="77">
        <f>Tableau1[[#This Row],[Diff jour_x000D_
Cumul]]-F$59</f>
        <v>562.05833333332703</v>
      </c>
      <c r="I380" s="78">
        <v>193726</v>
      </c>
      <c r="J380" s="79">
        <f>IF(ISERROR(Tableau1[[#This Row],[Index HP
kWh]]-I379),"",Tableau1[[#This Row],[Index HP
kWh]]-I379)</f>
        <v>7</v>
      </c>
      <c r="K380" s="77">
        <f>IF(ISERROR(Tableau1[[#This Row],[Différence HP
Instantané]]/(Tableau1[[#This Row],[Diff jour
Instantané]]*24)),"",Tableau1[[#This Row],[Différence HP
Instantané]]/(Tableau1[[#This Row],[Diff jour
Instantané]]*24))</f>
        <v>0.28885832187204291</v>
      </c>
      <c r="L380" s="77">
        <f>Tableau1[[#This Row],[Différence HP
Instantané]]/Tableau1[[#This Row],[Diff jour
Instantané]]</f>
        <v>6.9325997249290303</v>
      </c>
      <c r="M380" s="77">
        <f>Tableau1[[#This Row],[Conso HP / jour
Instantané]]*365</f>
        <v>2530.3988995990962</v>
      </c>
      <c r="N380" s="79">
        <f>Tableau1[[#This Row],[Index HP
kWh]]-$I$5</f>
        <v>13967</v>
      </c>
      <c r="O380" s="80">
        <f>Tableau1[[#This Row],[Différence HP
Cumul]]/(Tableau1[[#This Row],[Diff jour_x000D_
Cumul]]*24)</f>
        <v>0.93463092996904873</v>
      </c>
      <c r="P380" s="80">
        <f>Tableau1[[#This Row],[Différence HP
Cumul]]/Tableau1[[#This Row],[Diff jour_x000D_
Cumul]]</f>
        <v>22.43114231925717</v>
      </c>
      <c r="Q380" s="80">
        <f>Tableau1[[#This Row],[Conso HP / jour
Cumul]]*365</f>
        <v>8187.3669465288667</v>
      </c>
      <c r="R380" s="78">
        <v>125428</v>
      </c>
      <c r="S380" s="79">
        <f>Tableau1[[#This Row],[Index HC_x000D_
kWh]]-R379</f>
        <v>3</v>
      </c>
      <c r="T380" s="81">
        <f>Tableau1[[#This Row],[Différence_x000D_ HC
Instantané]]/(Tableau1[[#This Row],[Diff jour
Instantané]]*24)</f>
        <v>0.12379642365944696</v>
      </c>
      <c r="U380" s="81">
        <f>Tableau1[[#This Row],[Différence_x000D_ HC
Instantané]]/Tableau1[[#This Row],[Diff jour
Instantané]]</f>
        <v>2.9711141678267272</v>
      </c>
      <c r="V380" s="81">
        <f>Tableau1[[#This Row],[Conso HC / jour_x000D_
Instantané]]*365</f>
        <v>1084.4566712567555</v>
      </c>
      <c r="W380" s="79">
        <f>Tableau1[[#This Row],[Index HC_x000D_
kWh]]-$R$5</f>
        <v>5996</v>
      </c>
      <c r="X380" s="82">
        <f>Tableau1[[#This Row],[Différence HC
Cumul]]/(Tableau1[[#This Row],[Diff jour_x000D_
Cumul]]*24)</f>
        <v>0.40123484328019016</v>
      </c>
      <c r="Y380" s="82">
        <f>Tableau1[[#This Row],[Différence HC
Cumul]]/Tableau1[[#This Row],[Diff jour_x000D_
Cumul]]</f>
        <v>9.6296362387245633</v>
      </c>
      <c r="Z380" s="82">
        <f>Tableau1[[#This Row],[Conso HC / jour_x000D_
Cumul]]*365</f>
        <v>3514.8172271344656</v>
      </c>
      <c r="AA380" s="79">
        <f>Tableau1[[#This Row],[Différence HP
Instantané]]+Tableau1[[#This Row],[Différence_x000D_ HC
Instantané]]</f>
        <v>10</v>
      </c>
      <c r="AB380" s="80">
        <f>Tableau1[[#This Row],[Conso HP + HC
Instantané]]/(Tableau1[[#This Row],[Diff jour
Instantané]]*24)</f>
        <v>0.4126547455314899</v>
      </c>
      <c r="AC380" s="80">
        <f>IF(ISERROR(Tableau1[[#This Row],[Date]]-A379),"",Tableau1[[#This Row],[Conso HP + HC
Instantané]]/Tableau1[[#This Row],[Diff jour
Instantané]])</f>
        <v>9.9037138927557571</v>
      </c>
      <c r="AD380" s="80">
        <f>Tableau1[[#This Row],[Conso HP + HC / jour_x000D_
Instantané]]*365</f>
        <v>3614.8555708558515</v>
      </c>
      <c r="AE380" s="79">
        <f>Tableau1[[#This Row],[Différence HP
Cumul]]+Tableau1[[#This Row],[Différence HC
Cumul]]</f>
        <v>19963</v>
      </c>
      <c r="AF380" s="77">
        <f>(Tableau1[[#This Row],[Conso HP + HC
Cumul]]-AE$6)/Tableau1[[#This Row],[Diff jour_x000D_
Cumul
depuis le 24/01]]</f>
        <v>29.751387516156068</v>
      </c>
      <c r="AG380" s="77">
        <f>(Tableau1[[#This Row],[Conso HP + HC
Cumul]]-AE$59)/Tableau1[[#This Row],[Diff jour_x000D_
Cumul
depuis
précédente facture
16/02/2021]]</f>
        <v>28.086052752531934</v>
      </c>
      <c r="AH380" s="80">
        <f>Tableau1[[#This Row],[Conso HP + HC
Cumul]]/(Tableau1[[#This Row],[Diff jour_x000D_
Cumul]]*24)</f>
        <v>1.3358657732492387</v>
      </c>
      <c r="AI380" s="80">
        <f>Tableau1[[#This Row],[Conso HP + HC
Cumul]]/Tableau1[[#This Row],[Diff jour_x000D_
Cumul]]</f>
        <v>32.060778557981735</v>
      </c>
      <c r="AJ380" s="80">
        <f>Tableau1[[#This Row],[Conso HP + HC / jour_x000D_
Cumul]]*365</f>
        <v>11702.184173663332</v>
      </c>
      <c r="AK380" s="83">
        <f>(Tableau1[[#This Row],[Différence HP
Cumul]]*0.1799)+(Tableau1[[#This Row],[Différence HC
Cumul]]*0.1346)</f>
        <v>3319.7249000000002</v>
      </c>
      <c r="AL380" s="83">
        <f>Tableau1[[#This Row],[Montant
Tarif HP/HC]]/Tableau1[[#This Row],[Diff jour_x000D_
Cumul]]</f>
        <v>5.3315115409666909</v>
      </c>
      <c r="AM380" s="83">
        <f>(Tableau1[[#This Row],[Montant
Tarif HP/HC]]-AK$6)/Tableau1[[#This Row],[Diff jour_x000D_
Cumul
depuis le 24/01]]</f>
        <v>4.9528042461795883</v>
      </c>
      <c r="AN380" s="83">
        <f>(Tableau1[[#This Row],[Montant
Tarif HP/HC]]-AK$59)/Tableau1[[#This Row],[Diff jour_x000D_
Cumul
depuis
précédente facture
16/02/2021]]</f>
        <v>4.6752469346302066</v>
      </c>
      <c r="AO380" s="83">
        <f>Tableau1[[#This Row],[Conso HP + HC
Cumul]]*0.1599</f>
        <v>3192.0836999999997</v>
      </c>
      <c r="AP380" s="83">
        <f>Tableau1[[#This Row],[Montant
Tarif normal]]/Tableau1[[#This Row],[Diff jour_x000D_
Cumul]]</f>
        <v>5.1265184914212787</v>
      </c>
      <c r="AQ380" s="83">
        <f>(Tableau1[[#This Row],[Conso HP / an
Cumul]]*0.1799)+(Tableau1[[#This Row],[Conso HC / an_x000D_
Cumul]]*0.1346)</f>
        <v>1946.0017124528422</v>
      </c>
      <c r="AR380" s="83">
        <f>Tableau1[[#This Row],[Conso HP + HC / an_x000D_
Cumul]]*0.1599</f>
        <v>1871.1792493687667</v>
      </c>
      <c r="AS380" s="79">
        <f>MONTH(Tableau1[[#This Row],[Date]])</f>
        <v>9</v>
      </c>
      <c r="AT380" s="79">
        <f>YEAR(Tableau1[[#This Row],[Date]])</f>
        <v>2022</v>
      </c>
    </row>
    <row r="381" spans="1:46" x14ac:dyDescent="0.2">
      <c r="A381" s="74">
        <v>44806.30972222222</v>
      </c>
      <c r="B381" s="75"/>
      <c r="C381" s="76">
        <f>IF(ISERROR(Tableau1[[#This Row],[Date]]-A380),"",Tableau1[[#This Row],[Date]]-A380)</f>
        <v>0.94027777777955635</v>
      </c>
      <c r="D381" s="77">
        <f>IF(ISERROR(Tableau1[[#This Row],[Date]]-A380),"",Tableau1[[#This Row],[Date]]-A380)</f>
        <v>0.94027777777955635</v>
      </c>
      <c r="E381" s="76">
        <f>Tableau1[[#This Row],[Date]]-$A$5</f>
        <v>623.60138888888469</v>
      </c>
      <c r="F381" s="77">
        <f>Tableau1[[#This Row],[Date]]-$A$5</f>
        <v>623.60138888888469</v>
      </c>
      <c r="G381" s="77">
        <f>Tableau1[[#This Row],[Diff jour_x000D_
Cumul]]-F$6</f>
        <v>585.5180555555562</v>
      </c>
      <c r="H381" s="77">
        <f>Tableau1[[#This Row],[Diff jour_x000D_
Cumul]]-F$59</f>
        <v>562.99861111110658</v>
      </c>
      <c r="I381" s="78">
        <v>193734</v>
      </c>
      <c r="J381" s="79">
        <f>IF(ISERROR(Tableau1[[#This Row],[Index HP
kWh]]-I380),"",Tableau1[[#This Row],[Index HP
kWh]]-I380)</f>
        <v>8</v>
      </c>
      <c r="K381" s="77">
        <f>IF(ISERROR(Tableau1[[#This Row],[Différence HP
Instantané]]/(Tableau1[[#This Row],[Diff jour
Instantané]]*24)),"",Tableau1[[#This Row],[Différence HP
Instantané]]/(Tableau1[[#This Row],[Diff jour
Instantané]]*24))</f>
        <v>0.35450516986639002</v>
      </c>
      <c r="L381" s="77">
        <f>Tableau1[[#This Row],[Différence HP
Instantané]]/Tableau1[[#This Row],[Diff jour
Instantané]]</f>
        <v>8.5081240767933597</v>
      </c>
      <c r="M381" s="77">
        <f>Tableau1[[#This Row],[Conso HP / jour
Instantané]]*365</f>
        <v>3105.4652880295762</v>
      </c>
      <c r="N381" s="79">
        <f>Tableau1[[#This Row],[Index HP
kWh]]-$I$5</f>
        <v>13975</v>
      </c>
      <c r="O381" s="80">
        <f>Tableau1[[#This Row],[Différence HP
Cumul]]/(Tableau1[[#This Row],[Diff jour_x000D_
Cumul]]*24)</f>
        <v>0.93375620555332228</v>
      </c>
      <c r="P381" s="80">
        <f>Tableau1[[#This Row],[Différence HP
Cumul]]/Tableau1[[#This Row],[Diff jour_x000D_
Cumul]]</f>
        <v>22.410148933279736</v>
      </c>
      <c r="Q381" s="80">
        <f>Tableau1[[#This Row],[Conso HP / jour
Cumul]]*365</f>
        <v>8179.7043606471034</v>
      </c>
      <c r="R381" s="78">
        <v>125432</v>
      </c>
      <c r="S381" s="79">
        <f>Tableau1[[#This Row],[Index HC_x000D_
kWh]]-R380</f>
        <v>4</v>
      </c>
      <c r="T381" s="81">
        <f>Tableau1[[#This Row],[Différence_x000D_ HC
Instantané]]/(Tableau1[[#This Row],[Diff jour
Instantané]]*24)</f>
        <v>0.17725258493319501</v>
      </c>
      <c r="U381" s="81">
        <f>Tableau1[[#This Row],[Différence_x000D_ HC
Instantané]]/Tableau1[[#This Row],[Diff jour
Instantané]]</f>
        <v>4.2540620383966798</v>
      </c>
      <c r="V381" s="81">
        <f>Tableau1[[#This Row],[Conso HC / jour_x000D_
Instantané]]*365</f>
        <v>1552.7326440147881</v>
      </c>
      <c r="W381" s="79">
        <f>Tableau1[[#This Row],[Index HC_x000D_
kWh]]-$R$5</f>
        <v>6000</v>
      </c>
      <c r="X381" s="82">
        <f>Tableau1[[#This Row],[Différence HC
Cumul]]/(Tableau1[[#This Row],[Diff jour_x000D_
Cumul]]*24)</f>
        <v>0.40089711866332262</v>
      </c>
      <c r="Y381" s="82">
        <f>Tableau1[[#This Row],[Différence HC
Cumul]]/Tableau1[[#This Row],[Diff jour_x000D_
Cumul]]</f>
        <v>9.6215308479197432</v>
      </c>
      <c r="Z381" s="82">
        <f>Tableau1[[#This Row],[Conso HC / jour_x000D_
Cumul]]*365</f>
        <v>3511.8587594907062</v>
      </c>
      <c r="AA381" s="79">
        <f>Tableau1[[#This Row],[Différence HP
Instantané]]+Tableau1[[#This Row],[Différence_x000D_ HC
Instantané]]</f>
        <v>12</v>
      </c>
      <c r="AB381" s="80">
        <f>Tableau1[[#This Row],[Conso HP + HC
Instantané]]/(Tableau1[[#This Row],[Diff jour
Instantané]]*24)</f>
        <v>0.53175775479958498</v>
      </c>
      <c r="AC381" s="80">
        <f>IF(ISERROR(Tableau1[[#This Row],[Date]]-A380),"",Tableau1[[#This Row],[Conso HP + HC
Instantané]]/Tableau1[[#This Row],[Diff jour
Instantané]])</f>
        <v>12.76218611519004</v>
      </c>
      <c r="AD381" s="80">
        <f>Tableau1[[#This Row],[Conso HP + HC / jour_x000D_
Instantané]]*365</f>
        <v>4658.1979320443652</v>
      </c>
      <c r="AE381" s="79">
        <f>Tableau1[[#This Row],[Différence HP
Cumul]]+Tableau1[[#This Row],[Différence HC
Cumul]]</f>
        <v>19975</v>
      </c>
      <c r="AF381" s="77">
        <f>(Tableau1[[#This Row],[Conso HP + HC
Cumul]]-AE$6)/Tableau1[[#This Row],[Diff jour_x000D_
Cumul
depuis le 24/01]]</f>
        <v>29.724104722076572</v>
      </c>
      <c r="AG381" s="77">
        <f>(Tableau1[[#This Row],[Conso HP + HC
Cumul]]-AE$59)/Tableau1[[#This Row],[Diff jour_x000D_
Cumul
depuis
précédente facture
16/02/2021]]</f>
        <v>28.060459987320108</v>
      </c>
      <c r="AH381" s="80">
        <f>Tableau1[[#This Row],[Conso HP + HC
Cumul]]/(Tableau1[[#This Row],[Diff jour_x000D_
Cumul]]*24)</f>
        <v>1.334653324216645</v>
      </c>
      <c r="AI381" s="80">
        <f>Tableau1[[#This Row],[Conso HP + HC
Cumul]]/Tableau1[[#This Row],[Diff jour_x000D_
Cumul]]</f>
        <v>32.031679781199479</v>
      </c>
      <c r="AJ381" s="80">
        <f>Tableau1[[#This Row],[Conso HP + HC / jour_x000D_
Cumul]]*365</f>
        <v>11691.563120137809</v>
      </c>
      <c r="AK381" s="83">
        <f>(Tableau1[[#This Row],[Différence HP
Cumul]]*0.1799)+(Tableau1[[#This Row],[Différence HC
Cumul]]*0.1346)</f>
        <v>3321.7024999999999</v>
      </c>
      <c r="AL381" s="83">
        <f>Tableau1[[#This Row],[Montant
Tarif HP/HC]]/Tableau1[[#This Row],[Diff jour_x000D_
Cumul]]</f>
        <v>5.3266438452270215</v>
      </c>
      <c r="AM381" s="83">
        <f>(Tableau1[[#This Row],[Montant
Tarif HP/HC]]-AK$6)/Tableau1[[#This Row],[Diff jour_x000D_
Cumul
depuis le 24/01]]</f>
        <v>4.9482281075875294</v>
      </c>
      <c r="AN381" s="83">
        <f>(Tableau1[[#This Row],[Montant
Tarif HP/HC]]-AK$59)/Tableau1[[#This Row],[Diff jour_x000D_
Cumul
depuis
précédente facture
16/02/2021]]</f>
        <v>4.6709513098266351</v>
      </c>
      <c r="AO381" s="83">
        <f>Tableau1[[#This Row],[Conso HP + HC
Cumul]]*0.1599</f>
        <v>3194.0024999999996</v>
      </c>
      <c r="AP381" s="83">
        <f>Tableau1[[#This Row],[Montant
Tarif normal]]/Tableau1[[#This Row],[Diff jour_x000D_
Cumul]]</f>
        <v>5.1218655970137954</v>
      </c>
      <c r="AQ381" s="83">
        <f>(Tableau1[[#This Row],[Conso HP / an
Cumul]]*0.1799)+(Tableau1[[#This Row],[Conso HC / an_x000D_
Cumul]]*0.1346)</f>
        <v>1944.225003507863</v>
      </c>
      <c r="AR381" s="83">
        <f>Tableau1[[#This Row],[Conso HP + HC / an_x000D_
Cumul]]*0.1599</f>
        <v>1869.4809429100355</v>
      </c>
      <c r="AS381" s="79">
        <f>MONTH(Tableau1[[#This Row],[Date]])</f>
        <v>9</v>
      </c>
      <c r="AT381" s="79">
        <f>YEAR(Tableau1[[#This Row],[Date]])</f>
        <v>2022</v>
      </c>
    </row>
    <row r="382" spans="1:46" x14ac:dyDescent="0.2">
      <c r="A382" s="74">
        <v>44807.335416666669</v>
      </c>
      <c r="B382" s="75"/>
      <c r="C382" s="76">
        <f>IF(ISERROR(Tableau1[[#This Row],[Date]]-A381),"",Tableau1[[#This Row],[Date]]-A381)</f>
        <v>1.0256944444481633</v>
      </c>
      <c r="D382" s="77">
        <f>IF(ISERROR(Tableau1[[#This Row],[Date]]-A381),"",Tableau1[[#This Row],[Date]]-A381)</f>
        <v>1.0256944444481633</v>
      </c>
      <c r="E382" s="76">
        <f>Tableau1[[#This Row],[Date]]-$A$5</f>
        <v>624.62708333333285</v>
      </c>
      <c r="F382" s="77">
        <f>Tableau1[[#This Row],[Date]]-$A$5</f>
        <v>624.62708333333285</v>
      </c>
      <c r="G382" s="77">
        <f>Tableau1[[#This Row],[Diff jour_x000D_
Cumul]]-F$6</f>
        <v>586.54375000000437</v>
      </c>
      <c r="H382" s="77">
        <f>Tableau1[[#This Row],[Diff jour_x000D_
Cumul]]-F$59</f>
        <v>564.02430555555475</v>
      </c>
      <c r="I382" s="78">
        <v>193741</v>
      </c>
      <c r="J382" s="79">
        <f>IF(ISERROR(Tableau1[[#This Row],[Index HP
kWh]]-I381),"",Tableau1[[#This Row],[Index HP
kWh]]-I381)</f>
        <v>7</v>
      </c>
      <c r="K382" s="77">
        <f>IF(ISERROR(Tableau1[[#This Row],[Différence HP
Instantané]]/(Tableau1[[#This Row],[Diff jour
Instantané]]*24)),"",Tableau1[[#This Row],[Différence HP
Instantané]]/(Tableau1[[#This Row],[Diff jour
Instantané]]*24))</f>
        <v>0.2843601895724287</v>
      </c>
      <c r="L382" s="77">
        <f>Tableau1[[#This Row],[Différence HP
Instantané]]/Tableau1[[#This Row],[Diff jour
Instantané]]</f>
        <v>6.8246445497382897</v>
      </c>
      <c r="M382" s="77">
        <f>Tableau1[[#This Row],[Conso HP / jour
Instantané]]*365</f>
        <v>2490.9952606544757</v>
      </c>
      <c r="N382" s="79">
        <f>Tableau1[[#This Row],[Index HP
kWh]]-$I$5</f>
        <v>13982</v>
      </c>
      <c r="O382" s="80">
        <f>Tableau1[[#This Row],[Différence HP
Cumul]]/(Tableau1[[#This Row],[Diff jour_x000D_
Cumul]]*24)</f>
        <v>0.9326898382701686</v>
      </c>
      <c r="P382" s="80">
        <f>Tableau1[[#This Row],[Différence HP
Cumul]]/Tableau1[[#This Row],[Diff jour_x000D_
Cumul]]</f>
        <v>22.384556118484046</v>
      </c>
      <c r="Q382" s="80">
        <f>Tableau1[[#This Row],[Conso HP / jour
Cumul]]*365</f>
        <v>8170.3629832466768</v>
      </c>
      <c r="R382" s="78">
        <v>125435</v>
      </c>
      <c r="S382" s="79">
        <f>Tableau1[[#This Row],[Index HC_x000D_
kWh]]-R381</f>
        <v>3</v>
      </c>
      <c r="T382" s="81">
        <f>Tableau1[[#This Row],[Différence_x000D_ HC
Instantané]]/(Tableau1[[#This Row],[Diff jour
Instantané]]*24)</f>
        <v>0.12186865267389803</v>
      </c>
      <c r="U382" s="81">
        <f>Tableau1[[#This Row],[Différence_x000D_ HC
Instantané]]/Tableau1[[#This Row],[Diff jour
Instantané]]</f>
        <v>2.9248476641735524</v>
      </c>
      <c r="V382" s="81">
        <f>Tableau1[[#This Row],[Conso HC / jour_x000D_
Instantané]]*365</f>
        <v>1067.5693974233466</v>
      </c>
      <c r="W382" s="79">
        <f>Tableau1[[#This Row],[Index HC_x000D_
kWh]]-$R$5</f>
        <v>6003</v>
      </c>
      <c r="X382" s="82">
        <f>Tableau1[[#This Row],[Différence HC
Cumul]]/(Tableau1[[#This Row],[Diff jour_x000D_
Cumul]]*24)</f>
        <v>0.40043892856070817</v>
      </c>
      <c r="Y382" s="82">
        <f>Tableau1[[#This Row],[Différence HC
Cumul]]/Tableau1[[#This Row],[Diff jour_x000D_
Cumul]]</f>
        <v>9.6105342854569962</v>
      </c>
      <c r="Z382" s="82">
        <f>Tableau1[[#This Row],[Conso HC / jour_x000D_
Cumul]]*365</f>
        <v>3507.8450141918038</v>
      </c>
      <c r="AA382" s="79">
        <f>Tableau1[[#This Row],[Différence HP
Instantané]]+Tableau1[[#This Row],[Différence_x000D_ HC
Instantané]]</f>
        <v>10</v>
      </c>
      <c r="AB382" s="80">
        <f>Tableau1[[#This Row],[Conso HP + HC
Instantané]]/(Tableau1[[#This Row],[Diff jour
Instantané]]*24)</f>
        <v>0.40622884224632677</v>
      </c>
      <c r="AC382" s="80">
        <f>IF(ISERROR(Tableau1[[#This Row],[Date]]-A381),"",Tableau1[[#This Row],[Conso HP + HC
Instantané]]/Tableau1[[#This Row],[Diff jour
Instantané]])</f>
        <v>9.7494922139118412</v>
      </c>
      <c r="AD382" s="80">
        <f>Tableau1[[#This Row],[Conso HP + HC / jour_x000D_
Instantané]]*365</f>
        <v>3558.5646580778221</v>
      </c>
      <c r="AE382" s="79">
        <f>Tableau1[[#This Row],[Différence HP
Cumul]]+Tableau1[[#This Row],[Différence HC
Cumul]]</f>
        <v>19985</v>
      </c>
      <c r="AF382" s="77">
        <f>(Tableau1[[#This Row],[Conso HP + HC
Cumul]]-AE$6)/Tableau1[[#This Row],[Diff jour_x000D_
Cumul
depuis le 24/01]]</f>
        <v>29.689174933668411</v>
      </c>
      <c r="AG382" s="77">
        <f>(Tableau1[[#This Row],[Conso HP + HC
Cumul]]-AE$59)/Tableau1[[#This Row],[Diff jour_x000D_
Cumul
depuis
précédente facture
16/02/2021]]</f>
        <v>28.027160965039226</v>
      </c>
      <c r="AH382" s="80">
        <f>Tableau1[[#This Row],[Conso HP + HC
Cumul]]/(Tableau1[[#This Row],[Diff jour_x000D_
Cumul]]*24)</f>
        <v>1.3331287668308769</v>
      </c>
      <c r="AI382" s="80">
        <f>Tableau1[[#This Row],[Conso HP + HC
Cumul]]/Tableau1[[#This Row],[Diff jour_x000D_
Cumul]]</f>
        <v>31.995090403941042</v>
      </c>
      <c r="AJ382" s="80">
        <f>Tableau1[[#This Row],[Conso HP + HC / jour_x000D_
Cumul]]*365</f>
        <v>11678.20799743848</v>
      </c>
      <c r="AK382" s="83">
        <f>(Tableau1[[#This Row],[Différence HP
Cumul]]*0.1799)+(Tableau1[[#This Row],[Différence HC
Cumul]]*0.1346)</f>
        <v>3323.3656000000001</v>
      </c>
      <c r="AL382" s="83">
        <f>Tableau1[[#This Row],[Montant
Tarif HP/HC]]/Tableau1[[#This Row],[Diff jour_x000D_
Cumul]]</f>
        <v>5.3205595605377916</v>
      </c>
      <c r="AM382" s="83">
        <f>(Tableau1[[#This Row],[Montant
Tarif HP/HC]]-AK$6)/Tableau1[[#This Row],[Diff jour_x000D_
Cumul
depuis le 24/01]]</f>
        <v>4.9424105192493801</v>
      </c>
      <c r="AN382" s="83">
        <f>(Tableau1[[#This Row],[Montant
Tarif HP/HC]]-AK$59)/Tableau1[[#This Row],[Diff jour_x000D_
Cumul
depuis
précédente facture
16/02/2021]]</f>
        <v>4.6654056821329917</v>
      </c>
      <c r="AO382" s="83">
        <f>Tableau1[[#This Row],[Conso HP + HC
Cumul]]*0.1599</f>
        <v>3195.6014999999998</v>
      </c>
      <c r="AP382" s="83">
        <f>Tableau1[[#This Row],[Montant
Tarif normal]]/Tableau1[[#This Row],[Diff jour_x000D_
Cumul]]</f>
        <v>5.1160149555901722</v>
      </c>
      <c r="AQ382" s="83">
        <f>(Tableau1[[#This Row],[Conso HP / an
Cumul]]*0.1799)+(Tableau1[[#This Row],[Conso HC / an_x000D_
Cumul]]*0.1346)</f>
        <v>1942.0042395962939</v>
      </c>
      <c r="AR382" s="83">
        <f>Tableau1[[#This Row],[Conso HP + HC / an_x000D_
Cumul]]*0.1599</f>
        <v>1867.3454587904127</v>
      </c>
      <c r="AS382" s="79">
        <f>MONTH(Tableau1[[#This Row],[Date]])</f>
        <v>9</v>
      </c>
      <c r="AT382" s="79">
        <f>YEAR(Tableau1[[#This Row],[Date]])</f>
        <v>2022</v>
      </c>
    </row>
    <row r="383" spans="1:46" x14ac:dyDescent="0.2">
      <c r="A383" s="74">
        <v>44808.453472222223</v>
      </c>
      <c r="B383" s="75"/>
      <c r="C383" s="76">
        <f>IF(ISERROR(Tableau1[[#This Row],[Date]]-A382),"",Tableau1[[#This Row],[Date]]-A382)</f>
        <v>1.1180555555547471</v>
      </c>
      <c r="D383" s="77">
        <f>IF(ISERROR(Tableau1[[#This Row],[Date]]-A382),"",Tableau1[[#This Row],[Date]]-A382)</f>
        <v>1.1180555555547471</v>
      </c>
      <c r="E383" s="76">
        <f>Tableau1[[#This Row],[Date]]-$A$5</f>
        <v>625.7451388888876</v>
      </c>
      <c r="F383" s="77">
        <f>Tableau1[[#This Row],[Date]]-$A$5</f>
        <v>625.7451388888876</v>
      </c>
      <c r="G383" s="77">
        <f>Tableau1[[#This Row],[Diff jour_x000D_
Cumul]]-F$6</f>
        <v>587.66180555555911</v>
      </c>
      <c r="H383" s="77">
        <f>Tableau1[[#This Row],[Diff jour_x000D_
Cumul]]-F$59</f>
        <v>565.14236111110949</v>
      </c>
      <c r="I383" s="78">
        <v>193749</v>
      </c>
      <c r="J383" s="79">
        <f>IF(ISERROR(Tableau1[[#This Row],[Index HP
kWh]]-I382),"",Tableau1[[#This Row],[Index HP
kWh]]-I382)</f>
        <v>8</v>
      </c>
      <c r="K383" s="77">
        <f>IF(ISERROR(Tableau1[[#This Row],[Différence HP
Instantané]]/(Tableau1[[#This Row],[Diff jour
Instantané]]*24)),"",Tableau1[[#This Row],[Différence HP
Instantané]]/(Tableau1[[#This Row],[Diff jour
Instantané]]*24))</f>
        <v>0.29813664596294848</v>
      </c>
      <c r="L383" s="77">
        <f>Tableau1[[#This Row],[Différence HP
Instantané]]/Tableau1[[#This Row],[Diff jour
Instantané]]</f>
        <v>7.1552795031107639</v>
      </c>
      <c r="M383" s="77">
        <f>Tableau1[[#This Row],[Conso HP / jour
Instantané]]*365</f>
        <v>2611.6770186354288</v>
      </c>
      <c r="N383" s="79">
        <f>Tableau1[[#This Row],[Index HP
kWh]]-$I$5</f>
        <v>13990</v>
      </c>
      <c r="O383" s="80">
        <f>Tableau1[[#This Row],[Différence HP
Cumul]]/(Tableau1[[#This Row],[Diff jour_x000D_
Cumul]]*24)</f>
        <v>0.93155604484875443</v>
      </c>
      <c r="P383" s="80">
        <f>Tableau1[[#This Row],[Différence HP
Cumul]]/Tableau1[[#This Row],[Diff jour_x000D_
Cumul]]</f>
        <v>22.357345076370109</v>
      </c>
      <c r="Q383" s="80">
        <f>Tableau1[[#This Row],[Conso HP / jour
Cumul]]*365</f>
        <v>8160.43095287509</v>
      </c>
      <c r="R383" s="78">
        <v>125438</v>
      </c>
      <c r="S383" s="79">
        <f>Tableau1[[#This Row],[Index HC_x000D_
kWh]]-R382</f>
        <v>3</v>
      </c>
      <c r="T383" s="81">
        <f>Tableau1[[#This Row],[Différence_x000D_ HC
Instantané]]/(Tableau1[[#This Row],[Diff jour
Instantané]]*24)</f>
        <v>0.11180124223610569</v>
      </c>
      <c r="U383" s="81">
        <f>Tableau1[[#This Row],[Différence_x000D_ HC
Instantané]]/Tableau1[[#This Row],[Diff jour
Instantané]]</f>
        <v>2.6832298136665362</v>
      </c>
      <c r="V383" s="81">
        <f>Tableau1[[#This Row],[Conso HC / jour_x000D_
Instantané]]*365</f>
        <v>979.37888198828568</v>
      </c>
      <c r="W383" s="79">
        <f>Tableau1[[#This Row],[Index HC_x000D_
kWh]]-$R$5</f>
        <v>6006</v>
      </c>
      <c r="X383" s="82">
        <f>Tableau1[[#This Row],[Différence HC
Cumul]]/(Tableau1[[#This Row],[Diff jour_x000D_
Cumul]]*24)</f>
        <v>0.39992320267059467</v>
      </c>
      <c r="Y383" s="82">
        <f>Tableau1[[#This Row],[Différence HC
Cumul]]/Tableau1[[#This Row],[Diff jour_x000D_
Cumul]]</f>
        <v>9.5981568640942712</v>
      </c>
      <c r="Z383" s="82">
        <f>Tableau1[[#This Row],[Conso HC / jour_x000D_
Cumul]]*365</f>
        <v>3503.3272553944089</v>
      </c>
      <c r="AA383" s="79">
        <f>Tableau1[[#This Row],[Différence HP
Instantané]]+Tableau1[[#This Row],[Différence_x000D_ HC
Instantané]]</f>
        <v>11</v>
      </c>
      <c r="AB383" s="80">
        <f>Tableau1[[#This Row],[Conso HP + HC
Instantané]]/(Tableau1[[#This Row],[Diff jour
Instantané]]*24)</f>
        <v>0.40993788819905419</v>
      </c>
      <c r="AC383" s="80">
        <f>IF(ISERROR(Tableau1[[#This Row],[Date]]-A382),"",Tableau1[[#This Row],[Conso HP + HC
Instantané]]/Tableau1[[#This Row],[Diff jour
Instantané]])</f>
        <v>9.8385093167772997</v>
      </c>
      <c r="AD383" s="80">
        <f>Tableau1[[#This Row],[Conso HP + HC / jour_x000D_
Instantané]]*365</f>
        <v>3591.0559006237145</v>
      </c>
      <c r="AE383" s="79">
        <f>Tableau1[[#This Row],[Différence HP
Cumul]]+Tableau1[[#This Row],[Différence HC
Cumul]]</f>
        <v>19996</v>
      </c>
      <c r="AF383" s="77">
        <f>(Tableau1[[#This Row],[Conso HP + HC
Cumul]]-AE$6)/Tableau1[[#This Row],[Diff jour_x000D_
Cumul
depuis le 24/01]]</f>
        <v>29.651408063736405</v>
      </c>
      <c r="AG383" s="77">
        <f>(Tableau1[[#This Row],[Conso HP + HC
Cumul]]-AE$59)/Tableau1[[#This Row],[Diff jour_x000D_
Cumul
depuis
précédente facture
16/02/2021]]</f>
        <v>27.991177247620826</v>
      </c>
      <c r="AH383" s="80">
        <f>Tableau1[[#This Row],[Conso HP + HC
Cumul]]/(Tableau1[[#This Row],[Diff jour_x000D_
Cumul]]*24)</f>
        <v>1.3314792475193491</v>
      </c>
      <c r="AI383" s="80">
        <f>Tableau1[[#This Row],[Conso HP + HC
Cumul]]/Tableau1[[#This Row],[Diff jour_x000D_
Cumul]]</f>
        <v>31.95550194046438</v>
      </c>
      <c r="AJ383" s="80">
        <f>Tableau1[[#This Row],[Conso HP + HC / jour_x000D_
Cumul]]*365</f>
        <v>11663.758208269499</v>
      </c>
      <c r="AK383" s="83">
        <f>(Tableau1[[#This Row],[Différence HP
Cumul]]*0.1799)+(Tableau1[[#This Row],[Différence HC
Cumul]]*0.1346)</f>
        <v>3325.2085999999999</v>
      </c>
      <c r="AL383" s="83">
        <f>Tableau1[[#This Row],[Montant
Tarif HP/HC]]/Tableau1[[#This Row],[Diff jour_x000D_
Cumul]]</f>
        <v>5.3139982931460708</v>
      </c>
      <c r="AM383" s="83">
        <f>(Tableau1[[#This Row],[Montant
Tarif HP/HC]]-AK$6)/Tableau1[[#This Row],[Diff jour_x000D_
Cumul
depuis le 24/01]]</f>
        <v>4.9361434971219209</v>
      </c>
      <c r="AN383" s="83">
        <f>(Tableau1[[#This Row],[Montant
Tarif HP/HC]]-AK$59)/Tableau1[[#This Row],[Diff jour_x000D_
Cumul
depuis
précédente facture
16/02/2021]]</f>
        <v>4.6594369511123803</v>
      </c>
      <c r="AO383" s="83">
        <f>Tableau1[[#This Row],[Conso HP + HC
Cumul]]*0.1599</f>
        <v>3197.3603999999996</v>
      </c>
      <c r="AP383" s="83">
        <f>Tableau1[[#This Row],[Montant
Tarif normal]]/Tableau1[[#This Row],[Diff jour_x000D_
Cumul]]</f>
        <v>5.1096847602802535</v>
      </c>
      <c r="AQ383" s="83">
        <f>(Tableau1[[#This Row],[Conso HP / an
Cumul]]*0.1799)+(Tableau1[[#This Row],[Conso HC / an_x000D_
Cumul]]*0.1346)</f>
        <v>1939.6093769983163</v>
      </c>
      <c r="AR383" s="83">
        <f>Tableau1[[#This Row],[Conso HP + HC / an_x000D_
Cumul]]*0.1599</f>
        <v>1865.0349375022927</v>
      </c>
      <c r="AS383" s="79">
        <f>MONTH(Tableau1[[#This Row],[Date]])</f>
        <v>9</v>
      </c>
      <c r="AT383" s="79">
        <f>YEAR(Tableau1[[#This Row],[Date]])</f>
        <v>2022</v>
      </c>
    </row>
    <row r="384" spans="1:46" x14ac:dyDescent="0.2">
      <c r="A384" s="74">
        <v>44809.320138888892</v>
      </c>
      <c r="B384" s="75"/>
      <c r="C384" s="76">
        <f>IF(ISERROR(Tableau1[[#This Row],[Date]]-A383),"",Tableau1[[#This Row],[Date]]-A383)</f>
        <v>0.86666666666860692</v>
      </c>
      <c r="D384" s="77">
        <f>IF(ISERROR(Tableau1[[#This Row],[Date]]-A383),"",Tableau1[[#This Row],[Date]]-A383)</f>
        <v>0.86666666666860692</v>
      </c>
      <c r="E384" s="76">
        <f>Tableau1[[#This Row],[Date]]-$A$5</f>
        <v>626.6118055555562</v>
      </c>
      <c r="F384" s="77">
        <f>Tableau1[[#This Row],[Date]]-$A$5</f>
        <v>626.6118055555562</v>
      </c>
      <c r="G384" s="77">
        <f>Tableau1[[#This Row],[Diff jour_x000D_
Cumul]]-F$6</f>
        <v>588.52847222222772</v>
      </c>
      <c r="H384" s="77">
        <f>Tableau1[[#This Row],[Diff jour_x000D_
Cumul]]-F$59</f>
        <v>566.0090277777781</v>
      </c>
      <c r="I384" s="78">
        <v>193755</v>
      </c>
      <c r="J384" s="79">
        <f>IF(ISERROR(Tableau1[[#This Row],[Index HP
kWh]]-I383),"",Tableau1[[#This Row],[Index HP
kWh]]-I383)</f>
        <v>6</v>
      </c>
      <c r="K384" s="77">
        <f>IF(ISERROR(Tableau1[[#This Row],[Différence HP
Instantané]]/(Tableau1[[#This Row],[Diff jour
Instantané]]*24)),"",Tableau1[[#This Row],[Différence HP
Instantané]]/(Tableau1[[#This Row],[Diff jour
Instantané]]*24))</f>
        <v>0.28846153846089267</v>
      </c>
      <c r="L384" s="77">
        <f>Tableau1[[#This Row],[Différence HP
Instantané]]/Tableau1[[#This Row],[Diff jour
Instantané]]</f>
        <v>6.9230769230614237</v>
      </c>
      <c r="M384" s="77">
        <f>Tableau1[[#This Row],[Conso HP / jour
Instantané]]*365</f>
        <v>2526.9230769174196</v>
      </c>
      <c r="N384" s="79">
        <f>Tableau1[[#This Row],[Index HP
kWh]]-$I$5</f>
        <v>13996</v>
      </c>
      <c r="O384" s="80">
        <f>Tableau1[[#This Row],[Différence HP
Cumul]]/(Tableau1[[#This Row],[Diff jour_x000D_
Cumul]]*24)</f>
        <v>0.93066658096176325</v>
      </c>
      <c r="P384" s="80">
        <f>Tableau1[[#This Row],[Différence HP
Cumul]]/Tableau1[[#This Row],[Diff jour_x000D_
Cumul]]</f>
        <v>22.335997943082315</v>
      </c>
      <c r="Q384" s="80">
        <f>Tableau1[[#This Row],[Conso HP / jour
Cumul]]*365</f>
        <v>8152.6392492250452</v>
      </c>
      <c r="R384" s="78">
        <v>125440</v>
      </c>
      <c r="S384" s="79">
        <f>Tableau1[[#This Row],[Index HC_x000D_
kWh]]-R383</f>
        <v>2</v>
      </c>
      <c r="T384" s="81">
        <f>Tableau1[[#This Row],[Différence_x000D_ HC
Instantané]]/(Tableau1[[#This Row],[Diff jour
Instantané]]*24)</f>
        <v>9.6153846153630887E-2</v>
      </c>
      <c r="U384" s="81">
        <f>Tableau1[[#This Row],[Différence_x000D_ HC
Instantané]]/Tableau1[[#This Row],[Diff jour
Instantané]]</f>
        <v>2.3076923076871414</v>
      </c>
      <c r="V384" s="81">
        <f>Tableau1[[#This Row],[Conso HC / jour_x000D_
Instantané]]*365</f>
        <v>842.30769230580665</v>
      </c>
      <c r="W384" s="79">
        <f>Tableau1[[#This Row],[Index HC_x000D_
kWh]]-$R$5</f>
        <v>6008</v>
      </c>
      <c r="X384" s="82">
        <f>Tableau1[[#This Row],[Différence HC
Cumul]]/(Tableau1[[#This Row],[Diff jour_x000D_
Cumul]]*24)</f>
        <v>0.3995030593325431</v>
      </c>
      <c r="Y384" s="82">
        <f>Tableau1[[#This Row],[Différence HC
Cumul]]/Tableau1[[#This Row],[Diff jour_x000D_
Cumul]]</f>
        <v>9.5880734239810348</v>
      </c>
      <c r="Z384" s="82">
        <f>Tableau1[[#This Row],[Conso HC / jour_x000D_
Cumul]]*365</f>
        <v>3499.6467997530776</v>
      </c>
      <c r="AA384" s="79">
        <f>Tableau1[[#This Row],[Différence HP
Instantané]]+Tableau1[[#This Row],[Différence_x000D_ HC
Instantané]]</f>
        <v>8</v>
      </c>
      <c r="AB384" s="80">
        <f>Tableau1[[#This Row],[Conso HP + HC
Instantané]]/(Tableau1[[#This Row],[Diff jour
Instantané]]*24)</f>
        <v>0.38461538461452355</v>
      </c>
      <c r="AC384" s="80">
        <f>IF(ISERROR(Tableau1[[#This Row],[Date]]-A383),"",Tableau1[[#This Row],[Conso HP + HC
Instantané]]/Tableau1[[#This Row],[Diff jour
Instantané]])</f>
        <v>9.2307692307485656</v>
      </c>
      <c r="AD384" s="80">
        <f>Tableau1[[#This Row],[Conso HP + HC / jour_x000D_
Instantané]]*365</f>
        <v>3369.2307692232266</v>
      </c>
      <c r="AE384" s="79">
        <f>Tableau1[[#This Row],[Différence HP
Cumul]]+Tableau1[[#This Row],[Différence HC
Cumul]]</f>
        <v>20004</v>
      </c>
      <c r="AF384" s="77">
        <f>(Tableau1[[#This Row],[Conso HP + HC
Cumul]]-AE$6)/Tableau1[[#This Row],[Diff jour_x000D_
Cumul
depuis le 24/01]]</f>
        <v>29.621336643535095</v>
      </c>
      <c r="AG384" s="77">
        <f>(Tableau1[[#This Row],[Conso HP + HC
Cumul]]-AE$59)/Tableau1[[#This Row],[Diff jour_x000D_
Cumul
depuis
précédente facture
16/02/2021]]</f>
        <v>27.96245152155748</v>
      </c>
      <c r="AH384" s="80">
        <f>Tableau1[[#This Row],[Conso HP + HC
Cumul]]/(Tableau1[[#This Row],[Diff jour_x000D_
Cumul]]*24)</f>
        <v>1.3301696402943064</v>
      </c>
      <c r="AI384" s="80">
        <f>Tableau1[[#This Row],[Conso HP + HC
Cumul]]/Tableau1[[#This Row],[Diff jour_x000D_
Cumul]]</f>
        <v>31.924071367063352</v>
      </c>
      <c r="AJ384" s="80">
        <f>Tableau1[[#This Row],[Conso HP + HC / jour_x000D_
Cumul]]*365</f>
        <v>11652.286048978123</v>
      </c>
      <c r="AK384" s="83">
        <f>(Tableau1[[#This Row],[Différence HP
Cumul]]*0.1799)+(Tableau1[[#This Row],[Différence HC
Cumul]]*0.1346)</f>
        <v>3326.5572000000002</v>
      </c>
      <c r="AL384" s="83">
        <f>Tableau1[[#This Row],[Montant
Tarif HP/HC]]/Tableau1[[#This Row],[Diff jour_x000D_
Cumul]]</f>
        <v>5.3088007128283561</v>
      </c>
      <c r="AM384" s="83">
        <f>(Tableau1[[#This Row],[Montant
Tarif HP/HC]]-AK$6)/Tableau1[[#This Row],[Diff jour_x000D_
Cumul
depuis le 24/01]]</f>
        <v>4.9311660131613113</v>
      </c>
      <c r="AN384" s="83">
        <f>(Tableau1[[#This Row],[Montant
Tarif HP/HC]]-AK$59)/Tableau1[[#This Row],[Diff jour_x000D_
Cumul
depuis
précédente facture
16/02/2021]]</f>
        <v>4.6546851210902824</v>
      </c>
      <c r="AO384" s="83">
        <f>Tableau1[[#This Row],[Conso HP + HC
Cumul]]*0.1599</f>
        <v>3198.6395999999995</v>
      </c>
      <c r="AP384" s="83">
        <f>Tableau1[[#This Row],[Montant
Tarif normal]]/Tableau1[[#This Row],[Diff jour_x000D_
Cumul]]</f>
        <v>5.1046590115934292</v>
      </c>
      <c r="AQ384" s="83">
        <f>(Tableau1[[#This Row],[Conso HP / an
Cumul]]*0.1799)+(Tableau1[[#This Row],[Conso HC / an_x000D_
Cumul]]*0.1346)</f>
        <v>1937.7122601823498</v>
      </c>
      <c r="AR384" s="83">
        <f>Tableau1[[#This Row],[Conso HP + HC / an_x000D_
Cumul]]*0.1599</f>
        <v>1863.2005392316019</v>
      </c>
      <c r="AS384" s="79">
        <f>MONTH(Tableau1[[#This Row],[Date]])</f>
        <v>9</v>
      </c>
      <c r="AT384" s="79">
        <f>YEAR(Tableau1[[#This Row],[Date]])</f>
        <v>2022</v>
      </c>
    </row>
    <row r="385" spans="1:46" x14ac:dyDescent="0.2">
      <c r="A385" s="74">
        <v>44810.313194444447</v>
      </c>
      <c r="B385" s="75"/>
      <c r="C385" s="76">
        <f>IF(ISERROR(Tableau1[[#This Row],[Date]]-A384),"",Tableau1[[#This Row],[Date]]-A384)</f>
        <v>0.99305555555474712</v>
      </c>
      <c r="D385" s="77">
        <f>IF(ISERROR(Tableau1[[#This Row],[Date]]-A384),"",Tableau1[[#This Row],[Date]]-A384)</f>
        <v>0.99305555555474712</v>
      </c>
      <c r="E385" s="76">
        <f>Tableau1[[#This Row],[Date]]-$A$5</f>
        <v>627.60486111111095</v>
      </c>
      <c r="F385" s="77">
        <f>Tableau1[[#This Row],[Date]]-$A$5</f>
        <v>627.60486111111095</v>
      </c>
      <c r="G385" s="77">
        <f>Tableau1[[#This Row],[Diff jour_x000D_
Cumul]]-F$6</f>
        <v>589.52152777778247</v>
      </c>
      <c r="H385" s="77">
        <f>Tableau1[[#This Row],[Diff jour_x000D_
Cumul]]-F$59</f>
        <v>567.00208333333285</v>
      </c>
      <c r="I385" s="78">
        <v>193761</v>
      </c>
      <c r="J385" s="79">
        <f>IF(ISERROR(Tableau1[[#This Row],[Index HP
kWh]]-I384),"",Tableau1[[#This Row],[Index HP
kWh]]-I384)</f>
        <v>6</v>
      </c>
      <c r="K385" s="77">
        <f>IF(ISERROR(Tableau1[[#This Row],[Différence HP
Instantané]]/(Tableau1[[#This Row],[Diff jour
Instantané]]*24)),"",Tableau1[[#This Row],[Différence HP
Instantané]]/(Tableau1[[#This Row],[Diff jour
Instantané]]*24))</f>
        <v>0.25174825174845672</v>
      </c>
      <c r="L385" s="77">
        <f>Tableau1[[#This Row],[Différence HP
Instantané]]/Tableau1[[#This Row],[Diff jour
Instantané]]</f>
        <v>6.0419580419629604</v>
      </c>
      <c r="M385" s="77">
        <f>Tableau1[[#This Row],[Conso HP / jour
Instantané]]*365</f>
        <v>2205.3146853164803</v>
      </c>
      <c r="N385" s="79">
        <f>Tableau1[[#This Row],[Index HP
kWh]]-$I$5</f>
        <v>14002</v>
      </c>
      <c r="O385" s="80">
        <f>Tableau1[[#This Row],[Différence HP
Cumul]]/(Tableau1[[#This Row],[Diff jour_x000D_
Cumul]]*24)</f>
        <v>0.92959233240129224</v>
      </c>
      <c r="P385" s="80">
        <f>Tableau1[[#This Row],[Différence HP
Cumul]]/Tableau1[[#This Row],[Diff jour_x000D_
Cumul]]</f>
        <v>22.310215977631014</v>
      </c>
      <c r="Q385" s="80">
        <f>Tableau1[[#This Row],[Conso HP / jour
Cumul]]*365</f>
        <v>8143.2288318353203</v>
      </c>
      <c r="R385" s="78">
        <v>125443</v>
      </c>
      <c r="S385" s="79">
        <f>Tableau1[[#This Row],[Index HC_x000D_
kWh]]-R384</f>
        <v>3</v>
      </c>
      <c r="T385" s="81">
        <f>Tableau1[[#This Row],[Différence_x000D_ HC
Instantané]]/(Tableau1[[#This Row],[Diff jour
Instantané]]*24)</f>
        <v>0.12587412587422836</v>
      </c>
      <c r="U385" s="81">
        <f>Tableau1[[#This Row],[Différence_x000D_ HC
Instantané]]/Tableau1[[#This Row],[Diff jour
Instantané]]</f>
        <v>3.0209790209814802</v>
      </c>
      <c r="V385" s="81">
        <f>Tableau1[[#This Row],[Conso HC / jour_x000D_
Instantané]]*365</f>
        <v>1102.6573426582402</v>
      </c>
      <c r="W385" s="79">
        <f>Tableau1[[#This Row],[Index HC_x000D_
kWh]]-$R$5</f>
        <v>6011</v>
      </c>
      <c r="X385" s="82">
        <f>Tableau1[[#This Row],[Différence HC
Cumul]]/(Tableau1[[#This Row],[Diff jour_x000D_
Cumul]]*24)</f>
        <v>0.399070097847748</v>
      </c>
      <c r="Y385" s="82">
        <f>Tableau1[[#This Row],[Différence HC
Cumul]]/Tableau1[[#This Row],[Diff jour_x000D_
Cumul]]</f>
        <v>9.5776823483459523</v>
      </c>
      <c r="Z385" s="82">
        <f>Tableau1[[#This Row],[Conso HC / jour_x000D_
Cumul]]*365</f>
        <v>3495.8540571462727</v>
      </c>
      <c r="AA385" s="79">
        <f>Tableau1[[#This Row],[Différence HP
Instantané]]+Tableau1[[#This Row],[Différence_x000D_ HC
Instantané]]</f>
        <v>9</v>
      </c>
      <c r="AB385" s="80">
        <f>Tableau1[[#This Row],[Conso HP + HC
Instantané]]/(Tableau1[[#This Row],[Diff jour
Instantané]]*24)</f>
        <v>0.37762237762268502</v>
      </c>
      <c r="AC385" s="80">
        <f>IF(ISERROR(Tableau1[[#This Row],[Date]]-A384),"",Tableau1[[#This Row],[Conso HP + HC
Instantané]]/Tableau1[[#This Row],[Diff jour
Instantané]])</f>
        <v>9.0629370629444406</v>
      </c>
      <c r="AD385" s="80">
        <f>Tableau1[[#This Row],[Conso HP + HC / jour_x000D_
Instantané]]*365</f>
        <v>3307.9720279747207</v>
      </c>
      <c r="AE385" s="79">
        <f>Tableau1[[#This Row],[Différence HP
Cumul]]+Tableau1[[#This Row],[Différence HC
Cumul]]</f>
        <v>20013</v>
      </c>
      <c r="AF385" s="77">
        <f>(Tableau1[[#This Row],[Conso HP + HC
Cumul]]-AE$6)/Tableau1[[#This Row],[Diff jour_x000D_
Cumul
depuis le 24/01]]</f>
        <v>29.586705791301796</v>
      </c>
      <c r="AG385" s="77">
        <f>(Tableau1[[#This Row],[Conso HP + HC
Cumul]]-AE$59)/Tableau1[[#This Row],[Diff jour_x000D_
Cumul
depuis
précédente facture
16/02/2021]]</f>
        <v>27.929350641715772</v>
      </c>
      <c r="AH385" s="80">
        <f>Tableau1[[#This Row],[Conso HP + HC
Cumul]]/(Tableau1[[#This Row],[Diff jour_x000D_
Cumul]]*24)</f>
        <v>1.3286624302490402</v>
      </c>
      <c r="AI385" s="80">
        <f>Tableau1[[#This Row],[Conso HP + HC
Cumul]]/Tableau1[[#This Row],[Diff jour_x000D_
Cumul]]</f>
        <v>31.887898325976963</v>
      </c>
      <c r="AJ385" s="80">
        <f>Tableau1[[#This Row],[Conso HP + HC / jour_x000D_
Cumul]]*365</f>
        <v>11639.082888981591</v>
      </c>
      <c r="AK385" s="83">
        <f>(Tableau1[[#This Row],[Différence HP
Cumul]]*0.1799)+(Tableau1[[#This Row],[Différence HC
Cumul]]*0.1346)</f>
        <v>3328.0403999999999</v>
      </c>
      <c r="AL385" s="83">
        <f>Tableau1[[#This Row],[Montant
Tarif HP/HC]]/Tableau1[[#This Row],[Diff jour_x000D_
Cumul]]</f>
        <v>5.3027638984631844</v>
      </c>
      <c r="AM385" s="83">
        <f>(Tableau1[[#This Row],[Montant
Tarif HP/HC]]-AK$6)/Tableau1[[#This Row],[Diff jour_x000D_
Cumul
depuis le 24/01]]</f>
        <v>4.9253753479457405</v>
      </c>
      <c r="AN385" s="83">
        <f>(Tableau1[[#This Row],[Montant
Tarif HP/HC]]-AK$59)/Tableau1[[#This Row],[Diff jour_x000D_
Cumul
depuis
précédente facture
16/02/2021]]</f>
        <v>4.6491487024224671</v>
      </c>
      <c r="AO385" s="83">
        <f>Tableau1[[#This Row],[Conso HP + HC
Cumul]]*0.1599</f>
        <v>3200.0786999999996</v>
      </c>
      <c r="AP385" s="83">
        <f>Tableau1[[#This Row],[Montant
Tarif normal]]/Tableau1[[#This Row],[Diff jour_x000D_
Cumul]]</f>
        <v>5.0988749423237163</v>
      </c>
      <c r="AQ385" s="83">
        <f>(Tableau1[[#This Row],[Conso HP / an
Cumul]]*0.1799)+(Tableau1[[#This Row],[Conso HC / an_x000D_
Cumul]]*0.1346)</f>
        <v>1935.5088229390624</v>
      </c>
      <c r="AR385" s="83">
        <f>Tableau1[[#This Row],[Conso HP + HC / an_x000D_
Cumul]]*0.1599</f>
        <v>1861.0893539481563</v>
      </c>
      <c r="AS385" s="79">
        <f>MONTH(Tableau1[[#This Row],[Date]])</f>
        <v>9</v>
      </c>
      <c r="AT385" s="79">
        <f>YEAR(Tableau1[[#This Row],[Date]])</f>
        <v>2022</v>
      </c>
    </row>
    <row r="386" spans="1:46" x14ac:dyDescent="0.2">
      <c r="A386" s="74">
        <v>44811.362500000003</v>
      </c>
      <c r="B386" s="75"/>
      <c r="C386" s="76">
        <f>IF(ISERROR(Tableau1[[#This Row],[Date]]-A385),"",Tableau1[[#This Row],[Date]]-A385)</f>
        <v>1.0493055555562023</v>
      </c>
      <c r="D386" s="77">
        <f>IF(ISERROR(Tableau1[[#This Row],[Date]]-A385),"",Tableau1[[#This Row],[Date]]-A385)</f>
        <v>1.0493055555562023</v>
      </c>
      <c r="E386" s="76">
        <f>Tableau1[[#This Row],[Date]]-$A$5</f>
        <v>628.65416666666715</v>
      </c>
      <c r="F386" s="77">
        <f>Tableau1[[#This Row],[Date]]-$A$5</f>
        <v>628.65416666666715</v>
      </c>
      <c r="G386" s="77">
        <f>Tableau1[[#This Row],[Diff jour_x000D_
Cumul]]-F$6</f>
        <v>590.57083333333867</v>
      </c>
      <c r="H386" s="77">
        <f>Tableau1[[#This Row],[Diff jour_x000D_
Cumul]]-F$59</f>
        <v>568.05138888888905</v>
      </c>
      <c r="I386" s="78">
        <v>193766</v>
      </c>
      <c r="J386" s="79">
        <f>IF(ISERROR(Tableau1[[#This Row],[Index HP
kWh]]-I385),"",Tableau1[[#This Row],[Index HP
kWh]]-I385)</f>
        <v>5</v>
      </c>
      <c r="K386" s="77">
        <f>IF(ISERROR(Tableau1[[#This Row],[Différence HP
Instantané]]/(Tableau1[[#This Row],[Diff jour
Instantané]]*24)),"",Tableau1[[#This Row],[Différence HP
Instantané]]/(Tableau1[[#This Row],[Diff jour
Instantané]]*24))</f>
        <v>0.19854401058889151</v>
      </c>
      <c r="L386" s="77">
        <f>Tableau1[[#This Row],[Différence HP
Instantané]]/Tableau1[[#This Row],[Diff jour
Instantané]]</f>
        <v>4.7650562541333965</v>
      </c>
      <c r="M386" s="77">
        <f>Tableau1[[#This Row],[Conso HP / jour
Instantané]]*365</f>
        <v>1739.2455327586897</v>
      </c>
      <c r="N386" s="79">
        <f>Tableau1[[#This Row],[Index HP
kWh]]-$I$5</f>
        <v>14007</v>
      </c>
      <c r="O386" s="80">
        <f>Tableau1[[#This Row],[Différence HP
Cumul]]/(Tableau1[[#This Row],[Diff jour_x000D_
Cumul]]*24)</f>
        <v>0.92837211768526606</v>
      </c>
      <c r="P386" s="80">
        <f>Tableau1[[#This Row],[Différence HP
Cumul]]/Tableau1[[#This Row],[Diff jour_x000D_
Cumul]]</f>
        <v>22.280930824446386</v>
      </c>
      <c r="Q386" s="80">
        <f>Tableau1[[#This Row],[Conso HP / jour
Cumul]]*365</f>
        <v>8132.5397509229315</v>
      </c>
      <c r="R386" s="78">
        <v>125446</v>
      </c>
      <c r="S386" s="79">
        <f>Tableau1[[#This Row],[Index HC_x000D_
kWh]]-R385</f>
        <v>3</v>
      </c>
      <c r="T386" s="81">
        <f>Tableau1[[#This Row],[Différence_x000D_ HC
Instantané]]/(Tableau1[[#This Row],[Diff jour
Instantané]]*24)</f>
        <v>0.11912640635333491</v>
      </c>
      <c r="U386" s="81">
        <f>Tableau1[[#This Row],[Différence_x000D_ HC
Instantané]]/Tableau1[[#This Row],[Diff jour
Instantané]]</f>
        <v>2.859033752480038</v>
      </c>
      <c r="V386" s="81">
        <f>Tableau1[[#This Row],[Conso HC / jour_x000D_
Instantané]]*365</f>
        <v>1043.5473196552139</v>
      </c>
      <c r="W386" s="79">
        <f>Tableau1[[#This Row],[Index HC_x000D_
kWh]]-$R$5</f>
        <v>6014</v>
      </c>
      <c r="X386" s="82">
        <f>Tableau1[[#This Row],[Différence HC
Cumul]]/(Tableau1[[#This Row],[Diff jour_x000D_
Cumul]]*24)</f>
        <v>0.39860283542223107</v>
      </c>
      <c r="Y386" s="82">
        <f>Tableau1[[#This Row],[Différence HC
Cumul]]/Tableau1[[#This Row],[Diff jour_x000D_
Cumul]]</f>
        <v>9.5664680501335457</v>
      </c>
      <c r="Z386" s="82">
        <f>Tableau1[[#This Row],[Conso HC / jour_x000D_
Cumul]]*365</f>
        <v>3491.7608382987441</v>
      </c>
      <c r="AA386" s="79">
        <f>Tableau1[[#This Row],[Différence HP
Instantané]]+Tableau1[[#This Row],[Différence_x000D_ HC
Instantané]]</f>
        <v>8</v>
      </c>
      <c r="AB386" s="80">
        <f>Tableau1[[#This Row],[Conso HP + HC
Instantané]]/(Tableau1[[#This Row],[Diff jour
Instantané]]*24)</f>
        <v>0.31767041694222642</v>
      </c>
      <c r="AC386" s="80">
        <f>IF(ISERROR(Tableau1[[#This Row],[Date]]-A385),"",Tableau1[[#This Row],[Conso HP + HC
Instantané]]/Tableau1[[#This Row],[Diff jour
Instantané]])</f>
        <v>7.6240900066134341</v>
      </c>
      <c r="AD386" s="80">
        <f>Tableau1[[#This Row],[Conso HP + HC / jour_x000D_
Instantané]]*365</f>
        <v>2782.7928524139033</v>
      </c>
      <c r="AE386" s="79">
        <f>Tableau1[[#This Row],[Différence HP
Cumul]]+Tableau1[[#This Row],[Différence HC
Cumul]]</f>
        <v>20021</v>
      </c>
      <c r="AF386" s="77">
        <f>(Tableau1[[#This Row],[Conso HP + HC
Cumul]]-AE$6)/Tableau1[[#This Row],[Diff jour_x000D_
Cumul
depuis le 24/01]]</f>
        <v>29.54768338542485</v>
      </c>
      <c r="AG386" s="77">
        <f>(Tableau1[[#This Row],[Conso HP + HC
Cumul]]-AE$59)/Tableau1[[#This Row],[Diff jour_x000D_
Cumul
depuis
précédente facture
16/02/2021]]</f>
        <v>27.891842727452762</v>
      </c>
      <c r="AH386" s="80">
        <f>Tableau1[[#This Row],[Conso HP + HC
Cumul]]/(Tableau1[[#This Row],[Diff jour_x000D_
Cumul]]*24)</f>
        <v>1.3269749531074972</v>
      </c>
      <c r="AI386" s="80">
        <f>Tableau1[[#This Row],[Conso HP + HC
Cumul]]/Tableau1[[#This Row],[Diff jour_x000D_
Cumul]]</f>
        <v>31.84739887457993</v>
      </c>
      <c r="AJ386" s="80">
        <f>Tableau1[[#This Row],[Conso HP + HC / jour_x000D_
Cumul]]*365</f>
        <v>11624.300589221675</v>
      </c>
      <c r="AK386" s="83">
        <f>(Tableau1[[#This Row],[Différence HP
Cumul]]*0.1799)+(Tableau1[[#This Row],[Différence HC
Cumul]]*0.1346)</f>
        <v>3329.3436999999999</v>
      </c>
      <c r="AL386" s="83">
        <f>Tableau1[[#This Row],[Montant
Tarif HP/HC]]/Tableau1[[#This Row],[Diff jour_x000D_
Cumul]]</f>
        <v>5.2959860548658799</v>
      </c>
      <c r="AM386" s="83">
        <f>(Tableau1[[#This Row],[Montant
Tarif HP/HC]]-AK$6)/Tableau1[[#This Row],[Diff jour_x000D_
Cumul
depuis le 24/01]]</f>
        <v>4.9188309615696229</v>
      </c>
      <c r="AN386" s="83">
        <f>(Tableau1[[#This Row],[Montant
Tarif HP/HC]]-AK$59)/Tableau1[[#This Row],[Diff jour_x000D_
Cumul
depuis
précédente facture
16/02/2021]]</f>
        <v>4.642855121186706</v>
      </c>
      <c r="AO386" s="83">
        <f>Tableau1[[#This Row],[Conso HP + HC
Cumul]]*0.1599</f>
        <v>3201.3578999999995</v>
      </c>
      <c r="AP386" s="83">
        <f>Tableau1[[#This Row],[Montant
Tarif normal]]/Tableau1[[#This Row],[Diff jour_x000D_
Cumul]]</f>
        <v>5.0923990800453298</v>
      </c>
      <c r="AQ386" s="83">
        <f>(Tableau1[[#This Row],[Conso HP / an
Cumul]]*0.1799)+(Tableau1[[#This Row],[Conso HC / an_x000D_
Cumul]]*0.1346)</f>
        <v>1933.0349100260464</v>
      </c>
      <c r="AR386" s="83">
        <f>Tableau1[[#This Row],[Conso HP + HC / an_x000D_
Cumul]]*0.1599</f>
        <v>1858.7256642165457</v>
      </c>
      <c r="AS386" s="79">
        <f>MONTH(Tableau1[[#This Row],[Date]])</f>
        <v>9</v>
      </c>
      <c r="AT386" s="79">
        <f>YEAR(Tableau1[[#This Row],[Date]])</f>
        <v>2022</v>
      </c>
    </row>
    <row r="387" spans="1:46" x14ac:dyDescent="0.2">
      <c r="A387" s="74">
        <v>44812.337500000001</v>
      </c>
      <c r="B387" s="75"/>
      <c r="C387" s="76">
        <f>IF(ISERROR(Tableau1[[#This Row],[Date]]-A386),"",Tableau1[[#This Row],[Date]]-A386)</f>
        <v>0.97499999999854481</v>
      </c>
      <c r="D387" s="77">
        <f>IF(ISERROR(Tableau1[[#This Row],[Date]]-A386),"",Tableau1[[#This Row],[Date]]-A386)</f>
        <v>0.97499999999854481</v>
      </c>
      <c r="E387" s="76">
        <f>Tableau1[[#This Row],[Date]]-$A$5</f>
        <v>629.6291666666657</v>
      </c>
      <c r="F387" s="77">
        <f>Tableau1[[#This Row],[Date]]-$A$5</f>
        <v>629.6291666666657</v>
      </c>
      <c r="G387" s="77">
        <f>Tableau1[[#This Row],[Diff jour_x000D_
Cumul]]-F$6</f>
        <v>591.54583333333721</v>
      </c>
      <c r="H387" s="77">
        <f>Tableau1[[#This Row],[Diff jour_x000D_
Cumul]]-F$59</f>
        <v>569.0263888888876</v>
      </c>
      <c r="I387" s="78">
        <v>193773</v>
      </c>
      <c r="J387" s="79">
        <f>IF(ISERROR(Tableau1[[#This Row],[Index HP
kWh]]-I386),"",Tableau1[[#This Row],[Index HP
kWh]]-I386)</f>
        <v>7</v>
      </c>
      <c r="K387" s="77">
        <f>IF(ISERROR(Tableau1[[#This Row],[Différence HP
Instantané]]/(Tableau1[[#This Row],[Diff jour
Instantané]]*24)),"",Tableau1[[#This Row],[Différence HP
Instantané]]/(Tableau1[[#This Row],[Diff jour
Instantané]]*24))</f>
        <v>0.29914529914574561</v>
      </c>
      <c r="L387" s="77">
        <f>Tableau1[[#This Row],[Différence HP
Instantané]]/Tableau1[[#This Row],[Diff jour
Instantané]]</f>
        <v>7.1794871794978947</v>
      </c>
      <c r="M387" s="77">
        <f>Tableau1[[#This Row],[Conso HP / jour
Instantané]]*365</f>
        <v>2620.5128205167316</v>
      </c>
      <c r="N387" s="79">
        <f>Tableau1[[#This Row],[Index HP
kWh]]-$I$5</f>
        <v>14014</v>
      </c>
      <c r="O387" s="80">
        <f>Tableau1[[#This Row],[Différence HP
Cumul]]/(Tableau1[[#This Row],[Diff jour_x000D_
Cumul]]*24)</f>
        <v>0.92739774073363435</v>
      </c>
      <c r="P387" s="80">
        <f>Tableau1[[#This Row],[Différence HP
Cumul]]/Tableau1[[#This Row],[Diff jour_x000D_
Cumul]]</f>
        <v>22.257545777607223</v>
      </c>
      <c r="Q387" s="80">
        <f>Tableau1[[#This Row],[Conso HP / jour
Cumul]]*365</f>
        <v>8124.0042088266364</v>
      </c>
      <c r="R387" s="78">
        <v>125449</v>
      </c>
      <c r="S387" s="79">
        <f>Tableau1[[#This Row],[Index HC_x000D_
kWh]]-R386</f>
        <v>3</v>
      </c>
      <c r="T387" s="81">
        <f>Tableau1[[#This Row],[Différence_x000D_ HC
Instantané]]/(Tableau1[[#This Row],[Diff jour
Instantané]]*24)</f>
        <v>0.12820512820531954</v>
      </c>
      <c r="U387" s="81">
        <f>Tableau1[[#This Row],[Différence_x000D_ HC
Instantané]]/Tableau1[[#This Row],[Diff jour
Instantané]]</f>
        <v>3.0769230769276694</v>
      </c>
      <c r="V387" s="81">
        <f>Tableau1[[#This Row],[Conso HC / jour_x000D_
Instantané]]*365</f>
        <v>1123.0769230785993</v>
      </c>
      <c r="W387" s="79">
        <f>Tableau1[[#This Row],[Index HC_x000D_
kWh]]-$R$5</f>
        <v>6017</v>
      </c>
      <c r="X387" s="82">
        <f>Tableau1[[#This Row],[Différence HC
Cumul]]/(Tableau1[[#This Row],[Diff jour_x000D_
Cumul]]*24)</f>
        <v>0.39818411631185086</v>
      </c>
      <c r="Y387" s="82">
        <f>Tableau1[[#This Row],[Différence HC
Cumul]]/Tableau1[[#This Row],[Diff jour_x000D_
Cumul]]</f>
        <v>9.5564187914844201</v>
      </c>
      <c r="Z387" s="82">
        <f>Tableau1[[#This Row],[Conso HC / jour_x000D_
Cumul]]*365</f>
        <v>3488.0928588918132</v>
      </c>
      <c r="AA387" s="79">
        <f>Tableau1[[#This Row],[Différence HP
Instantané]]+Tableau1[[#This Row],[Différence_x000D_ HC
Instantané]]</f>
        <v>10</v>
      </c>
      <c r="AB387" s="80">
        <f>Tableau1[[#This Row],[Conso HP + HC
Instantané]]/(Tableau1[[#This Row],[Diff jour
Instantané]]*24)</f>
        <v>0.42735042735106515</v>
      </c>
      <c r="AC387" s="80">
        <f>IF(ISERROR(Tableau1[[#This Row],[Date]]-A386),"",Tableau1[[#This Row],[Conso HP + HC
Instantané]]/Tableau1[[#This Row],[Diff jour
Instantané]])</f>
        <v>10.256410256425564</v>
      </c>
      <c r="AD387" s="80">
        <f>Tableau1[[#This Row],[Conso HP + HC / jour_x000D_
Instantané]]*365</f>
        <v>3743.5897435953311</v>
      </c>
      <c r="AE387" s="79">
        <f>Tableau1[[#This Row],[Différence HP
Cumul]]+Tableau1[[#This Row],[Différence HC
Cumul]]</f>
        <v>20031</v>
      </c>
      <c r="AF387" s="77">
        <f>(Tableau1[[#This Row],[Conso HP + HC
Cumul]]-AE$6)/Tableau1[[#This Row],[Diff jour_x000D_
Cumul
depuis le 24/01]]</f>
        <v>29.515887047354546</v>
      </c>
      <c r="AG387" s="77">
        <f>(Tableau1[[#This Row],[Conso HP + HC
Cumul]]-AE$59)/Tableau1[[#This Row],[Diff jour_x000D_
Cumul
depuis
précédente facture
16/02/2021]]</f>
        <v>27.86162524194598</v>
      </c>
      <c r="AH387" s="80">
        <f>Tableau1[[#This Row],[Conso HP + HC
Cumul]]/(Tableau1[[#This Row],[Diff jour_x000D_
Cumul]]*24)</f>
        <v>1.3255818570454851</v>
      </c>
      <c r="AI387" s="80">
        <f>Tableau1[[#This Row],[Conso HP + HC
Cumul]]/Tableau1[[#This Row],[Diff jour_x000D_
Cumul]]</f>
        <v>31.813964569091645</v>
      </c>
      <c r="AJ387" s="80">
        <f>Tableau1[[#This Row],[Conso HP + HC / jour_x000D_
Cumul]]*365</f>
        <v>11612.09706771845</v>
      </c>
      <c r="AK387" s="83">
        <f>(Tableau1[[#This Row],[Différence HP
Cumul]]*0.1799)+(Tableau1[[#This Row],[Différence HC
Cumul]]*0.1346)</f>
        <v>3331.0068000000001</v>
      </c>
      <c r="AL387" s="83">
        <f>Tableau1[[#This Row],[Montant
Tarif HP/HC]]/Tableau1[[#This Row],[Diff jour_x000D_
Cumul]]</f>
        <v>5.2904264547253428</v>
      </c>
      <c r="AM387" s="83">
        <f>(Tableau1[[#This Row],[Montant
Tarif HP/HC]]-AK$6)/Tableau1[[#This Row],[Diff jour_x000D_
Cumul
depuis le 24/01]]</f>
        <v>4.9135350740643897</v>
      </c>
      <c r="AN387" s="83">
        <f>(Tableau1[[#This Row],[Montant
Tarif HP/HC]]-AK$59)/Tableau1[[#This Row],[Diff jour_x000D_
Cumul
depuis
précédente facture
16/02/2021]]</f>
        <v>4.6378225184830919</v>
      </c>
      <c r="AO387" s="83">
        <f>Tableau1[[#This Row],[Conso HP + HC
Cumul]]*0.1599</f>
        <v>3202.9568999999997</v>
      </c>
      <c r="AP387" s="83">
        <f>Tableau1[[#This Row],[Montant
Tarif normal]]/Tableau1[[#This Row],[Diff jour_x000D_
Cumul]]</f>
        <v>5.0870529345977538</v>
      </c>
      <c r="AQ387" s="83">
        <f>(Tableau1[[#This Row],[Conso HP / an
Cumul]]*0.1799)+(Tableau1[[#This Row],[Conso HC / an_x000D_
Cumul]]*0.1346)</f>
        <v>1931.00565597475</v>
      </c>
      <c r="AR387" s="83">
        <f>Tableau1[[#This Row],[Conso HP + HC / an_x000D_
Cumul]]*0.1599</f>
        <v>1856.7743211281802</v>
      </c>
      <c r="AS387" s="79">
        <f>MONTH(Tableau1[[#This Row],[Date]])</f>
        <v>9</v>
      </c>
      <c r="AT387" s="79">
        <f>YEAR(Tableau1[[#This Row],[Date]])</f>
        <v>2022</v>
      </c>
    </row>
    <row r="388" spans="1:46" x14ac:dyDescent="0.2">
      <c r="A388" s="74">
        <v>44813.34375</v>
      </c>
      <c r="B388" s="75"/>
      <c r="C388" s="76">
        <f>IF(ISERROR(Tableau1[[#This Row],[Date]]-A387),"",Tableau1[[#This Row],[Date]]-A387)</f>
        <v>1.0062499999985448</v>
      </c>
      <c r="D388" s="77">
        <f>IF(ISERROR(Tableau1[[#This Row],[Date]]-A387),"",Tableau1[[#This Row],[Date]]-A387)</f>
        <v>1.0062499999985448</v>
      </c>
      <c r="E388" s="76">
        <f>Tableau1[[#This Row],[Date]]-$A$5</f>
        <v>630.63541666666424</v>
      </c>
      <c r="F388" s="77">
        <f>Tableau1[[#This Row],[Date]]-$A$5</f>
        <v>630.63541666666424</v>
      </c>
      <c r="G388" s="77">
        <f>Tableau1[[#This Row],[Diff jour_x000D_
Cumul]]-F$6</f>
        <v>592.55208333333576</v>
      </c>
      <c r="H388" s="77">
        <f>Tableau1[[#This Row],[Diff jour_x000D_
Cumul]]-F$59</f>
        <v>570.03263888888614</v>
      </c>
      <c r="I388" s="78">
        <v>193779</v>
      </c>
      <c r="J388" s="79">
        <f>IF(ISERROR(Tableau1[[#This Row],[Index HP
kWh]]-I387),"",Tableau1[[#This Row],[Index HP
kWh]]-I387)</f>
        <v>6</v>
      </c>
      <c r="K388" s="77">
        <f>IF(ISERROR(Tableau1[[#This Row],[Différence HP
Instantané]]/(Tableau1[[#This Row],[Diff jour
Instantané]]*24)),"",Tableau1[[#This Row],[Différence HP
Instantané]]/(Tableau1[[#This Row],[Diff jour
Instantané]]*24))</f>
        <v>0.24844720496930339</v>
      </c>
      <c r="L388" s="77">
        <f>Tableau1[[#This Row],[Différence HP
Instantané]]/Tableau1[[#This Row],[Diff jour
Instantané]]</f>
        <v>5.9627329192632814</v>
      </c>
      <c r="M388" s="77">
        <f>Tableau1[[#This Row],[Conso HP / jour
Instantané]]*365</f>
        <v>2176.3975155310977</v>
      </c>
      <c r="N388" s="79">
        <f>Tableau1[[#This Row],[Index HP
kWh]]-$I$5</f>
        <v>14020</v>
      </c>
      <c r="O388" s="80">
        <f>Tableau1[[#This Row],[Différence HP
Cumul]]/(Tableau1[[#This Row],[Diff jour_x000D_
Cumul]]*24)</f>
        <v>0.92631439850680064</v>
      </c>
      <c r="P388" s="80">
        <f>Tableau1[[#This Row],[Différence HP
Cumul]]/Tableau1[[#This Row],[Diff jour_x000D_
Cumul]]</f>
        <v>22.231545564163216</v>
      </c>
      <c r="Q388" s="80">
        <f>Tableau1[[#This Row],[Conso HP / jour
Cumul]]*365</f>
        <v>8114.5141309195742</v>
      </c>
      <c r="R388" s="78">
        <v>125452</v>
      </c>
      <c r="S388" s="79">
        <f>Tableau1[[#This Row],[Index HC_x000D_
kWh]]-R387</f>
        <v>3</v>
      </c>
      <c r="T388" s="81">
        <f>Tableau1[[#This Row],[Différence_x000D_ HC
Instantané]]/(Tableau1[[#This Row],[Diff jour
Instantané]]*24)</f>
        <v>0.1242236024846517</v>
      </c>
      <c r="U388" s="81">
        <f>Tableau1[[#This Row],[Différence_x000D_ HC
Instantané]]/Tableau1[[#This Row],[Diff jour
Instantané]]</f>
        <v>2.9813664596316407</v>
      </c>
      <c r="V388" s="81">
        <f>Tableau1[[#This Row],[Conso HC / jour_x000D_
Instantané]]*365</f>
        <v>1088.1987577655489</v>
      </c>
      <c r="W388" s="79">
        <f>Tableau1[[#This Row],[Index HC_x000D_
kWh]]-$R$5</f>
        <v>6020</v>
      </c>
      <c r="X388" s="82">
        <f>Tableau1[[#This Row],[Différence HC
Cumul]]/(Tableau1[[#This Row],[Diff jour_x000D_
Cumul]]*24)</f>
        <v>0.39774698138451781</v>
      </c>
      <c r="Y388" s="82">
        <f>Tableau1[[#This Row],[Différence HC
Cumul]]/Tableau1[[#This Row],[Diff jour_x000D_
Cumul]]</f>
        <v>9.5459275532284273</v>
      </c>
      <c r="Z388" s="82">
        <f>Tableau1[[#This Row],[Conso HC / jour_x000D_
Cumul]]*365</f>
        <v>3484.2635569283761</v>
      </c>
      <c r="AA388" s="79">
        <f>Tableau1[[#This Row],[Différence HP
Instantané]]+Tableau1[[#This Row],[Différence_x000D_ HC
Instantané]]</f>
        <v>9</v>
      </c>
      <c r="AB388" s="80">
        <f>Tableau1[[#This Row],[Conso HP + HC
Instantané]]/(Tableau1[[#This Row],[Diff jour
Instantané]]*24)</f>
        <v>0.37267080745395509</v>
      </c>
      <c r="AC388" s="80">
        <f>IF(ISERROR(Tableau1[[#This Row],[Date]]-A387),"",Tableau1[[#This Row],[Conso HP + HC
Instantané]]/Tableau1[[#This Row],[Diff jour
Instantané]])</f>
        <v>8.9440993788949221</v>
      </c>
      <c r="AD388" s="80">
        <f>Tableau1[[#This Row],[Conso HP + HC / jour_x000D_
Instantané]]*365</f>
        <v>3264.5962732966464</v>
      </c>
      <c r="AE388" s="79">
        <f>Tableau1[[#This Row],[Différence HP
Cumul]]+Tableau1[[#This Row],[Différence HC
Cumul]]</f>
        <v>20040</v>
      </c>
      <c r="AF388" s="77">
        <f>(Tableau1[[#This Row],[Conso HP + HC
Cumul]]-AE$6)/Tableau1[[#This Row],[Diff jour_x000D_
Cumul
depuis le 24/01]]</f>
        <v>29.480952799507659</v>
      </c>
      <c r="AG388" s="77">
        <f>(Tableau1[[#This Row],[Conso HP + HC
Cumul]]-AE$59)/Tableau1[[#This Row],[Diff jour_x000D_
Cumul
depuis
précédente facture
16/02/2021]]</f>
        <v>27.828231083259254</v>
      </c>
      <c r="AH388" s="80">
        <f>Tableau1[[#This Row],[Conso HP + HC
Cumul]]/(Tableau1[[#This Row],[Diff jour_x000D_
Cumul]]*24)</f>
        <v>1.3240613798913183</v>
      </c>
      <c r="AI388" s="80">
        <f>Tableau1[[#This Row],[Conso HP + HC
Cumul]]/Tableau1[[#This Row],[Diff jour_x000D_
Cumul]]</f>
        <v>31.777473117391644</v>
      </c>
      <c r="AJ388" s="80">
        <f>Tableau1[[#This Row],[Conso HP + HC / jour_x000D_
Cumul]]*365</f>
        <v>11598.777687847951</v>
      </c>
      <c r="AK388" s="83">
        <f>(Tableau1[[#This Row],[Différence HP
Cumul]]*0.1799)+(Tableau1[[#This Row],[Différence HC
Cumul]]*0.1346)</f>
        <v>3332.49</v>
      </c>
      <c r="AL388" s="83">
        <f>Tableau1[[#This Row],[Montant
Tarif HP/HC]]/Tableau1[[#This Row],[Diff jour_x000D_
Cumul]]</f>
        <v>5.2843368956575079</v>
      </c>
      <c r="AM388" s="83">
        <f>(Tableau1[[#This Row],[Montant
Tarif HP/HC]]-AK$6)/Tableau1[[#This Row],[Diff jour_x000D_
Cumul
depuis le 24/01]]</f>
        <v>4.9076941619055789</v>
      </c>
      <c r="AN388" s="83">
        <f>(Tableau1[[#This Row],[Montant
Tarif HP/HC]]-AK$59)/Tableau1[[#This Row],[Diff jour_x000D_
Cumul
depuis
précédente facture
16/02/2021]]</f>
        <v>4.6322375594964935</v>
      </c>
      <c r="AO388" s="83">
        <f>Tableau1[[#This Row],[Conso HP + HC
Cumul]]*0.1599</f>
        <v>3204.3959999999997</v>
      </c>
      <c r="AP388" s="83">
        <f>Tableau1[[#This Row],[Montant
Tarif normal]]/Tableau1[[#This Row],[Diff jour_x000D_
Cumul]]</f>
        <v>5.081217951470923</v>
      </c>
      <c r="AQ388" s="83">
        <f>(Tableau1[[#This Row],[Conso HP / an
Cumul]]*0.1799)+(Tableau1[[#This Row],[Conso HC / an_x000D_
Cumul]]*0.1346)</f>
        <v>1928.782966914991</v>
      </c>
      <c r="AR388" s="83">
        <f>Tableau1[[#This Row],[Conso HP + HC / an_x000D_
Cumul]]*0.1599</f>
        <v>1854.6445522868871</v>
      </c>
      <c r="AS388" s="79">
        <f>MONTH(Tableau1[[#This Row],[Date]])</f>
        <v>9</v>
      </c>
      <c r="AT388" s="79">
        <f>YEAR(Tableau1[[#This Row],[Date]])</f>
        <v>2022</v>
      </c>
    </row>
    <row r="389" spans="1:46" x14ac:dyDescent="0.2">
      <c r="A389" s="74">
        <v>44814.345833333333</v>
      </c>
      <c r="B389" s="75"/>
      <c r="C389" s="76">
        <f>IF(ISERROR(Tableau1[[#This Row],[Date]]-A388),"",Tableau1[[#This Row],[Date]]-A388)</f>
        <v>1.0020833333328483</v>
      </c>
      <c r="D389" s="77">
        <f>IF(ISERROR(Tableau1[[#This Row],[Date]]-A388),"",Tableau1[[#This Row],[Date]]-A388)</f>
        <v>1.0020833333328483</v>
      </c>
      <c r="E389" s="76">
        <f>Tableau1[[#This Row],[Date]]-$A$5</f>
        <v>631.63749999999709</v>
      </c>
      <c r="F389" s="77">
        <f>Tableau1[[#This Row],[Date]]-$A$5</f>
        <v>631.63749999999709</v>
      </c>
      <c r="G389" s="77">
        <f>Tableau1[[#This Row],[Diff jour_x000D_
Cumul]]-F$6</f>
        <v>593.55416666666861</v>
      </c>
      <c r="H389" s="77">
        <f>Tableau1[[#This Row],[Diff jour_x000D_
Cumul]]-F$59</f>
        <v>571.03472222221899</v>
      </c>
      <c r="I389" s="78">
        <v>193786</v>
      </c>
      <c r="J389" s="79">
        <f>IF(ISERROR(Tableau1[[#This Row],[Index HP
kWh]]-I388),"",Tableau1[[#This Row],[Index HP
kWh]]-I388)</f>
        <v>7</v>
      </c>
      <c r="K389" s="77">
        <f>IF(ISERROR(Tableau1[[#This Row],[Différence HP
Instantané]]/(Tableau1[[#This Row],[Diff jour
Instantané]]*24)),"",Tableau1[[#This Row],[Différence HP
Instantané]]/(Tableau1[[#This Row],[Diff jour
Instantané]]*24))</f>
        <v>0.29106029106043196</v>
      </c>
      <c r="L389" s="77">
        <f>Tableau1[[#This Row],[Différence HP
Instantané]]/Tableau1[[#This Row],[Diff jour
Instantané]]</f>
        <v>6.9854469854503671</v>
      </c>
      <c r="M389" s="77">
        <f>Tableau1[[#This Row],[Conso HP / jour
Instantané]]*365</f>
        <v>2549.6881496893839</v>
      </c>
      <c r="N389" s="79">
        <f>Tableau1[[#This Row],[Index HP
kWh]]-$I$5</f>
        <v>14027</v>
      </c>
      <c r="O389" s="80">
        <f>Tableau1[[#This Row],[Différence HP
Cumul]]/(Tableau1[[#This Row],[Diff jour_x000D_
Cumul]]*24)</f>
        <v>0.92530657748049483</v>
      </c>
      <c r="P389" s="80">
        <f>Tableau1[[#This Row],[Différence HP
Cumul]]/Tableau1[[#This Row],[Diff jour_x000D_
Cumul]]</f>
        <v>22.207357859531875</v>
      </c>
      <c r="Q389" s="80">
        <f>Tableau1[[#This Row],[Conso HP / jour
Cumul]]*365</f>
        <v>8105.6856187291341</v>
      </c>
      <c r="R389" s="78">
        <v>125455</v>
      </c>
      <c r="S389" s="79">
        <f>Tableau1[[#This Row],[Index HC_x000D_
kWh]]-R388</f>
        <v>3</v>
      </c>
      <c r="T389" s="81">
        <f>Tableau1[[#This Row],[Différence_x000D_ HC
Instantané]]/(Tableau1[[#This Row],[Diff jour
Instantané]]*24)</f>
        <v>0.12474012474018512</v>
      </c>
      <c r="U389" s="81">
        <f>Tableau1[[#This Row],[Différence_x000D_ HC
Instantané]]/Tableau1[[#This Row],[Diff jour
Instantané]]</f>
        <v>2.993762993764443</v>
      </c>
      <c r="V389" s="81">
        <f>Tableau1[[#This Row],[Conso HC / jour_x000D_
Instantané]]*365</f>
        <v>1092.7234927240218</v>
      </c>
      <c r="W389" s="79">
        <f>Tableau1[[#This Row],[Index HC_x000D_
kWh]]-$R$5</f>
        <v>6023</v>
      </c>
      <c r="X389" s="82">
        <f>Tableau1[[#This Row],[Différence HC
Cumul]]/(Tableau1[[#This Row],[Diff jour_x000D_
Cumul]]*24)</f>
        <v>0.3973138601386626</v>
      </c>
      <c r="Y389" s="82">
        <f>Tableau1[[#This Row],[Différence HC
Cumul]]/Tableau1[[#This Row],[Diff jour_x000D_
Cumul]]</f>
        <v>9.5355326433279028</v>
      </c>
      <c r="Z389" s="82">
        <f>Tableau1[[#This Row],[Conso HC / jour_x000D_
Cumul]]*365</f>
        <v>3480.4694148146846</v>
      </c>
      <c r="AA389" s="79">
        <f>Tableau1[[#This Row],[Différence HP
Instantané]]+Tableau1[[#This Row],[Différence_x000D_ HC
Instantané]]</f>
        <v>10</v>
      </c>
      <c r="AB389" s="80">
        <f>Tableau1[[#This Row],[Conso HP + HC
Instantané]]/(Tableau1[[#This Row],[Diff jour
Instantané]]*24)</f>
        <v>0.41580041580061705</v>
      </c>
      <c r="AC389" s="80">
        <f>IF(ISERROR(Tableau1[[#This Row],[Date]]-A388),"",Tableau1[[#This Row],[Conso HP + HC
Instantané]]/Tableau1[[#This Row],[Diff jour
Instantané]])</f>
        <v>9.9792099792148097</v>
      </c>
      <c r="AD389" s="80">
        <f>Tableau1[[#This Row],[Conso HP + HC / jour_x000D_
Instantané]]*365</f>
        <v>3642.4116424134054</v>
      </c>
      <c r="AE389" s="79">
        <f>Tableau1[[#This Row],[Différence HP
Cumul]]+Tableau1[[#This Row],[Différence HC
Cumul]]</f>
        <v>20050</v>
      </c>
      <c r="AF389" s="77">
        <f>(Tableau1[[#This Row],[Conso HP + HC
Cumul]]-AE$6)/Tableau1[[#This Row],[Diff jour_x000D_
Cumul
depuis le 24/01]]</f>
        <v>29.448028472548746</v>
      </c>
      <c r="AG389" s="77">
        <f>(Tableau1[[#This Row],[Conso HP + HC
Cumul]]-AE$59)/Tableau1[[#This Row],[Diff jour_x000D_
Cumul
depuis
précédente facture
16/02/2021]]</f>
        <v>27.796908633207419</v>
      </c>
      <c r="AH389" s="80">
        <f>Tableau1[[#This Row],[Conso HP + HC
Cumul]]/(Tableau1[[#This Row],[Diff jour_x000D_
Cumul]]*24)</f>
        <v>1.3226204376191575</v>
      </c>
      <c r="AI389" s="80">
        <f>Tableau1[[#This Row],[Conso HP + HC
Cumul]]/Tableau1[[#This Row],[Diff jour_x000D_
Cumul]]</f>
        <v>31.742890502859776</v>
      </c>
      <c r="AJ389" s="80">
        <f>Tableau1[[#This Row],[Conso HP + HC / jour_x000D_
Cumul]]*365</f>
        <v>11586.155033543819</v>
      </c>
      <c r="AK389" s="83">
        <f>(Tableau1[[#This Row],[Différence HP
Cumul]]*0.1799)+(Tableau1[[#This Row],[Différence HC
Cumul]]*0.1346)</f>
        <v>3334.1531</v>
      </c>
      <c r="AL389" s="83">
        <f>Tableau1[[#This Row],[Montant
Tarif HP/HC]]/Tableau1[[#This Row],[Diff jour_x000D_
Cumul]]</f>
        <v>5.2785863727217199</v>
      </c>
      <c r="AM389" s="83">
        <f>(Tableau1[[#This Row],[Montant
Tarif HP/HC]]-AK$6)/Tableau1[[#This Row],[Diff jour_x000D_
Cumul
depuis le 24/01]]</f>
        <v>4.9022105536562774</v>
      </c>
      <c r="AN389" s="83">
        <f>(Tableau1[[#This Row],[Montant
Tarif HP/HC]]-AK$59)/Tableau1[[#This Row],[Diff jour_x000D_
Cumul
depuis
précédente facture
16/02/2021]]</f>
        <v>4.6270210850186935</v>
      </c>
      <c r="AO389" s="83">
        <f>Tableau1[[#This Row],[Conso HP + HC
Cumul]]*0.1599</f>
        <v>3205.9949999999999</v>
      </c>
      <c r="AP389" s="83">
        <f>Tableau1[[#This Row],[Montant
Tarif normal]]/Tableau1[[#This Row],[Diff jour_x000D_
Cumul]]</f>
        <v>5.075688191407278</v>
      </c>
      <c r="AQ389" s="83">
        <f>(Tableau1[[#This Row],[Conso HP / an
Cumul]]*0.1799)+(Tableau1[[#This Row],[Conso HC / an_x000D_
Cumul]]*0.1346)</f>
        <v>1926.6840260434278</v>
      </c>
      <c r="AR389" s="83">
        <f>Tableau1[[#This Row],[Conso HP + HC / an_x000D_
Cumul]]*0.1599</f>
        <v>1852.6261898636565</v>
      </c>
      <c r="AS389" s="79">
        <f>MONTH(Tableau1[[#This Row],[Date]])</f>
        <v>9</v>
      </c>
      <c r="AT389" s="79">
        <f>YEAR(Tableau1[[#This Row],[Date]])</f>
        <v>2022</v>
      </c>
    </row>
    <row r="390" spans="1:46" x14ac:dyDescent="0.2">
      <c r="A390" s="74">
        <v>44815.407638888886</v>
      </c>
      <c r="B390" s="75"/>
      <c r="C390" s="76">
        <f>IF(ISERROR(Tableau1[[#This Row],[Date]]-A389),"",Tableau1[[#This Row],[Date]]-A389)</f>
        <v>1.0618055555532919</v>
      </c>
      <c r="D390" s="77">
        <f>IF(ISERROR(Tableau1[[#This Row],[Date]]-A389),"",Tableau1[[#This Row],[Date]]-A389)</f>
        <v>1.0618055555532919</v>
      </c>
      <c r="E390" s="76">
        <f>Tableau1[[#This Row],[Date]]-$A$5</f>
        <v>632.69930555555038</v>
      </c>
      <c r="F390" s="77">
        <f>Tableau1[[#This Row],[Date]]-$A$5</f>
        <v>632.69930555555038</v>
      </c>
      <c r="G390" s="77">
        <f>Tableau1[[#This Row],[Diff jour_x000D_
Cumul]]-F$6</f>
        <v>594.6159722222219</v>
      </c>
      <c r="H390" s="77">
        <f>Tableau1[[#This Row],[Diff jour_x000D_
Cumul]]-F$59</f>
        <v>572.09652777777228</v>
      </c>
      <c r="I390" s="78">
        <v>193792</v>
      </c>
      <c r="J390" s="79">
        <f>IF(ISERROR(Tableau1[[#This Row],[Index HP
kWh]]-I389),"",Tableau1[[#This Row],[Index HP
kWh]]-I389)</f>
        <v>6</v>
      </c>
      <c r="K390" s="77">
        <f>IF(ISERROR(Tableau1[[#This Row],[Différence HP
Instantané]]/(Tableau1[[#This Row],[Diff jour
Instantané]]*24)),"",Tableau1[[#This Row],[Différence HP
Instantané]]/(Tableau1[[#This Row],[Diff jour
Instantané]]*24))</f>
        <v>0.23544800523267984</v>
      </c>
      <c r="L390" s="77">
        <f>Tableau1[[#This Row],[Différence HP
Instantané]]/Tableau1[[#This Row],[Diff jour
Instantané]]</f>
        <v>5.6507521255843161</v>
      </c>
      <c r="M390" s="77">
        <f>Tableau1[[#This Row],[Conso HP / jour
Instantané]]*365</f>
        <v>2062.5245258382752</v>
      </c>
      <c r="N390" s="79">
        <f>Tableau1[[#This Row],[Index HP
kWh]]-$I$5</f>
        <v>14033</v>
      </c>
      <c r="O390" s="80">
        <f>Tableau1[[#This Row],[Différence HP
Cumul]]/(Tableau1[[#This Row],[Diff jour_x000D_
Cumul]]*24)</f>
        <v>0.92414884637801542</v>
      </c>
      <c r="P390" s="80">
        <f>Tableau1[[#This Row],[Différence HP
Cumul]]/Tableau1[[#This Row],[Diff jour_x000D_
Cumul]]</f>
        <v>22.17957231307237</v>
      </c>
      <c r="Q390" s="80">
        <f>Tableau1[[#This Row],[Conso HP / jour
Cumul]]*365</f>
        <v>8095.5438942714154</v>
      </c>
      <c r="R390" s="78">
        <v>125458</v>
      </c>
      <c r="S390" s="79">
        <f>Tableau1[[#This Row],[Index HC_x000D_
kWh]]-R389</f>
        <v>3</v>
      </c>
      <c r="T390" s="81">
        <f>Tableau1[[#This Row],[Différence_x000D_ HC
Instantané]]/(Tableau1[[#This Row],[Diff jour
Instantané]]*24)</f>
        <v>0.11772400261633992</v>
      </c>
      <c r="U390" s="81">
        <f>Tableau1[[#This Row],[Différence_x000D_ HC
Instantané]]/Tableau1[[#This Row],[Diff jour
Instantané]]</f>
        <v>2.825376062792158</v>
      </c>
      <c r="V390" s="81">
        <f>Tableau1[[#This Row],[Conso HC / jour_x000D_
Instantané]]*365</f>
        <v>1031.2622629191376</v>
      </c>
      <c r="W390" s="79">
        <f>Tableau1[[#This Row],[Index HC_x000D_
kWh]]-$R$5</f>
        <v>6026</v>
      </c>
      <c r="X390" s="82">
        <f>Tableau1[[#This Row],[Différence HC
Cumul]]/(Tableau1[[#This Row],[Diff jour_x000D_
Cumul]]*24)</f>
        <v>0.39684464820593746</v>
      </c>
      <c r="Y390" s="82">
        <f>Tableau1[[#This Row],[Différence HC
Cumul]]/Tableau1[[#This Row],[Diff jour_x000D_
Cumul]]</f>
        <v>9.5242715569424998</v>
      </c>
      <c r="Z390" s="82">
        <f>Tableau1[[#This Row],[Conso HC / jour_x000D_
Cumul]]*365</f>
        <v>3476.3591182840123</v>
      </c>
      <c r="AA390" s="79">
        <f>Tableau1[[#This Row],[Différence HP
Instantané]]+Tableau1[[#This Row],[Différence_x000D_ HC
Instantané]]</f>
        <v>9</v>
      </c>
      <c r="AB390" s="80">
        <f>Tableau1[[#This Row],[Conso HP + HC
Instantané]]/(Tableau1[[#This Row],[Diff jour
Instantané]]*24)</f>
        <v>0.35317200784901975</v>
      </c>
      <c r="AC390" s="80">
        <f>IF(ISERROR(Tableau1[[#This Row],[Date]]-A389),"",Tableau1[[#This Row],[Conso HP + HC
Instantané]]/Tableau1[[#This Row],[Diff jour
Instantané]])</f>
        <v>8.4761281883764745</v>
      </c>
      <c r="AD390" s="80">
        <f>Tableau1[[#This Row],[Conso HP + HC / jour_x000D_
Instantané]]*365</f>
        <v>3093.786788757413</v>
      </c>
      <c r="AE390" s="79">
        <f>Tableau1[[#This Row],[Différence HP
Cumul]]+Tableau1[[#This Row],[Différence HC
Cumul]]</f>
        <v>20059</v>
      </c>
      <c r="AF390" s="77">
        <f>(Tableau1[[#This Row],[Conso HP + HC
Cumul]]-AE$6)/Tableau1[[#This Row],[Diff jour_x000D_
Cumul
depuis le 24/01]]</f>
        <v>29.410578956773005</v>
      </c>
      <c r="AG390" s="77">
        <f>(Tableau1[[#This Row],[Conso HP + HC
Cumul]]-AE$59)/Tableau1[[#This Row],[Diff jour_x000D_
Cumul
depuis
précédente facture
16/02/2021]]</f>
        <v>27.761049453824469</v>
      </c>
      <c r="AH390" s="80">
        <f>Tableau1[[#This Row],[Conso HP + HC
Cumul]]/(Tableau1[[#This Row],[Diff jour_x000D_
Cumul]]*24)</f>
        <v>1.3209934945839528</v>
      </c>
      <c r="AI390" s="80">
        <f>Tableau1[[#This Row],[Conso HP + HC
Cumul]]/Tableau1[[#This Row],[Diff jour_x000D_
Cumul]]</f>
        <v>31.703843870014868</v>
      </c>
      <c r="AJ390" s="80">
        <f>Tableau1[[#This Row],[Conso HP + HC / jour_x000D_
Cumul]]*365</f>
        <v>11571.903012555427</v>
      </c>
      <c r="AK390" s="83">
        <f>(Tableau1[[#This Row],[Différence HP
Cumul]]*0.1799)+(Tableau1[[#This Row],[Différence HC
Cumul]]*0.1346)</f>
        <v>3335.6363000000001</v>
      </c>
      <c r="AL390" s="83">
        <f>Tableau1[[#This Row],[Montant
Tarif HP/HC]]/Tableau1[[#This Row],[Diff jour_x000D_
Cumul]]</f>
        <v>5.2720720106861796</v>
      </c>
      <c r="AM390" s="83">
        <f>(Tableau1[[#This Row],[Montant
Tarif HP/HC]]-AK$6)/Tableau1[[#This Row],[Diff jour_x000D_
Cumul
depuis le 24/01]]</f>
        <v>4.8959510608504351</v>
      </c>
      <c r="AN390" s="83">
        <f>(Tableau1[[#This Row],[Montant
Tarif HP/HC]]-AK$59)/Tableau1[[#This Row],[Diff jour_x000D_
Cumul
depuis
précédente facture
16/02/2021]]</f>
        <v>4.6210259486610976</v>
      </c>
      <c r="AO390" s="83">
        <f>Tableau1[[#This Row],[Conso HP + HC
Cumul]]*0.1599</f>
        <v>3207.4340999999999</v>
      </c>
      <c r="AP390" s="83">
        <f>Tableau1[[#This Row],[Montant
Tarif normal]]/Tableau1[[#This Row],[Diff jour_x000D_
Cumul]]</f>
        <v>5.069444634815377</v>
      </c>
      <c r="AQ390" s="83">
        <f>(Tableau1[[#This Row],[Conso HP / an
Cumul]]*0.1799)+(Tableau1[[#This Row],[Conso HC / an_x000D_
Cumul]]*0.1346)</f>
        <v>1924.3062839004556</v>
      </c>
      <c r="AR390" s="83">
        <f>Tableau1[[#This Row],[Conso HP + HC / an_x000D_
Cumul]]*0.1599</f>
        <v>1850.3472917076126</v>
      </c>
      <c r="AS390" s="79">
        <f>MONTH(Tableau1[[#This Row],[Date]])</f>
        <v>9</v>
      </c>
      <c r="AT390" s="79">
        <f>YEAR(Tableau1[[#This Row],[Date]])</f>
        <v>2022</v>
      </c>
    </row>
    <row r="391" spans="1:46" x14ac:dyDescent="0.2">
      <c r="A391" s="74">
        <v>44816.313888888886</v>
      </c>
      <c r="B391" s="75"/>
      <c r="C391" s="76">
        <f>IF(ISERROR(Tableau1[[#This Row],[Date]]-A390),"",Tableau1[[#This Row],[Date]]-A390)</f>
        <v>0.90625</v>
      </c>
      <c r="D391" s="77">
        <f>IF(ISERROR(Tableau1[[#This Row],[Date]]-A390),"",Tableau1[[#This Row],[Date]]-A390)</f>
        <v>0.90625</v>
      </c>
      <c r="E391" s="76">
        <f>Tableau1[[#This Row],[Date]]-$A$5</f>
        <v>633.60555555555038</v>
      </c>
      <c r="F391" s="77">
        <f>Tableau1[[#This Row],[Date]]-$A$5</f>
        <v>633.60555555555038</v>
      </c>
      <c r="G391" s="77">
        <f>Tableau1[[#This Row],[Diff jour_x000D_
Cumul]]-F$6</f>
        <v>595.5222222222219</v>
      </c>
      <c r="H391" s="77">
        <f>Tableau1[[#This Row],[Diff jour_x000D_
Cumul]]-F$59</f>
        <v>573.00277777777228</v>
      </c>
      <c r="I391" s="78">
        <v>193799</v>
      </c>
      <c r="J391" s="79">
        <f>IF(ISERROR(Tableau1[[#This Row],[Index HP
kWh]]-I390),"",Tableau1[[#This Row],[Index HP
kWh]]-I390)</f>
        <v>7</v>
      </c>
      <c r="K391" s="77">
        <f>IF(ISERROR(Tableau1[[#This Row],[Différence HP
Instantané]]/(Tableau1[[#This Row],[Diff jour
Instantané]]*24)),"",Tableau1[[#This Row],[Différence HP
Instantané]]/(Tableau1[[#This Row],[Diff jour
Instantané]]*24))</f>
        <v>0.32183908045977011</v>
      </c>
      <c r="L391" s="77">
        <f>Tableau1[[#This Row],[Différence HP
Instantané]]/Tableau1[[#This Row],[Diff jour
Instantané]]</f>
        <v>7.7241379310344831</v>
      </c>
      <c r="M391" s="77">
        <f>Tableau1[[#This Row],[Conso HP / jour
Instantané]]*365</f>
        <v>2819.3103448275865</v>
      </c>
      <c r="N391" s="79">
        <f>Tableau1[[#This Row],[Index HP
kWh]]-$I$5</f>
        <v>14040</v>
      </c>
      <c r="O391" s="80">
        <f>Tableau1[[#This Row],[Différence HP
Cumul]]/(Tableau1[[#This Row],[Diff jour_x000D_
Cumul]]*24)</f>
        <v>0.92328735894221658</v>
      </c>
      <c r="P391" s="80">
        <f>Tableau1[[#This Row],[Différence HP
Cumul]]/Tableau1[[#This Row],[Diff jour_x000D_
Cumul]]</f>
        <v>22.158896614613198</v>
      </c>
      <c r="Q391" s="80">
        <f>Tableau1[[#This Row],[Conso HP / jour
Cumul]]*365</f>
        <v>8087.9972643338169</v>
      </c>
      <c r="R391" s="78">
        <v>125460</v>
      </c>
      <c r="S391" s="79">
        <f>Tableau1[[#This Row],[Index HC_x000D_
kWh]]-R390</f>
        <v>2</v>
      </c>
      <c r="T391" s="81">
        <f>Tableau1[[#This Row],[Différence_x000D_ HC
Instantané]]/(Tableau1[[#This Row],[Diff jour
Instantané]]*24)</f>
        <v>9.1954022988505746E-2</v>
      </c>
      <c r="U391" s="81">
        <f>Tableau1[[#This Row],[Différence_x000D_ HC
Instantané]]/Tableau1[[#This Row],[Diff jour
Instantané]]</f>
        <v>2.2068965517241379</v>
      </c>
      <c r="V391" s="81">
        <f>Tableau1[[#This Row],[Conso HC / jour_x000D_
Instantané]]*365</f>
        <v>805.51724137931035</v>
      </c>
      <c r="W391" s="79">
        <f>Tableau1[[#This Row],[Index HC_x000D_
kWh]]-$R$5</f>
        <v>6028</v>
      </c>
      <c r="X391" s="82">
        <f>Tableau1[[#This Row],[Différence HC
Cumul]]/(Tableau1[[#This Row],[Diff jour_x000D_
Cumul]]*24)</f>
        <v>0.39640856123245594</v>
      </c>
      <c r="Y391" s="82">
        <f>Tableau1[[#This Row],[Différence HC
Cumul]]/Tableau1[[#This Row],[Diff jour_x000D_
Cumul]]</f>
        <v>9.5138054695789425</v>
      </c>
      <c r="Z391" s="82">
        <f>Tableau1[[#This Row],[Conso HC / jour_x000D_
Cumul]]*365</f>
        <v>3472.5389963963139</v>
      </c>
      <c r="AA391" s="79">
        <f>Tableau1[[#This Row],[Différence HP
Instantané]]+Tableau1[[#This Row],[Différence_x000D_ HC
Instantané]]</f>
        <v>9</v>
      </c>
      <c r="AB391" s="80">
        <f>Tableau1[[#This Row],[Conso HP + HC
Instantané]]/(Tableau1[[#This Row],[Diff jour
Instantané]]*24)</f>
        <v>0.41379310344827586</v>
      </c>
      <c r="AC391" s="80">
        <f>IF(ISERROR(Tableau1[[#This Row],[Date]]-A390),"",Tableau1[[#This Row],[Conso HP + HC
Instantané]]/Tableau1[[#This Row],[Diff jour
Instantané]])</f>
        <v>9.931034482758621</v>
      </c>
      <c r="AD391" s="80">
        <f>Tableau1[[#This Row],[Conso HP + HC / jour_x000D_
Instantané]]*365</f>
        <v>3624.8275862068967</v>
      </c>
      <c r="AE391" s="79">
        <f>Tableau1[[#This Row],[Différence HP
Cumul]]+Tableau1[[#This Row],[Différence HC
Cumul]]</f>
        <v>20068</v>
      </c>
      <c r="AF391" s="77">
        <f>(Tableau1[[#This Row],[Conso HP + HC
Cumul]]-AE$6)/Tableau1[[#This Row],[Diff jour_x000D_
Cumul
depuis le 24/01]]</f>
        <v>29.380935500121293</v>
      </c>
      <c r="AG391" s="77">
        <f>(Tableau1[[#This Row],[Conso HP + HC
Cumul]]-AE$59)/Tableau1[[#This Row],[Diff jour_x000D_
Cumul
depuis
précédente facture
16/02/2021]]</f>
        <v>27.732849850446986</v>
      </c>
      <c r="AH391" s="80">
        <f>Tableau1[[#This Row],[Conso HP + HC
Cumul]]/(Tableau1[[#This Row],[Diff jour_x000D_
Cumul]]*24)</f>
        <v>1.3196959201746725</v>
      </c>
      <c r="AI391" s="80">
        <f>Tableau1[[#This Row],[Conso HP + HC
Cumul]]/Tableau1[[#This Row],[Diff jour_x000D_
Cumul]]</f>
        <v>31.672702084192142</v>
      </c>
      <c r="AJ391" s="80">
        <f>Tableau1[[#This Row],[Conso HP + HC / jour_x000D_
Cumul]]*365</f>
        <v>11560.536260730132</v>
      </c>
      <c r="AK391" s="83">
        <f>(Tableau1[[#This Row],[Différence HP
Cumul]]*0.1799)+(Tableau1[[#This Row],[Différence HC
Cumul]]*0.1346)</f>
        <v>3337.1648000000005</v>
      </c>
      <c r="AL391" s="83">
        <f>Tableau1[[#This Row],[Montant
Tarif HP/HC]]/Tableau1[[#This Row],[Diff jour_x000D_
Cumul]]</f>
        <v>5.2669437171742404</v>
      </c>
      <c r="AM391" s="83">
        <f>(Tableau1[[#This Row],[Montant
Tarif HP/HC]]-AK$6)/Tableau1[[#This Row],[Diff jour_x000D_
Cumul
depuis le 24/01]]</f>
        <v>4.8910671865962678</v>
      </c>
      <c r="AN391" s="83">
        <f>(Tableau1[[#This Row],[Montant
Tarif HP/HC]]-AK$59)/Tableau1[[#This Row],[Diff jour_x000D_
Cumul
depuis
précédente facture
16/02/2021]]</f>
        <v>4.6163849506256476</v>
      </c>
      <c r="AO391" s="83">
        <f>Tableau1[[#This Row],[Conso HP + HC
Cumul]]*0.1599</f>
        <v>3208.8731999999995</v>
      </c>
      <c r="AP391" s="83">
        <f>Tableau1[[#This Row],[Montant
Tarif normal]]/Tableau1[[#This Row],[Diff jour_x000D_
Cumul]]</f>
        <v>5.0644650632623227</v>
      </c>
      <c r="AQ391" s="83">
        <f>(Tableau1[[#This Row],[Conso HP / an
Cumul]]*0.1799)+(Tableau1[[#This Row],[Conso HC / an_x000D_
Cumul]]*0.1346)</f>
        <v>1922.4344567685976</v>
      </c>
      <c r="AR391" s="83">
        <f>Tableau1[[#This Row],[Conso HP + HC / an_x000D_
Cumul]]*0.1599</f>
        <v>1848.5297480907479</v>
      </c>
      <c r="AS391" s="79">
        <f>MONTH(Tableau1[[#This Row],[Date]])</f>
        <v>9</v>
      </c>
      <c r="AT391" s="79">
        <f>YEAR(Tableau1[[#This Row],[Date]])</f>
        <v>2022</v>
      </c>
    </row>
    <row r="392" spans="1:46" x14ac:dyDescent="0.2">
      <c r="A392" s="74">
        <v>44817.319444444445</v>
      </c>
      <c r="B392" s="75"/>
      <c r="C392" s="76">
        <f>IF(ISERROR(Tableau1[[#This Row],[Date]]-A391),"",Tableau1[[#This Row],[Date]]-A391)</f>
        <v>1.0055555555591127</v>
      </c>
      <c r="D392" s="77">
        <f>IF(ISERROR(Tableau1[[#This Row],[Date]]-A391),"",Tableau1[[#This Row],[Date]]-A391)</f>
        <v>1.0055555555591127</v>
      </c>
      <c r="E392" s="76">
        <f>Tableau1[[#This Row],[Date]]-$A$5</f>
        <v>634.61111111110949</v>
      </c>
      <c r="F392" s="77">
        <f>Tableau1[[#This Row],[Date]]-$A$5</f>
        <v>634.61111111110949</v>
      </c>
      <c r="G392" s="77">
        <f>Tableau1[[#This Row],[Diff jour_x000D_
Cumul]]-F$6</f>
        <v>596.52777777778101</v>
      </c>
      <c r="H392" s="77">
        <f>Tableau1[[#This Row],[Diff jour_x000D_
Cumul]]-F$59</f>
        <v>574.00833333333139</v>
      </c>
      <c r="I392" s="78">
        <v>193805</v>
      </c>
      <c r="J392" s="79">
        <f>IF(ISERROR(Tableau1[[#This Row],[Index HP
kWh]]-I391),"",Tableau1[[#This Row],[Index HP
kWh]]-I391)</f>
        <v>6</v>
      </c>
      <c r="K392" s="77">
        <f>IF(ISERROR(Tableau1[[#This Row],[Différence HP
Instantané]]/(Tableau1[[#This Row],[Diff jour
Instantané]]*24)),"",Tableau1[[#This Row],[Différence HP
Instantané]]/(Tableau1[[#This Row],[Diff jour
Instantané]]*24))</f>
        <v>0.24861878452950725</v>
      </c>
      <c r="L392" s="77">
        <f>Tableau1[[#This Row],[Différence HP
Instantané]]/Tableau1[[#This Row],[Diff jour
Instantané]]</f>
        <v>5.9668508287081741</v>
      </c>
      <c r="M392" s="77">
        <f>Tableau1[[#This Row],[Conso HP / jour
Instantané]]*365</f>
        <v>2177.9005524784834</v>
      </c>
      <c r="N392" s="79">
        <f>Tableau1[[#This Row],[Index HP
kWh]]-$I$5</f>
        <v>14046</v>
      </c>
      <c r="O392" s="80">
        <f>Tableau1[[#This Row],[Différence HP
Cumul]]/(Tableau1[[#This Row],[Diff jour_x000D_
Cumul]]*24)</f>
        <v>0.92221833143657772</v>
      </c>
      <c r="P392" s="80">
        <f>Tableau1[[#This Row],[Différence HP
Cumul]]/Tableau1[[#This Row],[Diff jour_x000D_
Cumul]]</f>
        <v>22.133239954477865</v>
      </c>
      <c r="Q392" s="80">
        <f>Tableau1[[#This Row],[Conso HP / jour
Cumul]]*365</f>
        <v>8078.6325833844212</v>
      </c>
      <c r="R392" s="78">
        <v>125462</v>
      </c>
      <c r="S392" s="79">
        <f>Tableau1[[#This Row],[Index HC_x000D_
kWh]]-R391</f>
        <v>2</v>
      </c>
      <c r="T392" s="81">
        <f>Tableau1[[#This Row],[Différence_x000D_ HC
Instantané]]/(Tableau1[[#This Row],[Diff jour
Instantané]]*24)</f>
        <v>8.2872928176502422E-2</v>
      </c>
      <c r="U392" s="81">
        <f>Tableau1[[#This Row],[Différence_x000D_ HC
Instantané]]/Tableau1[[#This Row],[Diff jour
Instantané]]</f>
        <v>1.988950276236058</v>
      </c>
      <c r="V392" s="81">
        <f>Tableau1[[#This Row],[Conso HC / jour_x000D_
Instantané]]*365</f>
        <v>725.96685082616114</v>
      </c>
      <c r="W392" s="79">
        <f>Tableau1[[#This Row],[Index HC_x000D_
kWh]]-$R$5</f>
        <v>6030</v>
      </c>
      <c r="X392" s="82">
        <f>Tableau1[[#This Row],[Différence HC
Cumul]]/(Tableau1[[#This Row],[Diff jour_x000D_
Cumul]]*24)</f>
        <v>0.39591175698152953</v>
      </c>
      <c r="Y392" s="82">
        <f>Tableau1[[#This Row],[Différence HC
Cumul]]/Tableau1[[#This Row],[Diff jour_x000D_
Cumul]]</f>
        <v>9.5018821675567082</v>
      </c>
      <c r="Z392" s="82">
        <f>Tableau1[[#This Row],[Conso HC / jour_x000D_
Cumul]]*365</f>
        <v>3468.1869911581985</v>
      </c>
      <c r="AA392" s="79">
        <f>Tableau1[[#This Row],[Différence HP
Instantané]]+Tableau1[[#This Row],[Différence_x000D_ HC
Instantané]]</f>
        <v>8</v>
      </c>
      <c r="AB392" s="80">
        <f>Tableau1[[#This Row],[Conso HP + HC
Instantané]]/(Tableau1[[#This Row],[Diff jour
Instantané]]*24)</f>
        <v>0.33149171270600969</v>
      </c>
      <c r="AC392" s="80">
        <f>IF(ISERROR(Tableau1[[#This Row],[Date]]-A391),"",Tableau1[[#This Row],[Conso HP + HC
Instantané]]/Tableau1[[#This Row],[Diff jour
Instantané]])</f>
        <v>7.9558011049442321</v>
      </c>
      <c r="AD392" s="80">
        <f>Tableau1[[#This Row],[Conso HP + HC / jour_x000D_
Instantané]]*365</f>
        <v>2903.8674033046445</v>
      </c>
      <c r="AE392" s="79">
        <f>Tableau1[[#This Row],[Différence HP
Cumul]]+Tableau1[[#This Row],[Différence HC
Cumul]]</f>
        <v>20076</v>
      </c>
      <c r="AF392" s="77">
        <f>(Tableau1[[#This Row],[Conso HP + HC
Cumul]]-AE$6)/Tableau1[[#This Row],[Diff jour_x000D_
Cumul
depuis le 24/01]]</f>
        <v>29.344819557624987</v>
      </c>
      <c r="AG392" s="77">
        <f>(Tableau1[[#This Row],[Conso HP + HC
Cumul]]-AE$59)/Tableau1[[#This Row],[Diff jour_x000D_
Cumul
depuis
précédente facture
16/02/2021]]</f>
        <v>27.698204149184921</v>
      </c>
      <c r="AH392" s="80">
        <f>Tableau1[[#This Row],[Conso HP + HC
Cumul]]/(Tableau1[[#This Row],[Diff jour_x000D_
Cumul]]*24)</f>
        <v>1.3181300884181071</v>
      </c>
      <c r="AI392" s="80">
        <f>Tableau1[[#This Row],[Conso HP + HC
Cumul]]/Tableau1[[#This Row],[Diff jour_x000D_
Cumul]]</f>
        <v>31.635122122034574</v>
      </c>
      <c r="AJ392" s="80">
        <f>Tableau1[[#This Row],[Conso HP + HC / jour_x000D_
Cumul]]*365</f>
        <v>11546.81957454262</v>
      </c>
      <c r="AK392" s="83">
        <f>(Tableau1[[#This Row],[Différence HP
Cumul]]*0.1799)+(Tableau1[[#This Row],[Différence HC
Cumul]]*0.1346)</f>
        <v>3338.5133999999998</v>
      </c>
      <c r="AL392" s="83">
        <f>Tableau1[[#This Row],[Montant
Tarif HP/HC]]/Tableau1[[#This Row],[Diff jour_x000D_
Cumul]]</f>
        <v>5.2607232075637</v>
      </c>
      <c r="AM392" s="83">
        <f>(Tableau1[[#This Row],[Montant
Tarif HP/HC]]-AK$6)/Tableau1[[#This Row],[Diff jour_x000D_
Cumul
depuis le 24/01]]</f>
        <v>4.8850831571594613</v>
      </c>
      <c r="AN392" s="83">
        <f>(Tableau1[[#This Row],[Montant
Tarif HP/HC]]-AK$59)/Tableau1[[#This Row],[Diff jour_x000D_
Cumul
depuis
précédente facture
16/02/2021]]</f>
        <v>4.6106473483253883</v>
      </c>
      <c r="AO392" s="83">
        <f>Tableau1[[#This Row],[Conso HP + HC
Cumul]]*0.1599</f>
        <v>3210.1523999999999</v>
      </c>
      <c r="AP392" s="83">
        <f>Tableau1[[#This Row],[Montant
Tarif normal]]/Tableau1[[#This Row],[Diff jour_x000D_
Cumul]]</f>
        <v>5.0584560273133281</v>
      </c>
      <c r="AQ392" s="83">
        <f>(Tableau1[[#This Row],[Conso HP / an
Cumul]]*0.1799)+(Tableau1[[#This Row],[Conso HC / an_x000D_
Cumul]]*0.1346)</f>
        <v>1920.1639707607508</v>
      </c>
      <c r="AR392" s="83">
        <f>Tableau1[[#This Row],[Conso HP + HC / an_x000D_
Cumul]]*0.1599</f>
        <v>1846.3364499693648</v>
      </c>
      <c r="AS392" s="79">
        <f>MONTH(Tableau1[[#This Row],[Date]])</f>
        <v>9</v>
      </c>
      <c r="AT392" s="79">
        <f>YEAR(Tableau1[[#This Row],[Date]])</f>
        <v>2022</v>
      </c>
    </row>
    <row r="393" spans="1:46" x14ac:dyDescent="0.2">
      <c r="A393" s="74">
        <v>44819.356249999997</v>
      </c>
      <c r="B393" s="75"/>
      <c r="C393" s="76">
        <f>IF(ISERROR(Tableau1[[#This Row],[Date]]-A392),"",Tableau1[[#This Row],[Date]]-A392)</f>
        <v>2.0368055555518367</v>
      </c>
      <c r="D393" s="77">
        <f>IF(ISERROR(Tableau1[[#This Row],[Date]]-A392),"",Tableau1[[#This Row],[Date]]-A392)</f>
        <v>2.0368055555518367</v>
      </c>
      <c r="E393" s="76">
        <f>Tableau1[[#This Row],[Date]]-$A$5</f>
        <v>636.64791666666133</v>
      </c>
      <c r="F393" s="77">
        <f>Tableau1[[#This Row],[Date]]-$A$5</f>
        <v>636.64791666666133</v>
      </c>
      <c r="G393" s="77">
        <f>Tableau1[[#This Row],[Diff jour_x000D_
Cumul]]-F$6</f>
        <v>598.56458333333285</v>
      </c>
      <c r="H393" s="77">
        <f>Tableau1[[#This Row],[Diff jour_x000D_
Cumul]]-F$59</f>
        <v>576.04513888888323</v>
      </c>
      <c r="I393" s="78">
        <v>193816</v>
      </c>
      <c r="J393" s="79">
        <f>IF(ISERROR(Tableau1[[#This Row],[Index HP
kWh]]-I392),"",Tableau1[[#This Row],[Index HP
kWh]]-I392)</f>
        <v>11</v>
      </c>
      <c r="K393" s="77">
        <f>IF(ISERROR(Tableau1[[#This Row],[Différence HP
Instantané]]/(Tableau1[[#This Row],[Diff jour
Instantané]]*24)),"",Tableau1[[#This Row],[Différence HP
Instantané]]/(Tableau1[[#This Row],[Diff jour
Instantané]]*24))</f>
        <v>0.22502557108803445</v>
      </c>
      <c r="L393" s="77">
        <f>Tableau1[[#This Row],[Différence HP
Instantané]]/Tableau1[[#This Row],[Diff jour
Instantané]]</f>
        <v>5.4006137061128268</v>
      </c>
      <c r="M393" s="77">
        <f>Tableau1[[#This Row],[Conso HP / jour
Instantané]]*365</f>
        <v>1971.2240027311818</v>
      </c>
      <c r="N393" s="79">
        <f>Tableau1[[#This Row],[Index HP
kWh]]-$I$5</f>
        <v>14057</v>
      </c>
      <c r="O393" s="80">
        <f>Tableau1[[#This Row],[Différence HP
Cumul]]/(Tableau1[[#This Row],[Diff jour_x000D_
Cumul]]*24)</f>
        <v>0.9199878268666366</v>
      </c>
      <c r="P393" s="80">
        <f>Tableau1[[#This Row],[Différence HP
Cumul]]/Tableau1[[#This Row],[Diff jour_x000D_
Cumul]]</f>
        <v>22.07970784479928</v>
      </c>
      <c r="Q393" s="80">
        <f>Tableau1[[#This Row],[Conso HP / jour
Cumul]]*365</f>
        <v>8059.093363351737</v>
      </c>
      <c r="R393" s="78">
        <v>125466</v>
      </c>
      <c r="S393" s="79">
        <f>Tableau1[[#This Row],[Index HC_x000D_
kWh]]-R392</f>
        <v>4</v>
      </c>
      <c r="T393" s="81">
        <f>Tableau1[[#This Row],[Différence_x000D_ HC
Instantané]]/(Tableau1[[#This Row],[Diff jour
Instantané]]*24)</f>
        <v>8.1827480395648897E-2</v>
      </c>
      <c r="U393" s="81">
        <f>Tableau1[[#This Row],[Différence_x000D_ HC
Instantané]]/Tableau1[[#This Row],[Diff jour
Instantané]]</f>
        <v>1.9638595294955734</v>
      </c>
      <c r="V393" s="81">
        <f>Tableau1[[#This Row],[Conso HC / jour_x000D_
Instantané]]*365</f>
        <v>716.80872826588427</v>
      </c>
      <c r="W393" s="79">
        <f>Tableau1[[#This Row],[Index HC_x000D_
kWh]]-$R$5</f>
        <v>6034</v>
      </c>
      <c r="X393" s="82">
        <f>Tableau1[[#This Row],[Différence HC
Cumul]]/(Tableau1[[#This Row],[Diff jour_x000D_
Cumul]]*24)</f>
        <v>0.39490691807023443</v>
      </c>
      <c r="Y393" s="82">
        <f>Tableau1[[#This Row],[Différence HC
Cumul]]/Tableau1[[#This Row],[Diff jour_x000D_
Cumul]]</f>
        <v>9.4777660336856258</v>
      </c>
      <c r="Z393" s="82">
        <f>Tableau1[[#This Row],[Conso HC / jour_x000D_
Cumul]]*365</f>
        <v>3459.3846022952534</v>
      </c>
      <c r="AA393" s="79">
        <f>Tableau1[[#This Row],[Différence HP
Instantané]]+Tableau1[[#This Row],[Différence_x000D_ HC
Instantané]]</f>
        <v>15</v>
      </c>
      <c r="AB393" s="80">
        <f>Tableau1[[#This Row],[Conso HP + HC
Instantané]]/(Tableau1[[#This Row],[Diff jour
Instantané]]*24)</f>
        <v>0.30685305148368336</v>
      </c>
      <c r="AC393" s="80">
        <f>IF(ISERROR(Tableau1[[#This Row],[Date]]-A392),"",Tableau1[[#This Row],[Conso HP + HC
Instantané]]/Tableau1[[#This Row],[Diff jour
Instantané]])</f>
        <v>7.3644732356083997</v>
      </c>
      <c r="AD393" s="80">
        <f>Tableau1[[#This Row],[Conso HP + HC / jour_x000D_
Instantané]]*365</f>
        <v>2688.0327309970658</v>
      </c>
      <c r="AE393" s="79">
        <f>Tableau1[[#This Row],[Différence HP
Cumul]]+Tableau1[[#This Row],[Différence HC
Cumul]]</f>
        <v>20091</v>
      </c>
      <c r="AF393" s="77">
        <f>(Tableau1[[#This Row],[Conso HP + HC
Cumul]]-AE$6)/Tableau1[[#This Row],[Diff jour_x000D_
Cumul
depuis le 24/01]]</f>
        <v>29.270024468259159</v>
      </c>
      <c r="AG393" s="77">
        <f>(Tableau1[[#This Row],[Conso HP + HC
Cumul]]-AE$59)/Tableau1[[#This Row],[Diff jour_x000D_
Cumul
depuis
précédente facture
16/02/2021]]</f>
        <v>27.626307255532186</v>
      </c>
      <c r="AH393" s="80">
        <f>Tableau1[[#This Row],[Conso HP + HC
Cumul]]/(Tableau1[[#This Row],[Diff jour_x000D_
Cumul]]*24)</f>
        <v>1.3148947449368711</v>
      </c>
      <c r="AI393" s="80">
        <f>Tableau1[[#This Row],[Conso HP + HC
Cumul]]/Tableau1[[#This Row],[Diff jour_x000D_
Cumul]]</f>
        <v>31.557473878484906</v>
      </c>
      <c r="AJ393" s="80">
        <f>Tableau1[[#This Row],[Conso HP + HC / jour_x000D_
Cumul]]*365</f>
        <v>11518.477965646991</v>
      </c>
      <c r="AK393" s="83">
        <f>(Tableau1[[#This Row],[Différence HP
Cumul]]*0.1799)+(Tableau1[[#This Row],[Différence HC
Cumul]]*0.1346)</f>
        <v>3341.0306999999998</v>
      </c>
      <c r="AL393" s="83">
        <f>Tableau1[[#This Row],[Montant
Tarif HP/HC]]/Tableau1[[#This Row],[Diff jour_x000D_
Cumul]]</f>
        <v>5.2478467494134753</v>
      </c>
      <c r="AM393" s="83">
        <f>(Tableau1[[#This Row],[Montant
Tarif HP/HC]]-AK$6)/Tableau1[[#This Row],[Diff jour_x000D_
Cumul
depuis le 24/01]]</f>
        <v>4.8726656758704019</v>
      </c>
      <c r="AN393" s="83">
        <f>(Tableau1[[#This Row],[Montant
Tarif HP/HC]]-AK$59)/Tableau1[[#This Row],[Diff jour_x000D_
Cumul
depuis
précédente facture
16/02/2021]]</f>
        <v>4.5987147901459755</v>
      </c>
      <c r="AO393" s="83">
        <f>Tableau1[[#This Row],[Conso HP + HC
Cumul]]*0.1599</f>
        <v>3212.5508999999997</v>
      </c>
      <c r="AP393" s="83">
        <f>Tableau1[[#This Row],[Montant
Tarif normal]]/Tableau1[[#This Row],[Diff jour_x000D_
Cumul]]</f>
        <v>5.0460400731697357</v>
      </c>
      <c r="AQ393" s="83">
        <f>(Tableau1[[#This Row],[Conso HP / an
Cumul]]*0.1799)+(Tableau1[[#This Row],[Conso HC / an_x000D_
Cumul]]*0.1346)</f>
        <v>1915.4640635359187</v>
      </c>
      <c r="AR393" s="83">
        <f>Tableau1[[#This Row],[Conso HP + HC / an_x000D_
Cumul]]*0.1599</f>
        <v>1841.8046267069537</v>
      </c>
      <c r="AS393" s="79">
        <f>MONTH(Tableau1[[#This Row],[Date]])</f>
        <v>9</v>
      </c>
      <c r="AT393" s="79">
        <f>YEAR(Tableau1[[#This Row],[Date]])</f>
        <v>2022</v>
      </c>
    </row>
    <row r="394" spans="1:46" x14ac:dyDescent="0.2">
      <c r="A394" s="74">
        <v>44820.316666666666</v>
      </c>
      <c r="B394" s="75"/>
      <c r="C394" s="76">
        <f>IF(ISERROR(Tableau1[[#This Row],[Date]]-A393),"",Tableau1[[#This Row],[Date]]-A393)</f>
        <v>0.96041666666860692</v>
      </c>
      <c r="D394" s="77">
        <f>IF(ISERROR(Tableau1[[#This Row],[Date]]-A393),"",Tableau1[[#This Row],[Date]]-A393)</f>
        <v>0.96041666666860692</v>
      </c>
      <c r="E394" s="76">
        <f>Tableau1[[#This Row],[Date]]-$A$5</f>
        <v>637.60833333332994</v>
      </c>
      <c r="F394" s="77">
        <f>Tableau1[[#This Row],[Date]]-$A$5</f>
        <v>637.60833333332994</v>
      </c>
      <c r="G394" s="77">
        <f>Tableau1[[#This Row],[Diff jour_x000D_
Cumul]]-F$6</f>
        <v>599.52500000000146</v>
      </c>
      <c r="H394" s="77">
        <f>Tableau1[[#This Row],[Diff jour_x000D_
Cumul]]-F$59</f>
        <v>577.00555555555184</v>
      </c>
      <c r="I394" s="78">
        <v>193821</v>
      </c>
      <c r="J394" s="79">
        <f>IF(ISERROR(Tableau1[[#This Row],[Index HP
kWh]]-I393),"",Tableau1[[#This Row],[Index HP
kWh]]-I393)</f>
        <v>5</v>
      </c>
      <c r="K394" s="77">
        <f>IF(ISERROR(Tableau1[[#This Row],[Différence HP
Instantané]]/(Tableau1[[#This Row],[Diff jour
Instantané]]*24)),"",Tableau1[[#This Row],[Différence HP
Instantané]]/(Tableau1[[#This Row],[Diff jour
Instantané]]*24))</f>
        <v>0.21691973969587414</v>
      </c>
      <c r="L394" s="77">
        <f>Tableau1[[#This Row],[Différence HP
Instantané]]/Tableau1[[#This Row],[Diff jour
Instantané]]</f>
        <v>5.2060737527009797</v>
      </c>
      <c r="M394" s="77">
        <f>Tableau1[[#This Row],[Conso HP / jour
Instantané]]*365</f>
        <v>1900.2169197358576</v>
      </c>
      <c r="N394" s="79">
        <f>Tableau1[[#This Row],[Index HP
kWh]]-$I$5</f>
        <v>14062</v>
      </c>
      <c r="O394" s="80">
        <f>Tableau1[[#This Row],[Différence HP
Cumul]]/(Tableau1[[#This Row],[Diff jour_x000D_
Cumul]]*24)</f>
        <v>0.91892880948336064</v>
      </c>
      <c r="P394" s="80">
        <f>Tableau1[[#This Row],[Différence HP
Cumul]]/Tableau1[[#This Row],[Diff jour_x000D_
Cumul]]</f>
        <v>22.054291427600656</v>
      </c>
      <c r="Q394" s="80">
        <f>Tableau1[[#This Row],[Conso HP / jour
Cumul]]*365</f>
        <v>8049.8163710742392</v>
      </c>
      <c r="R394" s="78">
        <v>125468</v>
      </c>
      <c r="S394" s="79">
        <f>Tableau1[[#This Row],[Index HC_x000D_
kWh]]-R393</f>
        <v>2</v>
      </c>
      <c r="T394" s="81">
        <f>Tableau1[[#This Row],[Différence_x000D_ HC
Instantané]]/(Tableau1[[#This Row],[Diff jour
Instantané]]*24)</f>
        <v>8.6767895878349655E-2</v>
      </c>
      <c r="U394" s="81">
        <f>Tableau1[[#This Row],[Différence_x000D_ HC
Instantané]]/Tableau1[[#This Row],[Diff jour
Instantané]]</f>
        <v>2.0824295010803917</v>
      </c>
      <c r="V394" s="81">
        <f>Tableau1[[#This Row],[Conso HC / jour_x000D_
Instantané]]*365</f>
        <v>760.08676789434298</v>
      </c>
      <c r="W394" s="79">
        <f>Tableau1[[#This Row],[Index HC_x000D_
kWh]]-$R$5</f>
        <v>6036</v>
      </c>
      <c r="X394" s="82">
        <f>Tableau1[[#This Row],[Différence HC
Cumul]]/(Tableau1[[#This Row],[Diff jour_x000D_
Cumul]]*24)</f>
        <v>0.39444277443049103</v>
      </c>
      <c r="Y394" s="82">
        <f>Tableau1[[#This Row],[Différence HC
Cumul]]/Tableau1[[#This Row],[Diff jour_x000D_
Cumul]]</f>
        <v>9.4666265863317847</v>
      </c>
      <c r="Z394" s="82">
        <f>Tableau1[[#This Row],[Conso HC / jour_x000D_
Cumul]]*365</f>
        <v>3455.3187040111015</v>
      </c>
      <c r="AA394" s="79">
        <f>Tableau1[[#This Row],[Différence HP
Instantané]]+Tableau1[[#This Row],[Différence_x000D_ HC
Instantané]]</f>
        <v>7</v>
      </c>
      <c r="AB394" s="80">
        <f>Tableau1[[#This Row],[Conso HP + HC
Instantané]]/(Tableau1[[#This Row],[Diff jour
Instantané]]*24)</f>
        <v>0.30368763557422379</v>
      </c>
      <c r="AC394" s="80">
        <f>IF(ISERROR(Tableau1[[#This Row],[Date]]-A393),"",Tableau1[[#This Row],[Conso HP + HC
Instantané]]/Tableau1[[#This Row],[Diff jour
Instantané]])</f>
        <v>7.2885032537813714</v>
      </c>
      <c r="AD394" s="80">
        <f>Tableau1[[#This Row],[Conso HP + HC / jour_x000D_
Instantané]]*365</f>
        <v>2660.3036876302008</v>
      </c>
      <c r="AE394" s="79">
        <f>Tableau1[[#This Row],[Différence HP
Cumul]]+Tableau1[[#This Row],[Différence HC
Cumul]]</f>
        <v>20098</v>
      </c>
      <c r="AF394" s="77">
        <f>(Tableau1[[#This Row],[Conso HP + HC
Cumul]]-AE$6)/Tableau1[[#This Row],[Diff jour_x000D_
Cumul
depuis le 24/01]]</f>
        <v>29.234810891956062</v>
      </c>
      <c r="AG394" s="77">
        <f>(Tableau1[[#This Row],[Conso HP + HC
Cumul]]-AE$59)/Tableau1[[#This Row],[Diff jour_x000D_
Cumul
depuis
précédente facture
16/02/2021]]</f>
        <v>27.592455300834949</v>
      </c>
      <c r="AH394" s="80">
        <f>Tableau1[[#This Row],[Conso HP + HC
Cumul]]/(Tableau1[[#This Row],[Diff jour_x000D_
Cumul]]*24)</f>
        <v>1.3133715839138518</v>
      </c>
      <c r="AI394" s="80">
        <f>Tableau1[[#This Row],[Conso HP + HC
Cumul]]/Tableau1[[#This Row],[Diff jour_x000D_
Cumul]]</f>
        <v>31.520918013932441</v>
      </c>
      <c r="AJ394" s="80">
        <f>Tableau1[[#This Row],[Conso HP + HC / jour_x000D_
Cumul]]*365</f>
        <v>11505.135075085342</v>
      </c>
      <c r="AK394" s="83">
        <f>(Tableau1[[#This Row],[Différence HP
Cumul]]*0.1799)+(Tableau1[[#This Row],[Différence HC
Cumul]]*0.1346)</f>
        <v>3342.1994</v>
      </c>
      <c r="AL394" s="83">
        <f>Tableau1[[#This Row],[Montant
Tarif HP/HC]]/Tableau1[[#This Row],[Diff jour_x000D_
Cumul]]</f>
        <v>5.2417749663456163</v>
      </c>
      <c r="AM394" s="83">
        <f>(Tableau1[[#This Row],[Montant
Tarif HP/HC]]-AK$6)/Tableau1[[#This Row],[Diff jour_x000D_
Cumul
depuis le 24/01]]</f>
        <v>4.8668092239689633</v>
      </c>
      <c r="AN394" s="83">
        <f>(Tableau1[[#This Row],[Montant
Tarif HP/HC]]-AK$59)/Tableau1[[#This Row],[Diff jour_x000D_
Cumul
depuis
précédente facture
16/02/2021]]</f>
        <v>4.5930857588508012</v>
      </c>
      <c r="AO394" s="83">
        <f>Tableau1[[#This Row],[Conso HP + HC
Cumul]]*0.1599</f>
        <v>3213.6701999999996</v>
      </c>
      <c r="AP394" s="83">
        <f>Tableau1[[#This Row],[Montant
Tarif normal]]/Tableau1[[#This Row],[Diff jour_x000D_
Cumul]]</f>
        <v>5.0401947904277966</v>
      </c>
      <c r="AQ394" s="83">
        <f>(Tableau1[[#This Row],[Conso HP / an
Cumul]]*0.1799)+(Tableau1[[#This Row],[Conso HC / an_x000D_
Cumul]]*0.1346)</f>
        <v>1913.2478627161499</v>
      </c>
      <c r="AR394" s="83">
        <f>Tableau1[[#This Row],[Conso HP + HC / an_x000D_
Cumul]]*0.1599</f>
        <v>1839.6710985061459</v>
      </c>
      <c r="AS394" s="79">
        <f>MONTH(Tableau1[[#This Row],[Date]])</f>
        <v>9</v>
      </c>
      <c r="AT394" s="79">
        <f>YEAR(Tableau1[[#This Row],[Date]])</f>
        <v>2022</v>
      </c>
    </row>
    <row r="395" spans="1:46" x14ac:dyDescent="0.2">
      <c r="A395" s="74">
        <v>44821.379166666666</v>
      </c>
      <c r="B395" s="75"/>
      <c r="C395" s="76">
        <f>IF(ISERROR(Tableau1[[#This Row],[Date]]-A394),"",Tableau1[[#This Row],[Date]]-A394)</f>
        <v>1.0625</v>
      </c>
      <c r="D395" s="77">
        <f>IF(ISERROR(Tableau1[[#This Row],[Date]]-A394),"",Tableau1[[#This Row],[Date]]-A394)</f>
        <v>1.0625</v>
      </c>
      <c r="E395" s="76">
        <f>Tableau1[[#This Row],[Date]]-$A$5</f>
        <v>638.67083333332994</v>
      </c>
      <c r="F395" s="77">
        <f>Tableau1[[#This Row],[Date]]-$A$5</f>
        <v>638.67083333332994</v>
      </c>
      <c r="G395" s="77">
        <f>Tableau1[[#This Row],[Diff jour_x000D_
Cumul]]-F$6</f>
        <v>600.58750000000146</v>
      </c>
      <c r="H395" s="77">
        <f>Tableau1[[#This Row],[Diff jour_x000D_
Cumul]]-F$59</f>
        <v>578.06805555555184</v>
      </c>
      <c r="I395" s="78">
        <v>193827</v>
      </c>
      <c r="J395" s="79">
        <f>IF(ISERROR(Tableau1[[#This Row],[Index HP
kWh]]-I394),"",Tableau1[[#This Row],[Index HP
kWh]]-I394)</f>
        <v>6</v>
      </c>
      <c r="K395" s="77">
        <f>IF(ISERROR(Tableau1[[#This Row],[Différence HP
Instantané]]/(Tableau1[[#This Row],[Diff jour
Instantané]]*24)),"",Tableau1[[#This Row],[Différence HP
Instantané]]/(Tableau1[[#This Row],[Diff jour
Instantané]]*24))</f>
        <v>0.23529411764705882</v>
      </c>
      <c r="L395" s="77">
        <f>Tableau1[[#This Row],[Différence HP
Instantané]]/Tableau1[[#This Row],[Diff jour
Instantané]]</f>
        <v>5.6470588235294121</v>
      </c>
      <c r="M395" s="77">
        <f>Tableau1[[#This Row],[Conso HP / jour
Instantané]]*365</f>
        <v>2061.1764705882356</v>
      </c>
      <c r="N395" s="79">
        <f>Tableau1[[#This Row],[Index HP
kWh]]-$I$5</f>
        <v>14068</v>
      </c>
      <c r="O395" s="80">
        <f>Tableau1[[#This Row],[Différence HP
Cumul]]/(Tableau1[[#This Row],[Diff jour_x000D_
Cumul]]*24)</f>
        <v>0.91779150710134161</v>
      </c>
      <c r="P395" s="80">
        <f>Tableau1[[#This Row],[Différence HP
Cumul]]/Tableau1[[#This Row],[Diff jour_x000D_
Cumul]]</f>
        <v>22.026996170432199</v>
      </c>
      <c r="Q395" s="80">
        <f>Tableau1[[#This Row],[Conso HP / jour
Cumul]]*365</f>
        <v>8039.8536022077524</v>
      </c>
      <c r="R395" s="78">
        <v>125470</v>
      </c>
      <c r="S395" s="79">
        <f>Tableau1[[#This Row],[Index HC_x000D_
kWh]]-R394</f>
        <v>2</v>
      </c>
      <c r="T395" s="81">
        <f>Tableau1[[#This Row],[Différence_x000D_ HC
Instantané]]/(Tableau1[[#This Row],[Diff jour
Instantané]]*24)</f>
        <v>7.8431372549019607E-2</v>
      </c>
      <c r="U395" s="81">
        <f>Tableau1[[#This Row],[Différence_x000D_ HC
Instantané]]/Tableau1[[#This Row],[Diff jour
Instantané]]</f>
        <v>1.8823529411764706</v>
      </c>
      <c r="V395" s="81">
        <f>Tableau1[[#This Row],[Conso HC / jour_x000D_
Instantané]]*365</f>
        <v>687.05882352941171</v>
      </c>
      <c r="W395" s="79">
        <f>Tableau1[[#This Row],[Index HC_x000D_
kWh]]-$R$5</f>
        <v>6038</v>
      </c>
      <c r="X395" s="82">
        <f>Tableau1[[#This Row],[Différence HC
Cumul]]/(Tableau1[[#This Row],[Diff jour_x000D_
Cumul]]*24)</f>
        <v>0.39391705429896934</v>
      </c>
      <c r="Y395" s="82">
        <f>Tableau1[[#This Row],[Différence HC
Cumul]]/Tableau1[[#This Row],[Diff jour_x000D_
Cumul]]</f>
        <v>9.4540093031752637</v>
      </c>
      <c r="Z395" s="82">
        <f>Tableau1[[#This Row],[Conso HC / jour_x000D_
Cumul]]*365</f>
        <v>3450.7133956589714</v>
      </c>
      <c r="AA395" s="79">
        <f>Tableau1[[#This Row],[Différence HP
Instantané]]+Tableau1[[#This Row],[Différence_x000D_ HC
Instantané]]</f>
        <v>8</v>
      </c>
      <c r="AB395" s="80">
        <f>Tableau1[[#This Row],[Conso HP + HC
Instantané]]/(Tableau1[[#This Row],[Diff jour
Instantané]]*24)</f>
        <v>0.31372549019607843</v>
      </c>
      <c r="AC395" s="80">
        <f>IF(ISERROR(Tableau1[[#This Row],[Date]]-A394),"",Tableau1[[#This Row],[Conso HP + HC
Instantané]]/Tableau1[[#This Row],[Diff jour
Instantané]])</f>
        <v>7.5294117647058822</v>
      </c>
      <c r="AD395" s="80">
        <f>Tableau1[[#This Row],[Conso HP + HC / jour_x000D_
Instantané]]*365</f>
        <v>2748.2352941176468</v>
      </c>
      <c r="AE395" s="79">
        <f>Tableau1[[#This Row],[Différence HP
Cumul]]+Tableau1[[#This Row],[Différence HC
Cumul]]</f>
        <v>20106</v>
      </c>
      <c r="AF395" s="77">
        <f>(Tableau1[[#This Row],[Conso HP + HC
Cumul]]-AE$6)/Tableau1[[#This Row],[Diff jour_x000D_
Cumul
depuis le 24/01]]</f>
        <v>29.196411846733337</v>
      </c>
      <c r="AG395" s="77">
        <f>(Tableau1[[#This Row],[Conso HP + HC
Cumul]]-AE$59)/Tableau1[[#This Row],[Diff jour_x000D_
Cumul
depuis
précédente facture
16/02/2021]]</f>
        <v>27.55557904802653</v>
      </c>
      <c r="AH395" s="80">
        <f>Tableau1[[#This Row],[Conso HP + HC
Cumul]]/(Tableau1[[#This Row],[Diff jour_x000D_
Cumul]]*24)</f>
        <v>1.311708561400311</v>
      </c>
      <c r="AI395" s="80">
        <f>Tableau1[[#This Row],[Conso HP + HC
Cumul]]/Tableau1[[#This Row],[Diff jour_x000D_
Cumul]]</f>
        <v>31.481005473607464</v>
      </c>
      <c r="AJ395" s="80">
        <f>Tableau1[[#This Row],[Conso HP + HC / jour_x000D_
Cumul]]*365</f>
        <v>11490.566997866725</v>
      </c>
      <c r="AK395" s="83">
        <f>(Tableau1[[#This Row],[Différence HP
Cumul]]*0.1799)+(Tableau1[[#This Row],[Différence HC
Cumul]]*0.1346)</f>
        <v>3343.5479999999998</v>
      </c>
      <c r="AL395" s="83">
        <f>Tableau1[[#This Row],[Montant
Tarif HP/HC]]/Tableau1[[#This Row],[Diff jour_x000D_
Cumul]]</f>
        <v>5.2351662632681428</v>
      </c>
      <c r="AM395" s="83">
        <f>(Tableau1[[#This Row],[Montant
Tarif HP/HC]]-AK$6)/Tableau1[[#This Row],[Diff jour_x000D_
Cumul
depuis le 24/01]]</f>
        <v>4.860444814452503</v>
      </c>
      <c r="AN395" s="83">
        <f>(Tableau1[[#This Row],[Montant
Tarif HP/HC]]-AK$59)/Tableau1[[#This Row],[Diff jour_x000D_
Cumul
depuis
précédente facture
16/02/2021]]</f>
        <v>4.5869765238137861</v>
      </c>
      <c r="AO395" s="83">
        <f>Tableau1[[#This Row],[Conso HP + HC
Cumul]]*0.1599</f>
        <v>3214.9493999999995</v>
      </c>
      <c r="AP395" s="83">
        <f>Tableau1[[#This Row],[Montant
Tarif normal]]/Tableau1[[#This Row],[Diff jour_x000D_
Cumul]]</f>
        <v>5.0338127752298325</v>
      </c>
      <c r="AQ395" s="83">
        <f>(Tableau1[[#This Row],[Conso HP / an
Cumul]]*0.1799)+(Tableau1[[#This Row],[Conso HC / an_x000D_
Cumul]]*0.1346)</f>
        <v>1910.835686092872</v>
      </c>
      <c r="AR395" s="83">
        <f>Tableau1[[#This Row],[Conso HP + HC / an_x000D_
Cumul]]*0.1599</f>
        <v>1837.3416629588892</v>
      </c>
      <c r="AS395" s="79">
        <f>MONTH(Tableau1[[#This Row],[Date]])</f>
        <v>9</v>
      </c>
      <c r="AT395" s="79">
        <f>YEAR(Tableau1[[#This Row],[Date]])</f>
        <v>2022</v>
      </c>
    </row>
    <row r="396" spans="1:46" x14ac:dyDescent="0.2">
      <c r="A396" s="74">
        <v>44822.359722222223</v>
      </c>
      <c r="B396" s="75"/>
      <c r="C396" s="76">
        <f>IF(ISERROR(Tableau1[[#This Row],[Date]]-A395),"",Tableau1[[#This Row],[Date]]-A395)</f>
        <v>0.9805555555576575</v>
      </c>
      <c r="D396" s="77">
        <f>IF(ISERROR(Tableau1[[#This Row],[Date]]-A395),"",Tableau1[[#This Row],[Date]]-A395)</f>
        <v>0.9805555555576575</v>
      </c>
      <c r="E396" s="76">
        <f>Tableau1[[#This Row],[Date]]-$A$5</f>
        <v>639.6513888888876</v>
      </c>
      <c r="F396" s="77">
        <f>Tableau1[[#This Row],[Date]]-$A$5</f>
        <v>639.6513888888876</v>
      </c>
      <c r="G396" s="77">
        <f>Tableau1[[#This Row],[Diff jour_x000D_
Cumul]]-F$6</f>
        <v>601.56805555555911</v>
      </c>
      <c r="H396" s="77">
        <f>Tableau1[[#This Row],[Diff jour_x000D_
Cumul]]-F$59</f>
        <v>579.04861111110949</v>
      </c>
      <c r="I396" s="78">
        <v>193834</v>
      </c>
      <c r="J396" s="79">
        <f>IF(ISERROR(Tableau1[[#This Row],[Index HP
kWh]]-I395),"",Tableau1[[#This Row],[Index HP
kWh]]-I395)</f>
        <v>7</v>
      </c>
      <c r="K396" s="77">
        <f>IF(ISERROR(Tableau1[[#This Row],[Différence HP
Instantané]]/(Tableau1[[#This Row],[Diff jour
Instantané]]*24)),"",Tableau1[[#This Row],[Différence HP
Instantané]]/(Tableau1[[#This Row],[Diff jour
Instantané]]*24))</f>
        <v>0.29745042492854085</v>
      </c>
      <c r="L396" s="77">
        <f>Tableau1[[#This Row],[Différence HP
Instantané]]/Tableau1[[#This Row],[Diff jour
Instantané]]</f>
        <v>7.1388101982849808</v>
      </c>
      <c r="M396" s="77">
        <f>Tableau1[[#This Row],[Conso HP / jour
Instantané]]*365</f>
        <v>2605.6657223740181</v>
      </c>
      <c r="N396" s="79">
        <f>Tableau1[[#This Row],[Index HP
kWh]]-$I$5</f>
        <v>14075</v>
      </c>
      <c r="O396" s="80">
        <f>Tableau1[[#This Row],[Différence HP
Cumul]]/(Tableau1[[#This Row],[Diff jour_x000D_
Cumul]]*24)</f>
        <v>0.91684055333960301</v>
      </c>
      <c r="P396" s="80">
        <f>Tableau1[[#This Row],[Différence HP
Cumul]]/Tableau1[[#This Row],[Diff jour_x000D_
Cumul]]</f>
        <v>22.004173280150475</v>
      </c>
      <c r="Q396" s="80">
        <f>Tableau1[[#This Row],[Conso HP / jour
Cumul]]*365</f>
        <v>8031.5232472549233</v>
      </c>
      <c r="R396" s="78">
        <v>125473</v>
      </c>
      <c r="S396" s="79">
        <f>Tableau1[[#This Row],[Index HC_x000D_
kWh]]-R395</f>
        <v>3</v>
      </c>
      <c r="T396" s="81">
        <f>Tableau1[[#This Row],[Différence_x000D_ HC
Instantané]]/(Tableau1[[#This Row],[Diff jour
Instantané]]*24)</f>
        <v>0.12747875354080321</v>
      </c>
      <c r="U396" s="81">
        <f>Tableau1[[#This Row],[Différence_x000D_ HC
Instantané]]/Tableau1[[#This Row],[Diff jour
Instantané]]</f>
        <v>3.0594900849792772</v>
      </c>
      <c r="V396" s="81">
        <f>Tableau1[[#This Row],[Conso HC / jour_x000D_
Instantané]]*365</f>
        <v>1116.7138810174363</v>
      </c>
      <c r="W396" s="79">
        <f>Tableau1[[#This Row],[Index HC_x000D_
kWh]]-$R$5</f>
        <v>6041</v>
      </c>
      <c r="X396" s="82">
        <f>Tableau1[[#This Row],[Différence HC
Cumul]]/(Tableau1[[#This Row],[Diff jour_x000D_
Cumul]]*24)</f>
        <v>0.39350861688984312</v>
      </c>
      <c r="Y396" s="82">
        <f>Tableau1[[#This Row],[Différence HC
Cumul]]/Tableau1[[#This Row],[Diff jour_x000D_
Cumul]]</f>
        <v>9.4442068053562345</v>
      </c>
      <c r="Z396" s="82">
        <f>Tableau1[[#This Row],[Conso HC / jour_x000D_
Cumul]]*365</f>
        <v>3447.1354839550254</v>
      </c>
      <c r="AA396" s="79">
        <f>Tableau1[[#This Row],[Différence HP
Instantané]]+Tableau1[[#This Row],[Différence_x000D_ HC
Instantané]]</f>
        <v>10</v>
      </c>
      <c r="AB396" s="80">
        <f>Tableau1[[#This Row],[Conso HP + HC
Instantané]]/(Tableau1[[#This Row],[Diff jour
Instantané]]*24)</f>
        <v>0.42492917846934408</v>
      </c>
      <c r="AC396" s="80">
        <f>IF(ISERROR(Tableau1[[#This Row],[Date]]-A395),"",Tableau1[[#This Row],[Conso HP + HC
Instantané]]/Tableau1[[#This Row],[Diff jour
Instantané]])</f>
        <v>10.198300283264258</v>
      </c>
      <c r="AD396" s="80">
        <f>Tableau1[[#This Row],[Conso HP + HC / jour_x000D_
Instantané]]*365</f>
        <v>3722.3796033914541</v>
      </c>
      <c r="AE396" s="79">
        <f>Tableau1[[#This Row],[Différence HP
Cumul]]+Tableau1[[#This Row],[Différence HC
Cumul]]</f>
        <v>20116</v>
      </c>
      <c r="AF396" s="77">
        <f>(Tableau1[[#This Row],[Conso HP + HC
Cumul]]-AE$6)/Tableau1[[#This Row],[Diff jour_x000D_
Cumul
depuis le 24/01]]</f>
        <v>29.165444936727685</v>
      </c>
      <c r="AG396" s="77">
        <f>(Tableau1[[#This Row],[Conso HP + HC
Cumul]]-AE$59)/Tableau1[[#This Row],[Diff jour_x000D_
Cumul
depuis
précédente facture
16/02/2021]]</f>
        <v>27.526186392909903</v>
      </c>
      <c r="AH396" s="80">
        <f>Tableau1[[#This Row],[Conso HP + HC
Cumul]]/(Tableau1[[#This Row],[Diff jour_x000D_
Cumul]]*24)</f>
        <v>1.3103491702294463</v>
      </c>
      <c r="AI396" s="80">
        <f>Tableau1[[#This Row],[Conso HP + HC
Cumul]]/Tableau1[[#This Row],[Diff jour_x000D_
Cumul]]</f>
        <v>31.448380085506709</v>
      </c>
      <c r="AJ396" s="80">
        <f>Tableau1[[#This Row],[Conso HP + HC / jour_x000D_
Cumul]]*365</f>
        <v>11478.658731209949</v>
      </c>
      <c r="AK396" s="83">
        <f>(Tableau1[[#This Row],[Différence HP
Cumul]]*0.1799)+(Tableau1[[#This Row],[Différence HC
Cumul]]*0.1346)</f>
        <v>3345.2111000000004</v>
      </c>
      <c r="AL396" s="83">
        <f>Tableau1[[#This Row],[Montant
Tarif HP/HC]]/Tableau1[[#This Row],[Diff jour_x000D_
Cumul]]</f>
        <v>5.22974100910002</v>
      </c>
      <c r="AM396" s="83">
        <f>(Tableau1[[#This Row],[Montant
Tarif HP/HC]]-AK$6)/Tableau1[[#This Row],[Diff jour_x000D_
Cumul
depuis le 24/01]]</f>
        <v>4.8552869006692871</v>
      </c>
      <c r="AN396" s="83">
        <f>(Tableau1[[#This Row],[Montant
Tarif HP/HC]]-AK$59)/Tableau1[[#This Row],[Diff jour_x000D_
Cumul
depuis
précédente facture
16/02/2021]]</f>
        <v>4.5820811052612775</v>
      </c>
      <c r="AO396" s="83">
        <f>Tableau1[[#This Row],[Conso HP + HC
Cumul]]*0.1599</f>
        <v>3216.5483999999997</v>
      </c>
      <c r="AP396" s="83">
        <f>Tableau1[[#This Row],[Montant
Tarif normal]]/Tableau1[[#This Row],[Diff jour_x000D_
Cumul]]</f>
        <v>5.0285959756725225</v>
      </c>
      <c r="AQ396" s="83">
        <f>(Tableau1[[#This Row],[Conso HP / an
Cumul]]*0.1799)+(Tableau1[[#This Row],[Conso HC / an_x000D_
Cumul]]*0.1346)</f>
        <v>1908.855468321507</v>
      </c>
      <c r="AR396" s="83">
        <f>Tableau1[[#This Row],[Conso HP + HC / an_x000D_
Cumul]]*0.1599</f>
        <v>1835.4375311204708</v>
      </c>
      <c r="AS396" s="79">
        <f>MONTH(Tableau1[[#This Row],[Date]])</f>
        <v>9</v>
      </c>
      <c r="AT396" s="79">
        <f>YEAR(Tableau1[[#This Row],[Date]])</f>
        <v>2022</v>
      </c>
    </row>
    <row r="397" spans="1:46" x14ac:dyDescent="0.2">
      <c r="A397" s="74">
        <v>44823.320833333331</v>
      </c>
      <c r="B397" s="75"/>
      <c r="C397" s="76">
        <f>IF(ISERROR(Tableau1[[#This Row],[Date]]-A396),"",Tableau1[[#This Row],[Date]]-A396)</f>
        <v>0.96111111110803904</v>
      </c>
      <c r="D397" s="77">
        <f>IF(ISERROR(Tableau1[[#This Row],[Date]]-A396),"",Tableau1[[#This Row],[Date]]-A396)</f>
        <v>0.96111111110803904</v>
      </c>
      <c r="E397" s="76">
        <f>Tableau1[[#This Row],[Date]]-$A$5</f>
        <v>640.61249999999563</v>
      </c>
      <c r="F397" s="77">
        <f>Tableau1[[#This Row],[Date]]-$A$5</f>
        <v>640.61249999999563</v>
      </c>
      <c r="G397" s="77">
        <f>Tableau1[[#This Row],[Diff jour_x000D_
Cumul]]-F$6</f>
        <v>602.52916666666715</v>
      </c>
      <c r="H397" s="77">
        <f>Tableau1[[#This Row],[Diff jour_x000D_
Cumul]]-F$59</f>
        <v>580.00972222221753</v>
      </c>
      <c r="I397" s="78">
        <v>193841</v>
      </c>
      <c r="J397" s="79">
        <f>IF(ISERROR(Tableau1[[#This Row],[Index HP
kWh]]-I396),"",Tableau1[[#This Row],[Index HP
kWh]]-I396)</f>
        <v>7</v>
      </c>
      <c r="K397" s="77">
        <f>IF(ISERROR(Tableau1[[#This Row],[Différence HP
Instantané]]/(Tableau1[[#This Row],[Diff jour
Instantané]]*24)),"",Tableau1[[#This Row],[Différence HP
Instantané]]/(Tableau1[[#This Row],[Diff jour
Instantané]]*24))</f>
        <v>0.30346820809345554</v>
      </c>
      <c r="L397" s="77">
        <f>Tableau1[[#This Row],[Différence HP
Instantané]]/Tableau1[[#This Row],[Diff jour
Instantané]]</f>
        <v>7.2832369942429329</v>
      </c>
      <c r="M397" s="77">
        <f>Tableau1[[#This Row],[Conso HP / jour
Instantané]]*365</f>
        <v>2658.3815028986705</v>
      </c>
      <c r="N397" s="79">
        <f>Tableau1[[#This Row],[Index HP
kWh]]-$I$5</f>
        <v>14082</v>
      </c>
      <c r="O397" s="80">
        <f>Tableau1[[#This Row],[Différence HP
Cumul]]/(Tableau1[[#This Row],[Diff jour_x000D_
Cumul]]*24)</f>
        <v>0.91592031064021384</v>
      </c>
      <c r="P397" s="80">
        <f>Tableau1[[#This Row],[Différence HP
Cumul]]/Tableau1[[#This Row],[Diff jour_x000D_
Cumul]]</f>
        <v>21.982087455365132</v>
      </c>
      <c r="Q397" s="80">
        <f>Tableau1[[#This Row],[Conso HP / jour
Cumul]]*365</f>
        <v>8023.4619212082735</v>
      </c>
      <c r="R397" s="78">
        <v>125475</v>
      </c>
      <c r="S397" s="79">
        <f>Tableau1[[#This Row],[Index HC_x000D_
kWh]]-R396</f>
        <v>2</v>
      </c>
      <c r="T397" s="81">
        <f>Tableau1[[#This Row],[Différence_x000D_ HC
Instantané]]/(Tableau1[[#This Row],[Diff jour
Instantané]]*24)</f>
        <v>8.6705202312415866E-2</v>
      </c>
      <c r="U397" s="81">
        <f>Tableau1[[#This Row],[Différence_x000D_ HC
Instantané]]/Tableau1[[#This Row],[Diff jour
Instantané]]</f>
        <v>2.0809248554979809</v>
      </c>
      <c r="V397" s="81">
        <f>Tableau1[[#This Row],[Conso HC / jour_x000D_
Instantané]]*365</f>
        <v>759.53757225676304</v>
      </c>
      <c r="W397" s="79">
        <f>Tableau1[[#This Row],[Index HC_x000D_
kWh]]-$R$5</f>
        <v>6043</v>
      </c>
      <c r="X397" s="82">
        <f>Tableau1[[#This Row],[Différence HC
Cumul]]/(Tableau1[[#This Row],[Diff jour_x000D_
Cumul]]*24)</f>
        <v>0.39304831964201198</v>
      </c>
      <c r="Y397" s="82">
        <f>Tableau1[[#This Row],[Différence HC
Cumul]]/Tableau1[[#This Row],[Diff jour_x000D_
Cumul]]</f>
        <v>9.433159671408287</v>
      </c>
      <c r="Z397" s="82">
        <f>Tableau1[[#This Row],[Conso HC / jour_x000D_
Cumul]]*365</f>
        <v>3443.1032800640246</v>
      </c>
      <c r="AA397" s="79">
        <f>Tableau1[[#This Row],[Différence HP
Instantané]]+Tableau1[[#This Row],[Différence_x000D_ HC
Instantané]]</f>
        <v>9</v>
      </c>
      <c r="AB397" s="80">
        <f>Tableau1[[#This Row],[Conso HP + HC
Instantané]]/(Tableau1[[#This Row],[Diff jour
Instantané]]*24)</f>
        <v>0.39017341040587139</v>
      </c>
      <c r="AC397" s="80">
        <f>IF(ISERROR(Tableau1[[#This Row],[Date]]-A396),"",Tableau1[[#This Row],[Conso HP + HC
Instantané]]/Tableau1[[#This Row],[Diff jour
Instantané]])</f>
        <v>9.3641618497409134</v>
      </c>
      <c r="AD397" s="80">
        <f>Tableau1[[#This Row],[Conso HP + HC / jour_x000D_
Instantané]]*365</f>
        <v>3417.9190751554333</v>
      </c>
      <c r="AE397" s="79">
        <f>Tableau1[[#This Row],[Différence HP
Cumul]]+Tableau1[[#This Row],[Différence HC
Cumul]]</f>
        <v>20125</v>
      </c>
      <c r="AF397" s="77">
        <f>(Tableau1[[#This Row],[Conso HP + HC
Cumul]]-AE$6)/Tableau1[[#This Row],[Diff jour_x000D_
Cumul
depuis le 24/01]]</f>
        <v>29.133859356739276</v>
      </c>
      <c r="AG397" s="77">
        <f>(Tableau1[[#This Row],[Conso HP + HC
Cumul]]-AE$59)/Tableau1[[#This Row],[Diff jour_x000D_
Cumul
depuis
précédente facture
16/02/2021]]</f>
        <v>27.49609082223261</v>
      </c>
      <c r="AH397" s="80">
        <f>Tableau1[[#This Row],[Conso HP + HC
Cumul]]/(Tableau1[[#This Row],[Diff jour_x000D_
Cumul]]*24)</f>
        <v>1.3089686302822259</v>
      </c>
      <c r="AI397" s="80">
        <f>Tableau1[[#This Row],[Conso HP + HC
Cumul]]/Tableau1[[#This Row],[Diff jour_x000D_
Cumul]]</f>
        <v>31.415247126773419</v>
      </c>
      <c r="AJ397" s="80">
        <f>Tableau1[[#This Row],[Conso HP + HC / jour_x000D_
Cumul]]*365</f>
        <v>11466.565201272299</v>
      </c>
      <c r="AK397" s="83">
        <f>(Tableau1[[#This Row],[Différence HP
Cumul]]*0.1799)+(Tableau1[[#This Row],[Différence HC
Cumul]]*0.1346)</f>
        <v>3346.7395999999999</v>
      </c>
      <c r="AL397" s="83">
        <f>Tableau1[[#This Row],[Montant
Tarif HP/HC]]/Tableau1[[#This Row],[Diff jour_x000D_
Cumul]]</f>
        <v>5.2242808249917427</v>
      </c>
      <c r="AM397" s="83">
        <f>(Tableau1[[#This Row],[Montant
Tarif HP/HC]]-AK$6)/Tableau1[[#This Row],[Diff jour_x000D_
Cumul
depuis le 24/01]]</f>
        <v>4.8500789035108909</v>
      </c>
      <c r="AN397" s="83">
        <f>(Tableau1[[#This Row],[Montant
Tarif HP/HC]]-AK$59)/Tableau1[[#This Row],[Diff jour_x000D_
Cumul
depuis
précédente facture
16/02/2021]]</f>
        <v>4.5771236210121362</v>
      </c>
      <c r="AO397" s="83">
        <f>Tableau1[[#This Row],[Conso HP + HC
Cumul]]*0.1599</f>
        <v>3217.9874999999997</v>
      </c>
      <c r="AP397" s="83">
        <f>Tableau1[[#This Row],[Montant
Tarif normal]]/Tableau1[[#This Row],[Diff jour_x000D_
Cumul]]</f>
        <v>5.0232980155710694</v>
      </c>
      <c r="AQ397" s="83">
        <f>(Tableau1[[#This Row],[Conso HP / an
Cumul]]*0.1799)+(Tableau1[[#This Row],[Conso HC / an_x000D_
Cumul]]*0.1346)</f>
        <v>1906.862501121986</v>
      </c>
      <c r="AR397" s="83">
        <f>Tableau1[[#This Row],[Conso HP + HC / an_x000D_
Cumul]]*0.1599</f>
        <v>1833.5037756834404</v>
      </c>
      <c r="AS397" s="79">
        <f>MONTH(Tableau1[[#This Row],[Date]])</f>
        <v>9</v>
      </c>
      <c r="AT397" s="79">
        <f>YEAR(Tableau1[[#This Row],[Date]])</f>
        <v>2022</v>
      </c>
    </row>
    <row r="398" spans="1:46" x14ac:dyDescent="0.2">
      <c r="A398" s="74">
        <v>44824.306944444441</v>
      </c>
      <c r="B398" s="75"/>
      <c r="C398" s="76">
        <f>IF(ISERROR(Tableau1[[#This Row],[Date]]-A397),"",Tableau1[[#This Row],[Date]]-A397)</f>
        <v>0.98611111110949423</v>
      </c>
      <c r="D398" s="77">
        <f>IF(ISERROR(Tableau1[[#This Row],[Date]]-A397),"",Tableau1[[#This Row],[Date]]-A397)</f>
        <v>0.98611111110949423</v>
      </c>
      <c r="E398" s="76">
        <f>Tableau1[[#This Row],[Date]]-$A$5</f>
        <v>641.59861111110513</v>
      </c>
      <c r="F398" s="77">
        <f>Tableau1[[#This Row],[Date]]-$A$5</f>
        <v>641.59861111110513</v>
      </c>
      <c r="G398" s="77">
        <f>Tableau1[[#This Row],[Diff jour_x000D_
Cumul]]-F$6</f>
        <v>603.51527777777665</v>
      </c>
      <c r="H398" s="77">
        <f>Tableau1[[#This Row],[Diff jour_x000D_
Cumul]]-F$59</f>
        <v>580.99583333332703</v>
      </c>
      <c r="I398" s="78">
        <v>193845</v>
      </c>
      <c r="J398" s="79">
        <f>IF(ISERROR(Tableau1[[#This Row],[Index HP
kWh]]-I397),"",Tableau1[[#This Row],[Index HP
kWh]]-I397)</f>
        <v>4</v>
      </c>
      <c r="K398" s="77">
        <f>IF(ISERROR(Tableau1[[#This Row],[Différence HP
Instantané]]/(Tableau1[[#This Row],[Diff jour
Instantané]]*24)),"",Tableau1[[#This Row],[Différence HP
Instantané]]/(Tableau1[[#This Row],[Diff jour
Instantané]]*24))</f>
        <v>0.16901408450731939</v>
      </c>
      <c r="L398" s="77">
        <f>Tableau1[[#This Row],[Différence HP
Instantané]]/Tableau1[[#This Row],[Diff jour
Instantané]]</f>
        <v>4.0563380281756647</v>
      </c>
      <c r="M398" s="77">
        <f>Tableau1[[#This Row],[Conso HP / jour
Instantané]]*365</f>
        <v>1480.5633802841176</v>
      </c>
      <c r="N398" s="79">
        <f>Tableau1[[#This Row],[Index HP
kWh]]-$I$5</f>
        <v>14086</v>
      </c>
      <c r="O398" s="80">
        <f>Tableau1[[#This Row],[Différence HP
Cumul]]/(Tableau1[[#This Row],[Diff jour_x000D_
Cumul]]*24)</f>
        <v>0.91477234598475587</v>
      </c>
      <c r="P398" s="80">
        <f>Tableau1[[#This Row],[Différence HP
Cumul]]/Tableau1[[#This Row],[Diff jour_x000D_
Cumul]]</f>
        <v>21.954536303634139</v>
      </c>
      <c r="Q398" s="80">
        <f>Tableau1[[#This Row],[Conso HP / jour
Cumul]]*365</f>
        <v>8013.4057508264605</v>
      </c>
      <c r="R398" s="78">
        <v>125478</v>
      </c>
      <c r="S398" s="79">
        <f>Tableau1[[#This Row],[Index HC_x000D_
kWh]]-R397</f>
        <v>3</v>
      </c>
      <c r="T398" s="81">
        <f>Tableau1[[#This Row],[Différence_x000D_ HC
Instantané]]/(Tableau1[[#This Row],[Diff jour
Instantané]]*24)</f>
        <v>0.12676056338048952</v>
      </c>
      <c r="U398" s="81">
        <f>Tableau1[[#This Row],[Différence_x000D_ HC
Instantané]]/Tableau1[[#This Row],[Diff jour
Instantané]]</f>
        <v>3.042253521131749</v>
      </c>
      <c r="V398" s="81">
        <f>Tableau1[[#This Row],[Conso HC / jour_x000D_
Instantané]]*365</f>
        <v>1110.4225352130884</v>
      </c>
      <c r="W398" s="79">
        <f>Tableau1[[#This Row],[Index HC_x000D_
kWh]]-$R$5</f>
        <v>6046</v>
      </c>
      <c r="X398" s="82">
        <f>Tableau1[[#This Row],[Différence HC
Cumul]]/(Tableau1[[#This Row],[Diff jour_x000D_
Cumul]]*24)</f>
        <v>0.39263904613260214</v>
      </c>
      <c r="Y398" s="82">
        <f>Tableau1[[#This Row],[Différence HC
Cumul]]/Tableau1[[#This Row],[Diff jour_x000D_
Cumul]]</f>
        <v>9.4233371071824514</v>
      </c>
      <c r="Z398" s="82">
        <f>Tableau1[[#This Row],[Conso HC / jour_x000D_
Cumul]]*365</f>
        <v>3439.5180441215948</v>
      </c>
      <c r="AA398" s="79">
        <f>Tableau1[[#This Row],[Différence HP
Instantané]]+Tableau1[[#This Row],[Différence_x000D_ HC
Instantané]]</f>
        <v>7</v>
      </c>
      <c r="AB398" s="80">
        <f>Tableau1[[#This Row],[Conso HP + HC
Instantané]]/(Tableau1[[#This Row],[Diff jour
Instantané]]*24)</f>
        <v>0.29577464788780888</v>
      </c>
      <c r="AC398" s="80">
        <f>IF(ISERROR(Tableau1[[#This Row],[Date]]-A397),"",Tableau1[[#This Row],[Conso HP + HC
Instantané]]/Tableau1[[#This Row],[Diff jour
Instantané]])</f>
        <v>7.0985915493074137</v>
      </c>
      <c r="AD398" s="80">
        <f>Tableau1[[#This Row],[Conso HP + HC / jour_x000D_
Instantané]]*365</f>
        <v>2590.985915497206</v>
      </c>
      <c r="AE398" s="79">
        <f>Tableau1[[#This Row],[Différence HP
Cumul]]+Tableau1[[#This Row],[Différence HC
Cumul]]</f>
        <v>20132</v>
      </c>
      <c r="AF398" s="77">
        <f>(Tableau1[[#This Row],[Conso HP + HC
Cumul]]-AE$6)/Tableau1[[#This Row],[Diff jour_x000D_
Cumul
depuis le 24/01]]</f>
        <v>29.097854928647262</v>
      </c>
      <c r="AG398" s="77">
        <f>(Tableau1[[#This Row],[Conso HP + HC
Cumul]]-AE$59)/Tableau1[[#This Row],[Diff jour_x000D_
Cumul
depuis
précédente facture
16/02/2021]]</f>
        <v>27.461470607219226</v>
      </c>
      <c r="AH398" s="80">
        <f>Tableau1[[#This Row],[Conso HP + HC
Cumul]]/(Tableau1[[#This Row],[Diff jour_x000D_
Cumul]]*24)</f>
        <v>1.307411392117358</v>
      </c>
      <c r="AI398" s="80">
        <f>Tableau1[[#This Row],[Conso HP + HC
Cumul]]/Tableau1[[#This Row],[Diff jour_x000D_
Cumul]]</f>
        <v>31.377873410816591</v>
      </c>
      <c r="AJ398" s="80">
        <f>Tableau1[[#This Row],[Conso HP + HC / jour_x000D_
Cumul]]*365</f>
        <v>11452.923794948056</v>
      </c>
      <c r="AK398" s="83">
        <f>(Tableau1[[#This Row],[Différence HP
Cumul]]*0.1799)+(Tableau1[[#This Row],[Différence HC
Cumul]]*0.1346)</f>
        <v>3347.8630000000003</v>
      </c>
      <c r="AL398" s="83">
        <f>Tableau1[[#This Row],[Montant
Tarif HP/HC]]/Tableau1[[#This Row],[Diff jour_x000D_
Cumul]]</f>
        <v>5.2180022556505401</v>
      </c>
      <c r="AM398" s="83">
        <f>(Tableau1[[#This Row],[Montant
Tarif HP/HC]]-AK$6)/Tableau1[[#This Row],[Diff jour_x000D_
Cumul
depuis le 24/01]]</f>
        <v>4.8440155662081743</v>
      </c>
      <c r="AN398" s="83">
        <f>(Tableau1[[#This Row],[Montant
Tarif HP/HC]]-AK$59)/Tableau1[[#This Row],[Diff jour_x000D_
Cumul
depuis
précédente facture
16/02/2021]]</f>
        <v>4.5712885491147164</v>
      </c>
      <c r="AO398" s="83">
        <f>Tableau1[[#This Row],[Conso HP + HC
Cumul]]*0.1599</f>
        <v>3219.1067999999996</v>
      </c>
      <c r="AP398" s="83">
        <f>Tableau1[[#This Row],[Montant
Tarif normal]]/Tableau1[[#This Row],[Diff jour_x000D_
Cumul]]</f>
        <v>5.0173219583895721</v>
      </c>
      <c r="AQ398" s="83">
        <f>(Tableau1[[#This Row],[Conso HP / an
Cumul]]*0.1799)+(Tableau1[[#This Row],[Conso HC / an_x000D_
Cumul]]*0.1346)</f>
        <v>1904.5708233124469</v>
      </c>
      <c r="AR398" s="83">
        <f>Tableau1[[#This Row],[Conso HP + HC / an_x000D_
Cumul]]*0.1599</f>
        <v>1831.322514812194</v>
      </c>
      <c r="AS398" s="79">
        <f>MONTH(Tableau1[[#This Row],[Date]])</f>
        <v>9</v>
      </c>
      <c r="AT398" s="79">
        <f>YEAR(Tableau1[[#This Row],[Date]])</f>
        <v>2022</v>
      </c>
    </row>
    <row r="399" spans="1:46" x14ac:dyDescent="0.2">
      <c r="A399" s="74">
        <v>44825.311805555553</v>
      </c>
      <c r="B399" s="75"/>
      <c r="C399" s="76">
        <f>IF(ISERROR(Tableau1[[#This Row],[Date]]-A398),"",Tableau1[[#This Row],[Date]]-A398)</f>
        <v>1.0048611111124046</v>
      </c>
      <c r="D399" s="77">
        <f>IF(ISERROR(Tableau1[[#This Row],[Date]]-A398),"",Tableau1[[#This Row],[Date]]-A398)</f>
        <v>1.0048611111124046</v>
      </c>
      <c r="E399" s="76">
        <f>Tableau1[[#This Row],[Date]]-$A$5</f>
        <v>642.60347222221753</v>
      </c>
      <c r="F399" s="77">
        <f>Tableau1[[#This Row],[Date]]-$A$5</f>
        <v>642.60347222221753</v>
      </c>
      <c r="G399" s="77">
        <f>Tableau1[[#This Row],[Diff jour_x000D_
Cumul]]-F$6</f>
        <v>604.52013888888905</v>
      </c>
      <c r="H399" s="77">
        <f>Tableau1[[#This Row],[Diff jour_x000D_
Cumul]]-F$59</f>
        <v>582.00069444443943</v>
      </c>
      <c r="I399" s="78">
        <v>193850</v>
      </c>
      <c r="J399" s="79">
        <f>IF(ISERROR(Tableau1[[#This Row],[Index HP
kWh]]-I398),"",Tableau1[[#This Row],[Index HP
kWh]]-I398)</f>
        <v>5</v>
      </c>
      <c r="K399" s="77">
        <f>IF(ISERROR(Tableau1[[#This Row],[Différence HP
Instantané]]/(Tableau1[[#This Row],[Diff jour
Instantané]]*24)),"",Tableau1[[#This Row],[Différence HP
Instantané]]/(Tableau1[[#This Row],[Diff jour
Instantané]]*24))</f>
        <v>0.20732550103636063</v>
      </c>
      <c r="L399" s="77">
        <f>Tableau1[[#This Row],[Différence HP
Instantané]]/Tableau1[[#This Row],[Diff jour
Instantané]]</f>
        <v>4.9758120248726554</v>
      </c>
      <c r="M399" s="77">
        <f>Tableau1[[#This Row],[Conso HP / jour
Instantané]]*365</f>
        <v>1816.1713890785193</v>
      </c>
      <c r="N399" s="79">
        <f>Tableau1[[#This Row],[Index HP
kWh]]-$I$5</f>
        <v>14091</v>
      </c>
      <c r="O399" s="80">
        <f>Tableau1[[#This Row],[Différence HP
Cumul]]/(Tableau1[[#This Row],[Diff jour_x000D_
Cumul]]*24)</f>
        <v>0.91366608706553543</v>
      </c>
      <c r="P399" s="80">
        <f>Tableau1[[#This Row],[Différence HP
Cumul]]/Tableau1[[#This Row],[Diff jour_x000D_
Cumul]]</f>
        <v>21.927986089572851</v>
      </c>
      <c r="Q399" s="80">
        <f>Tableau1[[#This Row],[Conso HP / jour
Cumul]]*365</f>
        <v>8003.714922694091</v>
      </c>
      <c r="R399" s="78">
        <v>125480</v>
      </c>
      <c r="S399" s="79">
        <f>Tableau1[[#This Row],[Index HC_x000D_
kWh]]-R398</f>
        <v>2</v>
      </c>
      <c r="T399" s="81">
        <f>Tableau1[[#This Row],[Différence_x000D_ HC
Instantané]]/(Tableau1[[#This Row],[Diff jour
Instantané]]*24)</f>
        <v>8.2930200414544256E-2</v>
      </c>
      <c r="U399" s="81">
        <f>Tableau1[[#This Row],[Différence_x000D_ HC
Instantané]]/Tableau1[[#This Row],[Diff jour
Instantané]]</f>
        <v>1.990324809949062</v>
      </c>
      <c r="V399" s="81">
        <f>Tableau1[[#This Row],[Conso HC / jour_x000D_
Instantané]]*365</f>
        <v>726.46855563140764</v>
      </c>
      <c r="W399" s="79">
        <f>Tableau1[[#This Row],[Index HC_x000D_
kWh]]-$R$5</f>
        <v>6048</v>
      </c>
      <c r="X399" s="82">
        <f>Tableau1[[#This Row],[Différence HC
Cumul]]/(Tableau1[[#This Row],[Diff jour_x000D_
Cumul]]*24)</f>
        <v>0.39215474377775589</v>
      </c>
      <c r="Y399" s="82">
        <f>Tableau1[[#This Row],[Différence HC
Cumul]]/Tableau1[[#This Row],[Diff jour_x000D_
Cumul]]</f>
        <v>9.4117138506661409</v>
      </c>
      <c r="Z399" s="82">
        <f>Tableau1[[#This Row],[Conso HC / jour_x000D_
Cumul]]*365</f>
        <v>3435.2755554931414</v>
      </c>
      <c r="AA399" s="79">
        <f>Tableau1[[#This Row],[Différence HP
Instantané]]+Tableau1[[#This Row],[Différence_x000D_ HC
Instantané]]</f>
        <v>7</v>
      </c>
      <c r="AB399" s="80">
        <f>Tableau1[[#This Row],[Conso HP + HC
Instantané]]/(Tableau1[[#This Row],[Diff jour
Instantané]]*24)</f>
        <v>0.2902557014509049</v>
      </c>
      <c r="AC399" s="80">
        <f>IF(ISERROR(Tableau1[[#This Row],[Date]]-A398),"",Tableau1[[#This Row],[Conso HP + HC
Instantané]]/Tableau1[[#This Row],[Diff jour
Instantané]])</f>
        <v>6.9661368348217172</v>
      </c>
      <c r="AD399" s="80">
        <f>Tableau1[[#This Row],[Conso HP + HC / jour_x000D_
Instantané]]*365</f>
        <v>2542.6399447099266</v>
      </c>
      <c r="AE399" s="79">
        <f>Tableau1[[#This Row],[Différence HP
Cumul]]+Tableau1[[#This Row],[Différence HC
Cumul]]</f>
        <v>20139</v>
      </c>
      <c r="AF399" s="77">
        <f>(Tableau1[[#This Row],[Conso HP + HC
Cumul]]-AE$6)/Tableau1[[#This Row],[Diff jour_x000D_
Cumul
depuis le 24/01]]</f>
        <v>29.061066571396726</v>
      </c>
      <c r="AG399" s="77">
        <f>(Tableau1[[#This Row],[Conso HP + HC
Cumul]]-AE$59)/Tableau1[[#This Row],[Diff jour_x000D_
Cumul
depuis
précédente facture
16/02/2021]]</f>
        <v>27.426084113588303</v>
      </c>
      <c r="AH399" s="80">
        <f>Tableau1[[#This Row],[Conso HP + HC
Cumul]]/(Tableau1[[#This Row],[Diff jour_x000D_
Cumul]]*24)</f>
        <v>1.3058208308432913</v>
      </c>
      <c r="AI399" s="80">
        <f>Tableau1[[#This Row],[Conso HP + HC
Cumul]]/Tableau1[[#This Row],[Diff jour_x000D_
Cumul]]</f>
        <v>31.339699940238994</v>
      </c>
      <c r="AJ399" s="80">
        <f>Tableau1[[#This Row],[Conso HP + HC / jour_x000D_
Cumul]]*365</f>
        <v>11438.990478187232</v>
      </c>
      <c r="AK399" s="83">
        <f>(Tableau1[[#This Row],[Différence HP
Cumul]]*0.1799)+(Tableau1[[#This Row],[Différence HC
Cumul]]*0.1346)</f>
        <v>3349.0317000000005</v>
      </c>
      <c r="AL399" s="83">
        <f>Tableau1[[#This Row],[Montant
Tarif HP/HC]]/Tableau1[[#This Row],[Diff jour_x000D_
Cumul]]</f>
        <v>5.2116613818138191</v>
      </c>
      <c r="AM399" s="83">
        <f>(Tableau1[[#This Row],[Montant
Tarif HP/HC]]-AK$6)/Tableau1[[#This Row],[Diff jour_x000D_
Cumul
depuis le 24/01]]</f>
        <v>4.8378968902102102</v>
      </c>
      <c r="AN399" s="83">
        <f>(Tableau1[[#This Row],[Montant
Tarif HP/HC]]-AK$59)/Tableau1[[#This Row],[Diff jour_x000D_
Cumul
depuis
précédente facture
16/02/2021]]</f>
        <v>4.5654040027157681</v>
      </c>
      <c r="AO399" s="83">
        <f>Tableau1[[#This Row],[Conso HP + HC
Cumul]]*0.1599</f>
        <v>3220.2260999999999</v>
      </c>
      <c r="AP399" s="83">
        <f>Tableau1[[#This Row],[Montant
Tarif normal]]/Tableau1[[#This Row],[Diff jour_x000D_
Cumul]]</f>
        <v>5.0112180204442147</v>
      </c>
      <c r="AQ399" s="83">
        <f>(Tableau1[[#This Row],[Conso HP / an
Cumul]]*0.1799)+(Tableau1[[#This Row],[Conso HC / an_x000D_
Cumul]]*0.1346)</f>
        <v>1902.2564043620439</v>
      </c>
      <c r="AR399" s="83">
        <f>Tableau1[[#This Row],[Conso HP + HC / an_x000D_
Cumul]]*0.1599</f>
        <v>1829.0945774621382</v>
      </c>
      <c r="AS399" s="79">
        <f>MONTH(Tableau1[[#This Row],[Date]])</f>
        <v>9</v>
      </c>
      <c r="AT399" s="79">
        <f>YEAR(Tableau1[[#This Row],[Date]])</f>
        <v>2022</v>
      </c>
    </row>
    <row r="400" spans="1:46" x14ac:dyDescent="0.2">
      <c r="A400" s="74">
        <v>44826.317361111112</v>
      </c>
      <c r="B400" s="75"/>
      <c r="C400" s="76">
        <f>IF(ISERROR(Tableau1[[#This Row],[Date]]-A399),"",Tableau1[[#This Row],[Date]]-A399)</f>
        <v>1.0055555555591127</v>
      </c>
      <c r="D400" s="77">
        <f>IF(ISERROR(Tableau1[[#This Row],[Date]]-A399),"",Tableau1[[#This Row],[Date]]-A399)</f>
        <v>1.0055555555591127</v>
      </c>
      <c r="E400" s="76">
        <f>Tableau1[[#This Row],[Date]]-$A$5</f>
        <v>643.60902777777665</v>
      </c>
      <c r="F400" s="77">
        <f>Tableau1[[#This Row],[Date]]-$A$5</f>
        <v>643.60902777777665</v>
      </c>
      <c r="G400" s="77">
        <f>Tableau1[[#This Row],[Diff jour_x000D_
Cumul]]-F$6</f>
        <v>605.52569444444816</v>
      </c>
      <c r="H400" s="77">
        <f>Tableau1[[#This Row],[Diff jour_x000D_
Cumul]]-F$59</f>
        <v>583.00624999999854</v>
      </c>
      <c r="I400" s="78">
        <v>193858</v>
      </c>
      <c r="J400" s="79">
        <f>IF(ISERROR(Tableau1[[#This Row],[Index HP
kWh]]-I399),"",Tableau1[[#This Row],[Index HP
kWh]]-I399)</f>
        <v>8</v>
      </c>
      <c r="K400" s="77">
        <f>IF(ISERROR(Tableau1[[#This Row],[Différence HP
Instantané]]/(Tableau1[[#This Row],[Diff jour
Instantané]]*24)),"",Tableau1[[#This Row],[Différence HP
Instantané]]/(Tableau1[[#This Row],[Diff jour
Instantané]]*24))</f>
        <v>0.33149171270600969</v>
      </c>
      <c r="L400" s="77">
        <f>Tableau1[[#This Row],[Différence HP
Instantané]]/Tableau1[[#This Row],[Diff jour
Instantané]]</f>
        <v>7.9558011049442321</v>
      </c>
      <c r="M400" s="77">
        <f>Tableau1[[#This Row],[Conso HP / jour
Instantané]]*365</f>
        <v>2903.8674033046445</v>
      </c>
      <c r="N400" s="79">
        <f>Tableau1[[#This Row],[Index HP
kWh]]-$I$5</f>
        <v>14099</v>
      </c>
      <c r="O400" s="80">
        <f>Tableau1[[#This Row],[Différence HP
Cumul]]/(Tableau1[[#This Row],[Diff jour_x000D_
Cumul]]*24)</f>
        <v>0.91275651518078016</v>
      </c>
      <c r="P400" s="80">
        <f>Tableau1[[#This Row],[Différence HP
Cumul]]/Tableau1[[#This Row],[Diff jour_x000D_
Cumul]]</f>
        <v>21.906156364338724</v>
      </c>
      <c r="Q400" s="80">
        <f>Tableau1[[#This Row],[Conso HP / jour
Cumul]]*365</f>
        <v>7995.7470729836341</v>
      </c>
      <c r="R400" s="78">
        <v>125482</v>
      </c>
      <c r="S400" s="79">
        <f>Tableau1[[#This Row],[Index HC_x000D_
kWh]]-R399</f>
        <v>2</v>
      </c>
      <c r="T400" s="81">
        <f>Tableau1[[#This Row],[Différence_x000D_ HC
Instantané]]/(Tableau1[[#This Row],[Diff jour
Instantané]]*24)</f>
        <v>8.2872928176502422E-2</v>
      </c>
      <c r="U400" s="81">
        <f>Tableau1[[#This Row],[Différence_x000D_ HC
Instantané]]/Tableau1[[#This Row],[Diff jour
Instantané]]</f>
        <v>1.988950276236058</v>
      </c>
      <c r="V400" s="81">
        <f>Tableau1[[#This Row],[Conso HC / jour_x000D_
Instantané]]*365</f>
        <v>725.96685082616114</v>
      </c>
      <c r="W400" s="79">
        <f>Tableau1[[#This Row],[Index HC_x000D_
kWh]]-$R$5</f>
        <v>6050</v>
      </c>
      <c r="X400" s="82">
        <f>Tableau1[[#This Row],[Différence HC
Cumul]]/(Tableau1[[#This Row],[Diff jour_x000D_
Cumul]]*24)</f>
        <v>0.39167153109041208</v>
      </c>
      <c r="Y400" s="82">
        <f>Tableau1[[#This Row],[Différence HC
Cumul]]/Tableau1[[#This Row],[Diff jour_x000D_
Cumul]]</f>
        <v>9.4001167461698891</v>
      </c>
      <c r="Z400" s="82">
        <f>Tableau1[[#This Row],[Conso HC / jour_x000D_
Cumul]]*365</f>
        <v>3431.0426123520097</v>
      </c>
      <c r="AA400" s="79">
        <f>Tableau1[[#This Row],[Différence HP
Instantané]]+Tableau1[[#This Row],[Différence_x000D_ HC
Instantané]]</f>
        <v>10</v>
      </c>
      <c r="AB400" s="80">
        <f>Tableau1[[#This Row],[Conso HP + HC
Instantané]]/(Tableau1[[#This Row],[Diff jour
Instantané]]*24)</f>
        <v>0.41436464088251207</v>
      </c>
      <c r="AC400" s="80">
        <f>IF(ISERROR(Tableau1[[#This Row],[Date]]-A399),"",Tableau1[[#This Row],[Conso HP + HC
Instantané]]/Tableau1[[#This Row],[Diff jour
Instantané]])</f>
        <v>9.944751381180291</v>
      </c>
      <c r="AD400" s="80">
        <f>Tableau1[[#This Row],[Conso HP + HC / jour_x000D_
Instantané]]*365</f>
        <v>3629.8342541308061</v>
      </c>
      <c r="AE400" s="79">
        <f>Tableau1[[#This Row],[Différence HP
Cumul]]+Tableau1[[#This Row],[Différence HC
Cumul]]</f>
        <v>20149</v>
      </c>
      <c r="AF400" s="77">
        <f>(Tableau1[[#This Row],[Conso HP + HC
Cumul]]-AE$6)/Tableau1[[#This Row],[Diff jour_x000D_
Cumul
depuis le 24/01]]</f>
        <v>29.029321400022987</v>
      </c>
      <c r="AG400" s="77">
        <f>(Tableau1[[#This Row],[Conso HP + HC
Cumul]]-AE$59)/Tableau1[[#This Row],[Diff jour_x000D_
Cumul
depuis
précédente facture
16/02/2021]]</f>
        <v>27.395932719417743</v>
      </c>
      <c r="AH400" s="80">
        <f>Tableau1[[#This Row],[Conso HP + HC
Cumul]]/(Tableau1[[#This Row],[Diff jour_x000D_
Cumul]]*24)</f>
        <v>1.3044280462711921</v>
      </c>
      <c r="AI400" s="80">
        <f>Tableau1[[#This Row],[Conso HP + HC
Cumul]]/Tableau1[[#This Row],[Diff jour_x000D_
Cumul]]</f>
        <v>31.306273110508613</v>
      </c>
      <c r="AJ400" s="80">
        <f>Tableau1[[#This Row],[Conso HP + HC / jour_x000D_
Cumul]]*365</f>
        <v>11426.789685335643</v>
      </c>
      <c r="AK400" s="83">
        <f>(Tableau1[[#This Row],[Différence HP
Cumul]]*0.1799)+(Tableau1[[#This Row],[Différence HC
Cumul]]*0.1346)</f>
        <v>3350.7401</v>
      </c>
      <c r="AL400" s="83">
        <f>Tableau1[[#This Row],[Montant
Tarif HP/HC]]/Tableau1[[#This Row],[Diff jour_x000D_
Cumul]]</f>
        <v>5.2061732439790038</v>
      </c>
      <c r="AM400" s="83">
        <f>(Tableau1[[#This Row],[Montant
Tarif HP/HC]]-AK$6)/Tableau1[[#This Row],[Diff jour_x000D_
Cumul
depuis le 24/01]]</f>
        <v>4.8326842722748644</v>
      </c>
      <c r="AN400" s="83">
        <f>(Tableau1[[#This Row],[Montant
Tarif HP/HC]]-AK$59)/Tableau1[[#This Row],[Diff jour_x000D_
Cumul
depuis
précédente facture
16/02/2021]]</f>
        <v>4.5604600293736244</v>
      </c>
      <c r="AO400" s="83">
        <f>Tableau1[[#This Row],[Conso HP + HC
Cumul]]*0.1599</f>
        <v>3221.8250999999996</v>
      </c>
      <c r="AP400" s="83">
        <f>Tableau1[[#This Row],[Montant
Tarif normal]]/Tableau1[[#This Row],[Diff jour_x000D_
Cumul]]</f>
        <v>5.0058730703703267</v>
      </c>
      <c r="AQ400" s="83">
        <f>(Tableau1[[#This Row],[Conso HP / an
Cumul]]*0.1799)+(Tableau1[[#This Row],[Conso HC / an_x000D_
Cumul]]*0.1346)</f>
        <v>1900.2532340523362</v>
      </c>
      <c r="AR400" s="83">
        <f>Tableau1[[#This Row],[Conso HP + HC / an_x000D_
Cumul]]*0.1599</f>
        <v>1827.1436706851691</v>
      </c>
      <c r="AS400" s="79">
        <f>MONTH(Tableau1[[#This Row],[Date]])</f>
        <v>9</v>
      </c>
      <c r="AT400" s="79">
        <f>YEAR(Tableau1[[#This Row],[Date]])</f>
        <v>2022</v>
      </c>
    </row>
    <row r="401" spans="1:46" x14ac:dyDescent="0.2">
      <c r="A401" s="74">
        <v>44827.34097222222</v>
      </c>
      <c r="B401" s="75"/>
      <c r="C401" s="76">
        <f>IF(ISERROR(Tableau1[[#This Row],[Date]]-A400),"",Tableau1[[#This Row],[Date]]-A400)</f>
        <v>1.023611111108039</v>
      </c>
      <c r="D401" s="77">
        <f>IF(ISERROR(Tableau1[[#This Row],[Date]]-A400),"",Tableau1[[#This Row],[Date]]-A400)</f>
        <v>1.023611111108039</v>
      </c>
      <c r="E401" s="76">
        <f>Tableau1[[#This Row],[Date]]-$A$5</f>
        <v>644.63263888888469</v>
      </c>
      <c r="F401" s="77">
        <f>Tableau1[[#This Row],[Date]]-$A$5</f>
        <v>644.63263888888469</v>
      </c>
      <c r="G401" s="77">
        <f>Tableau1[[#This Row],[Diff jour_x000D_
Cumul]]-F$6</f>
        <v>606.5493055555562</v>
      </c>
      <c r="H401" s="77">
        <f>Tableau1[[#This Row],[Diff jour_x000D_
Cumul]]-F$59</f>
        <v>584.02986111110658</v>
      </c>
      <c r="I401" s="78">
        <v>193863</v>
      </c>
      <c r="J401" s="79">
        <f>IF(ISERROR(Tableau1[[#This Row],[Index HP
kWh]]-I400),"",Tableau1[[#This Row],[Index HP
kWh]]-I400)</f>
        <v>5</v>
      </c>
      <c r="K401" s="77">
        <f>IF(ISERROR(Tableau1[[#This Row],[Différence HP
Instantané]]/(Tableau1[[#This Row],[Diff jour
Instantané]]*24)),"",Tableau1[[#This Row],[Différence HP
Instantané]]/(Tableau1[[#This Row],[Diff jour
Instantané]]*24))</f>
        <v>0.20352781546872481</v>
      </c>
      <c r="L401" s="77">
        <f>Tableau1[[#This Row],[Différence HP
Instantané]]/Tableau1[[#This Row],[Diff jour
Instantané]]</f>
        <v>4.8846675712493957</v>
      </c>
      <c r="M401" s="77">
        <f>Tableau1[[#This Row],[Conso HP / jour
Instantané]]*365</f>
        <v>1782.9036635060295</v>
      </c>
      <c r="N401" s="79">
        <f>Tableau1[[#This Row],[Index HP
kWh]]-$I$5</f>
        <v>14104</v>
      </c>
      <c r="O401" s="80">
        <f>Tableau1[[#This Row],[Différence HP
Cumul]]/(Tableau1[[#This Row],[Diff jour_x000D_
Cumul]]*24)</f>
        <v>0.91163033209052691</v>
      </c>
      <c r="P401" s="80">
        <f>Tableau1[[#This Row],[Différence HP
Cumul]]/Tableau1[[#This Row],[Diff jour_x000D_
Cumul]]</f>
        <v>21.879127970172647</v>
      </c>
      <c r="Q401" s="80">
        <f>Tableau1[[#This Row],[Conso HP / jour
Cumul]]*365</f>
        <v>7985.8817091130159</v>
      </c>
      <c r="R401" s="78">
        <v>125484</v>
      </c>
      <c r="S401" s="79">
        <f>Tableau1[[#This Row],[Index HC_x000D_
kWh]]-R400</f>
        <v>2</v>
      </c>
      <c r="T401" s="81">
        <f>Tableau1[[#This Row],[Différence_x000D_ HC
Instantané]]/(Tableau1[[#This Row],[Diff jour
Instantané]]*24)</f>
        <v>8.1411126187489927E-2</v>
      </c>
      <c r="U401" s="81">
        <f>Tableau1[[#This Row],[Différence_x000D_ HC
Instantané]]/Tableau1[[#This Row],[Diff jour
Instantané]]</f>
        <v>1.9538670284997581</v>
      </c>
      <c r="V401" s="81">
        <f>Tableau1[[#This Row],[Conso HC / jour_x000D_
Instantané]]*365</f>
        <v>713.16146540241175</v>
      </c>
      <c r="W401" s="79">
        <f>Tableau1[[#This Row],[Index HC_x000D_
kWh]]-$R$5</f>
        <v>6052</v>
      </c>
      <c r="X401" s="82">
        <f>Tableau1[[#This Row],[Différence HC
Cumul]]/(Tableau1[[#This Row],[Diff jour_x000D_
Cumul]]*24)</f>
        <v>0.39117886910180577</v>
      </c>
      <c r="Y401" s="82">
        <f>Tableau1[[#This Row],[Différence HC
Cumul]]/Tableau1[[#This Row],[Diff jour_x000D_
Cumul]]</f>
        <v>9.3882928584433394</v>
      </c>
      <c r="Z401" s="82">
        <f>Tableau1[[#This Row],[Conso HC / jour_x000D_
Cumul]]*365</f>
        <v>3426.7268933318187</v>
      </c>
      <c r="AA401" s="79">
        <f>Tableau1[[#This Row],[Différence HP
Instantané]]+Tableau1[[#This Row],[Différence_x000D_ HC
Instantané]]</f>
        <v>7</v>
      </c>
      <c r="AB401" s="80">
        <f>Tableau1[[#This Row],[Conso HP + HC
Instantané]]/(Tableau1[[#This Row],[Diff jour
Instantané]]*24)</f>
        <v>0.28493894165621475</v>
      </c>
      <c r="AC401" s="80">
        <f>IF(ISERROR(Tableau1[[#This Row],[Date]]-A400),"",Tableau1[[#This Row],[Conso HP + HC
Instantané]]/Tableau1[[#This Row],[Diff jour
Instantané]])</f>
        <v>6.8385345997491536</v>
      </c>
      <c r="AD401" s="80">
        <f>Tableau1[[#This Row],[Conso HP + HC / jour_x000D_
Instantané]]*365</f>
        <v>2496.0651289084412</v>
      </c>
      <c r="AE401" s="79">
        <f>Tableau1[[#This Row],[Différence HP
Cumul]]+Tableau1[[#This Row],[Différence HC
Cumul]]</f>
        <v>20156</v>
      </c>
      <c r="AF401" s="77">
        <f>(Tableau1[[#This Row],[Conso HP + HC
Cumul]]-AE$6)/Tableau1[[#This Row],[Diff jour_x000D_
Cumul
depuis le 24/01]]</f>
        <v>28.991872282985117</v>
      </c>
      <c r="AG401" s="77">
        <f>(Tableau1[[#This Row],[Conso HP + HC
Cumul]]-AE$59)/Tableau1[[#This Row],[Diff jour_x000D_
Cumul
depuis
précédente facture
16/02/2021]]</f>
        <v>27.359902402250857</v>
      </c>
      <c r="AH401" s="80">
        <f>Tableau1[[#This Row],[Conso HP + HC
Cumul]]/(Tableau1[[#This Row],[Diff jour_x000D_
Cumul]]*24)</f>
        <v>1.3028092011923327</v>
      </c>
      <c r="AI401" s="80">
        <f>Tableau1[[#This Row],[Conso HP + HC
Cumul]]/Tableau1[[#This Row],[Diff jour_x000D_
Cumul]]</f>
        <v>31.267420828615986</v>
      </c>
      <c r="AJ401" s="80">
        <f>Tableau1[[#This Row],[Conso HP + HC / jour_x000D_
Cumul]]*365</f>
        <v>11412.608602444834</v>
      </c>
      <c r="AK401" s="83">
        <f>(Tableau1[[#This Row],[Différence HP
Cumul]]*0.1799)+(Tableau1[[#This Row],[Différence HC
Cumul]]*0.1346)</f>
        <v>3351.9088000000002</v>
      </c>
      <c r="AL401" s="83">
        <f>Tableau1[[#This Row],[Montant
Tarif HP/HC]]/Tableau1[[#This Row],[Diff jour_x000D_
Cumul]]</f>
        <v>5.1997193405805326</v>
      </c>
      <c r="AM401" s="83">
        <f>(Tableau1[[#This Row],[Montant
Tarif HP/HC]]-AK$6)/Tableau1[[#This Row],[Diff jour_x000D_
Cumul
depuis le 24/01]]</f>
        <v>4.8264554475396402</v>
      </c>
      <c r="AN401" s="83">
        <f>(Tableau1[[#This Row],[Montant
Tarif HP/HC]]-AK$59)/Tableau1[[#This Row],[Diff jour_x000D_
Cumul
depuis
précédente facture
16/02/2021]]</f>
        <v>4.5544681481517069</v>
      </c>
      <c r="AO401" s="83">
        <f>Tableau1[[#This Row],[Conso HP + HC
Cumul]]*0.1599</f>
        <v>3222.9443999999999</v>
      </c>
      <c r="AP401" s="83">
        <f>Tableau1[[#This Row],[Montant
Tarif normal]]/Tableau1[[#This Row],[Diff jour_x000D_
Cumul]]</f>
        <v>4.9996605904956954</v>
      </c>
      <c r="AQ401" s="83">
        <f>(Tableau1[[#This Row],[Conso HP / an
Cumul]]*0.1799)+(Tableau1[[#This Row],[Conso HC / an_x000D_
Cumul]]*0.1346)</f>
        <v>1897.8975593118944</v>
      </c>
      <c r="AR401" s="83">
        <f>Tableau1[[#This Row],[Conso HP + HC / an_x000D_
Cumul]]*0.1599</f>
        <v>1824.8761155309289</v>
      </c>
      <c r="AS401" s="79">
        <f>MONTH(Tableau1[[#This Row],[Date]])</f>
        <v>9</v>
      </c>
      <c r="AT401" s="79">
        <f>YEAR(Tableau1[[#This Row],[Date]])</f>
        <v>2022</v>
      </c>
    </row>
    <row r="402" spans="1:46" x14ac:dyDescent="0.2">
      <c r="A402" s="74">
        <v>44828.343055555553</v>
      </c>
      <c r="B402" s="75"/>
      <c r="C402" s="76">
        <f>IF(ISERROR(Tableau1[[#This Row],[Date]]-A401),"",Tableau1[[#This Row],[Date]]-A401)</f>
        <v>1.0020833333328483</v>
      </c>
      <c r="D402" s="77">
        <f>IF(ISERROR(Tableau1[[#This Row],[Date]]-A401),"",Tableau1[[#This Row],[Date]]-A401)</f>
        <v>1.0020833333328483</v>
      </c>
      <c r="E402" s="76">
        <f>Tableau1[[#This Row],[Date]]-$A$5</f>
        <v>645.63472222221753</v>
      </c>
      <c r="F402" s="77">
        <f>Tableau1[[#This Row],[Date]]-$A$5</f>
        <v>645.63472222221753</v>
      </c>
      <c r="G402" s="77">
        <f>Tableau1[[#This Row],[Diff jour_x000D_
Cumul]]-F$6</f>
        <v>607.55138888888905</v>
      </c>
      <c r="H402" s="77">
        <f>Tableau1[[#This Row],[Diff jour_x000D_
Cumul]]-F$59</f>
        <v>585.03194444443943</v>
      </c>
      <c r="I402" s="78">
        <v>193870</v>
      </c>
      <c r="J402" s="79">
        <f>IF(ISERROR(Tableau1[[#This Row],[Index HP
kWh]]-I401),"",Tableau1[[#This Row],[Index HP
kWh]]-I401)</f>
        <v>7</v>
      </c>
      <c r="K402" s="77">
        <f>IF(ISERROR(Tableau1[[#This Row],[Différence HP
Instantané]]/(Tableau1[[#This Row],[Diff jour
Instantané]]*24)),"",Tableau1[[#This Row],[Différence HP
Instantané]]/(Tableau1[[#This Row],[Diff jour
Instantané]]*24))</f>
        <v>0.29106029106043196</v>
      </c>
      <c r="L402" s="77">
        <f>Tableau1[[#This Row],[Différence HP
Instantané]]/Tableau1[[#This Row],[Diff jour
Instantané]]</f>
        <v>6.9854469854503671</v>
      </c>
      <c r="M402" s="77">
        <f>Tableau1[[#This Row],[Conso HP / jour
Instantané]]*365</f>
        <v>2549.6881496893839</v>
      </c>
      <c r="N402" s="79">
        <f>Tableau1[[#This Row],[Index HP
kWh]]-$I$5</f>
        <v>14111</v>
      </c>
      <c r="O402" s="80">
        <f>Tableau1[[#This Row],[Différence HP
Cumul]]/(Tableau1[[#This Row],[Diff jour_x000D_
Cumul]]*24)</f>
        <v>0.91066715140355647</v>
      </c>
      <c r="P402" s="80">
        <f>Tableau1[[#This Row],[Différence HP
Cumul]]/Tableau1[[#This Row],[Diff jour_x000D_
Cumul]]</f>
        <v>21.856011633685355</v>
      </c>
      <c r="Q402" s="80">
        <f>Tableau1[[#This Row],[Conso HP / jour
Cumul]]*365</f>
        <v>7977.4442462951547</v>
      </c>
      <c r="R402" s="78">
        <v>125486</v>
      </c>
      <c r="S402" s="79">
        <f>Tableau1[[#This Row],[Index HC_x000D_
kWh]]-R401</f>
        <v>2</v>
      </c>
      <c r="T402" s="81">
        <f>Tableau1[[#This Row],[Différence_x000D_ HC
Instantané]]/(Tableau1[[#This Row],[Diff jour
Instantané]]*24)</f>
        <v>8.316008316012341E-2</v>
      </c>
      <c r="U402" s="81">
        <f>Tableau1[[#This Row],[Différence_x000D_ HC
Instantané]]/Tableau1[[#This Row],[Diff jour
Instantané]]</f>
        <v>1.9958419958429618</v>
      </c>
      <c r="V402" s="81">
        <f>Tableau1[[#This Row],[Conso HC / jour_x000D_
Instantané]]*365</f>
        <v>728.48232848268105</v>
      </c>
      <c r="W402" s="79">
        <f>Tableau1[[#This Row],[Index HC_x000D_
kWh]]-$R$5</f>
        <v>6054</v>
      </c>
      <c r="X402" s="82">
        <f>Tableau1[[#This Row],[Différence HC
Cumul]]/(Tableau1[[#This Row],[Diff jour_x000D_
Cumul]]*24)</f>
        <v>0.39070079615882158</v>
      </c>
      <c r="Y402" s="82">
        <f>Tableau1[[#This Row],[Différence HC
Cumul]]/Tableau1[[#This Row],[Diff jour_x000D_
Cumul]]</f>
        <v>9.376819107811718</v>
      </c>
      <c r="Z402" s="82">
        <f>Tableau1[[#This Row],[Conso HC / jour_x000D_
Cumul]]*365</f>
        <v>3422.5389743512769</v>
      </c>
      <c r="AA402" s="79">
        <f>Tableau1[[#This Row],[Différence HP
Instantané]]+Tableau1[[#This Row],[Différence_x000D_ HC
Instantané]]</f>
        <v>9</v>
      </c>
      <c r="AB402" s="80">
        <f>Tableau1[[#This Row],[Conso HP + HC
Instantané]]/(Tableau1[[#This Row],[Diff jour
Instantané]]*24)</f>
        <v>0.37422037422055537</v>
      </c>
      <c r="AC402" s="80">
        <f>IF(ISERROR(Tableau1[[#This Row],[Date]]-A401),"",Tableau1[[#This Row],[Conso HP + HC
Instantané]]/Tableau1[[#This Row],[Diff jour
Instantané]])</f>
        <v>8.9812889812933285</v>
      </c>
      <c r="AD402" s="80">
        <f>Tableau1[[#This Row],[Conso HP + HC / jour_x000D_
Instantané]]*365</f>
        <v>3278.170478172065</v>
      </c>
      <c r="AE402" s="79">
        <f>Tableau1[[#This Row],[Différence HP
Cumul]]+Tableau1[[#This Row],[Différence HC
Cumul]]</f>
        <v>20165</v>
      </c>
      <c r="AF402" s="77">
        <f>(Tableau1[[#This Row],[Conso HP + HC
Cumul]]-AE$6)/Tableau1[[#This Row],[Diff jour_x000D_
Cumul
depuis le 24/01]]</f>
        <v>28.958867219736778</v>
      </c>
      <c r="AG402" s="77">
        <f>(Tableau1[[#This Row],[Conso HP + HC
Cumul]]-AE$59)/Tableau1[[#This Row],[Diff jour_x000D_
Cumul
depuis
précédente facture
16/02/2021]]</f>
        <v>27.328422237152527</v>
      </c>
      <c r="AH402" s="80">
        <f>Tableau1[[#This Row],[Conso HP + HC
Cumul]]/(Tableau1[[#This Row],[Diff jour_x000D_
Cumul]]*24)</f>
        <v>1.3013679475623781</v>
      </c>
      <c r="AI402" s="80">
        <f>Tableau1[[#This Row],[Conso HP + HC
Cumul]]/Tableau1[[#This Row],[Diff jour_x000D_
Cumul]]</f>
        <v>31.232830741497075</v>
      </c>
      <c r="AJ402" s="80">
        <f>Tableau1[[#This Row],[Conso HP + HC / jour_x000D_
Cumul]]*365</f>
        <v>11399.983220646433</v>
      </c>
      <c r="AK402" s="83">
        <f>(Tableau1[[#This Row],[Différence HP
Cumul]]*0.1799)+(Tableau1[[#This Row],[Différence HC
Cumul]]*0.1346)</f>
        <v>3353.4373000000001</v>
      </c>
      <c r="AL402" s="83">
        <f>Tableau1[[#This Row],[Montant
Tarif HP/HC]]/Tableau1[[#This Row],[Diff jour_x000D_
Cumul]]</f>
        <v>5.1940163448114527</v>
      </c>
      <c r="AM402" s="83">
        <f>(Tableau1[[#This Row],[Montant
Tarif HP/HC]]-AK$6)/Tableau1[[#This Row],[Diff jour_x000D_
Cumul
depuis le 24/01]]</f>
        <v>4.8210106232440317</v>
      </c>
      <c r="AN402" s="83">
        <f>(Tableau1[[#This Row],[Montant
Tarif HP/HC]]-AK$59)/Tableau1[[#This Row],[Diff jour_x000D_
Cumul
depuis
précédente facture
16/02/2021]]</f>
        <v>4.5492796167351175</v>
      </c>
      <c r="AO402" s="83">
        <f>Tableau1[[#This Row],[Conso HP + HC
Cumul]]*0.1599</f>
        <v>3224.3834999999999</v>
      </c>
      <c r="AP402" s="83">
        <f>Tableau1[[#This Row],[Montant
Tarif normal]]/Tableau1[[#This Row],[Diff jour_x000D_
Cumul]]</f>
        <v>4.9941296355653817</v>
      </c>
      <c r="AQ402" s="83">
        <f>(Tableau1[[#This Row],[Conso HP / an
Cumul]]*0.1799)+(Tableau1[[#This Row],[Conso HC / an_x000D_
Cumul]]*0.1346)</f>
        <v>1895.8159658561804</v>
      </c>
      <c r="AR402" s="83">
        <f>Tableau1[[#This Row],[Conso HP + HC / an_x000D_
Cumul]]*0.1599</f>
        <v>1822.8573169813644</v>
      </c>
      <c r="AS402" s="79">
        <f>MONTH(Tableau1[[#This Row],[Date]])</f>
        <v>9</v>
      </c>
      <c r="AT402" s="79">
        <f>YEAR(Tableau1[[#This Row],[Date]])</f>
        <v>2022</v>
      </c>
    </row>
    <row r="403" spans="1:46" x14ac:dyDescent="0.2">
      <c r="A403" s="74">
        <v>44830.319444444445</v>
      </c>
      <c r="B403" s="75"/>
      <c r="C403" s="76">
        <f>IF(ISERROR(Tableau1[[#This Row],[Date]]-A402),"",Tableau1[[#This Row],[Date]]-A402)</f>
        <v>1.976388888891961</v>
      </c>
      <c r="D403" s="77">
        <f>IF(ISERROR(Tableau1[[#This Row],[Date]]-A402),"",Tableau1[[#This Row],[Date]]-A402)</f>
        <v>1.976388888891961</v>
      </c>
      <c r="E403" s="76">
        <f>Tableau1[[#This Row],[Date]]-$A$5</f>
        <v>647.61111111110949</v>
      </c>
      <c r="F403" s="77">
        <f>Tableau1[[#This Row],[Date]]-$A$5</f>
        <v>647.61111111110949</v>
      </c>
      <c r="G403" s="77">
        <f>Tableau1[[#This Row],[Diff jour_x000D_
Cumul]]-F$6</f>
        <v>609.52777777778101</v>
      </c>
      <c r="H403" s="77">
        <f>Tableau1[[#This Row],[Diff jour_x000D_
Cumul]]-F$59</f>
        <v>587.00833333333139</v>
      </c>
      <c r="I403" s="78">
        <v>193883</v>
      </c>
      <c r="J403" s="79">
        <f>IF(ISERROR(Tableau1[[#This Row],[Index HP
kWh]]-I402),"",Tableau1[[#This Row],[Index HP
kWh]]-I402)</f>
        <v>13</v>
      </c>
      <c r="K403" s="77">
        <f>IF(ISERROR(Tableau1[[#This Row],[Différence HP
Instantané]]/(Tableau1[[#This Row],[Diff jour
Instantané]]*24)),"",Tableau1[[#This Row],[Différence HP
Instantané]]/(Tableau1[[#This Row],[Diff jour
Instantané]]*24))</f>
        <v>0.2740688685870652</v>
      </c>
      <c r="L403" s="77">
        <f>Tableau1[[#This Row],[Différence HP
Instantané]]/Tableau1[[#This Row],[Diff jour
Instantané]]</f>
        <v>6.5776528460895651</v>
      </c>
      <c r="M403" s="77">
        <f>Tableau1[[#This Row],[Conso HP / jour
Instantané]]*365</f>
        <v>2400.8432888226912</v>
      </c>
      <c r="N403" s="79">
        <f>Tableau1[[#This Row],[Index HP
kWh]]-$I$5</f>
        <v>14124</v>
      </c>
      <c r="O403" s="80">
        <f>Tableau1[[#This Row],[Différence HP
Cumul]]/(Tableau1[[#This Row],[Diff jour_x000D_
Cumul]]*24)</f>
        <v>0.90872437162220354</v>
      </c>
      <c r="P403" s="80">
        <f>Tableau1[[#This Row],[Différence HP
Cumul]]/Tableau1[[#This Row],[Diff jour_x000D_
Cumul]]</f>
        <v>21.809384918932885</v>
      </c>
      <c r="Q403" s="80">
        <f>Tableau1[[#This Row],[Conso HP / jour
Cumul]]*365</f>
        <v>7960.4254954105027</v>
      </c>
      <c r="R403" s="78">
        <v>125492</v>
      </c>
      <c r="S403" s="79">
        <f>Tableau1[[#This Row],[Index HC_x000D_
kWh]]-R402</f>
        <v>6</v>
      </c>
      <c r="T403" s="81">
        <f>Tableau1[[#This Row],[Différence_x000D_ HC
Instantané]]/(Tableau1[[#This Row],[Diff jour
Instantané]]*24)</f>
        <v>0.12649332396326088</v>
      </c>
      <c r="U403" s="81">
        <f>Tableau1[[#This Row],[Différence_x000D_ HC
Instantané]]/Tableau1[[#This Row],[Diff jour
Instantané]]</f>
        <v>3.0358397751182609</v>
      </c>
      <c r="V403" s="81">
        <f>Tableau1[[#This Row],[Conso HC / jour_x000D_
Instantané]]*365</f>
        <v>1108.0815179181652</v>
      </c>
      <c r="W403" s="79">
        <f>Tableau1[[#This Row],[Index HC_x000D_
kWh]]-$R$5</f>
        <v>6060</v>
      </c>
      <c r="X403" s="82">
        <f>Tableau1[[#This Row],[Différence HC
Cumul]]/(Tableau1[[#This Row],[Diff jour_x000D_
Cumul]]*24)</f>
        <v>0.38989448400103038</v>
      </c>
      <c r="Y403" s="82">
        <f>Tableau1[[#This Row],[Différence HC
Cumul]]/Tableau1[[#This Row],[Diff jour_x000D_
Cumul]]</f>
        <v>9.3574676160247297</v>
      </c>
      <c r="Z403" s="82">
        <f>Tableau1[[#This Row],[Conso HC / jour_x000D_
Cumul]]*365</f>
        <v>3415.4756798490262</v>
      </c>
      <c r="AA403" s="79">
        <f>Tableau1[[#This Row],[Différence HP
Instantané]]+Tableau1[[#This Row],[Différence_x000D_ HC
Instantané]]</f>
        <v>19</v>
      </c>
      <c r="AB403" s="80">
        <f>Tableau1[[#This Row],[Conso HP + HC
Instantané]]/(Tableau1[[#This Row],[Diff jour
Instantané]]*24)</f>
        <v>0.40056219255032605</v>
      </c>
      <c r="AC403" s="80">
        <f>IF(ISERROR(Tableau1[[#This Row],[Date]]-A402),"",Tableau1[[#This Row],[Conso HP + HC
Instantané]]/Tableau1[[#This Row],[Diff jour
Instantané]])</f>
        <v>9.6134926212078256</v>
      </c>
      <c r="AD403" s="80">
        <f>Tableau1[[#This Row],[Conso HP + HC / jour_x000D_
Instantané]]*365</f>
        <v>3508.9248067408562</v>
      </c>
      <c r="AE403" s="79">
        <f>Tableau1[[#This Row],[Différence HP
Cumul]]+Tableau1[[#This Row],[Différence HC
Cumul]]</f>
        <v>20184</v>
      </c>
      <c r="AF403" s="77">
        <f>(Tableau1[[#This Row],[Conso HP + HC
Cumul]]-AE$6)/Tableau1[[#This Row],[Diff jour_x000D_
Cumul
depuis le 24/01]]</f>
        <v>28.896139999088394</v>
      </c>
      <c r="AG403" s="77">
        <f>(Tableau1[[#This Row],[Conso HP + HC
Cumul]]-AE$59)/Tableau1[[#This Row],[Diff jour_x000D_
Cumul
depuis
précédente facture
16/02/2021]]</f>
        <v>27.268778126375356</v>
      </c>
      <c r="AH403" s="80">
        <f>Tableau1[[#This Row],[Conso HP + HC
Cumul]]/(Tableau1[[#This Row],[Diff jour_x000D_
Cumul]]*24)</f>
        <v>1.2986188556232339</v>
      </c>
      <c r="AI403" s="80">
        <f>Tableau1[[#This Row],[Conso HP + HC
Cumul]]/Tableau1[[#This Row],[Diff jour_x000D_
Cumul]]</f>
        <v>31.166852534957613</v>
      </c>
      <c r="AJ403" s="80">
        <f>Tableau1[[#This Row],[Conso HP + HC / jour_x000D_
Cumul]]*365</f>
        <v>11375.901175259529</v>
      </c>
      <c r="AK403" s="83">
        <f>(Tableau1[[#This Row],[Différence HP
Cumul]]*0.1799)+(Tableau1[[#This Row],[Différence HC
Cumul]]*0.1346)</f>
        <v>3356.5835999999999</v>
      </c>
      <c r="AL403" s="83">
        <f>Tableau1[[#This Row],[Montant
Tarif HP/HC]]/Tableau1[[#This Row],[Diff jour_x000D_
Cumul]]</f>
        <v>5.183023488032954</v>
      </c>
      <c r="AM403" s="83">
        <f>(Tableau1[[#This Row],[Montant
Tarif HP/HC]]-AK$6)/Tableau1[[#This Row],[Diff jour_x000D_
Cumul
depuis le 24/01]]</f>
        <v>4.8105404001275778</v>
      </c>
      <c r="AN403" s="83">
        <f>(Tableau1[[#This Row],[Montant
Tarif HP/HC]]-AK$59)/Tableau1[[#This Row],[Diff jour_x000D_
Cumul
depuis
précédente facture
16/02/2021]]</f>
        <v>4.5393226104115652</v>
      </c>
      <c r="AO403" s="83">
        <f>Tableau1[[#This Row],[Conso HP + HC
Cumul]]*0.1599</f>
        <v>3227.4215999999997</v>
      </c>
      <c r="AP403" s="83">
        <f>Tableau1[[#This Row],[Montant
Tarif normal]]/Tableau1[[#This Row],[Diff jour_x000D_
Cumul]]</f>
        <v>4.9835797203397219</v>
      </c>
      <c r="AQ403" s="83">
        <f>(Tableau1[[#This Row],[Conso HP / an
Cumul]]*0.1799)+(Tableau1[[#This Row],[Conso HC / an_x000D_
Cumul]]*0.1346)</f>
        <v>1891.8035731320283</v>
      </c>
      <c r="AR403" s="83">
        <f>Tableau1[[#This Row],[Conso HP + HC / an_x000D_
Cumul]]*0.1599</f>
        <v>1819.0065979239985</v>
      </c>
      <c r="AS403" s="79">
        <f>MONTH(Tableau1[[#This Row],[Date]])</f>
        <v>9</v>
      </c>
      <c r="AT403" s="79">
        <f>YEAR(Tableau1[[#This Row],[Date]])</f>
        <v>2022</v>
      </c>
    </row>
    <row r="404" spans="1:46" x14ac:dyDescent="0.2">
      <c r="A404" s="74">
        <v>44831.323611111111</v>
      </c>
      <c r="B404" s="75"/>
      <c r="C404" s="76">
        <f>IF(ISERROR(Tableau1[[#This Row],[Date]]-A403),"",Tableau1[[#This Row],[Date]]-A403)</f>
        <v>1.0041666666656965</v>
      </c>
      <c r="D404" s="77">
        <f>IF(ISERROR(Tableau1[[#This Row],[Date]]-A403),"",Tableau1[[#This Row],[Date]]-A403)</f>
        <v>1.0041666666656965</v>
      </c>
      <c r="E404" s="76">
        <f>Tableau1[[#This Row],[Date]]-$A$5</f>
        <v>648.61527777777519</v>
      </c>
      <c r="F404" s="77">
        <f>Tableau1[[#This Row],[Date]]-$A$5</f>
        <v>648.61527777777519</v>
      </c>
      <c r="G404" s="77">
        <f>Tableau1[[#This Row],[Diff jour_x000D_
Cumul]]-F$6</f>
        <v>610.53194444444671</v>
      </c>
      <c r="H404" s="77">
        <f>Tableau1[[#This Row],[Diff jour_x000D_
Cumul]]-F$59</f>
        <v>588.01249999999709</v>
      </c>
      <c r="I404" s="78">
        <v>193890</v>
      </c>
      <c r="J404" s="79">
        <f>IF(ISERROR(Tableau1[[#This Row],[Index HP
kWh]]-I403),"",Tableau1[[#This Row],[Index HP
kWh]]-I403)</f>
        <v>7</v>
      </c>
      <c r="K404" s="77">
        <f>IF(ISERROR(Tableau1[[#This Row],[Différence HP
Instantané]]/(Tableau1[[#This Row],[Diff jour
Instantané]]*24)),"",Tableau1[[#This Row],[Différence HP
Instantané]]/(Tableau1[[#This Row],[Diff jour
Instantané]]*24))</f>
        <v>0.29045643153555034</v>
      </c>
      <c r="L404" s="77">
        <f>Tableau1[[#This Row],[Différence HP
Instantané]]/Tableau1[[#This Row],[Diff jour
Instantané]]</f>
        <v>6.9709543568532073</v>
      </c>
      <c r="M404" s="77">
        <f>Tableau1[[#This Row],[Conso HP / jour
Instantané]]*365</f>
        <v>2544.3983402514204</v>
      </c>
      <c r="N404" s="79">
        <f>Tableau1[[#This Row],[Index HP
kWh]]-$I$5</f>
        <v>14131</v>
      </c>
      <c r="O404" s="80">
        <f>Tableau1[[#This Row],[Différence HP
Cumul]]/(Tableau1[[#This Row],[Diff jour_x000D_
Cumul]]*24)</f>
        <v>0.90776718779108845</v>
      </c>
      <c r="P404" s="80">
        <f>Tableau1[[#This Row],[Différence HP
Cumul]]/Tableau1[[#This Row],[Diff jour_x000D_
Cumul]]</f>
        <v>21.786412506986125</v>
      </c>
      <c r="Q404" s="80">
        <f>Tableau1[[#This Row],[Conso HP / jour
Cumul]]*365</f>
        <v>7952.0405650499351</v>
      </c>
      <c r="R404" s="78">
        <v>125494</v>
      </c>
      <c r="S404" s="79">
        <f>Tableau1[[#This Row],[Index HC_x000D_
kWh]]-R403</f>
        <v>2</v>
      </c>
      <c r="T404" s="81">
        <f>Tableau1[[#This Row],[Différence_x000D_ HC
Instantané]]/(Tableau1[[#This Row],[Diff jour
Instantané]]*24)</f>
        <v>8.2987551867300086E-2</v>
      </c>
      <c r="U404" s="81">
        <f>Tableau1[[#This Row],[Différence_x000D_ HC
Instantané]]/Tableau1[[#This Row],[Diff jour
Instantané]]</f>
        <v>1.9917012448152023</v>
      </c>
      <c r="V404" s="81">
        <f>Tableau1[[#This Row],[Conso HC / jour_x000D_
Instantané]]*365</f>
        <v>726.97095435754886</v>
      </c>
      <c r="W404" s="79">
        <f>Tableau1[[#This Row],[Index HC_x000D_
kWh]]-$R$5</f>
        <v>6062</v>
      </c>
      <c r="X404" s="82">
        <f>Tableau1[[#This Row],[Différence HC
Cumul]]/(Tableau1[[#This Row],[Diff jour_x000D_
Cumul]]*24)</f>
        <v>0.38941933991858879</v>
      </c>
      <c r="Y404" s="82">
        <f>Tableau1[[#This Row],[Différence HC
Cumul]]/Tableau1[[#This Row],[Diff jour_x000D_
Cumul]]</f>
        <v>9.346064158046131</v>
      </c>
      <c r="Z404" s="82">
        <f>Tableau1[[#This Row],[Conso HC / jour_x000D_
Cumul]]*365</f>
        <v>3411.313417686838</v>
      </c>
      <c r="AA404" s="79">
        <f>Tableau1[[#This Row],[Différence HP
Instantané]]+Tableau1[[#This Row],[Différence_x000D_ HC
Instantané]]</f>
        <v>9</v>
      </c>
      <c r="AB404" s="80">
        <f>Tableau1[[#This Row],[Conso HP + HC
Instantané]]/(Tableau1[[#This Row],[Diff jour
Instantané]]*24)</f>
        <v>0.3734439834028504</v>
      </c>
      <c r="AC404" s="80">
        <f>IF(ISERROR(Tableau1[[#This Row],[Date]]-A403),"",Tableau1[[#This Row],[Conso HP + HC
Instantané]]/Tableau1[[#This Row],[Diff jour
Instantané]])</f>
        <v>8.9626556016684091</v>
      </c>
      <c r="AD404" s="80">
        <f>Tableau1[[#This Row],[Conso HP + HC / jour_x000D_
Instantané]]*365</f>
        <v>3271.3692946089695</v>
      </c>
      <c r="AE404" s="79">
        <f>Tableau1[[#This Row],[Différence HP
Cumul]]+Tableau1[[#This Row],[Différence HC
Cumul]]</f>
        <v>20193</v>
      </c>
      <c r="AF404" s="77">
        <f>(Tableau1[[#This Row],[Conso HP + HC
Cumul]]-AE$6)/Tableau1[[#This Row],[Diff jour_x000D_
Cumul
depuis le 24/01]]</f>
        <v>28.863354588325649</v>
      </c>
      <c r="AG404" s="77">
        <f>(Tableau1[[#This Row],[Conso HP + HC
Cumul]]-AE$59)/Tableau1[[#This Row],[Diff jour_x000D_
Cumul
depuis
précédente facture
16/02/2021]]</f>
        <v>27.237516209264392</v>
      </c>
      <c r="AH404" s="80">
        <f>Tableau1[[#This Row],[Conso HP + HC
Cumul]]/(Tableau1[[#This Row],[Diff jour_x000D_
Cumul]]*24)</f>
        <v>1.2971865277096772</v>
      </c>
      <c r="AI404" s="80">
        <f>Tableau1[[#This Row],[Conso HP + HC
Cumul]]/Tableau1[[#This Row],[Diff jour_x000D_
Cumul]]</f>
        <v>31.132476665032254</v>
      </c>
      <c r="AJ404" s="80">
        <f>Tableau1[[#This Row],[Conso HP + HC / jour_x000D_
Cumul]]*365</f>
        <v>11363.353982736773</v>
      </c>
      <c r="AK404" s="83">
        <f>(Tableau1[[#This Row],[Différence HP
Cumul]]*0.1799)+(Tableau1[[#This Row],[Différence HC
Cumul]]*0.1346)</f>
        <v>3358.1121000000003</v>
      </c>
      <c r="AL404" s="83">
        <f>Tableau1[[#This Row],[Montant
Tarif HP/HC]]/Tableau1[[#This Row],[Diff jour_x000D_
Cumul]]</f>
        <v>5.1773558456798137</v>
      </c>
      <c r="AM404" s="83">
        <f>(Tableau1[[#This Row],[Montant
Tarif HP/HC]]-AK$6)/Tableau1[[#This Row],[Diff jour_x000D_
Cumul
depuis le 24/01]]</f>
        <v>4.805131863607083</v>
      </c>
      <c r="AN404" s="83">
        <f>(Tableau1[[#This Row],[Montant
Tarif HP/HC]]-AK$59)/Tableau1[[#This Row],[Diff jour_x000D_
Cumul
depuis
précédente facture
16/02/2021]]</f>
        <v>4.5341701069280216</v>
      </c>
      <c r="AO404" s="83">
        <f>Tableau1[[#This Row],[Conso HP + HC
Cumul]]*0.1599</f>
        <v>3228.8606999999997</v>
      </c>
      <c r="AP404" s="83">
        <f>Tableau1[[#This Row],[Montant
Tarif normal]]/Tableau1[[#This Row],[Diff jour_x000D_
Cumul]]</f>
        <v>4.9780830187386567</v>
      </c>
      <c r="AQ404" s="83">
        <f>(Tableau1[[#This Row],[Conso HP / an
Cumul]]*0.1799)+(Tableau1[[#This Row],[Conso HC / an_x000D_
Cumul]]*0.1346)</f>
        <v>1889.7348836731317</v>
      </c>
      <c r="AR404" s="83">
        <f>Tableau1[[#This Row],[Conso HP + HC / an_x000D_
Cumul]]*0.1599</f>
        <v>1817.0003018396098</v>
      </c>
      <c r="AS404" s="79">
        <f>MONTH(Tableau1[[#This Row],[Date]])</f>
        <v>9</v>
      </c>
      <c r="AT404" s="79">
        <f>YEAR(Tableau1[[#This Row],[Date]])</f>
        <v>2022</v>
      </c>
    </row>
    <row r="405" spans="1:46" x14ac:dyDescent="0.2">
      <c r="A405" s="74">
        <v>44832.383333333331</v>
      </c>
      <c r="B405" s="75"/>
      <c r="C405" s="76">
        <f>IF(ISERROR(Tableau1[[#This Row],[Date]]-A404),"",Tableau1[[#This Row],[Date]]-A404)</f>
        <v>1.0597222222204437</v>
      </c>
      <c r="D405" s="77">
        <f>IF(ISERROR(Tableau1[[#This Row],[Date]]-A404),"",Tableau1[[#This Row],[Date]]-A404)</f>
        <v>1.0597222222204437</v>
      </c>
      <c r="E405" s="76">
        <f>Tableau1[[#This Row],[Date]]-$A$5</f>
        <v>649.67499999999563</v>
      </c>
      <c r="F405" s="77">
        <f>Tableau1[[#This Row],[Date]]-$A$5</f>
        <v>649.67499999999563</v>
      </c>
      <c r="G405" s="77">
        <f>Tableau1[[#This Row],[Diff jour_x000D_
Cumul]]-F$6</f>
        <v>611.59166666666715</v>
      </c>
      <c r="H405" s="77">
        <f>Tableau1[[#This Row],[Diff jour_x000D_
Cumul]]-F$59</f>
        <v>589.07222222221753</v>
      </c>
      <c r="I405" s="78">
        <v>193894</v>
      </c>
      <c r="J405" s="79">
        <f>IF(ISERROR(Tableau1[[#This Row],[Index HP
kWh]]-I404),"",Tableau1[[#This Row],[Index HP
kWh]]-I404)</f>
        <v>4</v>
      </c>
      <c r="K405" s="77">
        <f>IF(ISERROR(Tableau1[[#This Row],[Différence HP
Instantané]]/(Tableau1[[#This Row],[Diff jour
Instantané]]*24)),"",Tableau1[[#This Row],[Différence HP
Instantané]]/(Tableau1[[#This Row],[Diff jour
Instantané]]*24))</f>
        <v>0.15727391874207261</v>
      </c>
      <c r="L405" s="77">
        <f>Tableau1[[#This Row],[Différence HP
Instantané]]/Tableau1[[#This Row],[Diff jour
Instantané]]</f>
        <v>3.7745740498097424</v>
      </c>
      <c r="M405" s="77">
        <f>Tableau1[[#This Row],[Conso HP / jour
Instantané]]*365</f>
        <v>1377.7195281805559</v>
      </c>
      <c r="N405" s="79">
        <f>Tableau1[[#This Row],[Index HP
kWh]]-$I$5</f>
        <v>14135</v>
      </c>
      <c r="O405" s="80">
        <f>Tableau1[[#This Row],[Différence HP
Cumul]]/(Tableau1[[#This Row],[Diff jour_x000D_
Cumul]]*24)</f>
        <v>0.90654301509729829</v>
      </c>
      <c r="P405" s="80">
        <f>Tableau1[[#This Row],[Différence HP
Cumul]]/Tableau1[[#This Row],[Diff jour_x000D_
Cumul]]</f>
        <v>21.75703236233516</v>
      </c>
      <c r="Q405" s="80">
        <f>Tableau1[[#This Row],[Conso HP / jour
Cumul]]*365</f>
        <v>7941.316812252333</v>
      </c>
      <c r="R405" s="78">
        <v>125497</v>
      </c>
      <c r="S405" s="79">
        <f>Tableau1[[#This Row],[Index HC_x000D_
kWh]]-R404</f>
        <v>3</v>
      </c>
      <c r="T405" s="81">
        <f>Tableau1[[#This Row],[Différence_x000D_ HC
Instantané]]/(Tableau1[[#This Row],[Diff jour
Instantané]]*24)</f>
        <v>0.11795543905655445</v>
      </c>
      <c r="U405" s="81">
        <f>Tableau1[[#This Row],[Différence_x000D_ HC
Instantané]]/Tableau1[[#This Row],[Diff jour
Instantané]]</f>
        <v>2.830930537357307</v>
      </c>
      <c r="V405" s="81">
        <f>Tableau1[[#This Row],[Conso HC / jour_x000D_
Instantané]]*365</f>
        <v>1033.2896461354171</v>
      </c>
      <c r="W405" s="79">
        <f>Tableau1[[#This Row],[Index HC_x000D_
kWh]]-$R$5</f>
        <v>6065</v>
      </c>
      <c r="X405" s="82">
        <f>Tableau1[[#This Row],[Différence HC
Cumul]]/(Tableau1[[#This Row],[Diff jour_x000D_
Cumul]]*24)</f>
        <v>0.38897653955182981</v>
      </c>
      <c r="Y405" s="82">
        <f>Tableau1[[#This Row],[Différence HC
Cumul]]/Tableau1[[#This Row],[Diff jour_x000D_
Cumul]]</f>
        <v>9.3354369492439151</v>
      </c>
      <c r="Z405" s="82">
        <f>Tableau1[[#This Row],[Conso HC / jour_x000D_
Cumul]]*365</f>
        <v>3407.4344864740292</v>
      </c>
      <c r="AA405" s="79">
        <f>Tableau1[[#This Row],[Différence HP
Instantané]]+Tableau1[[#This Row],[Différence_x000D_ HC
Instantané]]</f>
        <v>7</v>
      </c>
      <c r="AB405" s="80">
        <f>Tableau1[[#This Row],[Conso HP + HC
Instantané]]/(Tableau1[[#This Row],[Diff jour
Instantané]]*24)</f>
        <v>0.27522935779862706</v>
      </c>
      <c r="AC405" s="80">
        <f>IF(ISERROR(Tableau1[[#This Row],[Date]]-A404),"",Tableau1[[#This Row],[Conso HP + HC
Instantané]]/Tableau1[[#This Row],[Diff jour
Instantané]])</f>
        <v>6.6055045871670499</v>
      </c>
      <c r="AD405" s="80">
        <f>Tableau1[[#This Row],[Conso HP + HC / jour_x000D_
Instantané]]*365</f>
        <v>2411.0091743159733</v>
      </c>
      <c r="AE405" s="79">
        <f>Tableau1[[#This Row],[Différence HP
Cumul]]+Tableau1[[#This Row],[Différence HC
Cumul]]</f>
        <v>20200</v>
      </c>
      <c r="AF405" s="77">
        <f>(Tableau1[[#This Row],[Conso HP + HC
Cumul]]-AE$6)/Tableau1[[#This Row],[Diff jour_x000D_
Cumul
depuis le 24/01]]</f>
        <v>28.824787780518026</v>
      </c>
      <c r="AG405" s="77">
        <f>(Tableau1[[#This Row],[Conso HP + HC
Cumul]]-AE$59)/Tableau1[[#This Row],[Diff jour_x000D_
Cumul
depuis
précédente facture
16/02/2021]]</f>
        <v>27.200399875510669</v>
      </c>
      <c r="AH405" s="80">
        <f>Tableau1[[#This Row],[Conso HP + HC
Cumul]]/(Tableau1[[#This Row],[Diff jour_x000D_
Cumul]]*24)</f>
        <v>1.295519554649128</v>
      </c>
      <c r="AI405" s="80">
        <f>Tableau1[[#This Row],[Conso HP + HC
Cumul]]/Tableau1[[#This Row],[Diff jour_x000D_
Cumul]]</f>
        <v>31.092469311579077</v>
      </c>
      <c r="AJ405" s="80">
        <f>Tableau1[[#This Row],[Conso HP + HC / jour_x000D_
Cumul]]*365</f>
        <v>11348.751298726364</v>
      </c>
      <c r="AK405" s="83">
        <f>(Tableau1[[#This Row],[Différence HP
Cumul]]*0.1799)+(Tableau1[[#This Row],[Différence HC
Cumul]]*0.1346)</f>
        <v>3359.2354999999998</v>
      </c>
      <c r="AL405" s="83">
        <f>Tableau1[[#This Row],[Montant
Tarif HP/HC]]/Tableau1[[#This Row],[Diff jour_x000D_
Cumul]]</f>
        <v>5.1706399353523258</v>
      </c>
      <c r="AM405" s="83">
        <f>(Tableau1[[#This Row],[Montant
Tarif HP/HC]]-AK$6)/Tableau1[[#This Row],[Diff jour_x000D_
Cumul
depuis le 24/01]]</f>
        <v>4.7986427218596246</v>
      </c>
      <c r="AN405" s="83">
        <f>(Tableau1[[#This Row],[Montant
Tarif HP/HC]]-AK$59)/Tableau1[[#This Row],[Diff jour_x000D_
Cumul
depuis
précédente facture
16/02/2021]]</f>
        <v>4.5279203455528352</v>
      </c>
      <c r="AO405" s="83">
        <f>Tableau1[[#This Row],[Conso HP + HC
Cumul]]*0.1599</f>
        <v>3229.9799999999996</v>
      </c>
      <c r="AP405" s="83">
        <f>Tableau1[[#This Row],[Montant
Tarif normal]]/Tableau1[[#This Row],[Diff jour_x000D_
Cumul]]</f>
        <v>4.9716858429214934</v>
      </c>
      <c r="AQ405" s="83">
        <f>(Tableau1[[#This Row],[Conso HP / an
Cumul]]*0.1799)+(Tableau1[[#This Row],[Conso HC / an_x000D_
Cumul]]*0.1346)</f>
        <v>1887.2835764035992</v>
      </c>
      <c r="AR405" s="83">
        <f>Tableau1[[#This Row],[Conso HP + HC / an_x000D_
Cumul]]*0.1599</f>
        <v>1814.6653326663454</v>
      </c>
      <c r="AS405" s="79">
        <f>MONTH(Tableau1[[#This Row],[Date]])</f>
        <v>9</v>
      </c>
      <c r="AT405" s="79">
        <f>YEAR(Tableau1[[#This Row],[Date]])</f>
        <v>2022</v>
      </c>
    </row>
    <row r="406" spans="1:46" x14ac:dyDescent="0.2">
      <c r="A406" s="74">
        <v>44833.340277777781</v>
      </c>
      <c r="B406" s="75"/>
      <c r="C406" s="76">
        <f>IF(ISERROR(Tableau1[[#This Row],[Date]]-A405),"",Tableau1[[#This Row],[Date]]-A405)</f>
        <v>0.95694444444961846</v>
      </c>
      <c r="D406" s="77">
        <f>IF(ISERROR(Tableau1[[#This Row],[Date]]-A405),"",Tableau1[[#This Row],[Date]]-A405)</f>
        <v>0.95694444444961846</v>
      </c>
      <c r="E406" s="76">
        <f>Tableau1[[#This Row],[Date]]-$A$5</f>
        <v>650.63194444444525</v>
      </c>
      <c r="F406" s="77">
        <f>Tableau1[[#This Row],[Date]]-$A$5</f>
        <v>650.63194444444525</v>
      </c>
      <c r="G406" s="77">
        <f>Tableau1[[#This Row],[Diff jour_x000D_
Cumul]]-F$6</f>
        <v>612.54861111111677</v>
      </c>
      <c r="H406" s="77">
        <f>Tableau1[[#This Row],[Diff jour_x000D_
Cumul]]-F$59</f>
        <v>590.02916666666715</v>
      </c>
      <c r="I406" s="78">
        <v>193901</v>
      </c>
      <c r="J406" s="79">
        <f>IF(ISERROR(Tableau1[[#This Row],[Index HP
kWh]]-I405),"",Tableau1[[#This Row],[Index HP
kWh]]-I405)</f>
        <v>7</v>
      </c>
      <c r="K406" s="77">
        <f>IF(ISERROR(Tableau1[[#This Row],[Différence HP
Instantané]]/(Tableau1[[#This Row],[Diff jour
Instantané]]*24)),"",Tableau1[[#This Row],[Différence HP
Instantané]]/(Tableau1[[#This Row],[Diff jour
Instantané]]*24))</f>
        <v>0.30478955007092101</v>
      </c>
      <c r="L406" s="77">
        <f>Tableau1[[#This Row],[Différence HP
Instantané]]/Tableau1[[#This Row],[Diff jour
Instantané]]</f>
        <v>7.3149492017021043</v>
      </c>
      <c r="M406" s="77">
        <f>Tableau1[[#This Row],[Conso HP / jour
Instantané]]*365</f>
        <v>2669.9564586212682</v>
      </c>
      <c r="N406" s="79">
        <f>Tableau1[[#This Row],[Index HP
kWh]]-$I$5</f>
        <v>14142</v>
      </c>
      <c r="O406" s="80">
        <f>Tableau1[[#This Row],[Différence HP
Cumul]]/(Tableau1[[#This Row],[Diff jour_x000D_
Cumul]]*24)</f>
        <v>0.9056579607432933</v>
      </c>
      <c r="P406" s="80">
        <f>Tableau1[[#This Row],[Différence HP
Cumul]]/Tableau1[[#This Row],[Diff jour_x000D_
Cumul]]</f>
        <v>21.735791057839041</v>
      </c>
      <c r="Q406" s="80">
        <f>Tableau1[[#This Row],[Conso HP / jour
Cumul]]*365</f>
        <v>7933.5637361112504</v>
      </c>
      <c r="R406" s="78">
        <v>125499</v>
      </c>
      <c r="S406" s="79">
        <f>Tableau1[[#This Row],[Index HC_x000D_
kWh]]-R405</f>
        <v>2</v>
      </c>
      <c r="T406" s="81">
        <f>Tableau1[[#This Row],[Différence_x000D_ HC
Instantané]]/(Tableau1[[#This Row],[Diff jour
Instantané]]*24)</f>
        <v>8.7082728591691722E-2</v>
      </c>
      <c r="U406" s="81">
        <f>Tableau1[[#This Row],[Différence_x000D_ HC
Instantané]]/Tableau1[[#This Row],[Diff jour
Instantané]]</f>
        <v>2.0899854862006011</v>
      </c>
      <c r="V406" s="81">
        <f>Tableau1[[#This Row],[Conso HC / jour_x000D_
Instantané]]*365</f>
        <v>762.84470246321939</v>
      </c>
      <c r="W406" s="79">
        <f>Tableau1[[#This Row],[Index HC_x000D_
kWh]]-$R$5</f>
        <v>6067</v>
      </c>
      <c r="X406" s="82">
        <f>Tableau1[[#This Row],[Différence HC
Cumul]]/(Tableau1[[#This Row],[Diff jour_x000D_
Cumul]]*24)</f>
        <v>0.38853251646369402</v>
      </c>
      <c r="Y406" s="82">
        <f>Tableau1[[#This Row],[Différence HC
Cumul]]/Tableau1[[#This Row],[Diff jour_x000D_
Cumul]]</f>
        <v>9.3247803951286556</v>
      </c>
      <c r="Z406" s="82">
        <f>Tableau1[[#This Row],[Conso HC / jour_x000D_
Cumul]]*365</f>
        <v>3403.5448442219595</v>
      </c>
      <c r="AA406" s="79">
        <f>Tableau1[[#This Row],[Différence HP
Instantané]]+Tableau1[[#This Row],[Différence_x000D_ HC
Instantané]]</f>
        <v>9</v>
      </c>
      <c r="AB406" s="80">
        <f>Tableau1[[#This Row],[Conso HP + HC
Instantané]]/(Tableau1[[#This Row],[Diff jour
Instantané]]*24)</f>
        <v>0.39187227866261271</v>
      </c>
      <c r="AC406" s="80">
        <f>IF(ISERROR(Tableau1[[#This Row],[Date]]-A405),"",Tableau1[[#This Row],[Conso HP + HC
Instantané]]/Tableau1[[#This Row],[Diff jour
Instantané]])</f>
        <v>9.4049346879027045</v>
      </c>
      <c r="AD406" s="80">
        <f>Tableau1[[#This Row],[Conso HP + HC / jour_x000D_
Instantané]]*365</f>
        <v>3432.8011610844869</v>
      </c>
      <c r="AE406" s="79">
        <f>Tableau1[[#This Row],[Différence HP
Cumul]]+Tableau1[[#This Row],[Différence HC
Cumul]]</f>
        <v>20209</v>
      </c>
      <c r="AF406" s="77">
        <f>(Tableau1[[#This Row],[Conso HP + HC
Cumul]]-AE$6)/Tableau1[[#This Row],[Diff jour_x000D_
Cumul
depuis le 24/01]]</f>
        <v>28.794449420113782</v>
      </c>
      <c r="AG406" s="77">
        <f>(Tableau1[[#This Row],[Conso HP + HC
Cumul]]-AE$59)/Tableau1[[#This Row],[Diff jour_x000D_
Cumul
depuis
précédente facture
16/02/2021]]</f>
        <v>27.171538130177158</v>
      </c>
      <c r="AH406" s="80">
        <f>Tableau1[[#This Row],[Conso HP + HC
Cumul]]/(Tableau1[[#This Row],[Diff jour_x000D_
Cumul]]*24)</f>
        <v>1.2941904772069874</v>
      </c>
      <c r="AI406" s="80">
        <f>Tableau1[[#This Row],[Conso HP + HC
Cumul]]/Tableau1[[#This Row],[Diff jour_x000D_
Cumul]]</f>
        <v>31.060571452967697</v>
      </c>
      <c r="AJ406" s="80">
        <f>Tableau1[[#This Row],[Conso HP + HC / jour_x000D_
Cumul]]*365</f>
        <v>11337.10858033321</v>
      </c>
      <c r="AK406" s="83">
        <f>(Tableau1[[#This Row],[Différence HP
Cumul]]*0.1799)+(Tableau1[[#This Row],[Différence HC
Cumul]]*0.1346)</f>
        <v>3360.7640000000001</v>
      </c>
      <c r="AL406" s="83">
        <f>Tableau1[[#This Row],[Montant
Tarif HP/HC]]/Tableau1[[#This Row],[Diff jour_x000D_
Cumul]]</f>
        <v>5.1653842524895603</v>
      </c>
      <c r="AM406" s="83">
        <f>(Tableau1[[#This Row],[Montant
Tarif HP/HC]]-AK$6)/Tableau1[[#This Row],[Diff jour_x000D_
Cumul
depuis le 24/01]]</f>
        <v>4.7936414298184511</v>
      </c>
      <c r="AN406" s="83">
        <f>(Tableau1[[#This Row],[Montant
Tarif HP/HC]]-AK$59)/Tableau1[[#This Row],[Diff jour_x000D_
Cumul
depuis
précédente facture
16/02/2021]]</f>
        <v>4.5231672445571158</v>
      </c>
      <c r="AO406" s="83">
        <f>Tableau1[[#This Row],[Conso HP + HC
Cumul]]*0.1599</f>
        <v>3231.4190999999996</v>
      </c>
      <c r="AP406" s="83">
        <f>Tableau1[[#This Row],[Montant
Tarif normal]]/Tableau1[[#This Row],[Diff jour_x000D_
Cumul]]</f>
        <v>4.9665853753295339</v>
      </c>
      <c r="AQ406" s="83">
        <f>(Tableau1[[#This Row],[Conso HP / an
Cumul]]*0.1799)+(Tableau1[[#This Row],[Conso HC / an_x000D_
Cumul]]*0.1346)</f>
        <v>1885.3652521586898</v>
      </c>
      <c r="AR406" s="83">
        <f>Tableau1[[#This Row],[Conso HP + HC / an_x000D_
Cumul]]*0.1599</f>
        <v>1812.8036619952802</v>
      </c>
      <c r="AS406" s="79">
        <f>MONTH(Tableau1[[#This Row],[Date]])</f>
        <v>9</v>
      </c>
      <c r="AT406" s="79">
        <f>YEAR(Tableau1[[#This Row],[Date]])</f>
        <v>2022</v>
      </c>
    </row>
    <row r="407" spans="1:46" x14ac:dyDescent="0.2">
      <c r="A407" s="74">
        <v>44834.347222222219</v>
      </c>
      <c r="B407" s="75"/>
      <c r="C407" s="76">
        <f>IF(ISERROR(Tableau1[[#This Row],[Date]]-A406),"",Tableau1[[#This Row],[Date]]-A406)</f>
        <v>1.0069444444379769</v>
      </c>
      <c r="D407" s="77">
        <f>IF(ISERROR(Tableau1[[#This Row],[Date]]-A406),"",Tableau1[[#This Row],[Date]]-A406)</f>
        <v>1.0069444444379769</v>
      </c>
      <c r="E407" s="76">
        <f>Tableau1[[#This Row],[Date]]-$A$5</f>
        <v>651.63888888888323</v>
      </c>
      <c r="F407" s="77">
        <f>Tableau1[[#This Row],[Date]]-$A$5</f>
        <v>651.63888888888323</v>
      </c>
      <c r="G407" s="77">
        <f>Tableau1[[#This Row],[Diff jour_x000D_
Cumul]]-F$6</f>
        <v>613.55555555555475</v>
      </c>
      <c r="H407" s="77">
        <f>Tableau1[[#This Row],[Diff jour_x000D_
Cumul]]-F$59</f>
        <v>591.03611111110513</v>
      </c>
      <c r="I407" s="78">
        <v>193917</v>
      </c>
      <c r="J407" s="79">
        <f>IF(ISERROR(Tableau1[[#This Row],[Index HP
kWh]]-I406),"",Tableau1[[#This Row],[Index HP
kWh]]-I406)</f>
        <v>16</v>
      </c>
      <c r="K407" s="77">
        <f>IF(ISERROR(Tableau1[[#This Row],[Différence HP
Instantané]]/(Tableau1[[#This Row],[Diff jour
Instantané]]*24)),"",Tableau1[[#This Row],[Différence HP
Instantané]]/(Tableau1[[#This Row],[Diff jour
Instantané]]*24))</f>
        <v>0.66206896552149375</v>
      </c>
      <c r="L407" s="77">
        <f>Tableau1[[#This Row],[Différence HP
Instantané]]/Tableau1[[#This Row],[Diff jour
Instantané]]</f>
        <v>15.889655172515852</v>
      </c>
      <c r="M407" s="77">
        <f>Tableau1[[#This Row],[Conso HP / jour
Instantané]]*365</f>
        <v>5799.7241379682855</v>
      </c>
      <c r="N407" s="79">
        <f>Tableau1[[#This Row],[Index HP
kWh]]-$I$5</f>
        <v>14158</v>
      </c>
      <c r="O407" s="80">
        <f>Tableau1[[#This Row],[Différence HP
Cumul]]/(Tableau1[[#This Row],[Diff jour_x000D_
Cumul]]*24)</f>
        <v>0.90528155505350549</v>
      </c>
      <c r="P407" s="80">
        <f>Tableau1[[#This Row],[Différence HP
Cumul]]/Tableau1[[#This Row],[Diff jour_x000D_
Cumul]]</f>
        <v>21.726757321284129</v>
      </c>
      <c r="Q407" s="80">
        <f>Tableau1[[#This Row],[Conso HP / jour
Cumul]]*365</f>
        <v>7930.2664222687072</v>
      </c>
      <c r="R407" s="78">
        <v>125505</v>
      </c>
      <c r="S407" s="79">
        <f>Tableau1[[#This Row],[Index HC_x000D_
kWh]]-R406</f>
        <v>6</v>
      </c>
      <c r="T407" s="81">
        <f>Tableau1[[#This Row],[Différence_x000D_ HC
Instantané]]/(Tableau1[[#This Row],[Diff jour
Instantané]]*24)</f>
        <v>0.24827586207056018</v>
      </c>
      <c r="U407" s="81">
        <f>Tableau1[[#This Row],[Différence_x000D_ HC
Instantané]]/Tableau1[[#This Row],[Diff jour
Instantané]]</f>
        <v>5.9586206896934444</v>
      </c>
      <c r="V407" s="81">
        <f>Tableau1[[#This Row],[Conso HC / jour_x000D_
Instantané]]*365</f>
        <v>2174.8965517381071</v>
      </c>
      <c r="W407" s="79">
        <f>Tableau1[[#This Row],[Index HC_x000D_
kWh]]-$R$5</f>
        <v>6073</v>
      </c>
      <c r="X407" s="82">
        <f>Tableau1[[#This Row],[Différence HC
Cumul]]/(Tableau1[[#This Row],[Diff jour_x000D_
Cumul]]*24)</f>
        <v>0.38831578498657571</v>
      </c>
      <c r="Y407" s="82">
        <f>Tableau1[[#This Row],[Différence HC
Cumul]]/Tableau1[[#This Row],[Diff jour_x000D_
Cumul]]</f>
        <v>9.319578839677817</v>
      </c>
      <c r="Z407" s="82">
        <f>Tableau1[[#This Row],[Conso HC / jour_x000D_
Cumul]]*365</f>
        <v>3401.6462764824032</v>
      </c>
      <c r="AA407" s="79">
        <f>Tableau1[[#This Row],[Différence HP
Instantané]]+Tableau1[[#This Row],[Différence_x000D_ HC
Instantané]]</f>
        <v>22</v>
      </c>
      <c r="AB407" s="80">
        <f>Tableau1[[#This Row],[Conso HP + HC
Instantané]]/(Tableau1[[#This Row],[Diff jour
Instantané]]*24)</f>
        <v>0.91034482759205393</v>
      </c>
      <c r="AC407" s="80">
        <f>IF(ISERROR(Tableau1[[#This Row],[Date]]-A406),"",Tableau1[[#This Row],[Conso HP + HC
Instantané]]/Tableau1[[#This Row],[Diff jour
Instantané]])</f>
        <v>21.848275862209295</v>
      </c>
      <c r="AD407" s="80">
        <f>Tableau1[[#This Row],[Conso HP + HC / jour_x000D_
Instantané]]*365</f>
        <v>7974.620689706393</v>
      </c>
      <c r="AE407" s="79">
        <f>Tableau1[[#This Row],[Différence HP
Cumul]]+Tableau1[[#This Row],[Différence HC
Cumul]]</f>
        <v>20231</v>
      </c>
      <c r="AF407" s="77">
        <f>(Tableau1[[#This Row],[Conso HP + HC
Cumul]]-AE$6)/Tableau1[[#This Row],[Diff jour_x000D_
Cumul
depuis le 24/01]]</f>
        <v>28.783049619703043</v>
      </c>
      <c r="AG407" s="77">
        <f>(Tableau1[[#This Row],[Conso HP + HC
Cumul]]-AE$59)/Tableau1[[#This Row],[Diff jour_x000D_
Cumul
depuis
précédente facture
16/02/2021]]</f>
        <v>27.162468922278947</v>
      </c>
      <c r="AH407" s="80">
        <f>Tableau1[[#This Row],[Conso HP + HC
Cumul]]/(Tableau1[[#This Row],[Diff jour_x000D_
Cumul]]*24)</f>
        <v>1.2935973400400811</v>
      </c>
      <c r="AI407" s="80">
        <f>Tableau1[[#This Row],[Conso HP + HC
Cumul]]/Tableau1[[#This Row],[Diff jour_x000D_
Cumul]]</f>
        <v>31.046336160961946</v>
      </c>
      <c r="AJ407" s="80">
        <f>Tableau1[[#This Row],[Conso HP + HC / jour_x000D_
Cumul]]*365</f>
        <v>11331.91269875111</v>
      </c>
      <c r="AK407" s="83">
        <f>(Tableau1[[#This Row],[Différence HP
Cumul]]*0.1799)+(Tableau1[[#This Row],[Différence HC
Cumul]]*0.1346)</f>
        <v>3364.45</v>
      </c>
      <c r="AL407" s="83">
        <f>Tableau1[[#This Row],[Montant
Tarif HP/HC]]/Tableau1[[#This Row],[Diff jour_x000D_
Cumul]]</f>
        <v>5.1630589539196494</v>
      </c>
      <c r="AM407" s="83">
        <f>(Tableau1[[#This Row],[Montant
Tarif HP/HC]]-AK$6)/Tableau1[[#This Row],[Diff jour_x000D_
Cumul
depuis le 24/01]]</f>
        <v>4.7917818906193466</v>
      </c>
      <c r="AN407" s="83">
        <f>(Tableau1[[#This Row],[Montant
Tarif HP/HC]]-AK$59)/Tableau1[[#This Row],[Diff jour_x000D_
Cumul
depuis
précédente facture
16/02/2021]]</f>
        <v>4.5216976590075317</v>
      </c>
      <c r="AO407" s="83">
        <f>Tableau1[[#This Row],[Conso HP + HC
Cumul]]*0.1599</f>
        <v>3234.9368999999997</v>
      </c>
      <c r="AP407" s="83">
        <f>Tableau1[[#This Row],[Montant
Tarif normal]]/Tableau1[[#This Row],[Diff jour_x000D_
Cumul]]</f>
        <v>4.9643091521378153</v>
      </c>
      <c r="AQ407" s="83">
        <f>(Tableau1[[#This Row],[Conso HP / an
Cumul]]*0.1799)+(Tableau1[[#This Row],[Conso HC / an_x000D_
Cumul]]*0.1346)</f>
        <v>1884.5165181806719</v>
      </c>
      <c r="AR407" s="83">
        <f>Tableau1[[#This Row],[Conso HP + HC / an_x000D_
Cumul]]*0.1599</f>
        <v>1811.9728405303024</v>
      </c>
      <c r="AS407" s="79">
        <f>MONTH(Tableau1[[#This Row],[Date]])</f>
        <v>9</v>
      </c>
      <c r="AT407" s="79">
        <f>YEAR(Tableau1[[#This Row],[Date]])</f>
        <v>2022</v>
      </c>
    </row>
    <row r="408" spans="1:46" x14ac:dyDescent="0.2">
      <c r="A408" s="74">
        <v>44835.425000000003</v>
      </c>
      <c r="B408" s="75"/>
      <c r="C408" s="76">
        <f>IF(ISERROR(Tableau1[[#This Row],[Date]]-A407),"",Tableau1[[#This Row],[Date]]-A407)</f>
        <v>1.0777777777839219</v>
      </c>
      <c r="D408" s="77">
        <f>IF(ISERROR(Tableau1[[#This Row],[Date]]-A407),"",Tableau1[[#This Row],[Date]]-A407)</f>
        <v>1.0777777777839219</v>
      </c>
      <c r="E408" s="76">
        <f>Tableau1[[#This Row],[Date]]-$A$5</f>
        <v>652.71666666666715</v>
      </c>
      <c r="F408" s="77">
        <f>Tableau1[[#This Row],[Date]]-$A$5</f>
        <v>652.71666666666715</v>
      </c>
      <c r="G408" s="77">
        <f>Tableau1[[#This Row],[Diff jour_x000D_
Cumul]]-F$6</f>
        <v>614.63333333333867</v>
      </c>
      <c r="H408" s="77">
        <f>Tableau1[[#This Row],[Diff jour_x000D_
Cumul]]-F$59</f>
        <v>592.11388888888905</v>
      </c>
      <c r="I408" s="78">
        <v>193932</v>
      </c>
      <c r="J408" s="79">
        <f>IF(ISERROR(Tableau1[[#This Row],[Index HP
kWh]]-I407),"",Tableau1[[#This Row],[Index HP
kWh]]-I407)</f>
        <v>15</v>
      </c>
      <c r="K408" s="77">
        <f>IF(ISERROR(Tableau1[[#This Row],[Différence HP
Instantané]]/(Tableau1[[#This Row],[Diff jour
Instantané]]*24)),"",Tableau1[[#This Row],[Différence HP
Instantané]]/(Tableau1[[#This Row],[Diff jour
Instantané]]*24))</f>
        <v>0.57989690721318898</v>
      </c>
      <c r="L408" s="77">
        <f>Tableau1[[#This Row],[Différence HP
Instantané]]/Tableau1[[#This Row],[Diff jour
Instantané]]</f>
        <v>13.917525773116536</v>
      </c>
      <c r="M408" s="77">
        <f>Tableau1[[#This Row],[Conso HP / jour
Instantané]]*365</f>
        <v>5079.8969071875354</v>
      </c>
      <c r="N408" s="79">
        <f>Tableau1[[#This Row],[Index HP
kWh]]-$I$5</f>
        <v>14173</v>
      </c>
      <c r="O408" s="80">
        <f>Tableau1[[#This Row],[Différence HP
Cumul]]/(Tableau1[[#This Row],[Diff jour_x000D_
Cumul]]*24)</f>
        <v>0.90474427393202705</v>
      </c>
      <c r="P408" s="80">
        <f>Tableau1[[#This Row],[Différence HP
Cumul]]/Tableau1[[#This Row],[Diff jour_x000D_
Cumul]]</f>
        <v>21.713862574368648</v>
      </c>
      <c r="Q408" s="80">
        <f>Tableau1[[#This Row],[Conso HP / jour
Cumul]]*365</f>
        <v>7925.5598396445566</v>
      </c>
      <c r="R408" s="78">
        <v>125507</v>
      </c>
      <c r="S408" s="79">
        <f>Tableau1[[#This Row],[Index HC_x000D_
kWh]]-R407</f>
        <v>2</v>
      </c>
      <c r="T408" s="81">
        <f>Tableau1[[#This Row],[Différence_x000D_ HC
Instantané]]/(Tableau1[[#This Row],[Diff jour
Instantané]]*24)</f>
        <v>7.7319587628425196E-2</v>
      </c>
      <c r="U408" s="81">
        <f>Tableau1[[#This Row],[Différence_x000D_ HC
Instantané]]/Tableau1[[#This Row],[Diff jour
Instantané]]</f>
        <v>1.8556701030822047</v>
      </c>
      <c r="V408" s="81">
        <f>Tableau1[[#This Row],[Conso HC / jour_x000D_
Instantané]]*365</f>
        <v>677.31958762500471</v>
      </c>
      <c r="W408" s="79">
        <f>Tableau1[[#This Row],[Index HC_x000D_
kWh]]-$R$5</f>
        <v>6075</v>
      </c>
      <c r="X408" s="82">
        <f>Tableau1[[#This Row],[Différence HC
Cumul]]/(Tableau1[[#This Row],[Diff jour_x000D_
Cumul]]*24)</f>
        <v>0.38780226233945275</v>
      </c>
      <c r="Y408" s="82">
        <f>Tableau1[[#This Row],[Différence HC
Cumul]]/Tableau1[[#This Row],[Diff jour_x000D_
Cumul]]</f>
        <v>9.3072542961468656</v>
      </c>
      <c r="Z408" s="82">
        <f>Tableau1[[#This Row],[Conso HC / jour_x000D_
Cumul]]*365</f>
        <v>3397.147818093606</v>
      </c>
      <c r="AA408" s="79">
        <f>Tableau1[[#This Row],[Différence HP
Instantané]]+Tableau1[[#This Row],[Différence_x000D_ HC
Instantané]]</f>
        <v>17</v>
      </c>
      <c r="AB408" s="80">
        <f>Tableau1[[#This Row],[Conso HP + HC
Instantané]]/(Tableau1[[#This Row],[Diff jour
Instantané]]*24)</f>
        <v>0.65721649484161415</v>
      </c>
      <c r="AC408" s="80">
        <f>IF(ISERROR(Tableau1[[#This Row],[Date]]-A407),"",Tableau1[[#This Row],[Conso HP + HC
Instantané]]/Tableau1[[#This Row],[Diff jour
Instantané]])</f>
        <v>15.773195876198741</v>
      </c>
      <c r="AD408" s="80">
        <f>Tableau1[[#This Row],[Conso HP + HC / jour_x000D_
Instantané]]*365</f>
        <v>5757.216494812541</v>
      </c>
      <c r="AE408" s="79">
        <f>Tableau1[[#This Row],[Différence HP
Cumul]]+Tableau1[[#This Row],[Différence HC
Cumul]]</f>
        <v>20248</v>
      </c>
      <c r="AF408" s="77">
        <f>(Tableau1[[#This Row],[Conso HP + HC
Cumul]]-AE$6)/Tableau1[[#This Row],[Diff jour_x000D_
Cumul
depuis le 24/01]]</f>
        <v>28.760236455338976</v>
      </c>
      <c r="AG408" s="77">
        <f>(Tableau1[[#This Row],[Conso HP + HC
Cumul]]-AE$59)/Tableau1[[#This Row],[Diff jour_x000D_
Cumul
depuis
précédente facture
16/02/2021]]</f>
        <v>27.141737935175751</v>
      </c>
      <c r="AH408" s="80">
        <f>Tableau1[[#This Row],[Conso HP + HC
Cumul]]/(Tableau1[[#This Row],[Diff jour_x000D_
Cumul]]*24)</f>
        <v>1.2925465362714799</v>
      </c>
      <c r="AI408" s="80">
        <f>Tableau1[[#This Row],[Conso HP + HC
Cumul]]/Tableau1[[#This Row],[Diff jour_x000D_
Cumul]]</f>
        <v>31.021116870515513</v>
      </c>
      <c r="AJ408" s="80">
        <f>Tableau1[[#This Row],[Conso HP + HC / jour_x000D_
Cumul]]*365</f>
        <v>11322.707657738163</v>
      </c>
      <c r="AK408" s="83">
        <f>(Tableau1[[#This Row],[Différence HP
Cumul]]*0.1799)+(Tableau1[[#This Row],[Différence HC
Cumul]]*0.1346)</f>
        <v>3367.4177</v>
      </c>
      <c r="AL408" s="83">
        <f>Tableau1[[#This Row],[Montant
Tarif HP/HC]]/Tableau1[[#This Row],[Diff jour_x000D_
Cumul]]</f>
        <v>5.1590803053902876</v>
      </c>
      <c r="AM408" s="83">
        <f>(Tableau1[[#This Row],[Montant
Tarif HP/HC]]-AK$6)/Tableau1[[#This Row],[Diff jour_x000D_
Cumul
depuis le 24/01]]</f>
        <v>4.7882077661477975</v>
      </c>
      <c r="AN408" s="83">
        <f>(Tableau1[[#This Row],[Montant
Tarif HP/HC]]-AK$59)/Tableau1[[#This Row],[Diff jour_x000D_
Cumul
depuis
précédente facture
16/02/2021]]</f>
        <v>4.5184792152410607</v>
      </c>
      <c r="AO408" s="83">
        <f>Tableau1[[#This Row],[Conso HP + HC
Cumul]]*0.1599</f>
        <v>3237.6551999999997</v>
      </c>
      <c r="AP408" s="83">
        <f>Tableau1[[#This Row],[Montant
Tarif normal]]/Tableau1[[#This Row],[Diff jour_x000D_
Cumul]]</f>
        <v>4.9602765875954304</v>
      </c>
      <c r="AQ408" s="83">
        <f>(Tableau1[[#This Row],[Conso HP / an
Cumul]]*0.1799)+(Tableau1[[#This Row],[Conso HC / an_x000D_
Cumul]]*0.1346)</f>
        <v>1883.0643114674551</v>
      </c>
      <c r="AR408" s="83">
        <f>Tableau1[[#This Row],[Conso HP + HC / an_x000D_
Cumul]]*0.1599</f>
        <v>1810.5009544723321</v>
      </c>
      <c r="AS408" s="79">
        <f>MONTH(Tableau1[[#This Row],[Date]])</f>
        <v>10</v>
      </c>
      <c r="AT408" s="79">
        <f>YEAR(Tableau1[[#This Row],[Date]])</f>
        <v>2022</v>
      </c>
    </row>
    <row r="409" spans="1:46" x14ac:dyDescent="0.2">
      <c r="A409" s="74">
        <v>44837.322222222225</v>
      </c>
      <c r="B409" s="75"/>
      <c r="C409" s="76">
        <f>IF(ISERROR(Tableau1[[#This Row],[Date]]-A408),"",Tableau1[[#This Row],[Date]]-A408)</f>
        <v>1.8972222222218988</v>
      </c>
      <c r="D409" s="77">
        <f>IF(ISERROR(Tableau1[[#This Row],[Date]]-A408),"",Tableau1[[#This Row],[Date]]-A408)</f>
        <v>1.8972222222218988</v>
      </c>
      <c r="E409" s="76">
        <f>Tableau1[[#This Row],[Date]]-$A$5</f>
        <v>654.61388888888905</v>
      </c>
      <c r="F409" s="77">
        <f>Tableau1[[#This Row],[Date]]-$A$5</f>
        <v>654.61388888888905</v>
      </c>
      <c r="G409" s="77">
        <f>Tableau1[[#This Row],[Diff jour_x000D_
Cumul]]-F$6</f>
        <v>616.53055555556057</v>
      </c>
      <c r="H409" s="77">
        <f>Tableau1[[#This Row],[Diff jour_x000D_
Cumul]]-F$59</f>
        <v>594.01111111111095</v>
      </c>
      <c r="I409" s="78">
        <v>193945</v>
      </c>
      <c r="J409" s="79">
        <f>IF(ISERROR(Tableau1[[#This Row],[Index HP
kWh]]-I408),"",Tableau1[[#This Row],[Index HP
kWh]]-I408)</f>
        <v>13</v>
      </c>
      <c r="K409" s="77">
        <f>IF(ISERROR(Tableau1[[#This Row],[Différence HP
Instantané]]/(Tableau1[[#This Row],[Diff jour
Instantané]]*24)),"",Tableau1[[#This Row],[Différence HP
Instantané]]/(Tableau1[[#This Row],[Diff jour
Instantané]]*24))</f>
        <v>0.28550512445100035</v>
      </c>
      <c r="L409" s="77">
        <f>Tableau1[[#This Row],[Différence HP
Instantané]]/Tableau1[[#This Row],[Diff jour
Instantané]]</f>
        <v>6.8521229868240088</v>
      </c>
      <c r="M409" s="77">
        <f>Tableau1[[#This Row],[Conso HP / jour
Instantané]]*365</f>
        <v>2501.024890190763</v>
      </c>
      <c r="N409" s="79">
        <f>Tableau1[[#This Row],[Index HP
kWh]]-$I$5</f>
        <v>14186</v>
      </c>
      <c r="O409" s="80">
        <f>Tableau1[[#This Row],[Différence HP
Cumul]]/(Tableau1[[#This Row],[Diff jour_x000D_
Cumul]]*24)</f>
        <v>0.90294957587381852</v>
      </c>
      <c r="P409" s="80">
        <f>Tableau1[[#This Row],[Différence HP
Cumul]]/Tableau1[[#This Row],[Diff jour_x000D_
Cumul]]</f>
        <v>21.670789820971645</v>
      </c>
      <c r="Q409" s="80">
        <f>Tableau1[[#This Row],[Conso HP / jour
Cumul]]*365</f>
        <v>7909.8382846546501</v>
      </c>
      <c r="R409" s="78">
        <v>125513</v>
      </c>
      <c r="S409" s="79">
        <f>Tableau1[[#This Row],[Index HC_x000D_
kWh]]-R408</f>
        <v>6</v>
      </c>
      <c r="T409" s="81">
        <f>Tableau1[[#This Row],[Différence_x000D_ HC
Instantané]]/(Tableau1[[#This Row],[Diff jour
Instantané]]*24)</f>
        <v>0.1317715959004617</v>
      </c>
      <c r="U409" s="81">
        <f>Tableau1[[#This Row],[Différence_x000D_ HC
Instantané]]/Tableau1[[#This Row],[Diff jour
Instantané]]</f>
        <v>3.1625183016110809</v>
      </c>
      <c r="V409" s="81">
        <f>Tableau1[[#This Row],[Conso HC / jour_x000D_
Instantané]]*365</f>
        <v>1154.3191800880445</v>
      </c>
      <c r="W409" s="79">
        <f>Tableau1[[#This Row],[Index HC_x000D_
kWh]]-$R$5</f>
        <v>6081</v>
      </c>
      <c r="X409" s="82">
        <f>Tableau1[[#This Row],[Différence HC
Cumul]]/(Tableau1[[#This Row],[Diff jour_x000D_
Cumul]]*24)</f>
        <v>0.38706022634207604</v>
      </c>
      <c r="Y409" s="82">
        <f>Tableau1[[#This Row],[Différence HC
Cumul]]/Tableau1[[#This Row],[Diff jour_x000D_
Cumul]]</f>
        <v>9.2894454322098241</v>
      </c>
      <c r="Z409" s="82">
        <f>Tableau1[[#This Row],[Conso HC / jour_x000D_
Cumul]]*365</f>
        <v>3390.647582756586</v>
      </c>
      <c r="AA409" s="79">
        <f>Tableau1[[#This Row],[Différence HP
Instantané]]+Tableau1[[#This Row],[Différence_x000D_ HC
Instantané]]</f>
        <v>19</v>
      </c>
      <c r="AB409" s="80">
        <f>Tableau1[[#This Row],[Conso HP + HC
Instantané]]/(Tableau1[[#This Row],[Diff jour
Instantané]]*24)</f>
        <v>0.41727672035146207</v>
      </c>
      <c r="AC409" s="80">
        <f>IF(ISERROR(Tableau1[[#This Row],[Date]]-A408),"",Tableau1[[#This Row],[Conso HP + HC
Instantané]]/Tableau1[[#This Row],[Diff jour
Instantané]])</f>
        <v>10.014641288435088</v>
      </c>
      <c r="AD409" s="80">
        <f>Tableau1[[#This Row],[Conso HP + HC / jour_x000D_
Instantané]]*365</f>
        <v>3655.3440702788071</v>
      </c>
      <c r="AE409" s="79">
        <f>Tableau1[[#This Row],[Différence HP
Cumul]]+Tableau1[[#This Row],[Différence HC
Cumul]]</f>
        <v>20267</v>
      </c>
      <c r="AF409" s="77">
        <f>(Tableau1[[#This Row],[Conso HP + HC
Cumul]]-AE$6)/Tableau1[[#This Row],[Diff jour_x000D_
Cumul
depuis le 24/01]]</f>
        <v>28.702551464061653</v>
      </c>
      <c r="AG409" s="77">
        <f>(Tableau1[[#This Row],[Conso HP + HC
Cumul]]-AE$59)/Tableau1[[#This Row],[Diff jour_x000D_
Cumul
depuis
précédente facture
16/02/2021]]</f>
        <v>27.087035408989738</v>
      </c>
      <c r="AH409" s="80">
        <f>Tableau1[[#This Row],[Conso HP + HC
Cumul]]/(Tableau1[[#This Row],[Diff jour_x000D_
Cumul]]*24)</f>
        <v>1.2900098022158946</v>
      </c>
      <c r="AI409" s="80">
        <f>Tableau1[[#This Row],[Conso HP + HC
Cumul]]/Tableau1[[#This Row],[Diff jour_x000D_
Cumul]]</f>
        <v>30.96023525318147</v>
      </c>
      <c r="AJ409" s="80">
        <f>Tableau1[[#This Row],[Conso HP + HC / jour_x000D_
Cumul]]*365</f>
        <v>11300.485867411237</v>
      </c>
      <c r="AK409" s="83">
        <f>(Tableau1[[#This Row],[Différence HP
Cumul]]*0.1799)+(Tableau1[[#This Row],[Différence HC
Cumul]]*0.1346)</f>
        <v>3370.5640000000003</v>
      </c>
      <c r="AL409" s="83">
        <f>Tableau1[[#This Row],[Montant
Tarif HP/HC]]/Tableau1[[#This Row],[Diff jour_x000D_
Cumul]]</f>
        <v>5.1489344439682414</v>
      </c>
      <c r="AM409" s="83">
        <f>(Tableau1[[#This Row],[Montant
Tarif HP/HC]]-AK$6)/Tableau1[[#This Row],[Diff jour_x000D_
Cumul
depuis le 24/01]]</f>
        <v>4.7785764605700871</v>
      </c>
      <c r="AN409" s="83">
        <f>(Tableau1[[#This Row],[Montant
Tarif HP/HC]]-AK$59)/Tableau1[[#This Row],[Diff jour_x000D_
Cumul
depuis
précédente facture
16/02/2021]]</f>
        <v>4.5093442696545161</v>
      </c>
      <c r="AO409" s="83">
        <f>Tableau1[[#This Row],[Conso HP + HC
Cumul]]*0.1599</f>
        <v>3240.6932999999999</v>
      </c>
      <c r="AP409" s="83">
        <f>Tableau1[[#This Row],[Montant
Tarif normal]]/Tableau1[[#This Row],[Diff jour_x000D_
Cumul]]</f>
        <v>4.9505416169837169</v>
      </c>
      <c r="AQ409" s="83">
        <f>(Tableau1[[#This Row],[Conso HP / an
Cumul]]*0.1799)+(Tableau1[[#This Row],[Conso HC / an_x000D_
Cumul]]*0.1346)</f>
        <v>1879.361072048408</v>
      </c>
      <c r="AR409" s="83">
        <f>Tableau1[[#This Row],[Conso HP + HC / an_x000D_
Cumul]]*0.1599</f>
        <v>1806.9476901990565</v>
      </c>
      <c r="AS409" s="79">
        <f>MONTH(Tableau1[[#This Row],[Date]])</f>
        <v>10</v>
      </c>
      <c r="AT409" s="79">
        <f>YEAR(Tableau1[[#This Row],[Date]])</f>
        <v>2022</v>
      </c>
    </row>
    <row r="410" spans="1:46" x14ac:dyDescent="0.2">
      <c r="A410" s="74">
        <v>44838.314583333333</v>
      </c>
      <c r="B410" s="75"/>
      <c r="C410" s="76">
        <f>IF(ISERROR(Tableau1[[#This Row],[Date]]-A409),"",Tableau1[[#This Row],[Date]]-A409)</f>
        <v>0.99236111110803904</v>
      </c>
      <c r="D410" s="77">
        <f>IF(ISERROR(Tableau1[[#This Row],[Date]]-A409),"",Tableau1[[#This Row],[Date]]-A409)</f>
        <v>0.99236111110803904</v>
      </c>
      <c r="E410" s="76">
        <f>Tableau1[[#This Row],[Date]]-$A$5</f>
        <v>655.60624999999709</v>
      </c>
      <c r="F410" s="77">
        <f>Tableau1[[#This Row],[Date]]-$A$5</f>
        <v>655.60624999999709</v>
      </c>
      <c r="G410" s="77">
        <f>Tableau1[[#This Row],[Diff jour_x000D_
Cumul]]-F$6</f>
        <v>617.52291666666861</v>
      </c>
      <c r="H410" s="77">
        <f>Tableau1[[#This Row],[Diff jour_x000D_
Cumul]]-F$59</f>
        <v>595.00347222221899</v>
      </c>
      <c r="I410" s="78">
        <v>193952</v>
      </c>
      <c r="J410" s="79">
        <f>IF(ISERROR(Tableau1[[#This Row],[Index HP
kWh]]-I409),"",Tableau1[[#This Row],[Index HP
kWh]]-I409)</f>
        <v>7</v>
      </c>
      <c r="K410" s="77">
        <f>IF(ISERROR(Tableau1[[#This Row],[Différence HP
Instantané]]/(Tableau1[[#This Row],[Diff jour
Instantané]]*24)),"",Tableau1[[#This Row],[Différence HP
Instantané]]/(Tableau1[[#This Row],[Diff jour
Instantané]]*24))</f>
        <v>0.29391182645297426</v>
      </c>
      <c r="L410" s="77">
        <f>Tableau1[[#This Row],[Différence HP
Instantané]]/Tableau1[[#This Row],[Diff jour
Instantané]]</f>
        <v>7.0538838348713817</v>
      </c>
      <c r="M410" s="77">
        <f>Tableau1[[#This Row],[Conso HP / jour
Instantané]]*365</f>
        <v>2574.6675997280545</v>
      </c>
      <c r="N410" s="79">
        <f>Tableau1[[#This Row],[Index HP
kWh]]-$I$5</f>
        <v>14193</v>
      </c>
      <c r="O410" s="80">
        <f>Tableau1[[#This Row],[Différence HP
Cumul]]/(Tableau1[[#This Row],[Diff jour_x000D_
Cumul]]*24)</f>
        <v>0.90202770336616322</v>
      </c>
      <c r="P410" s="80">
        <f>Tableau1[[#This Row],[Différence HP
Cumul]]/Tableau1[[#This Row],[Diff jour_x000D_
Cumul]]</f>
        <v>21.648664880787916</v>
      </c>
      <c r="Q410" s="80">
        <f>Tableau1[[#This Row],[Conso HP / jour
Cumul]]*365</f>
        <v>7901.7626814875894</v>
      </c>
      <c r="R410" s="78">
        <v>125516</v>
      </c>
      <c r="S410" s="79">
        <f>Tableau1[[#This Row],[Index HC_x000D_
kWh]]-R409</f>
        <v>3</v>
      </c>
      <c r="T410" s="81">
        <f>Tableau1[[#This Row],[Différence_x000D_ HC
Instantané]]/(Tableau1[[#This Row],[Diff jour
Instantané]]*24)</f>
        <v>0.12596221133698896</v>
      </c>
      <c r="U410" s="81">
        <f>Tableau1[[#This Row],[Différence_x000D_ HC
Instantané]]/Tableau1[[#This Row],[Diff jour
Instantané]]</f>
        <v>3.0230930720877351</v>
      </c>
      <c r="V410" s="81">
        <f>Tableau1[[#This Row],[Conso HC / jour_x000D_
Instantané]]*365</f>
        <v>1103.4289713120234</v>
      </c>
      <c r="W410" s="79">
        <f>Tableau1[[#This Row],[Index HC_x000D_
kWh]]-$R$5</f>
        <v>6084</v>
      </c>
      <c r="X410" s="82">
        <f>Tableau1[[#This Row],[Différence HC
Cumul]]/(Tableau1[[#This Row],[Diff jour_x000D_
Cumul]]*24)</f>
        <v>0.38666501425207755</v>
      </c>
      <c r="Y410" s="82">
        <f>Tableau1[[#This Row],[Différence HC
Cumul]]/Tableau1[[#This Row],[Diff jour_x000D_
Cumul]]</f>
        <v>9.2799603420498613</v>
      </c>
      <c r="Z410" s="82">
        <f>Tableau1[[#This Row],[Conso HC / jour_x000D_
Cumul]]*365</f>
        <v>3387.1855248481993</v>
      </c>
      <c r="AA410" s="79">
        <f>Tableau1[[#This Row],[Différence HP
Instantané]]+Tableau1[[#This Row],[Différence_x000D_ HC
Instantané]]</f>
        <v>10</v>
      </c>
      <c r="AB410" s="80">
        <f>Tableau1[[#This Row],[Conso HP + HC
Instantané]]/(Tableau1[[#This Row],[Diff jour
Instantané]]*24)</f>
        <v>0.41987403778996324</v>
      </c>
      <c r="AC410" s="80">
        <f>IF(ISERROR(Tableau1[[#This Row],[Date]]-A409),"",Tableau1[[#This Row],[Conso HP + HC
Instantané]]/Tableau1[[#This Row],[Diff jour
Instantané]])</f>
        <v>10.076976906959118</v>
      </c>
      <c r="AD410" s="80">
        <f>Tableau1[[#This Row],[Conso HP + HC / jour_x000D_
Instantané]]*365</f>
        <v>3678.0965710400778</v>
      </c>
      <c r="AE410" s="79">
        <f>Tableau1[[#This Row],[Différence HP
Cumul]]+Tableau1[[#This Row],[Différence HC
Cumul]]</f>
        <v>20277</v>
      </c>
      <c r="AF410" s="77">
        <f>(Tableau1[[#This Row],[Conso HP + HC
Cumul]]-AE$6)/Tableau1[[#This Row],[Diff jour_x000D_
Cumul
depuis le 24/01]]</f>
        <v>28.672620111939075</v>
      </c>
      <c r="AG410" s="77">
        <f>(Tableau1[[#This Row],[Conso HP + HC
Cumul]]-AE$59)/Tableau1[[#This Row],[Diff jour_x000D_
Cumul
depuis
précédente facture
16/02/2021]]</f>
        <v>27.058665624033619</v>
      </c>
      <c r="AH410" s="80">
        <f>Tableau1[[#This Row],[Conso HP + HC
Cumul]]/(Tableau1[[#This Row],[Diff jour_x000D_
Cumul]]*24)</f>
        <v>1.2886927176182408</v>
      </c>
      <c r="AI410" s="80">
        <f>Tableau1[[#This Row],[Conso HP + HC
Cumul]]/Tableau1[[#This Row],[Diff jour_x000D_
Cumul]]</f>
        <v>30.928625222837777</v>
      </c>
      <c r="AJ410" s="80">
        <f>Tableau1[[#This Row],[Conso HP + HC / jour_x000D_
Cumul]]*365</f>
        <v>11288.948206335788</v>
      </c>
      <c r="AK410" s="83">
        <f>(Tableau1[[#This Row],[Différence HP
Cumul]]*0.1799)+(Tableau1[[#This Row],[Différence HC
Cumul]]*0.1346)</f>
        <v>3372.2271000000001</v>
      </c>
      <c r="AL410" s="83">
        <f>Tableau1[[#This Row],[Montant
Tarif HP/HC]]/Tableau1[[#This Row],[Diff jour_x000D_
Cumul]]</f>
        <v>5.1436774740936579</v>
      </c>
      <c r="AM410" s="83">
        <f>(Tableau1[[#This Row],[Montant
Tarif HP/HC]]-AK$6)/Tableau1[[#This Row],[Diff jour_x000D_
Cumul
depuis le 24/01]]</f>
        <v>4.7735904537955598</v>
      </c>
      <c r="AN410" s="83">
        <f>(Tableau1[[#This Row],[Montant
Tarif HP/HC]]-AK$59)/Tableau1[[#This Row],[Diff jour_x000D_
Cumul
depuis
précédente facture
16/02/2021]]</f>
        <v>4.5046185864928674</v>
      </c>
      <c r="AO410" s="83">
        <f>Tableau1[[#This Row],[Conso HP + HC
Cumul]]*0.1599</f>
        <v>3242.2922999999996</v>
      </c>
      <c r="AP410" s="83">
        <f>Tableau1[[#This Row],[Montant
Tarif normal]]/Tableau1[[#This Row],[Diff jour_x000D_
Cumul]]</f>
        <v>4.9454871731317604</v>
      </c>
      <c r="AQ410" s="83">
        <f>(Tableau1[[#This Row],[Conso HP / an
Cumul]]*0.1799)+(Tableau1[[#This Row],[Conso HC / an_x000D_
Cumul]]*0.1346)</f>
        <v>1877.4422780441851</v>
      </c>
      <c r="AR410" s="83">
        <f>Tableau1[[#This Row],[Conso HP + HC / an_x000D_
Cumul]]*0.1599</f>
        <v>1805.1028181930924</v>
      </c>
      <c r="AS410" s="79">
        <f>MONTH(Tableau1[[#This Row],[Date]])</f>
        <v>10</v>
      </c>
      <c r="AT410" s="79">
        <f>YEAR(Tableau1[[#This Row],[Date]])</f>
        <v>2022</v>
      </c>
    </row>
    <row r="411" spans="1:46" x14ac:dyDescent="0.2">
      <c r="A411" s="74">
        <v>44839.347222222219</v>
      </c>
      <c r="B411" s="75"/>
      <c r="C411" s="76">
        <f>IF(ISERROR(Tableau1[[#This Row],[Date]]-A410),"",Tableau1[[#This Row],[Date]]-A410)</f>
        <v>1.0326388888861402</v>
      </c>
      <c r="D411" s="77">
        <f>IF(ISERROR(Tableau1[[#This Row],[Date]]-A410),"",Tableau1[[#This Row],[Date]]-A410)</f>
        <v>1.0326388888861402</v>
      </c>
      <c r="E411" s="76">
        <f>Tableau1[[#This Row],[Date]]-$A$5</f>
        <v>656.63888888888323</v>
      </c>
      <c r="F411" s="77">
        <f>Tableau1[[#This Row],[Date]]-$A$5</f>
        <v>656.63888888888323</v>
      </c>
      <c r="G411" s="77">
        <f>Tableau1[[#This Row],[Diff jour_x000D_
Cumul]]-F$6</f>
        <v>618.55555555555475</v>
      </c>
      <c r="H411" s="77">
        <f>Tableau1[[#This Row],[Diff jour_x000D_
Cumul]]-F$59</f>
        <v>596.03611111110513</v>
      </c>
      <c r="I411" s="78">
        <v>193958</v>
      </c>
      <c r="J411" s="79">
        <f>IF(ISERROR(Tableau1[[#This Row],[Index HP
kWh]]-I410),"",Tableau1[[#This Row],[Index HP
kWh]]-I410)</f>
        <v>6</v>
      </c>
      <c r="K411" s="77">
        <f>IF(ISERROR(Tableau1[[#This Row],[Différence HP
Instantané]]/(Tableau1[[#This Row],[Diff jour
Instantané]]*24)),"",Tableau1[[#This Row],[Différence HP
Instantané]]/(Tableau1[[#This Row],[Diff jour
Instantané]]*24))</f>
        <v>0.24209818426426244</v>
      </c>
      <c r="L411" s="77">
        <f>Tableau1[[#This Row],[Différence HP
Instantané]]/Tableau1[[#This Row],[Diff jour
Instantané]]</f>
        <v>5.8103564223422985</v>
      </c>
      <c r="M411" s="77">
        <f>Tableau1[[#This Row],[Conso HP / jour
Instantané]]*365</f>
        <v>2120.780094154939</v>
      </c>
      <c r="N411" s="79">
        <f>Tableau1[[#This Row],[Index HP
kWh]]-$I$5</f>
        <v>14199</v>
      </c>
      <c r="O411" s="80">
        <f>Tableau1[[#This Row],[Différence HP
Cumul]]/(Tableau1[[#This Row],[Diff jour_x000D_
Cumul]]*24)</f>
        <v>0.90098988958924586</v>
      </c>
      <c r="P411" s="80">
        <f>Tableau1[[#This Row],[Différence HP
Cumul]]/Tableau1[[#This Row],[Diff jour_x000D_
Cumul]]</f>
        <v>21.623757350141901</v>
      </c>
      <c r="Q411" s="80">
        <f>Tableau1[[#This Row],[Conso HP / jour
Cumul]]*365</f>
        <v>7892.6714328017933</v>
      </c>
      <c r="R411" s="78">
        <v>125519</v>
      </c>
      <c r="S411" s="79">
        <f>Tableau1[[#This Row],[Index HC_x000D_
kWh]]-R410</f>
        <v>3</v>
      </c>
      <c r="T411" s="81">
        <f>Tableau1[[#This Row],[Différence_x000D_ HC
Instantané]]/(Tableau1[[#This Row],[Diff jour
Instantané]]*24)</f>
        <v>0.12104909213213122</v>
      </c>
      <c r="U411" s="81">
        <f>Tableau1[[#This Row],[Différence_x000D_ HC
Instantané]]/Tableau1[[#This Row],[Diff jour
Instantané]]</f>
        <v>2.9051782111711493</v>
      </c>
      <c r="V411" s="81">
        <f>Tableau1[[#This Row],[Conso HC / jour_x000D_
Instantané]]*365</f>
        <v>1060.3900470774695</v>
      </c>
      <c r="W411" s="79">
        <f>Tableau1[[#This Row],[Index HC_x000D_
kWh]]-$R$5</f>
        <v>6087</v>
      </c>
      <c r="X411" s="82">
        <f>Tableau1[[#This Row],[Différence HC
Cumul]]/(Tableau1[[#This Row],[Diff jour_x000D_
Cumul]]*24)</f>
        <v>0.38624730318541728</v>
      </c>
      <c r="Y411" s="82">
        <f>Tableau1[[#This Row],[Différence HC
Cumul]]/Tableau1[[#This Row],[Diff jour_x000D_
Cumul]]</f>
        <v>9.2699352764500151</v>
      </c>
      <c r="Z411" s="82">
        <f>Tableau1[[#This Row],[Conso HC / jour_x000D_
Cumul]]*365</f>
        <v>3383.5263759042555</v>
      </c>
      <c r="AA411" s="79">
        <f>Tableau1[[#This Row],[Différence HP
Instantané]]+Tableau1[[#This Row],[Différence_x000D_ HC
Instantané]]</f>
        <v>9</v>
      </c>
      <c r="AB411" s="80">
        <f>Tableau1[[#This Row],[Conso HP + HC
Instantané]]/(Tableau1[[#This Row],[Diff jour
Instantané]]*24)</f>
        <v>0.36314727639639366</v>
      </c>
      <c r="AC411" s="80">
        <f>IF(ISERROR(Tableau1[[#This Row],[Date]]-A410),"",Tableau1[[#This Row],[Conso HP + HC
Instantané]]/Tableau1[[#This Row],[Diff jour
Instantané]])</f>
        <v>8.7155346335134478</v>
      </c>
      <c r="AD411" s="80">
        <f>Tableau1[[#This Row],[Conso HP + HC / jour_x000D_
Instantané]]*365</f>
        <v>3181.1701412324082</v>
      </c>
      <c r="AE411" s="79">
        <f>Tableau1[[#This Row],[Différence HP
Cumul]]+Tableau1[[#This Row],[Différence HC
Cumul]]</f>
        <v>20286</v>
      </c>
      <c r="AF411" s="77">
        <f>(Tableau1[[#This Row],[Conso HP + HC
Cumul]]-AE$6)/Tableau1[[#This Row],[Diff jour_x000D_
Cumul
depuis le 24/01]]</f>
        <v>28.639303035746401</v>
      </c>
      <c r="AG411" s="77">
        <f>(Tableau1[[#This Row],[Conso HP + HC
Cumul]]-AE$59)/Tableau1[[#This Row],[Diff jour_x000D_
Cumul
depuis
précédente facture
16/02/2021]]</f>
        <v>27.026885954896741</v>
      </c>
      <c r="AH411" s="80">
        <f>Tableau1[[#This Row],[Conso HP + HC
Cumul]]/(Tableau1[[#This Row],[Diff jour_x000D_
Cumul]]*24)</f>
        <v>1.2872371927746631</v>
      </c>
      <c r="AI411" s="80">
        <f>Tableau1[[#This Row],[Conso HP + HC
Cumul]]/Tableau1[[#This Row],[Diff jour_x000D_
Cumul]]</f>
        <v>30.893692626591914</v>
      </c>
      <c r="AJ411" s="80">
        <f>Tableau1[[#This Row],[Conso HP + HC / jour_x000D_
Cumul]]*365</f>
        <v>11276.197808706049</v>
      </c>
      <c r="AK411" s="83">
        <f>(Tableau1[[#This Row],[Différence HP
Cumul]]*0.1799)+(Tableau1[[#This Row],[Différence HC
Cumul]]*0.1346)</f>
        <v>3373.7102999999997</v>
      </c>
      <c r="AL411" s="83">
        <f>Tableau1[[#This Row],[Montant
Tarif HP/HC]]/Tableau1[[#This Row],[Diff jour_x000D_
Cumul]]</f>
        <v>5.1378472355006997</v>
      </c>
      <c r="AM411" s="83">
        <f>(Tableau1[[#This Row],[Montant
Tarif HP/HC]]-AK$6)/Tableau1[[#This Row],[Diff jour_x000D_
Cumul
depuis le 24/01]]</f>
        <v>4.7680190946649956</v>
      </c>
      <c r="AN411" s="83">
        <f>(Tableau1[[#This Row],[Montant
Tarif HP/HC]]-AK$59)/Tableau1[[#This Row],[Diff jour_x000D_
Cumul
depuis
précédente facture
16/02/2021]]</f>
        <v>4.4993027268109671</v>
      </c>
      <c r="AO411" s="83">
        <f>Tableau1[[#This Row],[Conso HP + HC
Cumul]]*0.1599</f>
        <v>3243.7313999999997</v>
      </c>
      <c r="AP411" s="83">
        <f>Tableau1[[#This Row],[Montant
Tarif normal]]/Tableau1[[#This Row],[Diff jour_x000D_
Cumul]]</f>
        <v>4.9399014509920471</v>
      </c>
      <c r="AQ411" s="83">
        <f>(Tableau1[[#This Row],[Conso HP / an
Cumul]]*0.1799)+(Tableau1[[#This Row],[Conso HC / an_x000D_
Cumul]]*0.1346)</f>
        <v>1875.3142409577554</v>
      </c>
      <c r="AR411" s="83">
        <f>Tableau1[[#This Row],[Conso HP + HC / an_x000D_
Cumul]]*0.1599</f>
        <v>1803.0640296120971</v>
      </c>
      <c r="AS411" s="79">
        <f>MONTH(Tableau1[[#This Row],[Date]])</f>
        <v>10</v>
      </c>
      <c r="AT411" s="79">
        <f>YEAR(Tableau1[[#This Row],[Date]])</f>
        <v>2022</v>
      </c>
    </row>
    <row r="412" spans="1:46" x14ac:dyDescent="0.2">
      <c r="A412" s="74">
        <v>44840.314583333333</v>
      </c>
      <c r="B412" s="75"/>
      <c r="C412" s="76">
        <f>IF(ISERROR(Tableau1[[#This Row],[Date]]-A411),"",Tableau1[[#This Row],[Date]]-A411)</f>
        <v>0.96736111111385981</v>
      </c>
      <c r="D412" s="77">
        <f>IF(ISERROR(Tableau1[[#This Row],[Date]]-A411),"",Tableau1[[#This Row],[Date]]-A411)</f>
        <v>0.96736111111385981</v>
      </c>
      <c r="E412" s="76">
        <f>Tableau1[[#This Row],[Date]]-$A$5</f>
        <v>657.60624999999709</v>
      </c>
      <c r="F412" s="77">
        <f>Tableau1[[#This Row],[Date]]-$A$5</f>
        <v>657.60624999999709</v>
      </c>
      <c r="G412" s="77">
        <f>Tableau1[[#This Row],[Diff jour_x000D_
Cumul]]-F$6</f>
        <v>619.52291666666861</v>
      </c>
      <c r="H412" s="77">
        <f>Tableau1[[#This Row],[Diff jour_x000D_
Cumul]]-F$59</f>
        <v>597.00347222221899</v>
      </c>
      <c r="I412" s="78">
        <v>193965</v>
      </c>
      <c r="J412" s="79">
        <f>IF(ISERROR(Tableau1[[#This Row],[Index HP
kWh]]-I411),"",Tableau1[[#This Row],[Index HP
kWh]]-I411)</f>
        <v>7</v>
      </c>
      <c r="K412" s="77">
        <f>IF(ISERROR(Tableau1[[#This Row],[Différence HP
Instantané]]/(Tableau1[[#This Row],[Diff jour
Instantané]]*24)),"",Tableau1[[#This Row],[Différence HP
Instantané]]/(Tableau1[[#This Row],[Diff jour
Instantané]]*24))</f>
        <v>0.30150753768758548</v>
      </c>
      <c r="L412" s="77">
        <f>Tableau1[[#This Row],[Différence HP
Instantané]]/Tableau1[[#This Row],[Diff jour
Instantané]]</f>
        <v>7.236180904502052</v>
      </c>
      <c r="M412" s="77">
        <f>Tableau1[[#This Row],[Conso HP / jour
Instantané]]*365</f>
        <v>2641.2060301432489</v>
      </c>
      <c r="N412" s="79">
        <f>Tableau1[[#This Row],[Index HP
kWh]]-$I$5</f>
        <v>14206</v>
      </c>
      <c r="O412" s="80">
        <f>Tableau1[[#This Row],[Différence HP
Cumul]]/(Tableau1[[#This Row],[Diff jour_x000D_
Cumul]]*24)</f>
        <v>0.90010803070480139</v>
      </c>
      <c r="P412" s="80">
        <f>Tableau1[[#This Row],[Différence HP
Cumul]]/Tableau1[[#This Row],[Diff jour_x000D_
Cumul]]</f>
        <v>21.602592736915234</v>
      </c>
      <c r="Q412" s="80">
        <f>Tableau1[[#This Row],[Conso HP / jour
Cumul]]*365</f>
        <v>7884.9463489740601</v>
      </c>
      <c r="R412" s="78">
        <v>125521</v>
      </c>
      <c r="S412" s="79">
        <f>Tableau1[[#This Row],[Index HC_x000D_
kWh]]-R411</f>
        <v>2</v>
      </c>
      <c r="T412" s="81">
        <f>Tableau1[[#This Row],[Différence_x000D_ HC
Instantané]]/(Tableau1[[#This Row],[Diff jour
Instantané]]*24)</f>
        <v>8.6145010767881572E-2</v>
      </c>
      <c r="U412" s="81">
        <f>Tableau1[[#This Row],[Différence_x000D_ HC
Instantané]]/Tableau1[[#This Row],[Diff jour
Instantané]]</f>
        <v>2.0674802584291578</v>
      </c>
      <c r="V412" s="81">
        <f>Tableau1[[#This Row],[Conso HC / jour_x000D_
Instantané]]*365</f>
        <v>754.63029432664257</v>
      </c>
      <c r="W412" s="79">
        <f>Tableau1[[#This Row],[Index HC_x000D_
kWh]]-$R$5</f>
        <v>6089</v>
      </c>
      <c r="X412" s="82">
        <f>Tableau1[[#This Row],[Différence HC
Cumul]]/(Tableau1[[#This Row],[Diff jour_x000D_
Cumul]]*24)</f>
        <v>0.38580584252861716</v>
      </c>
      <c r="Y412" s="82">
        <f>Tableau1[[#This Row],[Différence HC
Cumul]]/Tableau1[[#This Row],[Diff jour_x000D_
Cumul]]</f>
        <v>9.2593402206868127</v>
      </c>
      <c r="Z412" s="82">
        <f>Tableau1[[#This Row],[Conso HC / jour_x000D_
Cumul]]*365</f>
        <v>3379.6591805506869</v>
      </c>
      <c r="AA412" s="79">
        <f>Tableau1[[#This Row],[Différence HP
Instantané]]+Tableau1[[#This Row],[Différence_x000D_ HC
Instantané]]</f>
        <v>9</v>
      </c>
      <c r="AB412" s="80">
        <f>Tableau1[[#This Row],[Conso HP + HC
Instantané]]/(Tableau1[[#This Row],[Diff jour
Instantané]]*24)</f>
        <v>0.38765254845546709</v>
      </c>
      <c r="AC412" s="80">
        <f>IF(ISERROR(Tableau1[[#This Row],[Date]]-A411),"",Tableau1[[#This Row],[Conso HP + HC
Instantané]]/Tableau1[[#This Row],[Diff jour
Instantané]])</f>
        <v>9.3036611629312098</v>
      </c>
      <c r="AD412" s="80">
        <f>Tableau1[[#This Row],[Conso HP + HC / jour_x000D_
Instantané]]*365</f>
        <v>3395.8363244698917</v>
      </c>
      <c r="AE412" s="79">
        <f>Tableau1[[#This Row],[Différence HP
Cumul]]+Tableau1[[#This Row],[Différence HC
Cumul]]</f>
        <v>20295</v>
      </c>
      <c r="AF412" s="77">
        <f>(Tableau1[[#This Row],[Conso HP + HC
Cumul]]-AE$6)/Tableau1[[#This Row],[Diff jour_x000D_
Cumul
depuis le 24/01]]</f>
        <v>28.609111177619784</v>
      </c>
      <c r="AG412" s="77">
        <f>(Tableau1[[#This Row],[Conso HP + HC
Cumul]]-AE$59)/Tableau1[[#This Row],[Diff jour_x000D_
Cumul
depuis
précédente facture
16/02/2021]]</f>
        <v>26.998167933603735</v>
      </c>
      <c r="AH412" s="80">
        <f>Tableau1[[#This Row],[Conso HP + HC
Cumul]]/(Tableau1[[#This Row],[Diff jour_x000D_
Cumul]]*24)</f>
        <v>1.2859138732334185</v>
      </c>
      <c r="AI412" s="80">
        <f>Tableau1[[#This Row],[Conso HP + HC
Cumul]]/Tableau1[[#This Row],[Diff jour_x000D_
Cumul]]</f>
        <v>30.861932957602043</v>
      </c>
      <c r="AJ412" s="80">
        <f>Tableau1[[#This Row],[Conso HP + HC / jour_x000D_
Cumul]]*365</f>
        <v>11264.605529524746</v>
      </c>
      <c r="AK412" s="83">
        <f>(Tableau1[[#This Row],[Différence HP
Cumul]]*0.1799)+(Tableau1[[#This Row],[Différence HC
Cumul]]*0.1346)</f>
        <v>3375.2388000000001</v>
      </c>
      <c r="AL412" s="83">
        <f>Tableau1[[#This Row],[Montant
Tarif HP/HC]]/Tableau1[[#This Row],[Diff jour_x000D_
Cumul]]</f>
        <v>5.1326136270754956</v>
      </c>
      <c r="AM412" s="83">
        <f>(Tableau1[[#This Row],[Montant
Tarif HP/HC]]-AK$6)/Tableau1[[#This Row],[Diff jour_x000D_
Cumul
depuis le 24/01]]</f>
        <v>4.7630412380494249</v>
      </c>
      <c r="AN412" s="83">
        <f>(Tableau1[[#This Row],[Montant
Tarif HP/HC]]-AK$59)/Tableau1[[#This Row],[Diff jour_x000D_
Cumul
depuis
précédente facture
16/02/2021]]</f>
        <v>4.4945725190040777</v>
      </c>
      <c r="AO412" s="83">
        <f>Tableau1[[#This Row],[Conso HP + HC
Cumul]]*0.1599</f>
        <v>3245.1704999999997</v>
      </c>
      <c r="AP412" s="83">
        <f>Tableau1[[#This Row],[Montant
Tarif normal]]/Tableau1[[#This Row],[Diff jour_x000D_
Cumul]]</f>
        <v>4.9348230799205668</v>
      </c>
      <c r="AQ412" s="83">
        <f>(Tableau1[[#This Row],[Conso HP / an
Cumul]]*0.1799)+(Tableau1[[#This Row],[Conso HC / an_x000D_
Cumul]]*0.1346)</f>
        <v>1873.4039738825559</v>
      </c>
      <c r="AR412" s="83">
        <f>Tableau1[[#This Row],[Conso HP + HC / an_x000D_
Cumul]]*0.1599</f>
        <v>1801.2104241710067</v>
      </c>
      <c r="AS412" s="79">
        <f>MONTH(Tableau1[[#This Row],[Date]])</f>
        <v>10</v>
      </c>
      <c r="AT412" s="79">
        <f>YEAR(Tableau1[[#This Row],[Date]])</f>
        <v>2022</v>
      </c>
    </row>
    <row r="413" spans="1:46" x14ac:dyDescent="0.2">
      <c r="A413" s="74">
        <v>44841.348611111112</v>
      </c>
      <c r="B413" s="75"/>
      <c r="C413" s="76">
        <f>IF(ISERROR(Tableau1[[#This Row],[Date]]-A412),"",Tableau1[[#This Row],[Date]]-A412)</f>
        <v>1.0340277777795563</v>
      </c>
      <c r="D413" s="77">
        <f>IF(ISERROR(Tableau1[[#This Row],[Date]]-A412),"",Tableau1[[#This Row],[Date]]-A412)</f>
        <v>1.0340277777795563</v>
      </c>
      <c r="E413" s="76">
        <f>Tableau1[[#This Row],[Date]]-$A$5</f>
        <v>658.64027777777665</v>
      </c>
      <c r="F413" s="77">
        <f>Tableau1[[#This Row],[Date]]-$A$5</f>
        <v>658.64027777777665</v>
      </c>
      <c r="G413" s="77">
        <f>Tableau1[[#This Row],[Diff jour_x000D_
Cumul]]-F$6</f>
        <v>620.55694444444816</v>
      </c>
      <c r="H413" s="77">
        <f>Tableau1[[#This Row],[Diff jour_x000D_
Cumul]]-F$59</f>
        <v>598.03749999999854</v>
      </c>
      <c r="I413" s="78">
        <v>193976</v>
      </c>
      <c r="J413" s="79">
        <f>IF(ISERROR(Tableau1[[#This Row],[Index HP
kWh]]-I412),"",Tableau1[[#This Row],[Index HP
kWh]]-I412)</f>
        <v>11</v>
      </c>
      <c r="K413" s="77">
        <f>IF(ISERROR(Tableau1[[#This Row],[Différence HP
Instantané]]/(Tableau1[[#This Row],[Diff jour
Instantané]]*24)),"",Tableau1[[#This Row],[Différence HP
Instantané]]/(Tableau1[[#This Row],[Diff jour
Instantané]]*24))</f>
        <v>0.44325050369299179</v>
      </c>
      <c r="L413" s="77">
        <f>Tableau1[[#This Row],[Différence HP
Instantané]]/Tableau1[[#This Row],[Diff jour
Instantané]]</f>
        <v>10.638012088631802</v>
      </c>
      <c r="M413" s="77">
        <f>Tableau1[[#This Row],[Conso HP / jour
Instantané]]*365</f>
        <v>3882.8744123506076</v>
      </c>
      <c r="N413" s="79">
        <f>Tableau1[[#This Row],[Index HP
kWh]]-$I$5</f>
        <v>14217</v>
      </c>
      <c r="O413" s="80">
        <f>Tableau1[[#This Row],[Différence HP
Cumul]]/(Tableau1[[#This Row],[Diff jour_x000D_
Cumul]]*24)</f>
        <v>0.89939079036989233</v>
      </c>
      <c r="P413" s="80">
        <f>Tableau1[[#This Row],[Différence HP
Cumul]]/Tableau1[[#This Row],[Diff jour_x000D_
Cumul]]</f>
        <v>21.585378968877418</v>
      </c>
      <c r="Q413" s="80">
        <f>Tableau1[[#This Row],[Conso HP / jour
Cumul]]*365</f>
        <v>7878.6633236402577</v>
      </c>
      <c r="R413" s="78">
        <v>125525</v>
      </c>
      <c r="S413" s="79">
        <f>Tableau1[[#This Row],[Index HC_x000D_
kWh]]-R412</f>
        <v>4</v>
      </c>
      <c r="T413" s="81">
        <f>Tableau1[[#This Row],[Différence_x000D_ HC
Instantané]]/(Tableau1[[#This Row],[Diff jour
Instantané]]*24)</f>
        <v>0.16118200134290611</v>
      </c>
      <c r="U413" s="81">
        <f>Tableau1[[#This Row],[Différence_x000D_ HC
Instantané]]/Tableau1[[#This Row],[Diff jour
Instantané]]</f>
        <v>3.8683680322297467</v>
      </c>
      <c r="V413" s="81">
        <f>Tableau1[[#This Row],[Conso HC / jour_x000D_
Instantané]]*365</f>
        <v>1411.9543317638575</v>
      </c>
      <c r="W413" s="79">
        <f>Tableau1[[#This Row],[Index HC_x000D_
kWh]]-$R$5</f>
        <v>6093</v>
      </c>
      <c r="X413" s="82">
        <f>Tableau1[[#This Row],[Différence HC
Cumul]]/(Tableau1[[#This Row],[Diff jour_x000D_
Cumul]]*24)</f>
        <v>0.38545319587281102</v>
      </c>
      <c r="Y413" s="82">
        <f>Tableau1[[#This Row],[Différence HC
Cumul]]/Tableau1[[#This Row],[Diff jour_x000D_
Cumul]]</f>
        <v>9.2508767009474653</v>
      </c>
      <c r="Z413" s="82">
        <f>Tableau1[[#This Row],[Conso HC / jour_x000D_
Cumul]]*365</f>
        <v>3376.5699958458249</v>
      </c>
      <c r="AA413" s="79">
        <f>Tableau1[[#This Row],[Différence HP
Instantané]]+Tableau1[[#This Row],[Différence_x000D_ HC
Instantané]]</f>
        <v>15</v>
      </c>
      <c r="AB413" s="80">
        <f>Tableau1[[#This Row],[Conso HP + HC
Instantané]]/(Tableau1[[#This Row],[Diff jour
Instantané]]*24)</f>
        <v>0.60443250503589785</v>
      </c>
      <c r="AC413" s="80">
        <f>IF(ISERROR(Tableau1[[#This Row],[Date]]-A412),"",Tableau1[[#This Row],[Conso HP + HC
Instantané]]/Tableau1[[#This Row],[Diff jour
Instantané]])</f>
        <v>14.50638012086155</v>
      </c>
      <c r="AD413" s="80">
        <f>Tableau1[[#This Row],[Conso HP + HC / jour_x000D_
Instantané]]*365</f>
        <v>5294.8287441144657</v>
      </c>
      <c r="AE413" s="79">
        <f>Tableau1[[#This Row],[Différence HP
Cumul]]+Tableau1[[#This Row],[Différence HC
Cumul]]</f>
        <v>20310</v>
      </c>
      <c r="AF413" s="77">
        <f>(Tableau1[[#This Row],[Conso HP + HC
Cumul]]-AE$6)/Tableau1[[#This Row],[Diff jour_x000D_
Cumul
depuis le 24/01]]</f>
        <v>28.585611939095756</v>
      </c>
      <c r="AG413" s="77">
        <f>(Tableau1[[#This Row],[Conso HP + HC
Cumul]]-AE$59)/Tableau1[[#This Row],[Diff jour_x000D_
Cumul
depuis
précédente facture
16/02/2021]]</f>
        <v>26.976569195075626</v>
      </c>
      <c r="AH413" s="80">
        <f>Tableau1[[#This Row],[Conso HP + HC
Cumul]]/(Tableau1[[#This Row],[Diff jour_x000D_
Cumul]]*24)</f>
        <v>1.2848439862427035</v>
      </c>
      <c r="AI413" s="80">
        <f>Tableau1[[#This Row],[Conso HP + HC
Cumul]]/Tableau1[[#This Row],[Diff jour_x000D_
Cumul]]</f>
        <v>30.836255669824883</v>
      </c>
      <c r="AJ413" s="80">
        <f>Tableau1[[#This Row],[Conso HP + HC / jour_x000D_
Cumul]]*365</f>
        <v>11255.233319486082</v>
      </c>
      <c r="AK413" s="83">
        <f>(Tableau1[[#This Row],[Différence HP
Cumul]]*0.1799)+(Tableau1[[#This Row],[Différence HC
Cumul]]*0.1346)</f>
        <v>3377.7561000000001</v>
      </c>
      <c r="AL413" s="83">
        <f>Tableau1[[#This Row],[Montant
Tarif HP/HC]]/Tableau1[[#This Row],[Diff jour_x000D_
Cumul]]</f>
        <v>5.1283776804485761</v>
      </c>
      <c r="AM413" s="83">
        <f>(Tableau1[[#This Row],[Montant
Tarif HP/HC]]-AK$6)/Tableau1[[#This Row],[Diff jour_x000D_
Cumul
depuis le 24/01]]</f>
        <v>4.7591611478040274</v>
      </c>
      <c r="AN413" s="83">
        <f>(Tableau1[[#This Row],[Montant
Tarif HP/HC]]-AK$59)/Tableau1[[#This Row],[Diff jour_x000D_
Cumul
depuis
précédente facture
16/02/2021]]</f>
        <v>4.4910105135547624</v>
      </c>
      <c r="AO413" s="83">
        <f>Tableau1[[#This Row],[Conso HP + HC
Cumul]]*0.1599</f>
        <v>3247.5689999999995</v>
      </c>
      <c r="AP413" s="83">
        <f>Tableau1[[#This Row],[Montant
Tarif normal]]/Tableau1[[#This Row],[Diff jour_x000D_
Cumul]]</f>
        <v>4.9307172816049976</v>
      </c>
      <c r="AQ413" s="83">
        <f>(Tableau1[[#This Row],[Conso HP / an
Cumul]]*0.1799)+(Tableau1[[#This Row],[Conso HC / an_x000D_
Cumul]]*0.1346)</f>
        <v>1871.8578533637306</v>
      </c>
      <c r="AR413" s="83">
        <f>Tableau1[[#This Row],[Conso HP + HC / an_x000D_
Cumul]]*0.1599</f>
        <v>1799.7118077858245</v>
      </c>
      <c r="AS413" s="79">
        <f>MONTH(Tableau1[[#This Row],[Date]])</f>
        <v>10</v>
      </c>
      <c r="AT413" s="79">
        <f>YEAR(Tableau1[[#This Row],[Date]])</f>
        <v>2022</v>
      </c>
    </row>
    <row r="414" spans="1:46" x14ac:dyDescent="0.2">
      <c r="A414" s="74">
        <v>44842.373611111114</v>
      </c>
      <c r="B414" s="75"/>
      <c r="C414" s="76">
        <f>IF(ISERROR(Tableau1[[#This Row],[Date]]-A413),"",Tableau1[[#This Row],[Date]]-A413)</f>
        <v>1.0250000000014552</v>
      </c>
      <c r="D414" s="77">
        <f>IF(ISERROR(Tableau1[[#This Row],[Date]]-A413),"",Tableau1[[#This Row],[Date]]-A413)</f>
        <v>1.0250000000014552</v>
      </c>
      <c r="E414" s="76">
        <f>Tableau1[[#This Row],[Date]]-$A$5</f>
        <v>659.6652777777781</v>
      </c>
      <c r="F414" s="77">
        <f>Tableau1[[#This Row],[Date]]-$A$5</f>
        <v>659.6652777777781</v>
      </c>
      <c r="G414" s="77">
        <f>Tableau1[[#This Row],[Diff jour_x000D_
Cumul]]-F$6</f>
        <v>621.58194444444962</v>
      </c>
      <c r="H414" s="77">
        <f>Tableau1[[#This Row],[Diff jour_x000D_
Cumul]]-F$59</f>
        <v>599.0625</v>
      </c>
      <c r="I414" s="78">
        <v>193993</v>
      </c>
      <c r="J414" s="79">
        <f>IF(ISERROR(Tableau1[[#This Row],[Index HP
kWh]]-I413),"",Tableau1[[#This Row],[Index HP
kWh]]-I413)</f>
        <v>17</v>
      </c>
      <c r="K414" s="77">
        <f>IF(ISERROR(Tableau1[[#This Row],[Différence HP
Instantané]]/(Tableau1[[#This Row],[Diff jour
Instantané]]*24)),"",Tableau1[[#This Row],[Différence HP
Instantané]]/(Tableau1[[#This Row],[Diff jour
Instantané]]*24))</f>
        <v>0.69105691056812457</v>
      </c>
      <c r="L414" s="77">
        <f>Tableau1[[#This Row],[Différence HP
Instantané]]/Tableau1[[#This Row],[Diff jour
Instantané]]</f>
        <v>16.58536585363499</v>
      </c>
      <c r="M414" s="77">
        <f>Tableau1[[#This Row],[Conso HP / jour
Instantané]]*365</f>
        <v>6053.6585365767714</v>
      </c>
      <c r="N414" s="79">
        <f>Tableau1[[#This Row],[Index HP
kWh]]-$I$5</f>
        <v>14234</v>
      </c>
      <c r="O414" s="80">
        <f>Tableau1[[#This Row],[Différence HP
Cumul]]/(Tableau1[[#This Row],[Diff jour_x000D_
Cumul]]*24)</f>
        <v>0.899067077368783</v>
      </c>
      <c r="P414" s="80">
        <f>Tableau1[[#This Row],[Différence HP
Cumul]]/Tableau1[[#This Row],[Diff jour_x000D_
Cumul]]</f>
        <v>21.577609856850792</v>
      </c>
      <c r="Q414" s="80">
        <f>Tableau1[[#This Row],[Conso HP / jour
Cumul]]*365</f>
        <v>7875.8275977505391</v>
      </c>
      <c r="R414" s="78">
        <v>125531</v>
      </c>
      <c r="S414" s="79">
        <f>Tableau1[[#This Row],[Index HC_x000D_
kWh]]-R413</f>
        <v>6</v>
      </c>
      <c r="T414" s="81">
        <f>Tableau1[[#This Row],[Différence_x000D_ HC
Instantané]]/(Tableau1[[#This Row],[Diff jour
Instantané]]*24)</f>
        <v>0.24390243902404399</v>
      </c>
      <c r="U414" s="81">
        <f>Tableau1[[#This Row],[Différence_x000D_ HC
Instantané]]/Tableau1[[#This Row],[Diff jour
Instantané]]</f>
        <v>5.853658536577055</v>
      </c>
      <c r="V414" s="81">
        <f>Tableau1[[#This Row],[Conso HC / jour_x000D_
Instantané]]*365</f>
        <v>2136.5853658506253</v>
      </c>
      <c r="W414" s="79">
        <f>Tableau1[[#This Row],[Index HC_x000D_
kWh]]-$R$5</f>
        <v>6099</v>
      </c>
      <c r="X414" s="82">
        <f>Tableau1[[#This Row],[Différence HC
Cumul]]/(Tableau1[[#This Row],[Diff jour_x000D_
Cumul]]*24)</f>
        <v>0.38523325171225287</v>
      </c>
      <c r="Y414" s="82">
        <f>Tableau1[[#This Row],[Différence HC
Cumul]]/Tableau1[[#This Row],[Diff jour_x000D_
Cumul]]</f>
        <v>9.2455980410940697</v>
      </c>
      <c r="Z414" s="82">
        <f>Tableau1[[#This Row],[Conso HC / jour_x000D_
Cumul]]*365</f>
        <v>3374.6432849993353</v>
      </c>
      <c r="AA414" s="79">
        <f>Tableau1[[#This Row],[Différence HP
Instantané]]+Tableau1[[#This Row],[Différence_x000D_ HC
Instantané]]</f>
        <v>23</v>
      </c>
      <c r="AB414" s="80">
        <f>Tableau1[[#This Row],[Conso HP + HC
Instantané]]/(Tableau1[[#This Row],[Diff jour
Instantané]]*24)</f>
        <v>0.93495934959216853</v>
      </c>
      <c r="AC414" s="80">
        <f>IF(ISERROR(Tableau1[[#This Row],[Date]]-A413),"",Tableau1[[#This Row],[Conso HP + HC
Instantané]]/Tableau1[[#This Row],[Diff jour
Instantané]])</f>
        <v>22.439024390212047</v>
      </c>
      <c r="AD414" s="80">
        <f>Tableau1[[#This Row],[Conso HP + HC / jour_x000D_
Instantané]]*365</f>
        <v>8190.2439024273972</v>
      </c>
      <c r="AE414" s="79">
        <f>Tableau1[[#This Row],[Différence HP
Cumul]]+Tableau1[[#This Row],[Différence HC
Cumul]]</f>
        <v>20333</v>
      </c>
      <c r="AF414" s="77">
        <f>(Tableau1[[#This Row],[Conso HP + HC
Cumul]]-AE$6)/Tableau1[[#This Row],[Diff jour_x000D_
Cumul
depuis le 24/01]]</f>
        <v>28.575476103758316</v>
      </c>
      <c r="AG414" s="77">
        <f>(Tableau1[[#This Row],[Conso HP + HC
Cumul]]-AE$59)/Tableau1[[#This Row],[Diff jour_x000D_
Cumul
depuis
précédente facture
16/02/2021]]</f>
        <v>26.968805425143454</v>
      </c>
      <c r="AH414" s="80">
        <f>Tableau1[[#This Row],[Conso HP + HC
Cumul]]/(Tableau1[[#This Row],[Diff jour_x000D_
Cumul]]*24)</f>
        <v>1.2843003290810358</v>
      </c>
      <c r="AI414" s="80">
        <f>Tableau1[[#This Row],[Conso HP + HC
Cumul]]/Tableau1[[#This Row],[Diff jour_x000D_
Cumul]]</f>
        <v>30.823207897944862</v>
      </c>
      <c r="AJ414" s="80">
        <f>Tableau1[[#This Row],[Conso HP + HC / jour_x000D_
Cumul]]*365</f>
        <v>11250.470882749874</v>
      </c>
      <c r="AK414" s="83">
        <f>(Tableau1[[#This Row],[Différence HP
Cumul]]*0.1799)+(Tableau1[[#This Row],[Différence HC
Cumul]]*0.1346)</f>
        <v>3381.6220000000003</v>
      </c>
      <c r="AL414" s="83">
        <f>Tableau1[[#This Row],[Montant
Tarif HP/HC]]/Tableau1[[#This Row],[Diff jour_x000D_
Cumul]]</f>
        <v>5.1262695095787194</v>
      </c>
      <c r="AM414" s="83">
        <f>(Tableau1[[#This Row],[Montant
Tarif HP/HC]]-AK$6)/Tableau1[[#This Row],[Diff jour_x000D_
Cumul
depuis le 24/01]]</f>
        <v>4.7575326574890289</v>
      </c>
      <c r="AN414" s="83">
        <f>(Tableau1[[#This Row],[Montant
Tarif HP/HC]]-AK$59)/Tableau1[[#This Row],[Diff jour_x000D_
Cumul
depuis
précédente facture
16/02/2021]]</f>
        <v>4.4897796139801773</v>
      </c>
      <c r="AO414" s="83">
        <f>Tableau1[[#This Row],[Conso HP + HC
Cumul]]*0.1599</f>
        <v>3251.2466999999997</v>
      </c>
      <c r="AP414" s="83">
        <f>Tableau1[[#This Row],[Montant
Tarif normal]]/Tableau1[[#This Row],[Diff jour_x000D_
Cumul]]</f>
        <v>4.9286309428813828</v>
      </c>
      <c r="AQ414" s="83">
        <f>(Tableau1[[#This Row],[Conso HP / an
Cumul]]*0.1799)+(Tableau1[[#This Row],[Conso HC / an_x000D_
Cumul]]*0.1346)</f>
        <v>1871.0883709962327</v>
      </c>
      <c r="AR414" s="83">
        <f>Tableau1[[#This Row],[Conso HP + HC / an_x000D_
Cumul]]*0.1599</f>
        <v>1798.9502941517048</v>
      </c>
      <c r="AS414" s="79">
        <f>MONTH(Tableau1[[#This Row],[Date]])</f>
        <v>10</v>
      </c>
      <c r="AT414" s="79">
        <f>YEAR(Tableau1[[#This Row],[Date]])</f>
        <v>2022</v>
      </c>
    </row>
    <row r="415" spans="1:46" x14ac:dyDescent="0.2">
      <c r="A415" s="74">
        <v>44843.462500000001</v>
      </c>
      <c r="B415" s="75"/>
      <c r="C415" s="76">
        <f>IF(ISERROR(Tableau1[[#This Row],[Date]]-A414),"",Tableau1[[#This Row],[Date]]-A414)</f>
        <v>1.0888888888875954</v>
      </c>
      <c r="D415" s="77">
        <f>IF(ISERROR(Tableau1[[#This Row],[Date]]-A414),"",Tableau1[[#This Row],[Date]]-A414)</f>
        <v>1.0888888888875954</v>
      </c>
      <c r="E415" s="76">
        <f>Tableau1[[#This Row],[Date]]-$A$5</f>
        <v>660.7541666666657</v>
      </c>
      <c r="F415" s="77">
        <f>Tableau1[[#This Row],[Date]]-$A$5</f>
        <v>660.7541666666657</v>
      </c>
      <c r="G415" s="77">
        <f>Tableau1[[#This Row],[Diff jour_x000D_
Cumul]]-F$6</f>
        <v>622.67083333333721</v>
      </c>
      <c r="H415" s="77">
        <f>Tableau1[[#This Row],[Diff jour_x000D_
Cumul]]-F$59</f>
        <v>600.1513888888876</v>
      </c>
      <c r="I415" s="78">
        <v>194012</v>
      </c>
      <c r="J415" s="79">
        <f>IF(ISERROR(Tableau1[[#This Row],[Index HP
kWh]]-I414),"",Tableau1[[#This Row],[Index HP
kWh]]-I414)</f>
        <v>19</v>
      </c>
      <c r="K415" s="77">
        <f>IF(ISERROR(Tableau1[[#This Row],[Différence HP
Instantané]]/(Tableau1[[#This Row],[Diff jour
Instantané]]*24)),"",Tableau1[[#This Row],[Différence HP
Instantané]]/(Tableau1[[#This Row],[Diff jour
Instantané]]*24))</f>
        <v>0.72704081632739426</v>
      </c>
      <c r="L415" s="77">
        <f>Tableau1[[#This Row],[Différence HP
Instantané]]/Tableau1[[#This Row],[Diff jour
Instantané]]</f>
        <v>17.448979591857462</v>
      </c>
      <c r="M415" s="77">
        <f>Tableau1[[#This Row],[Conso HP / jour
Instantané]]*365</f>
        <v>6368.8775510279738</v>
      </c>
      <c r="N415" s="79">
        <f>Tableau1[[#This Row],[Index HP
kWh]]-$I$5</f>
        <v>14253</v>
      </c>
      <c r="O415" s="80">
        <f>Tableau1[[#This Row],[Différence HP
Cumul]]/(Tableau1[[#This Row],[Diff jour_x000D_
Cumul]]*24)</f>
        <v>0.89878358693664573</v>
      </c>
      <c r="P415" s="80">
        <f>Tableau1[[#This Row],[Différence HP
Cumul]]/Tableau1[[#This Row],[Diff jour_x000D_
Cumul]]</f>
        <v>21.570806086479497</v>
      </c>
      <c r="Q415" s="80">
        <f>Tableau1[[#This Row],[Conso HP / jour
Cumul]]*365</f>
        <v>7873.3442215650166</v>
      </c>
      <c r="R415" s="78">
        <v>125533</v>
      </c>
      <c r="S415" s="79">
        <f>Tableau1[[#This Row],[Index HC_x000D_
kWh]]-R414</f>
        <v>2</v>
      </c>
      <c r="T415" s="81">
        <f>Tableau1[[#This Row],[Différence_x000D_ HC
Instantané]]/(Tableau1[[#This Row],[Diff jour
Instantané]]*24)</f>
        <v>7.6530612244988874E-2</v>
      </c>
      <c r="U415" s="81">
        <f>Tableau1[[#This Row],[Différence_x000D_ HC
Instantané]]/Tableau1[[#This Row],[Diff jour
Instantané]]</f>
        <v>1.8367346938797329</v>
      </c>
      <c r="V415" s="81">
        <f>Tableau1[[#This Row],[Conso HC / jour_x000D_
Instantané]]*365</f>
        <v>670.40816326610252</v>
      </c>
      <c r="W415" s="79">
        <f>Tableau1[[#This Row],[Index HC_x000D_
kWh]]-$R$5</f>
        <v>6101</v>
      </c>
      <c r="X415" s="82">
        <f>Tableau1[[#This Row],[Différence HC
Cumul]]/(Tableau1[[#This Row],[Diff jour_x000D_
Cumul]]*24)</f>
        <v>0.38472452563674142</v>
      </c>
      <c r="Y415" s="82">
        <f>Tableau1[[#This Row],[Différence HC
Cumul]]/Tableau1[[#This Row],[Diff jour_x000D_
Cumul]]</f>
        <v>9.2333886152817932</v>
      </c>
      <c r="Z415" s="82">
        <f>Tableau1[[#This Row],[Conso HC / jour_x000D_
Cumul]]*365</f>
        <v>3370.1868445778546</v>
      </c>
      <c r="AA415" s="79">
        <f>Tableau1[[#This Row],[Différence HP
Instantané]]+Tableau1[[#This Row],[Différence_x000D_ HC
Instantané]]</f>
        <v>21</v>
      </c>
      <c r="AB415" s="80">
        <f>Tableau1[[#This Row],[Conso HP + HC
Instantané]]/(Tableau1[[#This Row],[Diff jour
Instantané]]*24)</f>
        <v>0.80357142857238317</v>
      </c>
      <c r="AC415" s="80">
        <f>IF(ISERROR(Tableau1[[#This Row],[Date]]-A414),"",Tableau1[[#This Row],[Conso HP + HC
Instantané]]/Tableau1[[#This Row],[Diff jour
Instantané]])</f>
        <v>19.285714285737196</v>
      </c>
      <c r="AD415" s="80">
        <f>Tableau1[[#This Row],[Conso HP + HC / jour_x000D_
Instantané]]*365</f>
        <v>7039.2857142940766</v>
      </c>
      <c r="AE415" s="79">
        <f>Tableau1[[#This Row],[Différence HP
Cumul]]+Tableau1[[#This Row],[Différence HC
Cumul]]</f>
        <v>20354</v>
      </c>
      <c r="AF415" s="77">
        <f>(Tableau1[[#This Row],[Conso HP + HC
Cumul]]-AE$6)/Tableau1[[#This Row],[Diff jour_x000D_
Cumul
depuis le 24/01]]</f>
        <v>28.559230733198877</v>
      </c>
      <c r="AG415" s="77">
        <f>(Tableau1[[#This Row],[Conso HP + HC
Cumul]]-AE$59)/Tableau1[[#This Row],[Diff jour_x000D_
Cumul
depuis
précédente facture
16/02/2021]]</f>
        <v>26.954865554755919</v>
      </c>
      <c r="AH415" s="80">
        <f>Tableau1[[#This Row],[Conso HP + HC
Cumul]]/(Tableau1[[#This Row],[Diff jour_x000D_
Cumul]]*24)</f>
        <v>1.2835081125733871</v>
      </c>
      <c r="AI415" s="80">
        <f>Tableau1[[#This Row],[Conso HP + HC
Cumul]]/Tableau1[[#This Row],[Diff jour_x000D_
Cumul]]</f>
        <v>30.80419470176129</v>
      </c>
      <c r="AJ415" s="80">
        <f>Tableau1[[#This Row],[Conso HP + HC / jour_x000D_
Cumul]]*365</f>
        <v>11243.53106614287</v>
      </c>
      <c r="AK415" s="83">
        <f>(Tableau1[[#This Row],[Différence HP
Cumul]]*0.1799)+(Tableau1[[#This Row],[Différence HC
Cumul]]*0.1346)</f>
        <v>3385.3092999999999</v>
      </c>
      <c r="AL415" s="83">
        <f>Tableau1[[#This Row],[Montant
Tarif HP/HC]]/Tableau1[[#This Row],[Diff jour_x000D_
Cumul]]</f>
        <v>5.1234021225745909</v>
      </c>
      <c r="AM415" s="83">
        <f>(Tableau1[[#This Row],[Montant
Tarif HP/HC]]-AK$6)/Tableau1[[#This Row],[Diff jour_x000D_
Cumul
depuis le 24/01]]</f>
        <v>4.755134722064196</v>
      </c>
      <c r="AN415" s="83">
        <f>(Tableau1[[#This Row],[Montant
Tarif HP/HC]]-AK$59)/Tableau1[[#This Row],[Diff jour_x000D_
Cumul
depuis
précédente facture
16/02/2021]]</f>
        <v>4.487777500584353</v>
      </c>
      <c r="AO415" s="83">
        <f>Tableau1[[#This Row],[Conso HP + HC
Cumul]]*0.1599</f>
        <v>3254.6045999999997</v>
      </c>
      <c r="AP415" s="83">
        <f>Tableau1[[#This Row],[Montant
Tarif normal]]/Tableau1[[#This Row],[Diff jour_x000D_
Cumul]]</f>
        <v>4.9255907328116297</v>
      </c>
      <c r="AQ415" s="83">
        <f>(Tableau1[[#This Row],[Conso HP / an
Cumul]]*0.1799)+(Tableau1[[#This Row],[Conso HC / an_x000D_
Cumul]]*0.1346)</f>
        <v>1870.0417747397255</v>
      </c>
      <c r="AR415" s="83">
        <f>Tableau1[[#This Row],[Conso HP + HC / an_x000D_
Cumul]]*0.1599</f>
        <v>1797.8406174762449</v>
      </c>
      <c r="AS415" s="79">
        <f>MONTH(Tableau1[[#This Row],[Date]])</f>
        <v>10</v>
      </c>
      <c r="AT415" s="79">
        <f>YEAR(Tableau1[[#This Row],[Date]])</f>
        <v>2022</v>
      </c>
    </row>
    <row r="416" spans="1:46" x14ac:dyDescent="0.2">
      <c r="A416" s="74">
        <v>44844.317361111112</v>
      </c>
      <c r="B416" s="75"/>
      <c r="C416" s="76">
        <f>IF(ISERROR(Tableau1[[#This Row],[Date]]-A415),"",Tableau1[[#This Row],[Date]]-A415)</f>
        <v>0.85486111111094942</v>
      </c>
      <c r="D416" s="77">
        <f>IF(ISERROR(Tableau1[[#This Row],[Date]]-A415),"",Tableau1[[#This Row],[Date]]-A415)</f>
        <v>0.85486111111094942</v>
      </c>
      <c r="E416" s="76">
        <f>Tableau1[[#This Row],[Date]]-$A$5</f>
        <v>661.60902777777665</v>
      </c>
      <c r="F416" s="77">
        <f>Tableau1[[#This Row],[Date]]-$A$5</f>
        <v>661.60902777777665</v>
      </c>
      <c r="G416" s="77">
        <f>Tableau1[[#This Row],[Diff jour_x000D_
Cumul]]-F$6</f>
        <v>623.52569444444816</v>
      </c>
      <c r="H416" s="77">
        <f>Tableau1[[#This Row],[Diff jour_x000D_
Cumul]]-F$59</f>
        <v>601.00624999999854</v>
      </c>
      <c r="I416" s="78">
        <v>194018</v>
      </c>
      <c r="J416" s="79">
        <f>IF(ISERROR(Tableau1[[#This Row],[Index HP
kWh]]-I415),"",Tableau1[[#This Row],[Index HP
kWh]]-I415)</f>
        <v>6</v>
      </c>
      <c r="K416" s="77">
        <f>IF(ISERROR(Tableau1[[#This Row],[Différence HP
Instantané]]/(Tableau1[[#This Row],[Diff jour
Instantané]]*24)),"",Tableau1[[#This Row],[Différence HP
Instantané]]/(Tableau1[[#This Row],[Diff jour
Instantané]]*24))</f>
        <v>0.29244516653133068</v>
      </c>
      <c r="L416" s="77">
        <f>Tableau1[[#This Row],[Différence HP
Instantané]]/Tableau1[[#This Row],[Diff jour
Instantané]]</f>
        <v>7.0186839967519363</v>
      </c>
      <c r="M416" s="77">
        <f>Tableau1[[#This Row],[Conso HP / jour
Instantané]]*365</f>
        <v>2561.8196588144569</v>
      </c>
      <c r="N416" s="79">
        <f>Tableau1[[#This Row],[Index HP
kWh]]-$I$5</f>
        <v>14259</v>
      </c>
      <c r="O416" s="80">
        <f>Tableau1[[#This Row],[Différence HP
Cumul]]/(Tableau1[[#This Row],[Diff jour_x000D_
Cumul]]*24)</f>
        <v>0.89800014065037304</v>
      </c>
      <c r="P416" s="80">
        <f>Tableau1[[#This Row],[Différence HP
Cumul]]/Tableau1[[#This Row],[Diff jour_x000D_
Cumul]]</f>
        <v>21.552003375608955</v>
      </c>
      <c r="Q416" s="80">
        <f>Tableau1[[#This Row],[Conso HP / jour
Cumul]]*365</f>
        <v>7866.4812320972687</v>
      </c>
      <c r="R416" s="78">
        <v>125536</v>
      </c>
      <c r="S416" s="79">
        <f>Tableau1[[#This Row],[Index HC_x000D_
kWh]]-R415</f>
        <v>3</v>
      </c>
      <c r="T416" s="81">
        <f>Tableau1[[#This Row],[Différence_x000D_ HC
Instantané]]/(Tableau1[[#This Row],[Diff jour
Instantané]]*24)</f>
        <v>0.14622258326566534</v>
      </c>
      <c r="U416" s="81">
        <f>Tableau1[[#This Row],[Différence_x000D_ HC
Instantané]]/Tableau1[[#This Row],[Diff jour
Instantané]]</f>
        <v>3.5093419983759682</v>
      </c>
      <c r="V416" s="81">
        <f>Tableau1[[#This Row],[Conso HC / jour_x000D_
Instantané]]*365</f>
        <v>1280.9098294072285</v>
      </c>
      <c r="W416" s="79">
        <f>Tableau1[[#This Row],[Index HC_x000D_
kWh]]-$R$5</f>
        <v>6104</v>
      </c>
      <c r="X416" s="82">
        <f>Tableau1[[#This Row],[Différence HC
Cumul]]/(Tableau1[[#This Row],[Diff jour_x000D_
Cumul]]*24)</f>
        <v>0.38441635868783763</v>
      </c>
      <c r="Y416" s="82">
        <f>Tableau1[[#This Row],[Différence HC
Cumul]]/Tableau1[[#This Row],[Diff jour_x000D_
Cumul]]</f>
        <v>9.2259926085081041</v>
      </c>
      <c r="Z416" s="82">
        <f>Tableau1[[#This Row],[Conso HC / jour_x000D_
Cumul]]*365</f>
        <v>3367.4873021054582</v>
      </c>
      <c r="AA416" s="79">
        <f>Tableau1[[#This Row],[Différence HP
Instantané]]+Tableau1[[#This Row],[Différence_x000D_ HC
Instantané]]</f>
        <v>9</v>
      </c>
      <c r="AB416" s="80">
        <f>Tableau1[[#This Row],[Conso HP + HC
Instantané]]/(Tableau1[[#This Row],[Diff jour
Instantané]]*24)</f>
        <v>0.43866774979699602</v>
      </c>
      <c r="AC416" s="80">
        <f>IF(ISERROR(Tableau1[[#This Row],[Date]]-A415),"",Tableau1[[#This Row],[Conso HP + HC
Instantané]]/Tableau1[[#This Row],[Diff jour
Instantané]])</f>
        <v>10.528025995127905</v>
      </c>
      <c r="AD416" s="80">
        <f>Tableau1[[#This Row],[Conso HP + HC / jour_x000D_
Instantané]]*365</f>
        <v>3842.7294882216852</v>
      </c>
      <c r="AE416" s="79">
        <f>Tableau1[[#This Row],[Différence HP
Cumul]]+Tableau1[[#This Row],[Différence HC
Cumul]]</f>
        <v>20363</v>
      </c>
      <c r="AF416" s="77">
        <f>(Tableau1[[#This Row],[Conso HP + HC
Cumul]]-AE$6)/Tableau1[[#This Row],[Diff jour_x000D_
Cumul
depuis le 24/01]]</f>
        <v>28.53450973797062</v>
      </c>
      <c r="AG416" s="77">
        <f>(Tableau1[[#This Row],[Conso HP + HC
Cumul]]-AE$59)/Tableau1[[#This Row],[Diff jour_x000D_
Cumul
depuis
précédente facture
16/02/2021]]</f>
        <v>26.931500296378015</v>
      </c>
      <c r="AH416" s="80">
        <f>Tableau1[[#This Row],[Conso HP + HC
Cumul]]/(Tableau1[[#This Row],[Diff jour_x000D_
Cumul]]*24)</f>
        <v>1.2824164993382108</v>
      </c>
      <c r="AI416" s="80">
        <f>Tableau1[[#This Row],[Conso HP + HC
Cumul]]/Tableau1[[#This Row],[Diff jour_x000D_
Cumul]]</f>
        <v>30.777995984117059</v>
      </c>
      <c r="AJ416" s="80">
        <f>Tableau1[[#This Row],[Conso HP + HC / jour_x000D_
Cumul]]*365</f>
        <v>11233.968534202726</v>
      </c>
      <c r="AK416" s="83">
        <f>(Tableau1[[#This Row],[Différence HP
Cumul]]*0.1799)+(Tableau1[[#This Row],[Différence HC
Cumul]]*0.1346)</f>
        <v>3386.7925</v>
      </c>
      <c r="AL416" s="83">
        <f>Tableau1[[#This Row],[Montant
Tarif HP/HC]]/Tableau1[[#This Row],[Diff jour_x000D_
Cumul]]</f>
        <v>5.1190240123772419</v>
      </c>
      <c r="AM416" s="83">
        <f>(Tableau1[[#This Row],[Montant
Tarif HP/HC]]-AK$6)/Tableau1[[#This Row],[Diff jour_x000D_
Cumul
depuis le 24/01]]</f>
        <v>4.7509941072106479</v>
      </c>
      <c r="AN416" s="83">
        <f>(Tableau1[[#This Row],[Montant
Tarif HP/HC]]-AK$59)/Tableau1[[#This Row],[Diff jour_x000D_
Cumul
depuis
précédente facture
16/02/2021]]</f>
        <v>4.4838620230654946</v>
      </c>
      <c r="AO416" s="83">
        <f>Tableau1[[#This Row],[Conso HP + HC
Cumul]]*0.1599</f>
        <v>3256.0436999999997</v>
      </c>
      <c r="AP416" s="83">
        <f>Tableau1[[#This Row],[Montant
Tarif normal]]/Tableau1[[#This Row],[Diff jour_x000D_
Cumul]]</f>
        <v>4.9214015578603174</v>
      </c>
      <c r="AQ416" s="83">
        <f>(Tableau1[[#This Row],[Conso HP / an
Cumul]]*0.1799)+(Tableau1[[#This Row],[Conso HC / an_x000D_
Cumul]]*0.1346)</f>
        <v>1868.4437645176934</v>
      </c>
      <c r="AR416" s="83">
        <f>Tableau1[[#This Row],[Conso HP + HC / an_x000D_
Cumul]]*0.1599</f>
        <v>1796.3115686190158</v>
      </c>
      <c r="AS416" s="79">
        <f>MONTH(Tableau1[[#This Row],[Date]])</f>
        <v>10</v>
      </c>
      <c r="AT416" s="79">
        <f>YEAR(Tableau1[[#This Row],[Date]])</f>
        <v>2022</v>
      </c>
    </row>
    <row r="417" spans="1:46" x14ac:dyDescent="0.2">
      <c r="A417" s="74">
        <v>44845.311111111114</v>
      </c>
      <c r="B417" s="75"/>
      <c r="C417" s="76">
        <f>IF(ISERROR(Tableau1[[#This Row],[Date]]-A416),"",Tableau1[[#This Row],[Date]]-A416)</f>
        <v>0.99375000000145519</v>
      </c>
      <c r="D417" s="77">
        <f>IF(ISERROR(Tableau1[[#This Row],[Date]]-A416),"",Tableau1[[#This Row],[Date]]-A416)</f>
        <v>0.99375000000145519</v>
      </c>
      <c r="E417" s="76">
        <f>Tableau1[[#This Row],[Date]]-$A$5</f>
        <v>662.6027777777781</v>
      </c>
      <c r="F417" s="77">
        <f>Tableau1[[#This Row],[Date]]-$A$5</f>
        <v>662.6027777777781</v>
      </c>
      <c r="G417" s="77">
        <f>Tableau1[[#This Row],[Diff jour_x000D_
Cumul]]-F$6</f>
        <v>624.51944444444962</v>
      </c>
      <c r="H417" s="77">
        <f>Tableau1[[#This Row],[Diff jour_x000D_
Cumul]]-F$59</f>
        <v>602</v>
      </c>
      <c r="I417" s="78">
        <v>194025</v>
      </c>
      <c r="J417" s="79">
        <f>IF(ISERROR(Tableau1[[#This Row],[Index HP
kWh]]-I416),"",Tableau1[[#This Row],[Index HP
kWh]]-I416)</f>
        <v>7</v>
      </c>
      <c r="K417" s="77">
        <f>IF(ISERROR(Tableau1[[#This Row],[Différence HP
Instantané]]/(Tableau1[[#This Row],[Diff jour
Instantané]]*24)),"",Tableau1[[#This Row],[Différence HP
Instantané]]/(Tableau1[[#This Row],[Diff jour
Instantané]]*24))</f>
        <v>0.29350104821759954</v>
      </c>
      <c r="L417" s="77">
        <f>Tableau1[[#This Row],[Différence HP
Instantané]]/Tableau1[[#This Row],[Diff jour
Instantané]]</f>
        <v>7.0440251572223893</v>
      </c>
      <c r="M417" s="77">
        <f>Tableau1[[#This Row],[Conso HP / jour
Instantané]]*365</f>
        <v>2571.0691823861721</v>
      </c>
      <c r="N417" s="79">
        <f>Tableau1[[#This Row],[Index HP
kWh]]-$I$5</f>
        <v>14266</v>
      </c>
      <c r="O417" s="80">
        <f>Tableau1[[#This Row],[Différence HP
Cumul]]/(Tableau1[[#This Row],[Diff jour_x000D_
Cumul]]*24)</f>
        <v>0.89709353265950309</v>
      </c>
      <c r="P417" s="80">
        <f>Tableau1[[#This Row],[Différence HP
Cumul]]/Tableau1[[#This Row],[Diff jour_x000D_
Cumul]]</f>
        <v>21.530244783828074</v>
      </c>
      <c r="Q417" s="80">
        <f>Tableau1[[#This Row],[Conso HP / jour
Cumul]]*365</f>
        <v>7858.5393460972473</v>
      </c>
      <c r="R417" s="78">
        <v>125539</v>
      </c>
      <c r="S417" s="79">
        <f>Tableau1[[#This Row],[Index HC_x000D_
kWh]]-R416</f>
        <v>3</v>
      </c>
      <c r="T417" s="81">
        <f>Tableau1[[#This Row],[Différence_x000D_ HC
Instantané]]/(Tableau1[[#This Row],[Diff jour
Instantané]]*24)</f>
        <v>0.12578616352182839</v>
      </c>
      <c r="U417" s="81">
        <f>Tableau1[[#This Row],[Différence_x000D_ HC
Instantané]]/Tableau1[[#This Row],[Diff jour
Instantané]]</f>
        <v>3.0188679245238812</v>
      </c>
      <c r="V417" s="81">
        <f>Tableau1[[#This Row],[Conso HC / jour_x000D_
Instantané]]*365</f>
        <v>1101.8867924512167</v>
      </c>
      <c r="W417" s="79">
        <f>Tableau1[[#This Row],[Index HC_x000D_
kWh]]-$R$5</f>
        <v>6107</v>
      </c>
      <c r="X417" s="82">
        <f>Tableau1[[#This Row],[Différence HC
Cumul]]/(Tableau1[[#This Row],[Diff jour_x000D_
Cumul]]*24)</f>
        <v>0.38402847357013775</v>
      </c>
      <c r="Y417" s="82">
        <f>Tableau1[[#This Row],[Différence HC
Cumul]]/Tableau1[[#This Row],[Diff jour_x000D_
Cumul]]</f>
        <v>9.2166833656833074</v>
      </c>
      <c r="Z417" s="82">
        <f>Tableau1[[#This Row],[Conso HC / jour_x000D_
Cumul]]*365</f>
        <v>3364.0894284744072</v>
      </c>
      <c r="AA417" s="79">
        <f>Tableau1[[#This Row],[Différence HP
Instantané]]+Tableau1[[#This Row],[Différence_x000D_ HC
Instantané]]</f>
        <v>10</v>
      </c>
      <c r="AB417" s="80">
        <f>Tableau1[[#This Row],[Conso HP + HC
Instantané]]/(Tableau1[[#This Row],[Diff jour
Instantané]]*24)</f>
        <v>0.41928721173942796</v>
      </c>
      <c r="AC417" s="80">
        <f>IF(ISERROR(Tableau1[[#This Row],[Date]]-A416),"",Tableau1[[#This Row],[Conso HP + HC
Instantané]]/Tableau1[[#This Row],[Diff jour
Instantané]])</f>
        <v>10.062893081746271</v>
      </c>
      <c r="AD417" s="80">
        <f>Tableau1[[#This Row],[Conso HP + HC / jour_x000D_
Instantané]]*365</f>
        <v>3672.955974837389</v>
      </c>
      <c r="AE417" s="79">
        <f>Tableau1[[#This Row],[Différence HP
Cumul]]+Tableau1[[#This Row],[Différence HC
Cumul]]</f>
        <v>20373</v>
      </c>
      <c r="AF417" s="77">
        <f>(Tableau1[[#This Row],[Conso HP + HC
Cumul]]-AE$6)/Tableau1[[#This Row],[Diff jour_x000D_
Cumul
depuis le 24/01]]</f>
        <v>28.505117267943561</v>
      </c>
      <c r="AG417" s="77">
        <f>(Tableau1[[#This Row],[Conso HP + HC
Cumul]]-AE$59)/Tableau1[[#This Row],[Diff jour_x000D_
Cumul
depuis
précédente facture
16/02/2021]]</f>
        <v>26.903654485049834</v>
      </c>
      <c r="AH417" s="80">
        <f>Tableau1[[#This Row],[Conso HP + HC
Cumul]]/(Tableau1[[#This Row],[Diff jour_x000D_
Cumul]]*24)</f>
        <v>1.2811220062296409</v>
      </c>
      <c r="AI417" s="80">
        <f>Tableau1[[#This Row],[Conso HP + HC
Cumul]]/Tableau1[[#This Row],[Diff jour_x000D_
Cumul]]</f>
        <v>30.746928149511383</v>
      </c>
      <c r="AJ417" s="80">
        <f>Tableau1[[#This Row],[Conso HP + HC / jour_x000D_
Cumul]]*365</f>
        <v>11222.628774571655</v>
      </c>
      <c r="AK417" s="83">
        <f>(Tableau1[[#This Row],[Différence HP
Cumul]]*0.1799)+(Tableau1[[#This Row],[Différence HC
Cumul]]*0.1346)</f>
        <v>3388.4555999999998</v>
      </c>
      <c r="AL417" s="83">
        <f>Tableau1[[#This Row],[Montant
Tarif HP/HC]]/Tableau1[[#This Row],[Diff jour_x000D_
Cumul]]</f>
        <v>5.1138566176316438</v>
      </c>
      <c r="AM417" s="83">
        <f>(Tableau1[[#This Row],[Montant
Tarif HP/HC]]-AK$6)/Tableau1[[#This Row],[Diff jour_x000D_
Cumul
depuis le 24/01]]</f>
        <v>4.7460972214190962</v>
      </c>
      <c r="AN417" s="83">
        <f>(Tableau1[[#This Row],[Montant
Tarif HP/HC]]-AK$59)/Tableau1[[#This Row],[Diff jour_x000D_
Cumul
depuis
précédente facture
16/02/2021]]</f>
        <v>4.479222923588039</v>
      </c>
      <c r="AO417" s="83">
        <f>Tableau1[[#This Row],[Conso HP + HC
Cumul]]*0.1599</f>
        <v>3257.6426999999999</v>
      </c>
      <c r="AP417" s="83">
        <f>Tableau1[[#This Row],[Montant
Tarif normal]]/Tableau1[[#This Row],[Diff jour_x000D_
Cumul]]</f>
        <v>4.9164338111068702</v>
      </c>
      <c r="AQ417" s="83">
        <f>(Tableau1[[#This Row],[Conso HP / an
Cumul]]*0.1799)+(Tableau1[[#This Row],[Conso HC / an_x000D_
Cumul]]*0.1346)</f>
        <v>1866.55766543555</v>
      </c>
      <c r="AR417" s="83">
        <f>Tableau1[[#This Row],[Conso HP + HC / an_x000D_
Cumul]]*0.1599</f>
        <v>1794.4983410540074</v>
      </c>
      <c r="AS417" s="79">
        <f>MONTH(Tableau1[[#This Row],[Date]])</f>
        <v>10</v>
      </c>
      <c r="AT417" s="79">
        <f>YEAR(Tableau1[[#This Row],[Date]])</f>
        <v>2022</v>
      </c>
    </row>
    <row r="418" spans="1:46" x14ac:dyDescent="0.2">
      <c r="A418" s="74">
        <v>44846.364583333336</v>
      </c>
      <c r="B418" s="75"/>
      <c r="C418" s="76">
        <f>IF(ISERROR(Tableau1[[#This Row],[Date]]-A417),"",Tableau1[[#This Row],[Date]]-A417)</f>
        <v>1.0534722222218988</v>
      </c>
      <c r="D418" s="77">
        <f>IF(ISERROR(Tableau1[[#This Row],[Date]]-A417),"",Tableau1[[#This Row],[Date]]-A417)</f>
        <v>1.0534722222218988</v>
      </c>
      <c r="E418" s="76">
        <f>Tableau1[[#This Row],[Date]]-$A$5</f>
        <v>663.65625</v>
      </c>
      <c r="F418" s="77">
        <f>Tableau1[[#This Row],[Date]]-$A$5</f>
        <v>663.65625</v>
      </c>
      <c r="G418" s="77">
        <f>Tableau1[[#This Row],[Diff jour_x000D_
Cumul]]-F$6</f>
        <v>625.57291666667152</v>
      </c>
      <c r="H418" s="77">
        <f>Tableau1[[#This Row],[Diff jour_x000D_
Cumul]]-F$59</f>
        <v>603.0534722222219</v>
      </c>
      <c r="I418" s="78">
        <v>194036</v>
      </c>
      <c r="J418" s="79">
        <f>IF(ISERROR(Tableau1[[#This Row],[Index HP
kWh]]-I417),"",Tableau1[[#This Row],[Index HP
kWh]]-I417)</f>
        <v>11</v>
      </c>
      <c r="K418" s="77">
        <f>IF(ISERROR(Tableau1[[#This Row],[Différence HP
Instantané]]/(Tableau1[[#This Row],[Diff jour
Instantané]]*24)),"",Tableau1[[#This Row],[Différence HP
Instantané]]/(Tableau1[[#This Row],[Diff jour
Instantané]]*24))</f>
        <v>0.435069215557154</v>
      </c>
      <c r="L418" s="77">
        <f>Tableau1[[#This Row],[Différence HP
Instantané]]/Tableau1[[#This Row],[Diff jour
Instantané]]</f>
        <v>10.441661173371696</v>
      </c>
      <c r="M418" s="77">
        <f>Tableau1[[#This Row],[Conso HP / jour
Instantané]]*365</f>
        <v>3811.2063282806689</v>
      </c>
      <c r="N418" s="79">
        <f>Tableau1[[#This Row],[Index HP
kWh]]-$I$5</f>
        <v>14277</v>
      </c>
      <c r="O418" s="80">
        <f>Tableau1[[#This Row],[Différence HP
Cumul]]/(Tableau1[[#This Row],[Diff jour_x000D_
Cumul]]*24)</f>
        <v>0.89636012619484862</v>
      </c>
      <c r="P418" s="80">
        <f>Tableau1[[#This Row],[Différence HP
Cumul]]/Tableau1[[#This Row],[Diff jour_x000D_
Cumul]]</f>
        <v>21.512643028676365</v>
      </c>
      <c r="Q418" s="80">
        <f>Tableau1[[#This Row],[Conso HP / jour
Cumul]]*365</f>
        <v>7852.1147054668736</v>
      </c>
      <c r="R418" s="78">
        <v>125543</v>
      </c>
      <c r="S418" s="79">
        <f>Tableau1[[#This Row],[Index HC_x000D_
kWh]]-R417</f>
        <v>4</v>
      </c>
      <c r="T418" s="81">
        <f>Tableau1[[#This Row],[Différence_x000D_ HC
Instantané]]/(Tableau1[[#This Row],[Diff jour
Instantané]]*24)</f>
        <v>0.15820698747532871</v>
      </c>
      <c r="U418" s="81">
        <f>Tableau1[[#This Row],[Différence_x000D_ HC
Instantané]]/Tableau1[[#This Row],[Diff jour
Instantané]]</f>
        <v>3.7969676994078894</v>
      </c>
      <c r="V418" s="81">
        <f>Tableau1[[#This Row],[Conso HC / jour_x000D_
Instantané]]*365</f>
        <v>1385.8932102838796</v>
      </c>
      <c r="W418" s="79">
        <f>Tableau1[[#This Row],[Index HC_x000D_
kWh]]-$R$5</f>
        <v>6111</v>
      </c>
      <c r="X418" s="82">
        <f>Tableau1[[#This Row],[Différence HC
Cumul]]/(Tableau1[[#This Row],[Diff jour_x000D_
Cumul]]*24)</f>
        <v>0.38367000988840233</v>
      </c>
      <c r="Y418" s="82">
        <f>Tableau1[[#This Row],[Différence HC
Cumul]]/Tableau1[[#This Row],[Diff jour_x000D_
Cumul]]</f>
        <v>9.2080802373216564</v>
      </c>
      <c r="Z418" s="82">
        <f>Tableau1[[#This Row],[Conso HC / jour_x000D_
Cumul]]*365</f>
        <v>3360.9492866224045</v>
      </c>
      <c r="AA418" s="79">
        <f>Tableau1[[#This Row],[Différence HP
Instantané]]+Tableau1[[#This Row],[Différence_x000D_ HC
Instantané]]</f>
        <v>15</v>
      </c>
      <c r="AB418" s="80">
        <f>Tableau1[[#This Row],[Conso HP + HC
Instantané]]/(Tableau1[[#This Row],[Diff jour
Instantané]]*24)</f>
        <v>0.59327620303248274</v>
      </c>
      <c r="AC418" s="80">
        <f>IF(ISERROR(Tableau1[[#This Row],[Date]]-A417),"",Tableau1[[#This Row],[Conso HP + HC
Instantané]]/Tableau1[[#This Row],[Diff jour
Instantané]])</f>
        <v>14.238628872779586</v>
      </c>
      <c r="AD418" s="80">
        <f>Tableau1[[#This Row],[Conso HP + HC / jour_x000D_
Instantané]]*365</f>
        <v>5197.0995385645492</v>
      </c>
      <c r="AE418" s="79">
        <f>Tableau1[[#This Row],[Différence HP
Cumul]]+Tableau1[[#This Row],[Différence HC
Cumul]]</f>
        <v>20388</v>
      </c>
      <c r="AF418" s="77">
        <f>(Tableau1[[#This Row],[Conso HP + HC
Cumul]]-AE$6)/Tableau1[[#This Row],[Diff jour_x000D_
Cumul
depuis le 24/01]]</f>
        <v>28.481092332028751</v>
      </c>
      <c r="AG418" s="77">
        <f>(Tableau1[[#This Row],[Conso HP + HC
Cumul]]-AE$59)/Tableau1[[#This Row],[Diff jour_x000D_
Cumul
depuis
précédente facture
16/02/2021]]</f>
        <v>26.881529991467051</v>
      </c>
      <c r="AH418" s="80">
        <f>Tableau1[[#This Row],[Conso HP + HC
Cumul]]/(Tableau1[[#This Row],[Diff jour_x000D_
Cumul]]*24)</f>
        <v>1.2800301360832509</v>
      </c>
      <c r="AI418" s="80">
        <f>Tableau1[[#This Row],[Conso HP + HC
Cumul]]/Tableau1[[#This Row],[Diff jour_x000D_
Cumul]]</f>
        <v>30.720723265998021</v>
      </c>
      <c r="AJ418" s="80">
        <f>Tableau1[[#This Row],[Conso HP + HC / jour_x000D_
Cumul]]*365</f>
        <v>11213.063992089277</v>
      </c>
      <c r="AK418" s="83">
        <f>(Tableau1[[#This Row],[Différence HP
Cumul]]*0.1799)+(Tableau1[[#This Row],[Différence HC
Cumul]]*0.1346)</f>
        <v>3390.9728999999998</v>
      </c>
      <c r="AL418" s="83">
        <f>Tableau1[[#This Row],[Montant
Tarif HP/HC]]/Tableau1[[#This Row],[Diff jour_x000D_
Cumul]]</f>
        <v>5.1095320808023725</v>
      </c>
      <c r="AM418" s="83">
        <f>(Tableau1[[#This Row],[Montant
Tarif HP/HC]]-AK$6)/Tableau1[[#This Row],[Diff jour_x000D_
Cumul
depuis le 24/01]]</f>
        <v>4.7421287286653531</v>
      </c>
      <c r="AN418" s="83">
        <f>(Tableau1[[#This Row],[Montant
Tarif HP/HC]]-AK$59)/Tableau1[[#This Row],[Diff jour_x000D_
Cumul
depuis
précédente facture
16/02/2021]]</f>
        <v>4.4755724397942434</v>
      </c>
      <c r="AO418" s="83">
        <f>Tableau1[[#This Row],[Conso HP + HC
Cumul]]*0.1599</f>
        <v>3260.0411999999997</v>
      </c>
      <c r="AP418" s="83">
        <f>Tableau1[[#This Row],[Montant
Tarif normal]]/Tableau1[[#This Row],[Diff jour_x000D_
Cumul]]</f>
        <v>4.9122436502330835</v>
      </c>
      <c r="AQ418" s="83">
        <f>(Tableau1[[#This Row],[Conso HP / an
Cumul]]*0.1799)+(Tableau1[[#This Row],[Conso HC / an_x000D_
Cumul]]*0.1346)</f>
        <v>1864.9792094928662</v>
      </c>
      <c r="AR418" s="83">
        <f>Tableau1[[#This Row],[Conso HP + HC / an_x000D_
Cumul]]*0.1599</f>
        <v>1792.9689323350754</v>
      </c>
      <c r="AS418" s="79">
        <f>MONTH(Tableau1[[#This Row],[Date]])</f>
        <v>10</v>
      </c>
      <c r="AT418" s="79">
        <f>YEAR(Tableau1[[#This Row],[Date]])</f>
        <v>2022</v>
      </c>
    </row>
    <row r="419" spans="1:46" x14ac:dyDescent="0.2">
      <c r="A419" s="74">
        <v>44847.3</v>
      </c>
      <c r="B419" s="75"/>
      <c r="C419" s="76">
        <f>IF(ISERROR(Tableau1[[#This Row],[Date]]-A418),"",Tableau1[[#This Row],[Date]]-A418)</f>
        <v>0.93541666666715173</v>
      </c>
      <c r="D419" s="77">
        <f>IF(ISERROR(Tableau1[[#This Row],[Date]]-A418),"",Tableau1[[#This Row],[Date]]-A418)</f>
        <v>0.93541666666715173</v>
      </c>
      <c r="E419" s="76">
        <f>Tableau1[[#This Row],[Date]]-$A$5</f>
        <v>664.59166666666715</v>
      </c>
      <c r="F419" s="77">
        <f>Tableau1[[#This Row],[Date]]-$A$5</f>
        <v>664.59166666666715</v>
      </c>
      <c r="G419" s="77">
        <f>Tableau1[[#This Row],[Diff jour_x000D_
Cumul]]-F$6</f>
        <v>626.50833333333867</v>
      </c>
      <c r="H419" s="77">
        <f>Tableau1[[#This Row],[Diff jour_x000D_
Cumul]]-F$59</f>
        <v>603.98888888888905</v>
      </c>
      <c r="I419" s="78">
        <v>194045</v>
      </c>
      <c r="J419" s="79">
        <f>IF(ISERROR(Tableau1[[#This Row],[Index HP
kWh]]-I418),"",Tableau1[[#This Row],[Index HP
kWh]]-I418)</f>
        <v>9</v>
      </c>
      <c r="K419" s="77">
        <f>IF(ISERROR(Tableau1[[#This Row],[Différence HP
Instantané]]/(Tableau1[[#This Row],[Diff jour
Instantané]]*24)),"",Tableau1[[#This Row],[Différence HP
Instantané]]/(Tableau1[[#This Row],[Diff jour
Instantané]]*24))</f>
        <v>0.40089086859667405</v>
      </c>
      <c r="L419" s="77">
        <f>Tableau1[[#This Row],[Différence HP
Instantané]]/Tableau1[[#This Row],[Diff jour
Instantané]]</f>
        <v>9.6213808463201786</v>
      </c>
      <c r="M419" s="77">
        <f>Tableau1[[#This Row],[Conso HP / jour
Instantané]]*365</f>
        <v>3511.8040089068654</v>
      </c>
      <c r="N419" s="79">
        <f>Tableau1[[#This Row],[Index HP
kWh]]-$I$5</f>
        <v>14286</v>
      </c>
      <c r="O419" s="80">
        <f>Tableau1[[#This Row],[Différence HP
Cumul]]/(Tableau1[[#This Row],[Diff jour_x000D_
Cumul]]*24)</f>
        <v>0.89566275031034026</v>
      </c>
      <c r="P419" s="80">
        <f>Tableau1[[#This Row],[Différence HP
Cumul]]/Tableau1[[#This Row],[Diff jour_x000D_
Cumul]]</f>
        <v>21.495906007448166</v>
      </c>
      <c r="Q419" s="80">
        <f>Tableau1[[#This Row],[Conso HP / jour
Cumul]]*365</f>
        <v>7846.0056927185806</v>
      </c>
      <c r="R419" s="78">
        <v>125545</v>
      </c>
      <c r="S419" s="79">
        <f>Tableau1[[#This Row],[Index HC_x000D_
kWh]]-R418</f>
        <v>2</v>
      </c>
      <c r="T419" s="81">
        <f>Tableau1[[#This Row],[Différence_x000D_ HC
Instantané]]/(Tableau1[[#This Row],[Diff jour
Instantané]]*24)</f>
        <v>8.9086859688149792E-2</v>
      </c>
      <c r="U419" s="81">
        <f>Tableau1[[#This Row],[Différence_x000D_ HC
Instantané]]/Tableau1[[#This Row],[Diff jour
Instantané]]</f>
        <v>2.1380846325155951</v>
      </c>
      <c r="V419" s="81">
        <f>Tableau1[[#This Row],[Conso HC / jour_x000D_
Instantané]]*365</f>
        <v>780.40089086819216</v>
      </c>
      <c r="W419" s="79">
        <f>Tableau1[[#This Row],[Index HC_x000D_
kWh]]-$R$5</f>
        <v>6113</v>
      </c>
      <c r="X419" s="82">
        <f>Tableau1[[#This Row],[Différence HC
Cumul]]/(Tableau1[[#This Row],[Diff jour_x000D_
Cumul]]*24)</f>
        <v>0.38325538237765017</v>
      </c>
      <c r="Y419" s="82">
        <f>Tableau1[[#This Row],[Différence HC
Cumul]]/Tableau1[[#This Row],[Diff jour_x000D_
Cumul]]</f>
        <v>9.1981291770636044</v>
      </c>
      <c r="Z419" s="82">
        <f>Tableau1[[#This Row],[Conso HC / jour_x000D_
Cumul]]*365</f>
        <v>3357.3171496282157</v>
      </c>
      <c r="AA419" s="79">
        <f>Tableau1[[#This Row],[Différence HP
Instantané]]+Tableau1[[#This Row],[Différence_x000D_ HC
Instantané]]</f>
        <v>11</v>
      </c>
      <c r="AB419" s="80">
        <f>Tableau1[[#This Row],[Conso HP + HC
Instantané]]/(Tableau1[[#This Row],[Diff jour
Instantané]]*24)</f>
        <v>0.48997772828482389</v>
      </c>
      <c r="AC419" s="80">
        <f>IF(ISERROR(Tableau1[[#This Row],[Date]]-A418),"",Tableau1[[#This Row],[Conso HP + HC
Instantané]]/Tableau1[[#This Row],[Diff jour
Instantané]])</f>
        <v>11.759465478835773</v>
      </c>
      <c r="AD419" s="80">
        <f>Tableau1[[#This Row],[Conso HP + HC / jour_x000D_
Instantané]]*365</f>
        <v>4292.2048997750571</v>
      </c>
      <c r="AE419" s="79">
        <f>Tableau1[[#This Row],[Différence HP
Cumul]]+Tableau1[[#This Row],[Différence HC
Cumul]]</f>
        <v>20399</v>
      </c>
      <c r="AF419" s="77">
        <f>(Tableau1[[#This Row],[Conso HP + HC
Cumul]]-AE$6)/Tableau1[[#This Row],[Diff jour_x000D_
Cumul
depuis le 24/01]]</f>
        <v>28.456125882869099</v>
      </c>
      <c r="AG419" s="77">
        <f>(Tableau1[[#This Row],[Conso HP + HC
Cumul]]-AE$59)/Tableau1[[#This Row],[Diff jour_x000D_
Cumul
depuis
précédente facture
16/02/2021]]</f>
        <v>26.858109972589627</v>
      </c>
      <c r="AH419" s="80">
        <f>Tableau1[[#This Row],[Conso HP + HC
Cumul]]/(Tableau1[[#This Row],[Diff jour_x000D_
Cumul]]*24)</f>
        <v>1.2789181326879904</v>
      </c>
      <c r="AI419" s="80">
        <f>Tableau1[[#This Row],[Conso HP + HC
Cumul]]/Tableau1[[#This Row],[Diff jour_x000D_
Cumul]]</f>
        <v>30.694035184511769</v>
      </c>
      <c r="AJ419" s="80">
        <f>Tableau1[[#This Row],[Conso HP + HC / jour_x000D_
Cumul]]*365</f>
        <v>11203.322842346795</v>
      </c>
      <c r="AK419" s="83">
        <f>(Tableau1[[#This Row],[Différence HP
Cumul]]*0.1799)+(Tableau1[[#This Row],[Différence HC
Cumul]]*0.1346)</f>
        <v>3392.8612000000003</v>
      </c>
      <c r="AL419" s="83">
        <f>Tableau1[[#This Row],[Montant
Tarif HP/HC]]/Tableau1[[#This Row],[Diff jour_x000D_
Cumul]]</f>
        <v>5.1051816779726868</v>
      </c>
      <c r="AM419" s="83">
        <f>(Tableau1[[#This Row],[Montant
Tarif HP/HC]]-AK$6)/Tableau1[[#This Row],[Diff jour_x000D_
Cumul
depuis le 24/01]]</f>
        <v>4.7380624359877759</v>
      </c>
      <c r="AN419" s="83">
        <f>(Tableau1[[#This Row],[Montant
Tarif HP/HC]]-AK$59)/Tableau1[[#This Row],[Diff jour_x000D_
Cumul
depuis
précédente facture
16/02/2021]]</f>
        <v>4.4717673614304889</v>
      </c>
      <c r="AO419" s="83">
        <f>Tableau1[[#This Row],[Conso HP + HC
Cumul]]*0.1599</f>
        <v>3261.8000999999999</v>
      </c>
      <c r="AP419" s="83">
        <f>Tableau1[[#This Row],[Montant
Tarif normal]]/Tableau1[[#This Row],[Diff jour_x000D_
Cumul]]</f>
        <v>4.9079762260034316</v>
      </c>
      <c r="AQ419" s="83">
        <f>(Tableau1[[#This Row],[Conso HP / an
Cumul]]*0.1799)+(Tableau1[[#This Row],[Conso HC / an_x000D_
Cumul]]*0.1346)</f>
        <v>1863.3913124600306</v>
      </c>
      <c r="AR419" s="83">
        <f>Tableau1[[#This Row],[Conso HP + HC / an_x000D_
Cumul]]*0.1599</f>
        <v>1791.4113224912523</v>
      </c>
      <c r="AS419" s="79">
        <f>MONTH(Tableau1[[#This Row],[Date]])</f>
        <v>10</v>
      </c>
      <c r="AT419" s="79">
        <f>YEAR(Tableau1[[#This Row],[Date]])</f>
        <v>2022</v>
      </c>
    </row>
    <row r="420" spans="1:46" x14ac:dyDescent="0.2">
      <c r="A420" s="74">
        <v>44848.30972222222</v>
      </c>
      <c r="B420" s="75"/>
      <c r="C420" s="76">
        <f>IF(ISERROR(Tableau1[[#This Row],[Date]]-A419),"",Tableau1[[#This Row],[Date]]-A419)</f>
        <v>1.0097222222175333</v>
      </c>
      <c r="D420" s="77">
        <f>IF(ISERROR(Tableau1[[#This Row],[Date]]-A419),"",Tableau1[[#This Row],[Date]]-A419)</f>
        <v>1.0097222222175333</v>
      </c>
      <c r="E420" s="76">
        <f>Tableau1[[#This Row],[Date]]-$A$5</f>
        <v>665.60138888888469</v>
      </c>
      <c r="F420" s="77">
        <f>Tableau1[[#This Row],[Date]]-$A$5</f>
        <v>665.60138888888469</v>
      </c>
      <c r="G420" s="77">
        <f>Tableau1[[#This Row],[Diff jour_x000D_
Cumul]]-F$6</f>
        <v>627.5180555555562</v>
      </c>
      <c r="H420" s="77">
        <f>Tableau1[[#This Row],[Diff jour_x000D_
Cumul]]-F$59</f>
        <v>604.99861111110658</v>
      </c>
      <c r="I420" s="78">
        <v>194051</v>
      </c>
      <c r="J420" s="79">
        <f>IF(ISERROR(Tableau1[[#This Row],[Index HP
kWh]]-I419),"",Tableau1[[#This Row],[Index HP
kWh]]-I419)</f>
        <v>6</v>
      </c>
      <c r="K420" s="77">
        <f>IF(ISERROR(Tableau1[[#This Row],[Différence HP
Instantané]]/(Tableau1[[#This Row],[Diff jour
Instantané]]*24)),"",Tableau1[[#This Row],[Différence HP
Instantané]]/(Tableau1[[#This Row],[Diff jour
Instantané]]*24))</f>
        <v>0.24759284731889392</v>
      </c>
      <c r="L420" s="77">
        <f>Tableau1[[#This Row],[Différence HP
Instantané]]/Tableau1[[#This Row],[Diff jour
Instantané]]</f>
        <v>5.9422283356534544</v>
      </c>
      <c r="M420" s="77">
        <f>Tableau1[[#This Row],[Conso HP / jour
Instantané]]*365</f>
        <v>2168.913342513511</v>
      </c>
      <c r="N420" s="79">
        <f>Tableau1[[#This Row],[Index HP
kWh]]-$I$5</f>
        <v>14292</v>
      </c>
      <c r="O420" s="80">
        <f>Tableau1[[#This Row],[Différence HP
Cumul]]/(Tableau1[[#This Row],[Diff jour_x000D_
Cumul]]*24)</f>
        <v>0.89467962348169405</v>
      </c>
      <c r="P420" s="80">
        <f>Tableau1[[#This Row],[Différence HP
Cumul]]/Tableau1[[#This Row],[Diff jour_x000D_
Cumul]]</f>
        <v>21.472310963560659</v>
      </c>
      <c r="Q420" s="80">
        <f>Tableau1[[#This Row],[Conso HP / jour
Cumul]]*365</f>
        <v>7837.3935016996402</v>
      </c>
      <c r="R420" s="78">
        <v>125549</v>
      </c>
      <c r="S420" s="79">
        <f>Tableau1[[#This Row],[Index HC_x000D_
kWh]]-R419</f>
        <v>4</v>
      </c>
      <c r="T420" s="81">
        <f>Tableau1[[#This Row],[Différence_x000D_ HC
Instantané]]/(Tableau1[[#This Row],[Diff jour
Instantané]]*24)</f>
        <v>0.16506189821259595</v>
      </c>
      <c r="U420" s="81">
        <f>Tableau1[[#This Row],[Différence_x000D_ HC
Instantané]]/Tableau1[[#This Row],[Diff jour
Instantané]]</f>
        <v>3.9614855571023027</v>
      </c>
      <c r="V420" s="81">
        <f>Tableau1[[#This Row],[Conso HC / jour_x000D_
Instantané]]*365</f>
        <v>1445.9422283423405</v>
      </c>
      <c r="W420" s="79">
        <f>Tableau1[[#This Row],[Index HC_x000D_
kWh]]-$R$5</f>
        <v>6117</v>
      </c>
      <c r="X420" s="82">
        <f>Tableau1[[#This Row],[Différence HC
Cumul]]/(Tableau1[[#This Row],[Diff jour_x000D_
Cumul]]*24)</f>
        <v>0.38292438125087619</v>
      </c>
      <c r="Y420" s="82">
        <f>Tableau1[[#This Row],[Différence HC
Cumul]]/Tableau1[[#This Row],[Diff jour_x000D_
Cumul]]</f>
        <v>9.1901851500210299</v>
      </c>
      <c r="Z420" s="82">
        <f>Tableau1[[#This Row],[Conso HC / jour_x000D_
Cumul]]*365</f>
        <v>3354.4175797576759</v>
      </c>
      <c r="AA420" s="79">
        <f>Tableau1[[#This Row],[Différence HP
Instantané]]+Tableau1[[#This Row],[Différence_x000D_ HC
Instantané]]</f>
        <v>10</v>
      </c>
      <c r="AB420" s="80">
        <f>Tableau1[[#This Row],[Conso HP + HC
Instantané]]/(Tableau1[[#This Row],[Diff jour
Instantané]]*24)</f>
        <v>0.4126547455314899</v>
      </c>
      <c r="AC420" s="80">
        <f>IF(ISERROR(Tableau1[[#This Row],[Date]]-A419),"",Tableau1[[#This Row],[Conso HP + HC
Instantané]]/Tableau1[[#This Row],[Diff jour
Instantané]])</f>
        <v>9.9037138927557571</v>
      </c>
      <c r="AD420" s="80">
        <f>Tableau1[[#This Row],[Conso HP + HC / jour_x000D_
Instantané]]*365</f>
        <v>3614.8555708558515</v>
      </c>
      <c r="AE420" s="79">
        <f>Tableau1[[#This Row],[Différence HP
Cumul]]+Tableau1[[#This Row],[Différence HC
Cumul]]</f>
        <v>20409</v>
      </c>
      <c r="AF420" s="77">
        <f>(Tableau1[[#This Row],[Conso HP + HC
Cumul]]-AE$6)/Tableau1[[#This Row],[Diff jour_x000D_
Cumul
depuis le 24/01]]</f>
        <v>28.426273701730555</v>
      </c>
      <c r="AG420" s="77">
        <f>(Tableau1[[#This Row],[Conso HP + HC
Cumul]]-AE$59)/Tableau1[[#This Row],[Diff jour_x000D_
Cumul
depuis
précédente facture
16/02/2021]]</f>
        <v>26.829813658892899</v>
      </c>
      <c r="AH420" s="80">
        <f>Tableau1[[#This Row],[Conso HP + HC
Cumul]]/(Tableau1[[#This Row],[Diff jour_x000D_
Cumul]]*24)</f>
        <v>1.2776040047325703</v>
      </c>
      <c r="AI420" s="80">
        <f>Tableau1[[#This Row],[Conso HP + HC
Cumul]]/Tableau1[[#This Row],[Diff jour_x000D_
Cumul]]</f>
        <v>30.662496113581689</v>
      </c>
      <c r="AJ420" s="80">
        <f>Tableau1[[#This Row],[Conso HP + HC / jour_x000D_
Cumul]]*365</f>
        <v>11191.811081457316</v>
      </c>
      <c r="AK420" s="83">
        <f>(Tableau1[[#This Row],[Différence HP
Cumul]]*0.1799)+(Tableau1[[#This Row],[Différence HC
Cumul]]*0.1346)</f>
        <v>3394.4789999999998</v>
      </c>
      <c r="AL420" s="83">
        <f>Tableau1[[#This Row],[Montant
Tarif HP/HC]]/Tableau1[[#This Row],[Diff jour_x000D_
Cumul]]</f>
        <v>5.0998676635373927</v>
      </c>
      <c r="AM420" s="83">
        <f>(Tableau1[[#This Row],[Montant
Tarif HP/HC]]-AK$6)/Tableau1[[#This Row],[Diff jour_x000D_
Cumul
depuis le 24/01]]</f>
        <v>4.7330166418407567</v>
      </c>
      <c r="AN420" s="83">
        <f>(Tableau1[[#This Row],[Montant
Tarif HP/HC]]-AK$59)/Tableau1[[#This Row],[Diff jour_x000D_
Cumul
depuis
précédente facture
16/02/2021]]</f>
        <v>4.4669781886551956</v>
      </c>
      <c r="AO420" s="83">
        <f>Tableau1[[#This Row],[Conso HP + HC
Cumul]]*0.1599</f>
        <v>3263.3990999999996</v>
      </c>
      <c r="AP420" s="83">
        <f>Tableau1[[#This Row],[Montant
Tarif normal]]/Tableau1[[#This Row],[Diff jour_x000D_
Cumul]]</f>
        <v>4.9029331285617115</v>
      </c>
      <c r="AQ420" s="83">
        <f>(Tableau1[[#This Row],[Conso HP / an
Cumul]]*0.1799)+(Tableau1[[#This Row],[Conso HC / an_x000D_
Cumul]]*0.1346)</f>
        <v>1861.4516971911485</v>
      </c>
      <c r="AR420" s="83">
        <f>Tableau1[[#This Row],[Conso HP + HC / an_x000D_
Cumul]]*0.1599</f>
        <v>1789.5705919250247</v>
      </c>
      <c r="AS420" s="79">
        <f>MONTH(Tableau1[[#This Row],[Date]])</f>
        <v>10</v>
      </c>
      <c r="AT420" s="79">
        <f>YEAR(Tableau1[[#This Row],[Date]])</f>
        <v>2022</v>
      </c>
    </row>
    <row r="421" spans="1:46" x14ac:dyDescent="0.2">
      <c r="A421" s="74">
        <v>44849.548611111109</v>
      </c>
      <c r="B421" s="75"/>
      <c r="C421" s="76">
        <f>IF(ISERROR(Tableau1[[#This Row],[Date]]-A420),"",Tableau1[[#This Row],[Date]]-A420)</f>
        <v>1.2388888888890506</v>
      </c>
      <c r="D421" s="77">
        <f>IF(ISERROR(Tableau1[[#This Row],[Date]]-A420),"",Tableau1[[#This Row],[Date]]-A420)</f>
        <v>1.2388888888890506</v>
      </c>
      <c r="E421" s="76">
        <f>Tableau1[[#This Row],[Date]]-$A$5</f>
        <v>666.84027777777374</v>
      </c>
      <c r="F421" s="77">
        <f>Tableau1[[#This Row],[Date]]-$A$5</f>
        <v>666.84027777777374</v>
      </c>
      <c r="G421" s="77">
        <f>Tableau1[[#This Row],[Diff jour_x000D_
Cumul]]-F$6</f>
        <v>628.75694444444525</v>
      </c>
      <c r="H421" s="77">
        <f>Tableau1[[#This Row],[Diff jour_x000D_
Cumul]]-F$59</f>
        <v>606.23749999999563</v>
      </c>
      <c r="I421" s="78">
        <v>194060</v>
      </c>
      <c r="J421" s="79">
        <f>IF(ISERROR(Tableau1[[#This Row],[Index HP
kWh]]-I420),"",Tableau1[[#This Row],[Index HP
kWh]]-I420)</f>
        <v>9</v>
      </c>
      <c r="K421" s="77">
        <f>IF(ISERROR(Tableau1[[#This Row],[Différence HP
Instantané]]/(Tableau1[[#This Row],[Diff jour
Instantané]]*24)),"",Tableau1[[#This Row],[Différence HP
Instantané]]/(Tableau1[[#This Row],[Diff jour
Instantané]]*24))</f>
        <v>0.30269058295960177</v>
      </c>
      <c r="L421" s="77">
        <f>Tableau1[[#This Row],[Différence HP
Instantané]]/Tableau1[[#This Row],[Diff jour
Instantané]]</f>
        <v>7.2645739910304421</v>
      </c>
      <c r="M421" s="77">
        <f>Tableau1[[#This Row],[Conso HP / jour
Instantané]]*365</f>
        <v>2651.5695067261113</v>
      </c>
      <c r="N421" s="79">
        <f>Tableau1[[#This Row],[Index HP
kWh]]-$I$5</f>
        <v>14301</v>
      </c>
      <c r="O421" s="80">
        <f>Tableau1[[#This Row],[Différence HP
Cumul]]/(Tableau1[[#This Row],[Diff jour_x000D_
Cumul]]*24)</f>
        <v>0.8935797969278888</v>
      </c>
      <c r="P421" s="80">
        <f>Tableau1[[#This Row],[Différence HP
Cumul]]/Tableau1[[#This Row],[Diff jour_x000D_
Cumul]]</f>
        <v>21.44591512626933</v>
      </c>
      <c r="Q421" s="80">
        <f>Tableau1[[#This Row],[Conso HP / jour
Cumul]]*365</f>
        <v>7827.7590210883054</v>
      </c>
      <c r="R421" s="78">
        <v>125552</v>
      </c>
      <c r="S421" s="79">
        <f>Tableau1[[#This Row],[Index HC_x000D_
kWh]]-R420</f>
        <v>3</v>
      </c>
      <c r="T421" s="81">
        <f>Tableau1[[#This Row],[Différence_x000D_ HC
Instantané]]/(Tableau1[[#This Row],[Diff jour
Instantané]]*24)</f>
        <v>0.10089686098653391</v>
      </c>
      <c r="U421" s="81">
        <f>Tableau1[[#This Row],[Différence_x000D_ HC
Instantané]]/Tableau1[[#This Row],[Diff jour
Instantané]]</f>
        <v>2.4215246636768142</v>
      </c>
      <c r="V421" s="81">
        <f>Tableau1[[#This Row],[Conso HC / jour_x000D_
Instantané]]*365</f>
        <v>883.85650224203721</v>
      </c>
      <c r="W421" s="79">
        <f>Tableau1[[#This Row],[Index HC_x000D_
kWh]]-$R$5</f>
        <v>6120</v>
      </c>
      <c r="X421" s="82">
        <f>Tableau1[[#This Row],[Différence HC
Cumul]]/(Tableau1[[#This Row],[Diff jour_x000D_
Cumul]]*24)</f>
        <v>0.38240041655819029</v>
      </c>
      <c r="Y421" s="82">
        <f>Tableau1[[#This Row],[Différence HC
Cumul]]/Tableau1[[#This Row],[Diff jour_x000D_
Cumul]]</f>
        <v>9.1776099973965675</v>
      </c>
      <c r="Z421" s="82">
        <f>Tableau1[[#This Row],[Conso HC / jour_x000D_
Cumul]]*365</f>
        <v>3349.8276490497469</v>
      </c>
      <c r="AA421" s="79">
        <f>Tableau1[[#This Row],[Différence HP
Instantané]]+Tableau1[[#This Row],[Différence_x000D_ HC
Instantané]]</f>
        <v>12</v>
      </c>
      <c r="AB421" s="80">
        <f>Tableau1[[#This Row],[Conso HP + HC
Instantané]]/(Tableau1[[#This Row],[Diff jour
Instantané]]*24)</f>
        <v>0.40358744394613566</v>
      </c>
      <c r="AC421" s="80">
        <f>IF(ISERROR(Tableau1[[#This Row],[Date]]-A420),"",Tableau1[[#This Row],[Conso HP + HC
Instantané]]/Tableau1[[#This Row],[Diff jour
Instantané]])</f>
        <v>9.6860986547072567</v>
      </c>
      <c r="AD421" s="80">
        <f>Tableau1[[#This Row],[Conso HP + HC / jour_x000D_
Instantané]]*365</f>
        <v>3535.4260089681488</v>
      </c>
      <c r="AE421" s="79">
        <f>Tableau1[[#This Row],[Différence HP
Cumul]]+Tableau1[[#This Row],[Différence HC
Cumul]]</f>
        <v>20421</v>
      </c>
      <c r="AF421" s="77">
        <f>(Tableau1[[#This Row],[Conso HP + HC
Cumul]]-AE$6)/Tableau1[[#This Row],[Diff jour_x000D_
Cumul
depuis le 24/01]]</f>
        <v>28.38934847196294</v>
      </c>
      <c r="AG421" s="77">
        <f>(Tableau1[[#This Row],[Conso HP + HC
Cumul]]-AE$59)/Tableau1[[#This Row],[Diff jour_x000D_
Cumul
depuis
précédente facture
16/02/2021]]</f>
        <v>26.794779273799652</v>
      </c>
      <c r="AH421" s="80">
        <f>Tableau1[[#This Row],[Conso HP + HC
Cumul]]/(Tableau1[[#This Row],[Diff jour_x000D_
Cumul]]*24)</f>
        <v>1.2759802134860792</v>
      </c>
      <c r="AI421" s="80">
        <f>Tableau1[[#This Row],[Conso HP + HC
Cumul]]/Tableau1[[#This Row],[Diff jour_x000D_
Cumul]]</f>
        <v>30.623525123665896</v>
      </c>
      <c r="AJ421" s="80">
        <f>Tableau1[[#This Row],[Conso HP + HC / jour_x000D_
Cumul]]*365</f>
        <v>11177.586670138053</v>
      </c>
      <c r="AK421" s="83">
        <f>(Tableau1[[#This Row],[Différence HP
Cumul]]*0.1799)+(Tableau1[[#This Row],[Différence HC
Cumul]]*0.1346)</f>
        <v>3396.5019000000002</v>
      </c>
      <c r="AL421" s="83">
        <f>Tableau1[[#This Row],[Montant
Tarif HP/HC]]/Tableau1[[#This Row],[Diff jour_x000D_
Cumul]]</f>
        <v>5.093426436865431</v>
      </c>
      <c r="AM421" s="83">
        <f>(Tableau1[[#This Row],[Montant
Tarif HP/HC]]-AK$6)/Tableau1[[#This Row],[Diff jour_x000D_
Cumul
depuis le 24/01]]</f>
        <v>4.7269081101379431</v>
      </c>
      <c r="AN421" s="83">
        <f>(Tableau1[[#This Row],[Montant
Tarif HP/HC]]-AK$59)/Tableau1[[#This Row],[Diff jour_x000D_
Cumul
depuis
précédente facture
16/02/2021]]</f>
        <v>4.4611864162148001</v>
      </c>
      <c r="AO421" s="83">
        <f>Tableau1[[#This Row],[Conso HP + HC
Cumul]]*0.1599</f>
        <v>3265.3178999999996</v>
      </c>
      <c r="AP421" s="83">
        <f>Tableau1[[#This Row],[Montant
Tarif normal]]/Tableau1[[#This Row],[Diff jour_x000D_
Cumul]]</f>
        <v>4.8967016672741766</v>
      </c>
      <c r="AQ421" s="83">
        <f>(Tableau1[[#This Row],[Conso HP / an
Cumul]]*0.1799)+(Tableau1[[#This Row],[Conso HC / an_x000D_
Cumul]]*0.1346)</f>
        <v>1859.1006494558819</v>
      </c>
      <c r="AR421" s="83">
        <f>Tableau1[[#This Row],[Conso HP + HC / an_x000D_
Cumul]]*0.1599</f>
        <v>1787.2961085550744</v>
      </c>
      <c r="AS421" s="79">
        <f>MONTH(Tableau1[[#This Row],[Date]])</f>
        <v>10</v>
      </c>
      <c r="AT421" s="79">
        <f>YEAR(Tableau1[[#This Row],[Date]])</f>
        <v>2022</v>
      </c>
    </row>
    <row r="422" spans="1:46" x14ac:dyDescent="0.2">
      <c r="A422" s="74">
        <v>44850.394444444442</v>
      </c>
      <c r="B422" s="75"/>
      <c r="C422" s="76">
        <f>IF(ISERROR(Tableau1[[#This Row],[Date]]-A421),"",Tableau1[[#This Row],[Date]]-A421)</f>
        <v>0.84583333333284827</v>
      </c>
      <c r="D422" s="77">
        <f>IF(ISERROR(Tableau1[[#This Row],[Date]]-A421),"",Tableau1[[#This Row],[Date]]-A421)</f>
        <v>0.84583333333284827</v>
      </c>
      <c r="E422" s="76">
        <f>Tableau1[[#This Row],[Date]]-$A$5</f>
        <v>667.68611111110658</v>
      </c>
      <c r="F422" s="77">
        <f>Tableau1[[#This Row],[Date]]-$A$5</f>
        <v>667.68611111110658</v>
      </c>
      <c r="G422" s="77">
        <f>Tableau1[[#This Row],[Diff jour_x000D_
Cumul]]-F$6</f>
        <v>629.6027777777781</v>
      </c>
      <c r="H422" s="77">
        <f>Tableau1[[#This Row],[Diff jour_x000D_
Cumul]]-F$59</f>
        <v>607.08333333332848</v>
      </c>
      <c r="I422" s="78">
        <v>194066</v>
      </c>
      <c r="J422" s="79">
        <f>IF(ISERROR(Tableau1[[#This Row],[Index HP
kWh]]-I421),"",Tableau1[[#This Row],[Index HP
kWh]]-I421)</f>
        <v>6</v>
      </c>
      <c r="K422" s="77">
        <f>IF(ISERROR(Tableau1[[#This Row],[Différence HP
Instantané]]/(Tableau1[[#This Row],[Diff jour
Instantané]]*24)),"",Tableau1[[#This Row],[Différence HP
Instantané]]/(Tableau1[[#This Row],[Diff jour
Instantané]]*24))</f>
        <v>0.29556650246322369</v>
      </c>
      <c r="L422" s="77">
        <f>Tableau1[[#This Row],[Différence HP
Instantané]]/Tableau1[[#This Row],[Diff jour
Instantané]]</f>
        <v>7.0935960591173686</v>
      </c>
      <c r="M422" s="77">
        <f>Tableau1[[#This Row],[Conso HP / jour
Instantané]]*365</f>
        <v>2589.1625615778394</v>
      </c>
      <c r="N422" s="79">
        <f>Tableau1[[#This Row],[Index HP
kWh]]-$I$5</f>
        <v>14307</v>
      </c>
      <c r="O422" s="80">
        <f>Tableau1[[#This Row],[Différence HP
Cumul]]/(Tableau1[[#This Row],[Diff jour_x000D_
Cumul]]*24)</f>
        <v>0.89282222601272831</v>
      </c>
      <c r="P422" s="80">
        <f>Tableau1[[#This Row],[Différence HP
Cumul]]/Tableau1[[#This Row],[Diff jour_x000D_
Cumul]]</f>
        <v>21.42773342430548</v>
      </c>
      <c r="Q422" s="80">
        <f>Tableau1[[#This Row],[Conso HP / jour
Cumul]]*365</f>
        <v>7821.1226998715001</v>
      </c>
      <c r="R422" s="78">
        <v>125554</v>
      </c>
      <c r="S422" s="79">
        <f>Tableau1[[#This Row],[Index HC_x000D_
kWh]]-R421</f>
        <v>2</v>
      </c>
      <c r="T422" s="81">
        <f>Tableau1[[#This Row],[Différence_x000D_ HC
Instantané]]/(Tableau1[[#This Row],[Diff jour
Instantané]]*24)</f>
        <v>9.852216748774123E-2</v>
      </c>
      <c r="U422" s="81">
        <f>Tableau1[[#This Row],[Différence_x000D_ HC
Instantané]]/Tableau1[[#This Row],[Diff jour
Instantané]]</f>
        <v>2.3645320197057895</v>
      </c>
      <c r="V422" s="81">
        <f>Tableau1[[#This Row],[Conso HC / jour_x000D_
Instantané]]*365</f>
        <v>863.0541871926132</v>
      </c>
      <c r="W422" s="79">
        <f>Tableau1[[#This Row],[Index HC_x000D_
kWh]]-$R$5</f>
        <v>6122</v>
      </c>
      <c r="X422" s="82">
        <f>Tableau1[[#This Row],[Différence HC
Cumul]]/(Tableau1[[#This Row],[Diff jour_x000D_
Cumul]]*24)</f>
        <v>0.38204079594952978</v>
      </c>
      <c r="Y422" s="82">
        <f>Tableau1[[#This Row],[Différence HC
Cumul]]/Tableau1[[#This Row],[Diff jour_x000D_
Cumul]]</f>
        <v>9.1689791027887146</v>
      </c>
      <c r="Z422" s="82">
        <f>Tableau1[[#This Row],[Conso HC / jour_x000D_
Cumul]]*365</f>
        <v>3346.6773725178809</v>
      </c>
      <c r="AA422" s="79">
        <f>Tableau1[[#This Row],[Différence HP
Instantané]]+Tableau1[[#This Row],[Différence_x000D_ HC
Instantané]]</f>
        <v>8</v>
      </c>
      <c r="AB422" s="80">
        <f>Tableau1[[#This Row],[Conso HP + HC
Instantané]]/(Tableau1[[#This Row],[Diff jour
Instantané]]*24)</f>
        <v>0.39408866995096492</v>
      </c>
      <c r="AC422" s="80">
        <f>IF(ISERROR(Tableau1[[#This Row],[Date]]-A421),"",Tableau1[[#This Row],[Conso HP + HC
Instantané]]/Tableau1[[#This Row],[Diff jour
Instantané]])</f>
        <v>9.4581280788231581</v>
      </c>
      <c r="AD422" s="80">
        <f>Tableau1[[#This Row],[Conso HP + HC / jour_x000D_
Instantané]]*365</f>
        <v>3452.2167487704528</v>
      </c>
      <c r="AE422" s="79">
        <f>Tableau1[[#This Row],[Différence HP
Cumul]]+Tableau1[[#This Row],[Différence HC
Cumul]]</f>
        <v>20429</v>
      </c>
      <c r="AF422" s="77">
        <f>(Tableau1[[#This Row],[Conso HP + HC
Cumul]]-AE$6)/Tableau1[[#This Row],[Diff jour_x000D_
Cumul
depuis le 24/01]]</f>
        <v>28.363915519926572</v>
      </c>
      <c r="AG422" s="77">
        <f>(Tableau1[[#This Row],[Conso HP + HC
Cumul]]-AE$59)/Tableau1[[#This Row],[Diff jour_x000D_
Cumul
depuis
précédente facture
16/02/2021]]</f>
        <v>26.770624571036588</v>
      </c>
      <c r="AH422" s="80">
        <f>Tableau1[[#This Row],[Conso HP + HC
Cumul]]/(Tableau1[[#This Row],[Diff jour_x000D_
Cumul]]*24)</f>
        <v>1.2748630219622581</v>
      </c>
      <c r="AI422" s="80">
        <f>Tableau1[[#This Row],[Conso HP + HC
Cumul]]/Tableau1[[#This Row],[Diff jour_x000D_
Cumul]]</f>
        <v>30.596712527094194</v>
      </c>
      <c r="AJ422" s="80">
        <f>Tableau1[[#This Row],[Conso HP + HC / jour_x000D_
Cumul]]*365</f>
        <v>11167.80007238938</v>
      </c>
      <c r="AK422" s="83">
        <f>(Tableau1[[#This Row],[Différence HP
Cumul]]*0.1799)+(Tableau1[[#This Row],[Différence HC
Cumul]]*0.1346)</f>
        <v>3397.8505</v>
      </c>
      <c r="AL422" s="83">
        <f>Tableau1[[#This Row],[Montant
Tarif HP/HC]]/Tableau1[[#This Row],[Diff jour_x000D_
Cumul]]</f>
        <v>5.088993830267917</v>
      </c>
      <c r="AM422" s="83">
        <f>(Tableau1[[#This Row],[Montant
Tarif HP/HC]]-AK$6)/Tableau1[[#This Row],[Diff jour_x000D_
Cumul
depuis le 24/01]]</f>
        <v>4.7226997798435493</v>
      </c>
      <c r="AN422" s="83">
        <f>(Tableau1[[#This Row],[Montant
Tarif HP/HC]]-AK$59)/Tableau1[[#This Row],[Diff jour_x000D_
Cumul
depuis
précédente facture
16/02/2021]]</f>
        <v>4.4571922031572075</v>
      </c>
      <c r="AO422" s="83">
        <f>Tableau1[[#This Row],[Conso HP + HC
Cumul]]*0.1599</f>
        <v>3266.5970999999995</v>
      </c>
      <c r="AP422" s="83">
        <f>Tableau1[[#This Row],[Montant
Tarif normal]]/Tableau1[[#This Row],[Diff jour_x000D_
Cumul]]</f>
        <v>4.8924143330823604</v>
      </c>
      <c r="AQ422" s="83">
        <f>(Tableau1[[#This Row],[Conso HP / an
Cumul]]*0.1799)+(Tableau1[[#This Row],[Conso HC / an_x000D_
Cumul]]*0.1346)</f>
        <v>1857.4827480477898</v>
      </c>
      <c r="AR422" s="83">
        <f>Tableau1[[#This Row],[Conso HP + HC / an_x000D_
Cumul]]*0.1599</f>
        <v>1785.7312315750617</v>
      </c>
      <c r="AS422" s="79">
        <f>MONTH(Tableau1[[#This Row],[Date]])</f>
        <v>10</v>
      </c>
      <c r="AT422" s="79">
        <f>YEAR(Tableau1[[#This Row],[Date]])</f>
        <v>2022</v>
      </c>
    </row>
    <row r="423" spans="1:46" x14ac:dyDescent="0.2">
      <c r="A423" s="74">
        <v>44851.307638888888</v>
      </c>
      <c r="B423" s="75"/>
      <c r="C423" s="76">
        <f>IF(ISERROR(Tableau1[[#This Row],[Date]]-A422),"",Tableau1[[#This Row],[Date]]-A422)</f>
        <v>0.91319444444525288</v>
      </c>
      <c r="D423" s="77">
        <f>IF(ISERROR(Tableau1[[#This Row],[Date]]-A422),"",Tableau1[[#This Row],[Date]]-A422)</f>
        <v>0.91319444444525288</v>
      </c>
      <c r="E423" s="76">
        <f>Tableau1[[#This Row],[Date]]-$A$5</f>
        <v>668.59930555555184</v>
      </c>
      <c r="F423" s="77">
        <f>Tableau1[[#This Row],[Date]]-$A$5</f>
        <v>668.59930555555184</v>
      </c>
      <c r="G423" s="77">
        <f>Tableau1[[#This Row],[Diff jour_x000D_
Cumul]]-F$6</f>
        <v>630.51597222222335</v>
      </c>
      <c r="H423" s="77">
        <f>Tableau1[[#This Row],[Diff jour_x000D_
Cumul]]-F$59</f>
        <v>607.99652777777374</v>
      </c>
      <c r="I423" s="78">
        <v>194074</v>
      </c>
      <c r="J423" s="79">
        <f>IF(ISERROR(Tableau1[[#This Row],[Index HP
kWh]]-I422),"",Tableau1[[#This Row],[Index HP
kWh]]-I422)</f>
        <v>8</v>
      </c>
      <c r="K423" s="77">
        <f>IF(ISERROR(Tableau1[[#This Row],[Différence HP
Instantané]]/(Tableau1[[#This Row],[Diff jour
Instantané]]*24)),"",Tableau1[[#This Row],[Différence HP
Instantané]]/(Tableau1[[#This Row],[Diff jour
Instantané]]*24))</f>
        <v>0.36501901140652093</v>
      </c>
      <c r="L423" s="77">
        <f>Tableau1[[#This Row],[Différence HP
Instantané]]/Tableau1[[#This Row],[Diff jour
Instantané]]</f>
        <v>8.7604562737565033</v>
      </c>
      <c r="M423" s="77">
        <f>Tableau1[[#This Row],[Conso HP / jour
Instantané]]*365</f>
        <v>3197.5665399211239</v>
      </c>
      <c r="N423" s="79">
        <f>Tableau1[[#This Row],[Index HP
kWh]]-$I$5</f>
        <v>14315</v>
      </c>
      <c r="O423" s="80">
        <f>Tableau1[[#This Row],[Différence HP
Cumul]]/(Tableau1[[#This Row],[Diff jour_x000D_
Cumul]]*24)</f>
        <v>0.89210133539957059</v>
      </c>
      <c r="P423" s="80">
        <f>Tableau1[[#This Row],[Différence HP
Cumul]]/Tableau1[[#This Row],[Diff jour_x000D_
Cumul]]</f>
        <v>21.410432049589694</v>
      </c>
      <c r="Q423" s="80">
        <f>Tableau1[[#This Row],[Conso HP / jour
Cumul]]*365</f>
        <v>7814.8076981002387</v>
      </c>
      <c r="R423" s="78">
        <v>125558</v>
      </c>
      <c r="S423" s="79">
        <f>Tableau1[[#This Row],[Index HC_x000D_
kWh]]-R422</f>
        <v>4</v>
      </c>
      <c r="T423" s="81">
        <f>Tableau1[[#This Row],[Différence_x000D_ HC
Instantané]]/(Tableau1[[#This Row],[Diff jour
Instantané]]*24)</f>
        <v>0.18250950570326047</v>
      </c>
      <c r="U423" s="81">
        <f>Tableau1[[#This Row],[Différence_x000D_ HC
Instantané]]/Tableau1[[#This Row],[Diff jour
Instantané]]</f>
        <v>4.3802281368782516</v>
      </c>
      <c r="V423" s="81">
        <f>Tableau1[[#This Row],[Conso HC / jour_x000D_
Instantané]]*365</f>
        <v>1598.7832699605619</v>
      </c>
      <c r="W423" s="79">
        <f>Tableau1[[#This Row],[Index HC_x000D_
kWh]]-$R$5</f>
        <v>6126</v>
      </c>
      <c r="X423" s="82">
        <f>Tableau1[[#This Row],[Différence HC
Cumul]]/(Tableau1[[#This Row],[Diff jour_x000D_
Cumul]]*24)</f>
        <v>0.38176826969317285</v>
      </c>
      <c r="Y423" s="82">
        <f>Tableau1[[#This Row],[Différence HC
Cumul]]/Tableau1[[#This Row],[Diff jour_x000D_
Cumul]]</f>
        <v>9.1624384726361487</v>
      </c>
      <c r="Z423" s="82">
        <f>Tableau1[[#This Row],[Conso HC / jour_x000D_
Cumul]]*365</f>
        <v>3344.2900425121943</v>
      </c>
      <c r="AA423" s="79">
        <f>Tableau1[[#This Row],[Différence HP
Instantané]]+Tableau1[[#This Row],[Différence_x000D_ HC
Instantané]]</f>
        <v>12</v>
      </c>
      <c r="AB423" s="80">
        <f>Tableau1[[#This Row],[Conso HP + HC
Instantané]]/(Tableau1[[#This Row],[Diff jour
Instantané]]*24)</f>
        <v>0.54752851710978145</v>
      </c>
      <c r="AC423" s="80">
        <f>IF(ISERROR(Tableau1[[#This Row],[Date]]-A422),"",Tableau1[[#This Row],[Conso HP + HC
Instantané]]/Tableau1[[#This Row],[Diff jour
Instantané]])</f>
        <v>13.140684410634755</v>
      </c>
      <c r="AD423" s="80">
        <f>Tableau1[[#This Row],[Conso HP + HC / jour_x000D_
Instantané]]*365</f>
        <v>4796.3498098816854</v>
      </c>
      <c r="AE423" s="79">
        <f>Tableau1[[#This Row],[Différence HP
Cumul]]+Tableau1[[#This Row],[Différence HC
Cumul]]</f>
        <v>20441</v>
      </c>
      <c r="AF423" s="77">
        <f>(Tableau1[[#This Row],[Conso HP + HC
Cumul]]-AE$6)/Tableau1[[#This Row],[Diff jour_x000D_
Cumul
depuis le 24/01]]</f>
        <v>28.341867275809115</v>
      </c>
      <c r="AG423" s="77">
        <f>(Tableau1[[#This Row],[Conso HP + HC
Cumul]]-AE$59)/Tableau1[[#This Row],[Diff jour_x000D_
Cumul
depuis
précédente facture
16/02/2021]]</f>
        <v>26.750152767228609</v>
      </c>
      <c r="AH423" s="80">
        <f>Tableau1[[#This Row],[Conso HP + HC
Cumul]]/(Tableau1[[#This Row],[Diff jour_x000D_
Cumul]]*24)</f>
        <v>1.2738696050927434</v>
      </c>
      <c r="AI423" s="80">
        <f>Tableau1[[#This Row],[Conso HP + HC
Cumul]]/Tableau1[[#This Row],[Diff jour_x000D_
Cumul]]</f>
        <v>30.572870522225841</v>
      </c>
      <c r="AJ423" s="80">
        <f>Tableau1[[#This Row],[Conso HP + HC / jour_x000D_
Cumul]]*365</f>
        <v>11159.097740612431</v>
      </c>
      <c r="AK423" s="83">
        <f>(Tableau1[[#This Row],[Différence HP
Cumul]]*0.1799)+(Tableau1[[#This Row],[Différence HC
Cumul]]*0.1346)</f>
        <v>3399.8281000000002</v>
      </c>
      <c r="AL423" s="83">
        <f>Tableau1[[#This Row],[Montant
Tarif HP/HC]]/Tableau1[[#This Row],[Diff jour_x000D_
Cumul]]</f>
        <v>5.0850009441380122</v>
      </c>
      <c r="AM423" s="83">
        <f>(Tableau1[[#This Row],[Montant
Tarif HP/HC]]-AK$6)/Tableau1[[#This Row],[Diff jour_x000D_
Cumul
depuis le 24/01]]</f>
        <v>4.7189962365478806</v>
      </c>
      <c r="AN423" s="83">
        <f>(Tableau1[[#This Row],[Montant
Tarif HP/HC]]-AK$59)/Tableau1[[#This Row],[Diff jour_x000D_
Cumul
depuis
précédente facture
16/02/2021]]</f>
        <v>4.4537502704123018</v>
      </c>
      <c r="AO423" s="83">
        <f>Tableau1[[#This Row],[Conso HP + HC
Cumul]]*0.1599</f>
        <v>3268.5158999999999</v>
      </c>
      <c r="AP423" s="83">
        <f>Tableau1[[#This Row],[Montant
Tarif normal]]/Tableau1[[#This Row],[Diff jour_x000D_
Cumul]]</f>
        <v>4.8886019965039118</v>
      </c>
      <c r="AQ423" s="83">
        <f>(Tableau1[[#This Row],[Conso HP / an
Cumul]]*0.1799)+(Tableau1[[#This Row],[Conso HC / an_x000D_
Cumul]]*0.1346)</f>
        <v>1856.0253446103743</v>
      </c>
      <c r="AR423" s="83">
        <f>Tableau1[[#This Row],[Conso HP + HC / an_x000D_
Cumul]]*0.1599</f>
        <v>1784.3397287239277</v>
      </c>
      <c r="AS423" s="79">
        <f>MONTH(Tableau1[[#This Row],[Date]])</f>
        <v>10</v>
      </c>
      <c r="AT423" s="79">
        <f>YEAR(Tableau1[[#This Row],[Date]])</f>
        <v>2022</v>
      </c>
    </row>
    <row r="424" spans="1:46" x14ac:dyDescent="0.2">
      <c r="A424" s="74">
        <v>44852.31527777778</v>
      </c>
      <c r="B424" s="75"/>
      <c r="C424" s="76">
        <f>IF(ISERROR(Tableau1[[#This Row],[Date]]-A423),"",Tableau1[[#This Row],[Date]]-A423)</f>
        <v>1.007638888891961</v>
      </c>
      <c r="D424" s="77">
        <f>IF(ISERROR(Tableau1[[#This Row],[Date]]-A423),"",Tableau1[[#This Row],[Date]]-A423)</f>
        <v>1.007638888891961</v>
      </c>
      <c r="E424" s="76">
        <f>Tableau1[[#This Row],[Date]]-$A$5</f>
        <v>669.6069444444438</v>
      </c>
      <c r="F424" s="77">
        <f>Tableau1[[#This Row],[Date]]-$A$5</f>
        <v>669.6069444444438</v>
      </c>
      <c r="G424" s="77">
        <f>Tableau1[[#This Row],[Diff jour_x000D_
Cumul]]-F$6</f>
        <v>631.52361111111531</v>
      </c>
      <c r="H424" s="77">
        <f>Tableau1[[#This Row],[Diff jour_x000D_
Cumul]]-F$59</f>
        <v>609.0041666666657</v>
      </c>
      <c r="I424" s="78">
        <v>194079</v>
      </c>
      <c r="J424" s="79">
        <f>IF(ISERROR(Tableau1[[#This Row],[Index HP
kWh]]-I423),"",Tableau1[[#This Row],[Index HP
kWh]]-I423)</f>
        <v>5</v>
      </c>
      <c r="K424" s="77">
        <f>IF(ISERROR(Tableau1[[#This Row],[Différence HP
Instantané]]/(Tableau1[[#This Row],[Diff jour
Instantané]]*24)),"",Tableau1[[#This Row],[Différence HP
Instantané]]/(Tableau1[[#This Row],[Diff jour
Instantané]]*24))</f>
        <v>0.20675396278365635</v>
      </c>
      <c r="L424" s="77">
        <f>Tableau1[[#This Row],[Différence HP
Instantané]]/Tableau1[[#This Row],[Diff jour
Instantané]]</f>
        <v>4.9620951068077526</v>
      </c>
      <c r="M424" s="77">
        <f>Tableau1[[#This Row],[Conso HP / jour
Instantané]]*365</f>
        <v>1811.1647139848296</v>
      </c>
      <c r="N424" s="79">
        <f>Tableau1[[#This Row],[Index HP
kWh]]-$I$5</f>
        <v>14320</v>
      </c>
      <c r="O424" s="80">
        <f>Tableau1[[#This Row],[Différence HP
Cumul]]/(Tableau1[[#This Row],[Diff jour_x000D_
Cumul]]*24)</f>
        <v>0.89107000997683217</v>
      </c>
      <c r="P424" s="80">
        <f>Tableau1[[#This Row],[Différence HP
Cumul]]/Tableau1[[#This Row],[Diff jour_x000D_
Cumul]]</f>
        <v>21.385680239443975</v>
      </c>
      <c r="Q424" s="80">
        <f>Tableau1[[#This Row],[Conso HP / jour
Cumul]]*365</f>
        <v>7805.7732873970508</v>
      </c>
      <c r="R424" s="78">
        <v>125561</v>
      </c>
      <c r="S424" s="79">
        <f>Tableau1[[#This Row],[Index HC_x000D_
kWh]]-R423</f>
        <v>3</v>
      </c>
      <c r="T424" s="81">
        <f>Tableau1[[#This Row],[Différence_x000D_ HC
Instantané]]/(Tableau1[[#This Row],[Diff jour
Instantané]]*24)</f>
        <v>0.12405237767019381</v>
      </c>
      <c r="U424" s="81">
        <f>Tableau1[[#This Row],[Différence_x000D_ HC
Instantané]]/Tableau1[[#This Row],[Diff jour
Instantané]]</f>
        <v>2.9772570640846516</v>
      </c>
      <c r="V424" s="81">
        <f>Tableau1[[#This Row],[Conso HC / jour_x000D_
Instantané]]*365</f>
        <v>1086.6988283908979</v>
      </c>
      <c r="W424" s="79">
        <f>Tableau1[[#This Row],[Index HC_x000D_
kWh]]-$R$5</f>
        <v>6129</v>
      </c>
      <c r="X424" s="82">
        <f>Tableau1[[#This Row],[Différence HC
Cumul]]/(Tableau1[[#This Row],[Diff jour_x000D_
Cumul]]*24)</f>
        <v>0.3813804532924584</v>
      </c>
      <c r="Y424" s="82">
        <f>Tableau1[[#This Row],[Différence HC
Cumul]]/Tableau1[[#This Row],[Diff jour_x000D_
Cumul]]</f>
        <v>9.1531308790190025</v>
      </c>
      <c r="Z424" s="82">
        <f>Tableau1[[#This Row],[Conso HC / jour_x000D_
Cumul]]*365</f>
        <v>3340.892770841936</v>
      </c>
      <c r="AA424" s="79">
        <f>Tableau1[[#This Row],[Différence HP
Instantané]]+Tableau1[[#This Row],[Différence_x000D_ HC
Instantané]]</f>
        <v>8</v>
      </c>
      <c r="AB424" s="80">
        <f>Tableau1[[#This Row],[Conso HP + HC
Instantané]]/(Tableau1[[#This Row],[Diff jour
Instantané]]*24)</f>
        <v>0.33080634045385016</v>
      </c>
      <c r="AC424" s="80">
        <f>IF(ISERROR(Tableau1[[#This Row],[Date]]-A423),"",Tableau1[[#This Row],[Conso HP + HC
Instantané]]/Tableau1[[#This Row],[Diff jour
Instantané]])</f>
        <v>7.9393521708924037</v>
      </c>
      <c r="AD424" s="80">
        <f>Tableau1[[#This Row],[Conso HP + HC / jour_x000D_
Instantané]]*365</f>
        <v>2897.8635423757273</v>
      </c>
      <c r="AE424" s="79">
        <f>Tableau1[[#This Row],[Différence HP
Cumul]]+Tableau1[[#This Row],[Différence HC
Cumul]]</f>
        <v>20449</v>
      </c>
      <c r="AF424" s="77">
        <f>(Tableau1[[#This Row],[Conso HP + HC
Cumul]]-AE$6)/Tableau1[[#This Row],[Diff jour_x000D_
Cumul
depuis le 24/01]]</f>
        <v>28.309313674820626</v>
      </c>
      <c r="AG424" s="77">
        <f>(Tableau1[[#This Row],[Conso HP + HC
Cumul]]-AE$59)/Tableau1[[#This Row],[Diff jour_x000D_
Cumul
depuis
précédente facture
16/02/2021]]</f>
        <v>26.719029015948209</v>
      </c>
      <c r="AH424" s="80">
        <f>Tableau1[[#This Row],[Conso HP + HC
Cumul]]/(Tableau1[[#This Row],[Diff jour_x000D_
Cumul]]*24)</f>
        <v>1.2724504632692906</v>
      </c>
      <c r="AI424" s="80">
        <f>Tableau1[[#This Row],[Conso HP + HC
Cumul]]/Tableau1[[#This Row],[Diff jour_x000D_
Cumul]]</f>
        <v>30.538811118462974</v>
      </c>
      <c r="AJ424" s="80">
        <f>Tableau1[[#This Row],[Conso HP + HC / jour_x000D_
Cumul]]*365</f>
        <v>11146.666058238985</v>
      </c>
      <c r="AK424" s="83">
        <f>(Tableau1[[#This Row],[Différence HP
Cumul]]*0.1799)+(Tableau1[[#This Row],[Différence HC
Cumul]]*0.1346)</f>
        <v>3401.1314000000002</v>
      </c>
      <c r="AL424" s="83">
        <f>Tableau1[[#This Row],[Montant
Tarif HP/HC]]/Tableau1[[#This Row],[Diff jour_x000D_
Cumul]]</f>
        <v>5.0792952913919285</v>
      </c>
      <c r="AM424" s="83">
        <f>(Tableau1[[#This Row],[Montant
Tarif HP/HC]]-AK$6)/Tableau1[[#This Row],[Diff jour_x000D_
Cumul
depuis le 24/01]]</f>
        <v>4.7135304961325586</v>
      </c>
      <c r="AN424" s="83">
        <f>(Tableau1[[#This Row],[Montant
Tarif HP/HC]]-AK$59)/Tableau1[[#This Row],[Diff jour_x000D_
Cumul
depuis
précédente facture
16/02/2021]]</f>
        <v>4.4485212881685339</v>
      </c>
      <c r="AO424" s="83">
        <f>Tableau1[[#This Row],[Conso HP + HC
Cumul]]*0.1599</f>
        <v>3269.7950999999998</v>
      </c>
      <c r="AP424" s="83">
        <f>Tableau1[[#This Row],[Montant
Tarif normal]]/Tableau1[[#This Row],[Diff jour_x000D_
Cumul]]</f>
        <v>4.8831558978422294</v>
      </c>
      <c r="AQ424" s="83">
        <f>(Tableau1[[#This Row],[Conso HP / an
Cumul]]*0.1799)+(Tableau1[[#This Row],[Conso HC / an_x000D_
Cumul]]*0.1346)</f>
        <v>1853.9427813580542</v>
      </c>
      <c r="AR424" s="83">
        <f>Tableau1[[#This Row],[Conso HP + HC / an_x000D_
Cumul]]*0.1599</f>
        <v>1782.3519027124134</v>
      </c>
      <c r="AS424" s="79">
        <f>MONTH(Tableau1[[#This Row],[Date]])</f>
        <v>10</v>
      </c>
      <c r="AT424" s="79">
        <f>YEAR(Tableau1[[#This Row],[Date]])</f>
        <v>2022</v>
      </c>
    </row>
    <row r="425" spans="1:46" x14ac:dyDescent="0.2">
      <c r="A425" s="74">
        <v>44853.39166666667</v>
      </c>
      <c r="B425" s="75"/>
      <c r="C425" s="76">
        <f>IF(ISERROR(Tableau1[[#This Row],[Date]]-A424),"",Tableau1[[#This Row],[Date]]-A424)</f>
        <v>1.0763888888905058</v>
      </c>
      <c r="D425" s="77">
        <f>IF(ISERROR(Tableau1[[#This Row],[Date]]-A424),"",Tableau1[[#This Row],[Date]]-A424)</f>
        <v>1.0763888888905058</v>
      </c>
      <c r="E425" s="76">
        <f>Tableau1[[#This Row],[Date]]-$A$5</f>
        <v>670.6833333333343</v>
      </c>
      <c r="F425" s="77">
        <f>Tableau1[[#This Row],[Date]]-$A$5</f>
        <v>670.6833333333343</v>
      </c>
      <c r="G425" s="77">
        <f>Tableau1[[#This Row],[Diff jour_x000D_
Cumul]]-F$6</f>
        <v>632.60000000000582</v>
      </c>
      <c r="H425" s="77">
        <f>Tableau1[[#This Row],[Diff jour_x000D_
Cumul]]-F$59</f>
        <v>610.0805555555562</v>
      </c>
      <c r="I425" s="78">
        <v>194087</v>
      </c>
      <c r="J425" s="79">
        <f>IF(ISERROR(Tableau1[[#This Row],[Index HP
kWh]]-I424),"",Tableau1[[#This Row],[Index HP
kWh]]-I424)</f>
        <v>8</v>
      </c>
      <c r="K425" s="77">
        <f>IF(ISERROR(Tableau1[[#This Row],[Différence HP
Instantané]]/(Tableau1[[#This Row],[Diff jour
Instantané]]*24)),"",Tableau1[[#This Row],[Différence HP
Instantané]]/(Tableau1[[#This Row],[Diff jour
Instantané]]*24))</f>
        <v>0.30967741935437354</v>
      </c>
      <c r="L425" s="77">
        <f>Tableau1[[#This Row],[Différence HP
Instantané]]/Tableau1[[#This Row],[Diff jour
Instantané]]</f>
        <v>7.432258064504965</v>
      </c>
      <c r="M425" s="77">
        <f>Tableau1[[#This Row],[Conso HP / jour
Instantané]]*365</f>
        <v>2712.7741935443123</v>
      </c>
      <c r="N425" s="79">
        <f>Tableau1[[#This Row],[Index HP
kWh]]-$I$5</f>
        <v>14328</v>
      </c>
      <c r="O425" s="80">
        <f>Tableau1[[#This Row],[Différence HP
Cumul]]/(Tableau1[[#This Row],[Diff jour_x000D_
Cumul]]*24)</f>
        <v>0.89013692502671271</v>
      </c>
      <c r="P425" s="80">
        <f>Tableau1[[#This Row],[Différence HP
Cumul]]/Tableau1[[#This Row],[Diff jour_x000D_
Cumul]]</f>
        <v>21.363286200641106</v>
      </c>
      <c r="Q425" s="80">
        <f>Tableau1[[#This Row],[Conso HP / jour
Cumul]]*365</f>
        <v>7797.5994632340035</v>
      </c>
      <c r="R425" s="78">
        <v>125563</v>
      </c>
      <c r="S425" s="79">
        <f>Tableau1[[#This Row],[Index HC_x000D_
kWh]]-R424</f>
        <v>2</v>
      </c>
      <c r="T425" s="81">
        <f>Tableau1[[#This Row],[Différence_x000D_ HC
Instantané]]/(Tableau1[[#This Row],[Diff jour
Instantané]]*24)</f>
        <v>7.7419354838593385E-2</v>
      </c>
      <c r="U425" s="81">
        <f>Tableau1[[#This Row],[Différence_x000D_ HC
Instantané]]/Tableau1[[#This Row],[Diff jour
Instantané]]</f>
        <v>1.8580645161262412</v>
      </c>
      <c r="V425" s="81">
        <f>Tableau1[[#This Row],[Conso HC / jour_x000D_
Instantané]]*365</f>
        <v>678.19354838607808</v>
      </c>
      <c r="W425" s="79">
        <f>Tableau1[[#This Row],[Index HC_x000D_
kWh]]-$R$5</f>
        <v>6131</v>
      </c>
      <c r="X425" s="82">
        <f>Tableau1[[#This Row],[Différence HC
Cumul]]/(Tableau1[[#This Row],[Diff jour_x000D_
Cumul]]*24)</f>
        <v>0.38089262195273421</v>
      </c>
      <c r="Y425" s="82">
        <f>Tableau1[[#This Row],[Différence HC
Cumul]]/Tableau1[[#This Row],[Diff jour_x000D_
Cumul]]</f>
        <v>9.1414229268656211</v>
      </c>
      <c r="Z425" s="82">
        <f>Tableau1[[#This Row],[Conso HC / jour_x000D_
Cumul]]*365</f>
        <v>3336.6193683059519</v>
      </c>
      <c r="AA425" s="79">
        <f>Tableau1[[#This Row],[Différence HP
Instantané]]+Tableau1[[#This Row],[Différence_x000D_ HC
Instantané]]</f>
        <v>10</v>
      </c>
      <c r="AB425" s="80">
        <f>Tableau1[[#This Row],[Conso HP + HC
Instantané]]/(Tableau1[[#This Row],[Diff jour
Instantané]]*24)</f>
        <v>0.3870967741929669</v>
      </c>
      <c r="AC425" s="80">
        <f>IF(ISERROR(Tableau1[[#This Row],[Date]]-A424),"",Tableau1[[#This Row],[Conso HP + HC
Instantané]]/Tableau1[[#This Row],[Diff jour
Instantané]])</f>
        <v>9.2903225806312069</v>
      </c>
      <c r="AD425" s="80">
        <f>Tableau1[[#This Row],[Conso HP + HC / jour_x000D_
Instantané]]*365</f>
        <v>3390.9677419303907</v>
      </c>
      <c r="AE425" s="79">
        <f>Tableau1[[#This Row],[Différence HP
Cumul]]+Tableau1[[#This Row],[Différence HC
Cumul]]</f>
        <v>20459</v>
      </c>
      <c r="AF425" s="77">
        <f>(Tableau1[[#This Row],[Conso HP + HC
Cumul]]-AE$6)/Tableau1[[#This Row],[Diff jour_x000D_
Cumul
depuis le 24/01]]</f>
        <v>28.276952260511912</v>
      </c>
      <c r="AG425" s="77">
        <f>(Tableau1[[#This Row],[Conso HP + HC
Cumul]]-AE$59)/Tableau1[[#This Row],[Diff jour_x000D_
Cumul
depuis
précédente facture
16/02/2021]]</f>
        <v>26.688278870276665</v>
      </c>
      <c r="AH425" s="80">
        <f>Tableau1[[#This Row],[Conso HP + HC
Cumul]]/(Tableau1[[#This Row],[Diff jour_x000D_
Cumul]]*24)</f>
        <v>1.271029546979447</v>
      </c>
      <c r="AI425" s="80">
        <f>Tableau1[[#This Row],[Conso HP + HC
Cumul]]/Tableau1[[#This Row],[Diff jour_x000D_
Cumul]]</f>
        <v>30.504709127506729</v>
      </c>
      <c r="AJ425" s="80">
        <f>Tableau1[[#This Row],[Conso HP + HC / jour_x000D_
Cumul]]*365</f>
        <v>11134.218831539956</v>
      </c>
      <c r="AK425" s="83">
        <f>(Tableau1[[#This Row],[Différence HP
Cumul]]*0.1799)+(Tableau1[[#This Row],[Différence HC
Cumul]]*0.1346)</f>
        <v>3402.8397999999997</v>
      </c>
      <c r="AL425" s="83">
        <f>Tableau1[[#This Row],[Montant
Tarif HP/HC]]/Tableau1[[#This Row],[Diff jour_x000D_
Cumul]]</f>
        <v>5.0736907134514473</v>
      </c>
      <c r="AM425" s="83">
        <f>(Tableau1[[#This Row],[Montant
Tarif HP/HC]]-AK$6)/Tableau1[[#This Row],[Diff jour_x000D_
Cumul
depuis le 24/01]]</f>
        <v>4.7082108757508259</v>
      </c>
      <c r="AN425" s="83">
        <f>(Tableau1[[#This Row],[Montant
Tarif HP/HC]]-AK$59)/Tableau1[[#This Row],[Diff jour_x000D_
Cumul
depuis
précédente facture
16/02/2021]]</f>
        <v>4.44347287471144</v>
      </c>
      <c r="AO425" s="83">
        <f>Tableau1[[#This Row],[Conso HP + HC
Cumul]]*0.1599</f>
        <v>3271.3940999999995</v>
      </c>
      <c r="AP425" s="83">
        <f>Tableau1[[#This Row],[Montant
Tarif normal]]/Tableau1[[#This Row],[Diff jour_x000D_
Cumul]]</f>
        <v>4.8777029894883253</v>
      </c>
      <c r="AQ425" s="83">
        <f>(Tableau1[[#This Row],[Conso HP / an
Cumul]]*0.1799)+(Tableau1[[#This Row],[Conso HC / an_x000D_
Cumul]]*0.1346)</f>
        <v>1851.8971104097784</v>
      </c>
      <c r="AR425" s="83">
        <f>Tableau1[[#This Row],[Conso HP + HC / an_x000D_
Cumul]]*0.1599</f>
        <v>1780.3615911632389</v>
      </c>
      <c r="AS425" s="79">
        <f>MONTH(Tableau1[[#This Row],[Date]])</f>
        <v>10</v>
      </c>
      <c r="AT425" s="79">
        <f>YEAR(Tableau1[[#This Row],[Date]])</f>
        <v>2022</v>
      </c>
    </row>
    <row r="426" spans="1:46" x14ac:dyDescent="0.2">
      <c r="A426" s="74">
        <v>44854.307638888888</v>
      </c>
      <c r="B426" s="75"/>
      <c r="C426" s="76">
        <f>IF(ISERROR(Tableau1[[#This Row],[Date]]-A425),"",Tableau1[[#This Row],[Date]]-A425)</f>
        <v>0.91597222221753327</v>
      </c>
      <c r="D426" s="77">
        <f>IF(ISERROR(Tableau1[[#This Row],[Date]]-A425),"",Tableau1[[#This Row],[Date]]-A425)</f>
        <v>0.91597222221753327</v>
      </c>
      <c r="E426" s="76">
        <f>Tableau1[[#This Row],[Date]]-$A$5</f>
        <v>671.59930555555184</v>
      </c>
      <c r="F426" s="77">
        <f>Tableau1[[#This Row],[Date]]-$A$5</f>
        <v>671.59930555555184</v>
      </c>
      <c r="G426" s="77">
        <f>Tableau1[[#This Row],[Diff jour_x000D_
Cumul]]-F$6</f>
        <v>633.51597222222335</v>
      </c>
      <c r="H426" s="77">
        <f>Tableau1[[#This Row],[Diff jour_x000D_
Cumul]]-F$59</f>
        <v>610.99652777777374</v>
      </c>
      <c r="I426" s="78">
        <v>194096</v>
      </c>
      <c r="J426" s="79">
        <f>IF(ISERROR(Tableau1[[#This Row],[Index HP
kWh]]-I425),"",Tableau1[[#This Row],[Index HP
kWh]]-I425)</f>
        <v>9</v>
      </c>
      <c r="K426" s="77">
        <f>IF(ISERROR(Tableau1[[#This Row],[Différence HP
Instantané]]/(Tableau1[[#This Row],[Diff jour
Instantané]]*24)),"",Tableau1[[#This Row],[Différence HP
Instantané]]/(Tableau1[[#This Row],[Diff jour
Instantané]]*24))</f>
        <v>0.40940106141225496</v>
      </c>
      <c r="L426" s="77">
        <f>Tableau1[[#This Row],[Différence HP
Instantané]]/Tableau1[[#This Row],[Diff jour
Instantané]]</f>
        <v>9.8256254738941191</v>
      </c>
      <c r="M426" s="77">
        <f>Tableau1[[#This Row],[Conso HP / jour
Instantané]]*365</f>
        <v>3586.3532979713536</v>
      </c>
      <c r="N426" s="79">
        <f>Tableau1[[#This Row],[Index HP
kWh]]-$I$5</f>
        <v>14337</v>
      </c>
      <c r="O426" s="80">
        <f>Tableau1[[#This Row],[Différence HP
Cumul]]/(Tableau1[[#This Row],[Diff jour_x000D_
Cumul]]*24)</f>
        <v>0.88948126518065274</v>
      </c>
      <c r="P426" s="80">
        <f>Tableau1[[#This Row],[Différence HP
Cumul]]/Tableau1[[#This Row],[Diff jour_x000D_
Cumul]]</f>
        <v>21.347550364335664</v>
      </c>
      <c r="Q426" s="80">
        <f>Tableau1[[#This Row],[Conso HP / jour
Cumul]]*365</f>
        <v>7791.855882982517</v>
      </c>
      <c r="R426" s="78">
        <v>125566</v>
      </c>
      <c r="S426" s="79">
        <f>Tableau1[[#This Row],[Index HC_x000D_
kWh]]-R425</f>
        <v>3</v>
      </c>
      <c r="T426" s="81">
        <f>Tableau1[[#This Row],[Différence_x000D_ HC
Instantané]]/(Tableau1[[#This Row],[Diff jour
Instantané]]*24)</f>
        <v>0.13646702047075165</v>
      </c>
      <c r="U426" s="81">
        <f>Tableau1[[#This Row],[Différence_x000D_ HC
Instantané]]/Tableau1[[#This Row],[Diff jour
Instantané]]</f>
        <v>3.2752084912980397</v>
      </c>
      <c r="V426" s="81">
        <f>Tableau1[[#This Row],[Conso HC / jour_x000D_
Instantané]]*365</f>
        <v>1195.4510993237845</v>
      </c>
      <c r="W426" s="79">
        <f>Tableau1[[#This Row],[Index HC_x000D_
kWh]]-$R$5</f>
        <v>6134</v>
      </c>
      <c r="X426" s="82">
        <f>Tableau1[[#This Row],[Différence HC
Cumul]]/(Tableau1[[#This Row],[Diff jour_x000D_
Cumul]]*24)</f>
        <v>0.38055925790738115</v>
      </c>
      <c r="Y426" s="82">
        <f>Tableau1[[#This Row],[Différence HC
Cumul]]/Tableau1[[#This Row],[Diff jour_x000D_
Cumul]]</f>
        <v>9.1334221897771481</v>
      </c>
      <c r="Z426" s="82">
        <f>Tableau1[[#This Row],[Conso HC / jour_x000D_
Cumul]]*365</f>
        <v>3333.6990992686592</v>
      </c>
      <c r="AA426" s="79">
        <f>Tableau1[[#This Row],[Différence HP
Instantané]]+Tableau1[[#This Row],[Différence_x000D_ HC
Instantané]]</f>
        <v>12</v>
      </c>
      <c r="AB426" s="80">
        <f>Tableau1[[#This Row],[Conso HP + HC
Instantané]]/(Tableau1[[#This Row],[Diff jour
Instantané]]*24)</f>
        <v>0.54586808188300662</v>
      </c>
      <c r="AC426" s="80">
        <f>IF(ISERROR(Tableau1[[#This Row],[Date]]-A425),"",Tableau1[[#This Row],[Conso HP + HC
Instantané]]/Tableau1[[#This Row],[Diff jour
Instantané]])</f>
        <v>13.100833965192159</v>
      </c>
      <c r="AD426" s="80">
        <f>Tableau1[[#This Row],[Conso HP + HC / jour_x000D_
Instantané]]*365</f>
        <v>4781.8043972951382</v>
      </c>
      <c r="AE426" s="79">
        <f>Tableau1[[#This Row],[Différence HP
Cumul]]+Tableau1[[#This Row],[Différence HC
Cumul]]</f>
        <v>20471</v>
      </c>
      <c r="AF426" s="77">
        <f>(Tableau1[[#This Row],[Conso HP + HC
Cumul]]-AE$6)/Tableau1[[#This Row],[Diff jour_x000D_
Cumul
depuis le 24/01]]</f>
        <v>28.255009794324611</v>
      </c>
      <c r="AG426" s="77">
        <f>(Tableau1[[#This Row],[Conso HP + HC
Cumul]]-AE$59)/Tableau1[[#This Row],[Diff jour_x000D_
Cumul
depuis
précédente facture
16/02/2021]]</f>
        <v>26.667909323907502</v>
      </c>
      <c r="AH426" s="80">
        <f>Tableau1[[#This Row],[Conso HP + HC
Cumul]]/(Tableau1[[#This Row],[Diff jour_x000D_
Cumul]]*24)</f>
        <v>1.2700405230880338</v>
      </c>
      <c r="AI426" s="80">
        <f>Tableau1[[#This Row],[Conso HP + HC
Cumul]]/Tableau1[[#This Row],[Diff jour_x000D_
Cumul]]</f>
        <v>30.480972554112814</v>
      </c>
      <c r="AJ426" s="80">
        <f>Tableau1[[#This Row],[Conso HP + HC / jour_x000D_
Cumul]]*365</f>
        <v>11125.554982251177</v>
      </c>
      <c r="AK426" s="83">
        <f>(Tableau1[[#This Row],[Différence HP
Cumul]]*0.1799)+(Tableau1[[#This Row],[Différence HC
Cumul]]*0.1346)</f>
        <v>3404.8627000000001</v>
      </c>
      <c r="AL426" s="83">
        <f>Tableau1[[#This Row],[Montant
Tarif HP/HC]]/Tableau1[[#This Row],[Diff jour_x000D_
Cumul]]</f>
        <v>5.0697829372879903</v>
      </c>
      <c r="AM426" s="83">
        <f>(Tableau1[[#This Row],[Montant
Tarif HP/HC]]-AK$6)/Tableau1[[#This Row],[Diff jour_x000D_
Cumul
depuis le 24/01]]</f>
        <v>4.7045966174228182</v>
      </c>
      <c r="AN426" s="83">
        <f>(Tableau1[[#This Row],[Montant
Tarif HP/HC]]-AK$59)/Tableau1[[#This Row],[Diff jour_x000D_
Cumul
depuis
précédente facture
16/02/2021]]</f>
        <v>4.4401222865651242</v>
      </c>
      <c r="AO426" s="83">
        <f>Tableau1[[#This Row],[Conso HP + HC
Cumul]]*0.1599</f>
        <v>3273.3128999999999</v>
      </c>
      <c r="AP426" s="83">
        <f>Tableau1[[#This Row],[Montant
Tarif normal]]/Tableau1[[#This Row],[Diff jour_x000D_
Cumul]]</f>
        <v>4.8739075114026384</v>
      </c>
      <c r="AQ426" s="83">
        <f>(Tableau1[[#This Row],[Conso HP / an
Cumul]]*0.1799)+(Tableau1[[#This Row],[Conso HC / an_x000D_
Cumul]]*0.1346)</f>
        <v>1850.4707721101163</v>
      </c>
      <c r="AR426" s="83">
        <f>Tableau1[[#This Row],[Conso HP + HC / an_x000D_
Cumul]]*0.1599</f>
        <v>1778.9762416619631</v>
      </c>
      <c r="AS426" s="79">
        <f>MONTH(Tableau1[[#This Row],[Date]])</f>
        <v>10</v>
      </c>
      <c r="AT426" s="79">
        <f>YEAR(Tableau1[[#This Row],[Date]])</f>
        <v>2022</v>
      </c>
    </row>
    <row r="427" spans="1:46" x14ac:dyDescent="0.2">
      <c r="A427" s="74">
        <v>44855.338888888888</v>
      </c>
      <c r="B427" s="75"/>
      <c r="C427" s="76">
        <f>IF(ISERROR(Tableau1[[#This Row],[Date]]-A426),"",Tableau1[[#This Row],[Date]]-A426)</f>
        <v>1.03125</v>
      </c>
      <c r="D427" s="77">
        <f>IF(ISERROR(Tableau1[[#This Row],[Date]]-A426),"",Tableau1[[#This Row],[Date]]-A426)</f>
        <v>1.03125</v>
      </c>
      <c r="E427" s="76">
        <f>Tableau1[[#This Row],[Date]]-$A$5</f>
        <v>672.63055555555184</v>
      </c>
      <c r="F427" s="77">
        <f>Tableau1[[#This Row],[Date]]-$A$5</f>
        <v>672.63055555555184</v>
      </c>
      <c r="G427" s="77">
        <f>Tableau1[[#This Row],[Diff jour_x000D_
Cumul]]-F$6</f>
        <v>634.54722222222335</v>
      </c>
      <c r="H427" s="77">
        <f>Tableau1[[#This Row],[Diff jour_x000D_
Cumul]]-F$59</f>
        <v>612.02777777777374</v>
      </c>
      <c r="I427" s="78">
        <v>194102</v>
      </c>
      <c r="J427" s="79">
        <f>IF(ISERROR(Tableau1[[#This Row],[Index HP
kWh]]-I426),"",Tableau1[[#This Row],[Index HP
kWh]]-I426)</f>
        <v>6</v>
      </c>
      <c r="K427" s="77">
        <f>IF(ISERROR(Tableau1[[#This Row],[Différence HP
Instantané]]/(Tableau1[[#This Row],[Diff jour
Instantané]]*24)),"",Tableau1[[#This Row],[Différence HP
Instantané]]/(Tableau1[[#This Row],[Diff jour
Instantané]]*24))</f>
        <v>0.24242424242424243</v>
      </c>
      <c r="L427" s="77">
        <f>Tableau1[[#This Row],[Différence HP
Instantané]]/Tableau1[[#This Row],[Diff jour
Instantané]]</f>
        <v>5.8181818181818183</v>
      </c>
      <c r="M427" s="77">
        <f>Tableau1[[#This Row],[Conso HP / jour
Instantané]]*365</f>
        <v>2123.6363636363635</v>
      </c>
      <c r="N427" s="79">
        <f>Tableau1[[#This Row],[Index HP
kWh]]-$I$5</f>
        <v>14343</v>
      </c>
      <c r="O427" s="80">
        <f>Tableau1[[#This Row],[Différence HP
Cumul]]/(Tableau1[[#This Row],[Diff jour_x000D_
Cumul]]*24)</f>
        <v>0.88848922348821657</v>
      </c>
      <c r="P427" s="80">
        <f>Tableau1[[#This Row],[Différence HP
Cumul]]/Tableau1[[#This Row],[Diff jour_x000D_
Cumul]]</f>
        <v>21.3237413637172</v>
      </c>
      <c r="Q427" s="80">
        <f>Tableau1[[#This Row],[Conso HP / jour
Cumul]]*365</f>
        <v>7783.165597756778</v>
      </c>
      <c r="R427" s="78">
        <v>125568</v>
      </c>
      <c r="S427" s="79">
        <f>Tableau1[[#This Row],[Index HC_x000D_
kWh]]-R426</f>
        <v>2</v>
      </c>
      <c r="T427" s="81">
        <f>Tableau1[[#This Row],[Différence_x000D_ HC
Instantané]]/(Tableau1[[#This Row],[Diff jour
Instantané]]*24)</f>
        <v>8.0808080808080815E-2</v>
      </c>
      <c r="U427" s="81">
        <f>Tableau1[[#This Row],[Différence_x000D_ HC
Instantané]]/Tableau1[[#This Row],[Diff jour
Instantané]]</f>
        <v>1.9393939393939394</v>
      </c>
      <c r="V427" s="81">
        <f>Tableau1[[#This Row],[Conso HC / jour_x000D_
Instantané]]*365</f>
        <v>707.87878787878788</v>
      </c>
      <c r="W427" s="79">
        <f>Tableau1[[#This Row],[Index HC_x000D_
kWh]]-$R$5</f>
        <v>6136</v>
      </c>
      <c r="X427" s="82">
        <f>Tableau1[[#This Row],[Différence HC
Cumul]]/(Tableau1[[#This Row],[Diff jour_x000D_
Cumul]]*24)</f>
        <v>0.38009969150970491</v>
      </c>
      <c r="Y427" s="82">
        <f>Tableau1[[#This Row],[Différence HC
Cumul]]/Tableau1[[#This Row],[Diff jour_x000D_
Cumul]]</f>
        <v>9.1223925962329169</v>
      </c>
      <c r="Z427" s="82">
        <f>Tableau1[[#This Row],[Conso HC / jour_x000D_
Cumul]]*365</f>
        <v>3329.6732976250146</v>
      </c>
      <c r="AA427" s="79">
        <f>Tableau1[[#This Row],[Différence HP
Instantané]]+Tableau1[[#This Row],[Différence_x000D_ HC
Instantané]]</f>
        <v>8</v>
      </c>
      <c r="AB427" s="80">
        <f>Tableau1[[#This Row],[Conso HP + HC
Instantané]]/(Tableau1[[#This Row],[Diff jour
Instantané]]*24)</f>
        <v>0.32323232323232326</v>
      </c>
      <c r="AC427" s="80">
        <f>IF(ISERROR(Tableau1[[#This Row],[Date]]-A426),"",Tableau1[[#This Row],[Conso HP + HC
Instantané]]/Tableau1[[#This Row],[Diff jour
Instantané]])</f>
        <v>7.7575757575757578</v>
      </c>
      <c r="AD427" s="80">
        <f>Tableau1[[#This Row],[Conso HP + HC / jour_x000D_
Instantané]]*365</f>
        <v>2831.5151515151515</v>
      </c>
      <c r="AE427" s="79">
        <f>Tableau1[[#This Row],[Différence HP
Cumul]]+Tableau1[[#This Row],[Différence HC
Cumul]]</f>
        <v>20479</v>
      </c>
      <c r="AF427" s="77">
        <f>(Tableau1[[#This Row],[Conso HP + HC
Cumul]]-AE$6)/Tableau1[[#This Row],[Diff jour_x000D_
Cumul
depuis le 24/01]]</f>
        <v>28.221697886069194</v>
      </c>
      <c r="AG427" s="77">
        <f>(Tableau1[[#This Row],[Conso HP + HC
Cumul]]-AE$59)/Tableau1[[#This Row],[Diff jour_x000D_
Cumul
depuis
précédente facture
16/02/2021]]</f>
        <v>26.636045931103521</v>
      </c>
      <c r="AH427" s="80">
        <f>Tableau1[[#This Row],[Conso HP + HC
Cumul]]/(Tableau1[[#This Row],[Diff jour_x000D_
Cumul]]*24)</f>
        <v>1.2685889149979215</v>
      </c>
      <c r="AI427" s="80">
        <f>Tableau1[[#This Row],[Conso HP + HC
Cumul]]/Tableau1[[#This Row],[Diff jour_x000D_
Cumul]]</f>
        <v>30.446133959950117</v>
      </c>
      <c r="AJ427" s="80">
        <f>Tableau1[[#This Row],[Conso HP + HC / jour_x000D_
Cumul]]*365</f>
        <v>11112.838895381792</v>
      </c>
      <c r="AK427" s="83">
        <f>(Tableau1[[#This Row],[Différence HP
Cumul]]*0.1799)+(Tableau1[[#This Row],[Différence HC
Cumul]]*0.1346)</f>
        <v>3406.2112999999999</v>
      </c>
      <c r="AL427" s="83">
        <f>Tableau1[[#This Row],[Montant
Tarif HP/HC]]/Tableau1[[#This Row],[Diff jour_x000D_
Cumul]]</f>
        <v>5.0640151147856747</v>
      </c>
      <c r="AM427" s="83">
        <f>(Tableau1[[#This Row],[Montant
Tarif HP/HC]]-AK$6)/Tableau1[[#This Row],[Diff jour_x000D_
Cumul
depuis le 24/01]]</f>
        <v>4.6990761216440333</v>
      </c>
      <c r="AN427" s="83">
        <f>(Tableau1[[#This Row],[Montant
Tarif HP/HC]]-AK$59)/Tableau1[[#This Row],[Diff jour_x000D_
Cumul
depuis
précédente facture
16/02/2021]]</f>
        <v>4.4348442971906072</v>
      </c>
      <c r="AO427" s="83">
        <f>Tableau1[[#This Row],[Conso HP + HC
Cumul]]*0.1599</f>
        <v>3274.5920999999998</v>
      </c>
      <c r="AP427" s="83">
        <f>Tableau1[[#This Row],[Montant
Tarif normal]]/Tableau1[[#This Row],[Diff jour_x000D_
Cumul]]</f>
        <v>4.8683368201960233</v>
      </c>
      <c r="AQ427" s="83">
        <f>(Tableau1[[#This Row],[Conso HP / an
Cumul]]*0.1799)+(Tableau1[[#This Row],[Conso HC / an_x000D_
Cumul]]*0.1346)</f>
        <v>1848.3655168967714</v>
      </c>
      <c r="AR427" s="83">
        <f>Tableau1[[#This Row],[Conso HP + HC / an_x000D_
Cumul]]*0.1599</f>
        <v>1776.9429393715484</v>
      </c>
      <c r="AS427" s="79">
        <f>MONTH(Tableau1[[#This Row],[Date]])</f>
        <v>10</v>
      </c>
      <c r="AT427" s="79">
        <f>YEAR(Tableau1[[#This Row],[Date]])</f>
        <v>2022</v>
      </c>
    </row>
    <row r="428" spans="1:46" x14ac:dyDescent="0.2">
      <c r="A428" s="74">
        <v>44856.338194444441</v>
      </c>
      <c r="B428" s="75"/>
      <c r="C428" s="76">
        <f>IF(ISERROR(Tableau1[[#This Row],[Date]]-A427),"",Tableau1[[#This Row],[Date]]-A427)</f>
        <v>0.99930555555329192</v>
      </c>
      <c r="D428" s="77">
        <f>IF(ISERROR(Tableau1[[#This Row],[Date]]-A427),"",Tableau1[[#This Row],[Date]]-A427)</f>
        <v>0.99930555555329192</v>
      </c>
      <c r="E428" s="76">
        <f>Tableau1[[#This Row],[Date]]-$A$5</f>
        <v>673.62986111110513</v>
      </c>
      <c r="F428" s="77">
        <f>Tableau1[[#This Row],[Date]]-$A$5</f>
        <v>673.62986111110513</v>
      </c>
      <c r="G428" s="77">
        <f>Tableau1[[#This Row],[Diff jour_x000D_
Cumul]]-F$6</f>
        <v>635.54652777777665</v>
      </c>
      <c r="H428" s="77">
        <f>Tableau1[[#This Row],[Diff jour_x000D_
Cumul]]-F$59</f>
        <v>613.02708333332703</v>
      </c>
      <c r="I428" s="78">
        <v>194109</v>
      </c>
      <c r="J428" s="79">
        <f>IF(ISERROR(Tableau1[[#This Row],[Index HP
kWh]]-I427),"",Tableau1[[#This Row],[Index HP
kWh]]-I427)</f>
        <v>7</v>
      </c>
      <c r="K428" s="77">
        <f>IF(ISERROR(Tableau1[[#This Row],[Différence HP
Instantané]]/(Tableau1[[#This Row],[Diff jour
Instantané]]*24)),"",Tableau1[[#This Row],[Différence HP
Instantané]]/(Tableau1[[#This Row],[Diff jour
Instantané]]*24))</f>
        <v>0.29186935371852074</v>
      </c>
      <c r="L428" s="77">
        <f>Tableau1[[#This Row],[Différence HP
Instantané]]/Tableau1[[#This Row],[Diff jour
Instantané]]</f>
        <v>7.0048644892444987</v>
      </c>
      <c r="M428" s="77">
        <f>Tableau1[[#This Row],[Conso HP / jour
Instantané]]*365</f>
        <v>2556.7755385742421</v>
      </c>
      <c r="N428" s="79">
        <f>Tableau1[[#This Row],[Index HP
kWh]]-$I$5</f>
        <v>14350</v>
      </c>
      <c r="O428" s="80">
        <f>Tableau1[[#This Row],[Différence HP
Cumul]]/(Tableau1[[#This Row],[Diff jour_x000D_
Cumul]]*24)</f>
        <v>0.88760415947185767</v>
      </c>
      <c r="P428" s="80">
        <f>Tableau1[[#This Row],[Différence HP
Cumul]]/Tableau1[[#This Row],[Diff jour_x000D_
Cumul]]</f>
        <v>21.302499827324585</v>
      </c>
      <c r="Q428" s="80">
        <f>Tableau1[[#This Row],[Conso HP / jour
Cumul]]*365</f>
        <v>7775.4124369734736</v>
      </c>
      <c r="R428" s="78">
        <v>125571</v>
      </c>
      <c r="S428" s="79">
        <f>Tableau1[[#This Row],[Index HC_x000D_
kWh]]-R427</f>
        <v>3</v>
      </c>
      <c r="T428" s="81">
        <f>Tableau1[[#This Row],[Différence_x000D_ HC
Instantané]]/(Tableau1[[#This Row],[Diff jour
Instantané]]*24)</f>
        <v>0.12508686587936604</v>
      </c>
      <c r="U428" s="81">
        <f>Tableau1[[#This Row],[Différence_x000D_ HC
Instantané]]/Tableau1[[#This Row],[Diff jour
Instantané]]</f>
        <v>3.0020847811047848</v>
      </c>
      <c r="V428" s="81">
        <f>Tableau1[[#This Row],[Conso HC / jour_x000D_
Instantané]]*365</f>
        <v>1095.7609451032465</v>
      </c>
      <c r="W428" s="79">
        <f>Tableau1[[#This Row],[Index HC_x000D_
kWh]]-$R$5</f>
        <v>6139</v>
      </c>
      <c r="X428" s="82">
        <f>Tableau1[[#This Row],[Différence HC
Cumul]]/(Tableau1[[#This Row],[Diff jour_x000D_
Cumul]]*24)</f>
        <v>0.37972138919844839</v>
      </c>
      <c r="Y428" s="82">
        <f>Tableau1[[#This Row],[Différence HC
Cumul]]/Tableau1[[#This Row],[Diff jour_x000D_
Cumul]]</f>
        <v>9.11331334076276</v>
      </c>
      <c r="Z428" s="82">
        <f>Tableau1[[#This Row],[Conso HC / jour_x000D_
Cumul]]*365</f>
        <v>3326.3593693784073</v>
      </c>
      <c r="AA428" s="79">
        <f>Tableau1[[#This Row],[Différence HP
Instantané]]+Tableau1[[#This Row],[Différence_x000D_ HC
Instantané]]</f>
        <v>10</v>
      </c>
      <c r="AB428" s="80">
        <f>Tableau1[[#This Row],[Conso HP + HC
Instantané]]/(Tableau1[[#This Row],[Diff jour
Instantané]]*24)</f>
        <v>0.41695621959788681</v>
      </c>
      <c r="AC428" s="80">
        <f>IF(ISERROR(Tableau1[[#This Row],[Date]]-A427),"",Tableau1[[#This Row],[Conso HP + HC
Instantané]]/Tableau1[[#This Row],[Diff jour
Instantané]])</f>
        <v>10.006949270349283</v>
      </c>
      <c r="AD428" s="80">
        <f>Tableau1[[#This Row],[Conso HP + HC / jour_x000D_
Instantané]]*365</f>
        <v>3652.5364836774884</v>
      </c>
      <c r="AE428" s="79">
        <f>Tableau1[[#This Row],[Différence HP
Cumul]]+Tableau1[[#This Row],[Différence HC
Cumul]]</f>
        <v>20489</v>
      </c>
      <c r="AF428" s="77">
        <f>(Tableau1[[#This Row],[Conso HP + HC
Cumul]]-AE$6)/Tableau1[[#This Row],[Diff jour_x000D_
Cumul
depuis le 24/01]]</f>
        <v>28.193057812228588</v>
      </c>
      <c r="AG428" s="77">
        <f>(Tableau1[[#This Row],[Conso HP + HC
Cumul]]-AE$59)/Tableau1[[#This Row],[Diff jour_x000D_
Cumul
depuis
précédente facture
16/02/2021]]</f>
        <v>26.608938566471984</v>
      </c>
      <c r="AH428" s="80">
        <f>Tableau1[[#This Row],[Conso HP + HC
Cumul]]/(Tableau1[[#This Row],[Diff jour_x000D_
Cumul]]*24)</f>
        <v>1.2673255486703059</v>
      </c>
      <c r="AI428" s="80">
        <f>Tableau1[[#This Row],[Conso HP + HC
Cumul]]/Tableau1[[#This Row],[Diff jour_x000D_
Cumul]]</f>
        <v>30.415813168087343</v>
      </c>
      <c r="AJ428" s="80">
        <f>Tableau1[[#This Row],[Conso HP + HC / jour_x000D_
Cumul]]*365</f>
        <v>11101.771806351881</v>
      </c>
      <c r="AK428" s="83">
        <f>(Tableau1[[#This Row],[Différence HP
Cumul]]*0.1799)+(Tableau1[[#This Row],[Différence HC
Cumul]]*0.1346)</f>
        <v>3407.8744000000002</v>
      </c>
      <c r="AL428" s="83">
        <f>Tableau1[[#This Row],[Montant
Tarif HP/HC]]/Tableau1[[#This Row],[Diff jour_x000D_
Cumul]]</f>
        <v>5.0589716946023602</v>
      </c>
      <c r="AM428" s="83">
        <f>(Tableau1[[#This Row],[Montant
Tarif HP/HC]]-AK$6)/Tableau1[[#This Row],[Diff jour_x000D_
Cumul
depuis le 24/01]]</f>
        <v>4.6943043028364784</v>
      </c>
      <c r="AN428" s="83">
        <f>(Tableau1[[#This Row],[Montant
Tarif HP/HC]]-AK$59)/Tableau1[[#This Row],[Diff jour_x000D_
Cumul
depuis
précédente facture
16/02/2021]]</f>
        <v>4.4303279150935193</v>
      </c>
      <c r="AO428" s="83">
        <f>Tableau1[[#This Row],[Conso HP + HC
Cumul]]*0.1599</f>
        <v>3276.1910999999996</v>
      </c>
      <c r="AP428" s="83">
        <f>Tableau1[[#This Row],[Montant
Tarif normal]]/Tableau1[[#This Row],[Diff jour_x000D_
Cumul]]</f>
        <v>4.863488525577166</v>
      </c>
      <c r="AQ428" s="83">
        <f>(Tableau1[[#This Row],[Conso HP / an
Cumul]]*0.1799)+(Tableau1[[#This Row],[Conso HC / an_x000D_
Cumul]]*0.1346)</f>
        <v>1846.5246685298616</v>
      </c>
      <c r="AR428" s="83">
        <f>Tableau1[[#This Row],[Conso HP + HC / an_x000D_
Cumul]]*0.1599</f>
        <v>1775.1733118356656</v>
      </c>
      <c r="AS428" s="79">
        <f>MONTH(Tableau1[[#This Row],[Date]])</f>
        <v>10</v>
      </c>
      <c r="AT428" s="79">
        <f>YEAR(Tableau1[[#This Row],[Date]])</f>
        <v>2022</v>
      </c>
    </row>
    <row r="429" spans="1:46" x14ac:dyDescent="0.2">
      <c r="A429" s="74">
        <v>44857.45</v>
      </c>
      <c r="B429" s="75"/>
      <c r="C429" s="76">
        <f>IF(ISERROR(Tableau1[[#This Row],[Date]]-A428),"",Tableau1[[#This Row],[Date]]-A428)</f>
        <v>1.1118055555562023</v>
      </c>
      <c r="D429" s="77">
        <f>IF(ISERROR(Tableau1[[#This Row],[Date]]-A428),"",Tableau1[[#This Row],[Date]]-A428)</f>
        <v>1.1118055555562023</v>
      </c>
      <c r="E429" s="76">
        <f>Tableau1[[#This Row],[Date]]-$A$5</f>
        <v>674.74166666666133</v>
      </c>
      <c r="F429" s="77">
        <f>Tableau1[[#This Row],[Date]]-$A$5</f>
        <v>674.74166666666133</v>
      </c>
      <c r="G429" s="77">
        <f>Tableau1[[#This Row],[Diff jour_x000D_
Cumul]]-F$6</f>
        <v>636.65833333333285</v>
      </c>
      <c r="H429" s="77">
        <f>Tableau1[[#This Row],[Diff jour_x000D_
Cumul]]-F$59</f>
        <v>614.13888888888323</v>
      </c>
      <c r="I429" s="78">
        <v>194118</v>
      </c>
      <c r="J429" s="79">
        <f>IF(ISERROR(Tableau1[[#This Row],[Index HP
kWh]]-I428),"",Tableau1[[#This Row],[Index HP
kWh]]-I428)</f>
        <v>9</v>
      </c>
      <c r="K429" s="77">
        <f>IF(ISERROR(Tableau1[[#This Row],[Différence HP
Instantané]]/(Tableau1[[#This Row],[Diff jour
Instantané]]*24)),"",Tableau1[[#This Row],[Différence HP
Instantané]]/(Tableau1[[#This Row],[Diff jour
Instantané]]*24))</f>
        <v>0.33728919425339532</v>
      </c>
      <c r="L429" s="77">
        <f>Tableau1[[#This Row],[Différence HP
Instantané]]/Tableau1[[#This Row],[Diff jour
Instantané]]</f>
        <v>8.0949406620814877</v>
      </c>
      <c r="M429" s="77">
        <f>Tableau1[[#This Row],[Conso HP / jour
Instantané]]*365</f>
        <v>2954.6533416597431</v>
      </c>
      <c r="N429" s="79">
        <f>Tableau1[[#This Row],[Index HP
kWh]]-$I$5</f>
        <v>14359</v>
      </c>
      <c r="O429" s="80">
        <f>Tableau1[[#This Row],[Différence HP
Cumul]]/(Tableau1[[#This Row],[Diff jour_x000D_
Cumul]]*24)</f>
        <v>0.8866973780088746</v>
      </c>
      <c r="P429" s="80">
        <f>Tableau1[[#This Row],[Différence HP
Cumul]]/Tableau1[[#This Row],[Diff jour_x000D_
Cumul]]</f>
        <v>21.28073707221299</v>
      </c>
      <c r="Q429" s="80">
        <f>Tableau1[[#This Row],[Conso HP / jour
Cumul]]*365</f>
        <v>7767.4690313577412</v>
      </c>
      <c r="R429" s="78">
        <v>125574</v>
      </c>
      <c r="S429" s="79">
        <f>Tableau1[[#This Row],[Index HC_x000D_
kWh]]-R428</f>
        <v>3</v>
      </c>
      <c r="T429" s="81">
        <f>Tableau1[[#This Row],[Différence_x000D_ HC
Instantané]]/(Tableau1[[#This Row],[Diff jour
Instantané]]*24)</f>
        <v>0.11242973141779844</v>
      </c>
      <c r="U429" s="81">
        <f>Tableau1[[#This Row],[Différence_x000D_ HC
Instantané]]/Tableau1[[#This Row],[Diff jour
Instantané]]</f>
        <v>2.6983135540271626</v>
      </c>
      <c r="V429" s="81">
        <f>Tableau1[[#This Row],[Conso HC / jour_x000D_
Instantané]]*365</f>
        <v>984.88444721991436</v>
      </c>
      <c r="W429" s="79">
        <f>Tableau1[[#This Row],[Index HC_x000D_
kWh]]-$R$5</f>
        <v>6142</v>
      </c>
      <c r="X429" s="82">
        <f>Tableau1[[#This Row],[Différence HC
Cumul]]/(Tableau1[[#This Row],[Diff jour_x000D_
Cumul]]*24)</f>
        <v>0.37928095937951861</v>
      </c>
      <c r="Y429" s="82">
        <f>Tableau1[[#This Row],[Différence HC
Cumul]]/Tableau1[[#This Row],[Diff jour_x000D_
Cumul]]</f>
        <v>9.1027430251084471</v>
      </c>
      <c r="Z429" s="82">
        <f>Tableau1[[#This Row],[Conso HC / jour_x000D_
Cumul]]*365</f>
        <v>3322.5012041645832</v>
      </c>
      <c r="AA429" s="79">
        <f>Tableau1[[#This Row],[Différence HP
Instantané]]+Tableau1[[#This Row],[Différence_x000D_ HC
Instantané]]</f>
        <v>12</v>
      </c>
      <c r="AB429" s="80">
        <f>Tableau1[[#This Row],[Conso HP + HC
Instantané]]/(Tableau1[[#This Row],[Diff jour
Instantané]]*24)</f>
        <v>0.44971892567119376</v>
      </c>
      <c r="AC429" s="80">
        <f>IF(ISERROR(Tableau1[[#This Row],[Date]]-A428),"",Tableau1[[#This Row],[Conso HP + HC
Instantané]]/Tableau1[[#This Row],[Diff jour
Instantané]])</f>
        <v>10.79325421610865</v>
      </c>
      <c r="AD429" s="80">
        <f>Tableau1[[#This Row],[Conso HP + HC / jour_x000D_
Instantané]]*365</f>
        <v>3939.5377888796575</v>
      </c>
      <c r="AE429" s="79">
        <f>Tableau1[[#This Row],[Différence HP
Cumul]]+Tableau1[[#This Row],[Différence HC
Cumul]]</f>
        <v>20501</v>
      </c>
      <c r="AF429" s="77">
        <f>(Tableau1[[#This Row],[Conso HP + HC
Cumul]]-AE$6)/Tableau1[[#This Row],[Diff jour_x000D_
Cumul
depuis le 24/01]]</f>
        <v>28.16267228628649</v>
      </c>
      <c r="AG429" s="77">
        <f>(Tableau1[[#This Row],[Conso HP + HC
Cumul]]-AE$59)/Tableau1[[#This Row],[Diff jour_x000D_
Cumul
depuis
précédente facture
16/02/2021]]</f>
        <v>26.580306662445402</v>
      </c>
      <c r="AH429" s="80">
        <f>Tableau1[[#This Row],[Conso HP + HC
Cumul]]/(Tableau1[[#This Row],[Diff jour_x000D_
Cumul]]*24)</f>
        <v>1.2659783373883933</v>
      </c>
      <c r="AI429" s="80">
        <f>Tableau1[[#This Row],[Conso HP + HC
Cumul]]/Tableau1[[#This Row],[Diff jour_x000D_
Cumul]]</f>
        <v>30.383480097321439</v>
      </c>
      <c r="AJ429" s="80">
        <f>Tableau1[[#This Row],[Conso HP + HC / jour_x000D_
Cumul]]*365</f>
        <v>11089.970235522325</v>
      </c>
      <c r="AK429" s="83">
        <f>(Tableau1[[#This Row],[Différence HP
Cumul]]*0.1799)+(Tableau1[[#This Row],[Différence HC
Cumul]]*0.1346)</f>
        <v>3409.8973000000001</v>
      </c>
      <c r="AL429" s="83">
        <f>Tableau1[[#This Row],[Montant
Tarif HP/HC]]/Tableau1[[#This Row],[Diff jour_x000D_
Cumul]]</f>
        <v>5.0536338104707141</v>
      </c>
      <c r="AM429" s="83">
        <f>(Tableau1[[#This Row],[Montant
Tarif HP/HC]]-AK$6)/Tableau1[[#This Row],[Diff jour_x000D_
Cumul
depuis le 24/01]]</f>
        <v>4.6892839435071174</v>
      </c>
      <c r="AN429" s="83">
        <f>(Tableau1[[#This Row],[Montant
Tarif HP/HC]]-AK$59)/Tableau1[[#This Row],[Diff jour_x000D_
Cumul
depuis
précédente facture
16/02/2021]]</f>
        <v>4.4256013569135151</v>
      </c>
      <c r="AO429" s="83">
        <f>Tableau1[[#This Row],[Conso HP + HC
Cumul]]*0.1599</f>
        <v>3278.1098999999999</v>
      </c>
      <c r="AP429" s="83">
        <f>Tableau1[[#This Row],[Montant
Tarif normal]]/Tableau1[[#This Row],[Diff jour_x000D_
Cumul]]</f>
        <v>4.8583184675616975</v>
      </c>
      <c r="AQ429" s="83">
        <f>(Tableau1[[#This Row],[Conso HP / an
Cumul]]*0.1799)+(Tableau1[[#This Row],[Conso HC / an_x000D_
Cumul]]*0.1346)</f>
        <v>1844.5763408218104</v>
      </c>
      <c r="AR429" s="83">
        <f>Tableau1[[#This Row],[Conso HP + HC / an_x000D_
Cumul]]*0.1599</f>
        <v>1773.2862406600198</v>
      </c>
      <c r="AS429" s="79">
        <f>MONTH(Tableau1[[#This Row],[Date]])</f>
        <v>10</v>
      </c>
      <c r="AT429" s="79">
        <f>YEAR(Tableau1[[#This Row],[Date]])</f>
        <v>2022</v>
      </c>
    </row>
    <row r="430" spans="1:46" x14ac:dyDescent="0.2">
      <c r="A430" s="74">
        <v>44858.31527777778</v>
      </c>
      <c r="B430" s="75"/>
      <c r="C430" s="76">
        <f>IF(ISERROR(Tableau1[[#This Row],[Date]]-A429),"",Tableau1[[#This Row],[Date]]-A429)</f>
        <v>0.86527777778246673</v>
      </c>
      <c r="D430" s="77">
        <f>IF(ISERROR(Tableau1[[#This Row],[Date]]-A429),"",Tableau1[[#This Row],[Date]]-A429)</f>
        <v>0.86527777778246673</v>
      </c>
      <c r="E430" s="76">
        <f>Tableau1[[#This Row],[Date]]-$A$5</f>
        <v>675.6069444444438</v>
      </c>
      <c r="F430" s="77">
        <f>Tableau1[[#This Row],[Date]]-$A$5</f>
        <v>675.6069444444438</v>
      </c>
      <c r="G430" s="77">
        <f>Tableau1[[#This Row],[Diff jour_x000D_
Cumul]]-F$6</f>
        <v>637.52361111111531</v>
      </c>
      <c r="H430" s="77">
        <f>Tableau1[[#This Row],[Diff jour_x000D_
Cumul]]-F$59</f>
        <v>615.0041666666657</v>
      </c>
      <c r="I430" s="78">
        <v>194123</v>
      </c>
      <c r="J430" s="79">
        <f>IF(ISERROR(Tableau1[[#This Row],[Index HP
kWh]]-I429),"",Tableau1[[#This Row],[Index HP
kWh]]-I429)</f>
        <v>5</v>
      </c>
      <c r="K430" s="77">
        <f>IF(ISERROR(Tableau1[[#This Row],[Différence HP
Instantané]]/(Tableau1[[#This Row],[Diff jour
Instantané]]*24)),"",Tableau1[[#This Row],[Différence HP
Instantané]]/(Tableau1[[#This Row],[Diff jour
Instantané]]*24))</f>
        <v>0.24077046548826186</v>
      </c>
      <c r="L430" s="77">
        <f>Tableau1[[#This Row],[Différence HP
Instantané]]/Tableau1[[#This Row],[Diff jour
Instantané]]</f>
        <v>5.7784911717182847</v>
      </c>
      <c r="M430" s="77">
        <f>Tableau1[[#This Row],[Conso HP / jour
Instantané]]*365</f>
        <v>2109.1492776771738</v>
      </c>
      <c r="N430" s="79">
        <f>Tableau1[[#This Row],[Index HP
kWh]]-$I$5</f>
        <v>14364</v>
      </c>
      <c r="O430" s="80">
        <f>Tableau1[[#This Row],[Différence HP
Cumul]]/(Tableau1[[#This Row],[Diff jour_x000D_
Cumul]]*24)</f>
        <v>0.88587011267646254</v>
      </c>
      <c r="P430" s="80">
        <f>Tableau1[[#This Row],[Différence HP
Cumul]]/Tableau1[[#This Row],[Diff jour_x000D_
Cumul]]</f>
        <v>21.260882704235101</v>
      </c>
      <c r="Q430" s="80">
        <f>Tableau1[[#This Row],[Conso HP / jour
Cumul]]*365</f>
        <v>7760.2221870458116</v>
      </c>
      <c r="R430" s="78">
        <v>125577</v>
      </c>
      <c r="S430" s="79">
        <f>Tableau1[[#This Row],[Index HC_x000D_
kWh]]-R429</f>
        <v>3</v>
      </c>
      <c r="T430" s="81">
        <f>Tableau1[[#This Row],[Différence_x000D_ HC
Instantané]]/(Tableau1[[#This Row],[Diff jour
Instantané]]*24)</f>
        <v>0.14446227929295713</v>
      </c>
      <c r="U430" s="81">
        <f>Tableau1[[#This Row],[Différence_x000D_ HC
Instantané]]/Tableau1[[#This Row],[Diff jour
Instantané]]</f>
        <v>3.4670947030309711</v>
      </c>
      <c r="V430" s="81">
        <f>Tableau1[[#This Row],[Conso HC / jour_x000D_
Instantané]]*365</f>
        <v>1265.4895666063044</v>
      </c>
      <c r="W430" s="79">
        <f>Tableau1[[#This Row],[Index HC_x000D_
kWh]]-$R$5</f>
        <v>6145</v>
      </c>
      <c r="X430" s="82">
        <f>Tableau1[[#This Row],[Différence HC
Cumul]]/(Tableau1[[#This Row],[Diff jour_x000D_
Cumul]]*24)</f>
        <v>0.37898021737655685</v>
      </c>
      <c r="Y430" s="82">
        <f>Tableau1[[#This Row],[Différence HC
Cumul]]/Tableau1[[#This Row],[Diff jour_x000D_
Cumul]]</f>
        <v>9.0955252170373644</v>
      </c>
      <c r="Z430" s="82">
        <f>Tableau1[[#This Row],[Conso HC / jour_x000D_
Cumul]]*365</f>
        <v>3319.866704218638</v>
      </c>
      <c r="AA430" s="79">
        <f>Tableau1[[#This Row],[Différence HP
Instantané]]+Tableau1[[#This Row],[Différence_x000D_ HC
Instantané]]</f>
        <v>8</v>
      </c>
      <c r="AB430" s="80">
        <f>Tableau1[[#This Row],[Conso HP + HC
Instantané]]/(Tableau1[[#This Row],[Diff jour
Instantané]]*24)</f>
        <v>0.38523274478121899</v>
      </c>
      <c r="AC430" s="80">
        <f>IF(ISERROR(Tableau1[[#This Row],[Date]]-A429),"",Tableau1[[#This Row],[Conso HP + HC
Instantané]]/Tableau1[[#This Row],[Diff jour
Instantané]])</f>
        <v>9.2455858747492563</v>
      </c>
      <c r="AD430" s="80">
        <f>Tableau1[[#This Row],[Conso HP + HC / jour_x000D_
Instantané]]*365</f>
        <v>3374.6388442834786</v>
      </c>
      <c r="AE430" s="79">
        <f>Tableau1[[#This Row],[Différence HP
Cumul]]+Tableau1[[#This Row],[Différence HC
Cumul]]</f>
        <v>20509</v>
      </c>
      <c r="AF430" s="77">
        <f>(Tableau1[[#This Row],[Conso HP + HC
Cumul]]-AE$6)/Tableau1[[#This Row],[Diff jour_x000D_
Cumul
depuis le 24/01]]</f>
        <v>28.136997104682212</v>
      </c>
      <c r="AG430" s="77">
        <f>(Tableau1[[#This Row],[Conso HP + HC
Cumul]]-AE$59)/Tableau1[[#This Row],[Diff jour_x000D_
Cumul
depuis
précédente facture
16/02/2021]]</f>
        <v>26.555917642834441</v>
      </c>
      <c r="AH430" s="80">
        <f>Tableau1[[#This Row],[Conso HP + HC
Cumul]]/(Tableau1[[#This Row],[Diff jour_x000D_
Cumul]]*24)</f>
        <v>1.2648503300530194</v>
      </c>
      <c r="AI430" s="80">
        <f>Tableau1[[#This Row],[Conso HP + HC
Cumul]]/Tableau1[[#This Row],[Diff jour_x000D_
Cumul]]</f>
        <v>30.356407921272464</v>
      </c>
      <c r="AJ430" s="80">
        <f>Tableau1[[#This Row],[Conso HP + HC / jour_x000D_
Cumul]]*365</f>
        <v>11080.08889126445</v>
      </c>
      <c r="AK430" s="83">
        <f>(Tableau1[[#This Row],[Différence HP
Cumul]]*0.1799)+(Tableau1[[#This Row],[Différence HC
Cumul]]*0.1346)</f>
        <v>3411.2006000000001</v>
      </c>
      <c r="AL430" s="83">
        <f>Tableau1[[#This Row],[Montant
Tarif HP/HC]]/Tableau1[[#This Row],[Diff jour_x000D_
Cumul]]</f>
        <v>5.0490904927051243</v>
      </c>
      <c r="AM430" s="83">
        <f>(Tableau1[[#This Row],[Montant
Tarif HP/HC]]-AK$6)/Tableau1[[#This Row],[Diff jour_x000D_
Cumul
depuis le 24/01]]</f>
        <v>4.6849637377264584</v>
      </c>
      <c r="AN430" s="83">
        <f>(Tableau1[[#This Row],[Montant
Tarif HP/HC]]-AK$59)/Tableau1[[#This Row],[Diff jour_x000D_
Cumul
depuis
précédente facture
16/02/2021]]</f>
        <v>4.4214939465179848</v>
      </c>
      <c r="AO430" s="83">
        <f>Tableau1[[#This Row],[Conso HP + HC
Cumul]]*0.1599</f>
        <v>3279.3890999999999</v>
      </c>
      <c r="AP430" s="83">
        <f>Tableau1[[#This Row],[Montant
Tarif normal]]/Tableau1[[#This Row],[Diff jour_x000D_
Cumul]]</f>
        <v>4.853989626611467</v>
      </c>
      <c r="AQ430" s="83">
        <f>(Tableau1[[#This Row],[Conso HP / an
Cumul]]*0.1799)+(Tableau1[[#This Row],[Conso HC / an_x000D_
Cumul]]*0.1346)</f>
        <v>1842.9180298373701</v>
      </c>
      <c r="AR430" s="83">
        <f>Tableau1[[#This Row],[Conso HP + HC / an_x000D_
Cumul]]*0.1599</f>
        <v>1771.7062137131854</v>
      </c>
      <c r="AS430" s="79">
        <f>MONTH(Tableau1[[#This Row],[Date]])</f>
        <v>10</v>
      </c>
      <c r="AT430" s="79">
        <f>YEAR(Tableau1[[#This Row],[Date]])</f>
        <v>2022</v>
      </c>
    </row>
    <row r="431" spans="1:46" x14ac:dyDescent="0.2">
      <c r="A431" s="74">
        <v>44859.315972222219</v>
      </c>
      <c r="B431" s="75"/>
      <c r="C431" s="76">
        <f>IF(ISERROR(Tableau1[[#This Row],[Date]]-A430),"",Tableau1[[#This Row],[Date]]-A430)</f>
        <v>1.0006944444394321</v>
      </c>
      <c r="D431" s="77">
        <f>IF(ISERROR(Tableau1[[#This Row],[Date]]-A430),"",Tableau1[[#This Row],[Date]]-A430)</f>
        <v>1.0006944444394321</v>
      </c>
      <c r="E431" s="76">
        <f>Tableau1[[#This Row],[Date]]-$A$5</f>
        <v>676.60763888888323</v>
      </c>
      <c r="F431" s="77">
        <f>Tableau1[[#This Row],[Date]]-$A$5</f>
        <v>676.60763888888323</v>
      </c>
      <c r="G431" s="77">
        <f>Tableau1[[#This Row],[Diff jour_x000D_
Cumul]]-F$6</f>
        <v>638.52430555555475</v>
      </c>
      <c r="H431" s="77">
        <f>Tableau1[[#This Row],[Diff jour_x000D_
Cumul]]-F$59</f>
        <v>616.00486111110513</v>
      </c>
      <c r="I431" s="78">
        <v>194130</v>
      </c>
      <c r="J431" s="79">
        <f>IF(ISERROR(Tableau1[[#This Row],[Index HP
kWh]]-I430),"",Tableau1[[#This Row],[Index HP
kWh]]-I430)</f>
        <v>7</v>
      </c>
      <c r="K431" s="77">
        <f>IF(ISERROR(Tableau1[[#This Row],[Différence HP
Instantané]]/(Tableau1[[#This Row],[Diff jour
Instantané]]*24)),"",Tableau1[[#This Row],[Différence HP
Instantané]]/(Tableau1[[#This Row],[Diff jour
Instantané]]*24))</f>
        <v>0.29146426093136968</v>
      </c>
      <c r="L431" s="77">
        <f>Tableau1[[#This Row],[Différence HP
Instantané]]/Tableau1[[#This Row],[Diff jour
Instantané]]</f>
        <v>6.9951422623528723</v>
      </c>
      <c r="M431" s="77">
        <f>Tableau1[[#This Row],[Conso HP / jour
Instantané]]*365</f>
        <v>2553.2269257587982</v>
      </c>
      <c r="N431" s="79">
        <f>Tableau1[[#This Row],[Index HP
kWh]]-$I$5</f>
        <v>14371</v>
      </c>
      <c r="O431" s="80">
        <f>Tableau1[[#This Row],[Différence HP
Cumul]]/(Tableau1[[#This Row],[Diff jour_x000D_
Cumul]]*24)</f>
        <v>0.88499099367248502</v>
      </c>
      <c r="P431" s="80">
        <f>Tableau1[[#This Row],[Différence HP
Cumul]]/Tableau1[[#This Row],[Diff jour_x000D_
Cumul]]</f>
        <v>21.239783848139641</v>
      </c>
      <c r="Q431" s="80">
        <f>Tableau1[[#This Row],[Conso HP / jour
Cumul]]*365</f>
        <v>7752.5211045709693</v>
      </c>
      <c r="R431" s="78">
        <v>125579</v>
      </c>
      <c r="S431" s="79">
        <f>Tableau1[[#This Row],[Index HC_x000D_
kWh]]-R430</f>
        <v>2</v>
      </c>
      <c r="T431" s="81">
        <f>Tableau1[[#This Row],[Différence_x000D_ HC
Instantané]]/(Tableau1[[#This Row],[Diff jour
Instantané]]*24)</f>
        <v>8.3275503123248482E-2</v>
      </c>
      <c r="U431" s="81">
        <f>Tableau1[[#This Row],[Différence_x000D_ HC
Instantané]]/Tableau1[[#This Row],[Diff jour
Instantané]]</f>
        <v>1.9986120749579634</v>
      </c>
      <c r="V431" s="81">
        <f>Tableau1[[#This Row],[Conso HC / jour_x000D_
Instantané]]*365</f>
        <v>729.49340735965666</v>
      </c>
      <c r="W431" s="79">
        <f>Tableau1[[#This Row],[Index HC_x000D_
kWh]]-$R$5</f>
        <v>6147</v>
      </c>
      <c r="X431" s="82">
        <f>Tableau1[[#This Row],[Différence HC
Cumul]]/(Tableau1[[#This Row],[Diff jour_x000D_
Cumul]]*24)</f>
        <v>0.37854287371127726</v>
      </c>
      <c r="Y431" s="82">
        <f>Tableau1[[#This Row],[Différence HC
Cumul]]/Tableau1[[#This Row],[Diff jour_x000D_
Cumul]]</f>
        <v>9.0850289690706543</v>
      </c>
      <c r="Z431" s="82">
        <f>Tableau1[[#This Row],[Conso HC / jour_x000D_
Cumul]]*365</f>
        <v>3316.0355737107889</v>
      </c>
      <c r="AA431" s="79">
        <f>Tableau1[[#This Row],[Différence HP
Instantané]]+Tableau1[[#This Row],[Différence_x000D_ HC
Instantané]]</f>
        <v>9</v>
      </c>
      <c r="AB431" s="80">
        <f>Tableau1[[#This Row],[Conso HP + HC
Instantané]]/(Tableau1[[#This Row],[Diff jour
Instantané]]*24)</f>
        <v>0.37473976405461817</v>
      </c>
      <c r="AC431" s="80">
        <f>IF(ISERROR(Tableau1[[#This Row],[Date]]-A430),"",Tableau1[[#This Row],[Conso HP + HC
Instantané]]/Tableau1[[#This Row],[Diff jour
Instantané]])</f>
        <v>8.9937543373108362</v>
      </c>
      <c r="AD431" s="80">
        <f>Tableau1[[#This Row],[Conso HP + HC / jour_x000D_
Instantané]]*365</f>
        <v>3282.7203331184551</v>
      </c>
      <c r="AE431" s="79">
        <f>Tableau1[[#This Row],[Différence HP
Cumul]]+Tableau1[[#This Row],[Différence HC
Cumul]]</f>
        <v>20518</v>
      </c>
      <c r="AF431" s="77">
        <f>(Tableau1[[#This Row],[Conso HP + HC
Cumul]]-AE$6)/Tableau1[[#This Row],[Diff jour_x000D_
Cumul
depuis le 24/01]]</f>
        <v>28.106995840017436</v>
      </c>
      <c r="AG431" s="77">
        <f>(Tableau1[[#This Row],[Conso HP + HC
Cumul]]-AE$59)/Tableau1[[#This Row],[Diff jour_x000D_
Cumul
depuis
précédente facture
16/02/2021]]</f>
        <v>26.527388063992358</v>
      </c>
      <c r="AH431" s="80">
        <f>Tableau1[[#This Row],[Conso HP + HC
Cumul]]/(Tableau1[[#This Row],[Diff jour_x000D_
Cumul]]*24)</f>
        <v>1.2635338673837622</v>
      </c>
      <c r="AI431" s="80">
        <f>Tableau1[[#This Row],[Conso HP + HC
Cumul]]/Tableau1[[#This Row],[Diff jour_x000D_
Cumul]]</f>
        <v>30.324812817210294</v>
      </c>
      <c r="AJ431" s="80">
        <f>Tableau1[[#This Row],[Conso HP + HC / jour_x000D_
Cumul]]*365</f>
        <v>11068.556678281757</v>
      </c>
      <c r="AK431" s="83">
        <f>(Tableau1[[#This Row],[Différence HP
Cumul]]*0.1799)+(Tableau1[[#This Row],[Différence HC
Cumul]]*0.1346)</f>
        <v>3412.7291</v>
      </c>
      <c r="AL431" s="83">
        <f>Tableau1[[#This Row],[Montant
Tarif HP/HC]]/Tableau1[[#This Row],[Diff jour_x000D_
Cumul]]</f>
        <v>5.0438820135172309</v>
      </c>
      <c r="AM431" s="83">
        <f>(Tableau1[[#This Row],[Montant
Tarif HP/HC]]-AK$6)/Tableau1[[#This Row],[Diff jour_x000D_
Cumul
depuis le 24/01]]</f>
        <v>4.6800152695831923</v>
      </c>
      <c r="AN431" s="83">
        <f>(Tableau1[[#This Row],[Montant
Tarif HP/HC]]-AK$59)/Tableau1[[#This Row],[Diff jour_x000D_
Cumul
depuis
précédente facture
16/02/2021]]</f>
        <v>4.4167925803255494</v>
      </c>
      <c r="AO431" s="83">
        <f>Tableau1[[#This Row],[Conso HP + HC
Cumul]]*0.1599</f>
        <v>3280.8281999999999</v>
      </c>
      <c r="AP431" s="83">
        <f>Tableau1[[#This Row],[Montant
Tarif normal]]/Tableau1[[#This Row],[Diff jour_x000D_
Cumul]]</f>
        <v>4.8489375694719259</v>
      </c>
      <c r="AQ431" s="83">
        <f>(Tableau1[[#This Row],[Conso HP / an
Cumul]]*0.1799)+(Tableau1[[#This Row],[Conso HC / an_x000D_
Cumul]]*0.1346)</f>
        <v>1841.0169349337898</v>
      </c>
      <c r="AR431" s="83">
        <f>Tableau1[[#This Row],[Conso HP + HC / an_x000D_
Cumul]]*0.1599</f>
        <v>1769.8622128572529</v>
      </c>
      <c r="AS431" s="79">
        <f>MONTH(Tableau1[[#This Row],[Date]])</f>
        <v>10</v>
      </c>
      <c r="AT431" s="79">
        <f>YEAR(Tableau1[[#This Row],[Date]])</f>
        <v>2022</v>
      </c>
    </row>
    <row r="432" spans="1:46" x14ac:dyDescent="0.2">
      <c r="A432" s="74">
        <v>44860.363194444442</v>
      </c>
      <c r="B432" s="75"/>
      <c r="C432" s="76">
        <f>IF(ISERROR(Tableau1[[#This Row],[Date]]-A431),"",Tableau1[[#This Row],[Date]]-A431)</f>
        <v>1.047222222223354</v>
      </c>
      <c r="D432" s="77">
        <f>IF(ISERROR(Tableau1[[#This Row],[Date]]-A431),"",Tableau1[[#This Row],[Date]]-A431)</f>
        <v>1.047222222223354</v>
      </c>
      <c r="E432" s="76">
        <f>Tableau1[[#This Row],[Date]]-$A$5</f>
        <v>677.65486111110658</v>
      </c>
      <c r="F432" s="77">
        <f>Tableau1[[#This Row],[Date]]-$A$5</f>
        <v>677.65486111110658</v>
      </c>
      <c r="G432" s="77">
        <f>Tableau1[[#This Row],[Diff jour_x000D_
Cumul]]-F$6</f>
        <v>639.5715277777781</v>
      </c>
      <c r="H432" s="77">
        <f>Tableau1[[#This Row],[Diff jour_x000D_
Cumul]]-F$59</f>
        <v>617.05208333332848</v>
      </c>
      <c r="I432" s="78">
        <v>194139</v>
      </c>
      <c r="J432" s="79">
        <f>IF(ISERROR(Tableau1[[#This Row],[Index HP
kWh]]-I431),"",Tableau1[[#This Row],[Index HP
kWh]]-I431)</f>
        <v>9</v>
      </c>
      <c r="K432" s="77">
        <f>IF(ISERROR(Tableau1[[#This Row],[Différence HP
Instantané]]/(Tableau1[[#This Row],[Diff jour
Instantané]]*24)),"",Tableau1[[#This Row],[Différence HP
Instantané]]/(Tableau1[[#This Row],[Diff jour
Instantané]]*24))</f>
        <v>0.35809018567600553</v>
      </c>
      <c r="L432" s="77">
        <f>Tableau1[[#This Row],[Différence HP
Instantané]]/Tableau1[[#This Row],[Diff jour
Instantané]]</f>
        <v>8.5941644562241333</v>
      </c>
      <c r="M432" s="77">
        <f>Tableau1[[#This Row],[Conso HP / jour
Instantané]]*365</f>
        <v>3136.8700265218085</v>
      </c>
      <c r="N432" s="79">
        <f>Tableau1[[#This Row],[Index HP
kWh]]-$I$5</f>
        <v>14380</v>
      </c>
      <c r="O432" s="80">
        <f>Tableau1[[#This Row],[Différence HP
Cumul]]/(Tableau1[[#This Row],[Diff jour_x000D_
Cumul]]*24)</f>
        <v>0.88417674106882682</v>
      </c>
      <c r="P432" s="80">
        <f>Tableau1[[#This Row],[Différence HP
Cumul]]/Tableau1[[#This Row],[Diff jour_x000D_
Cumul]]</f>
        <v>21.220241785651844</v>
      </c>
      <c r="Q432" s="80">
        <f>Tableau1[[#This Row],[Conso HP / jour
Cumul]]*365</f>
        <v>7745.3882517629227</v>
      </c>
      <c r="R432" s="78">
        <v>125582</v>
      </c>
      <c r="S432" s="79">
        <f>Tableau1[[#This Row],[Index HC_x000D_
kWh]]-R431</f>
        <v>3</v>
      </c>
      <c r="T432" s="81">
        <f>Tableau1[[#This Row],[Différence_x000D_ HC
Instantané]]/(Tableau1[[#This Row],[Diff jour
Instantané]]*24)</f>
        <v>0.11936339522533519</v>
      </c>
      <c r="U432" s="81">
        <f>Tableau1[[#This Row],[Différence_x000D_ HC
Instantané]]/Tableau1[[#This Row],[Diff jour
Instantané]]</f>
        <v>2.8647214854080443</v>
      </c>
      <c r="V432" s="81">
        <f>Tableau1[[#This Row],[Conso HC / jour_x000D_
Instantané]]*365</f>
        <v>1045.6233421739362</v>
      </c>
      <c r="W432" s="79">
        <f>Tableau1[[#This Row],[Index HC_x000D_
kWh]]-$R$5</f>
        <v>6150</v>
      </c>
      <c r="X432" s="82">
        <f>Tableau1[[#This Row],[Différence HC
Cumul]]/(Tableau1[[#This Row],[Diff jour_x000D_
Cumul]]*24)</f>
        <v>0.37814234753638976</v>
      </c>
      <c r="Y432" s="82">
        <f>Tableau1[[#This Row],[Différence HC
Cumul]]/Tableau1[[#This Row],[Diff jour_x000D_
Cumul]]</f>
        <v>9.075416340873355</v>
      </c>
      <c r="Z432" s="82">
        <f>Tableau1[[#This Row],[Conso HC / jour_x000D_
Cumul]]*365</f>
        <v>3312.5269644187747</v>
      </c>
      <c r="AA432" s="79">
        <f>Tableau1[[#This Row],[Différence HP
Instantané]]+Tableau1[[#This Row],[Différence_x000D_ HC
Instantané]]</f>
        <v>12</v>
      </c>
      <c r="AB432" s="80">
        <f>Tableau1[[#This Row],[Conso HP + HC
Instantané]]/(Tableau1[[#This Row],[Diff jour
Instantané]]*24)</f>
        <v>0.47745358090134077</v>
      </c>
      <c r="AC432" s="80">
        <f>IF(ISERROR(Tableau1[[#This Row],[Date]]-A431),"",Tableau1[[#This Row],[Conso HP + HC
Instantané]]/Tableau1[[#This Row],[Diff jour
Instantané]])</f>
        <v>11.458885941632177</v>
      </c>
      <c r="AD432" s="80">
        <f>Tableau1[[#This Row],[Conso HP + HC / jour_x000D_
Instantané]]*365</f>
        <v>4182.4933686957447</v>
      </c>
      <c r="AE432" s="79">
        <f>Tableau1[[#This Row],[Différence HP
Cumul]]+Tableau1[[#This Row],[Différence HC
Cumul]]</f>
        <v>20530</v>
      </c>
      <c r="AF432" s="77">
        <f>(Tableau1[[#This Row],[Conso HP + HC
Cumul]]-AE$6)/Tableau1[[#This Row],[Diff jour_x000D_
Cumul
depuis le 24/01]]</f>
        <v>28.079736542368302</v>
      </c>
      <c r="AG432" s="77">
        <f>(Tableau1[[#This Row],[Conso HP + HC
Cumul]]-AE$59)/Tableau1[[#This Row],[Diff jour_x000D_
Cumul
depuis
précédente facture
16/02/2021]]</f>
        <v>26.501814744163486</v>
      </c>
      <c r="AH432" s="80">
        <f>Tableau1[[#This Row],[Conso HP + HC
Cumul]]/(Tableau1[[#This Row],[Diff jour_x000D_
Cumul]]*24)</f>
        <v>1.2623190886052165</v>
      </c>
      <c r="AI432" s="80">
        <f>Tableau1[[#This Row],[Conso HP + HC
Cumul]]/Tableau1[[#This Row],[Diff jour_x000D_
Cumul]]</f>
        <v>30.295658126525197</v>
      </c>
      <c r="AJ432" s="80">
        <f>Tableau1[[#This Row],[Conso HP + HC / jour_x000D_
Cumul]]*365</f>
        <v>11057.915216181696</v>
      </c>
      <c r="AK432" s="83">
        <f>(Tableau1[[#This Row],[Différence HP
Cumul]]*0.1799)+(Tableau1[[#This Row],[Différence HC
Cumul]]*0.1346)</f>
        <v>3414.752</v>
      </c>
      <c r="AL432" s="83">
        <f>Tableau1[[#This Row],[Montant
Tarif HP/HC]]/Tableau1[[#This Row],[Diff jour_x000D_
Cumul]]</f>
        <v>5.0390725367203197</v>
      </c>
      <c r="AM432" s="83">
        <f>(Tableau1[[#This Row],[Montant
Tarif HP/HC]]-AK$6)/Tableau1[[#This Row],[Diff jour_x000D_
Cumul
depuis le 24/01]]</f>
        <v>4.6755152006063065</v>
      </c>
      <c r="AN432" s="83">
        <f>(Tableau1[[#This Row],[Montant
Tarif HP/HC]]-AK$59)/Tableau1[[#This Row],[Diff jour_x000D_
Cumul
depuis
précédente facture
16/02/2021]]</f>
        <v>4.4125750054864703</v>
      </c>
      <c r="AO432" s="83">
        <f>Tableau1[[#This Row],[Conso HP + HC
Cumul]]*0.1599</f>
        <v>3282.7469999999998</v>
      </c>
      <c r="AP432" s="83">
        <f>Tableau1[[#This Row],[Montant
Tarif normal]]/Tableau1[[#This Row],[Diff jour_x000D_
Cumul]]</f>
        <v>4.8442757344313785</v>
      </c>
      <c r="AQ432" s="83">
        <f>(Tableau1[[#This Row],[Conso HP / an
Cumul]]*0.1799)+(Tableau1[[#This Row],[Conso HC / an_x000D_
Cumul]]*0.1346)</f>
        <v>1839.261475902917</v>
      </c>
      <c r="AR432" s="83">
        <f>Tableau1[[#This Row],[Conso HP + HC / an_x000D_
Cumul]]*0.1599</f>
        <v>1768.1606430674531</v>
      </c>
      <c r="AS432" s="79">
        <f>MONTH(Tableau1[[#This Row],[Date]])</f>
        <v>10</v>
      </c>
      <c r="AT432" s="79">
        <f>YEAR(Tableau1[[#This Row],[Date]])</f>
        <v>2022</v>
      </c>
    </row>
    <row r="433" spans="1:46" x14ac:dyDescent="0.2">
      <c r="A433" s="74">
        <v>44861.316666666666</v>
      </c>
      <c r="B433" s="75"/>
      <c r="C433" s="76">
        <f>IF(ISERROR(Tableau1[[#This Row],[Date]]-A432),"",Tableau1[[#This Row],[Date]]-A432)</f>
        <v>0.95347222222335404</v>
      </c>
      <c r="D433" s="77">
        <f>IF(ISERROR(Tableau1[[#This Row],[Date]]-A432),"",Tableau1[[#This Row],[Date]]-A432)</f>
        <v>0.95347222222335404</v>
      </c>
      <c r="E433" s="76">
        <f>Tableau1[[#This Row],[Date]]-$A$5</f>
        <v>678.60833333332994</v>
      </c>
      <c r="F433" s="77">
        <f>Tableau1[[#This Row],[Date]]-$A$5</f>
        <v>678.60833333332994</v>
      </c>
      <c r="G433" s="77">
        <f>Tableau1[[#This Row],[Diff jour_x000D_
Cumul]]-F$6</f>
        <v>640.52500000000146</v>
      </c>
      <c r="H433" s="77">
        <f>Tableau1[[#This Row],[Diff jour_x000D_
Cumul]]-F$59</f>
        <v>618.00555555555184</v>
      </c>
      <c r="I433" s="78">
        <v>194148</v>
      </c>
      <c r="J433" s="79">
        <f>IF(ISERROR(Tableau1[[#This Row],[Index HP
kWh]]-I432),"",Tableau1[[#This Row],[Index HP
kWh]]-I432)</f>
        <v>9</v>
      </c>
      <c r="K433" s="77">
        <f>IF(ISERROR(Tableau1[[#This Row],[Différence HP
Instantané]]/(Tableau1[[#This Row],[Diff jour
Instantané]]*24)),"",Tableau1[[#This Row],[Différence HP
Instantané]]/(Tableau1[[#This Row],[Diff jour
Instantané]]*24))</f>
        <v>0.39329934450062565</v>
      </c>
      <c r="L433" s="77">
        <f>Tableau1[[#This Row],[Différence HP
Instantané]]/Tableau1[[#This Row],[Diff jour
Instantané]]</f>
        <v>9.4391842680150155</v>
      </c>
      <c r="M433" s="77">
        <f>Tableau1[[#This Row],[Conso HP / jour
Instantané]]*365</f>
        <v>3445.3022578254809</v>
      </c>
      <c r="N433" s="79">
        <f>Tableau1[[#This Row],[Index HP
kWh]]-$I$5</f>
        <v>14389</v>
      </c>
      <c r="O433" s="80">
        <f>Tableau1[[#This Row],[Différence HP
Cumul]]/(Tableau1[[#This Row],[Diff jour_x000D_
Cumul]]*24)</f>
        <v>0.88348703842423049</v>
      </c>
      <c r="P433" s="80">
        <f>Tableau1[[#This Row],[Différence HP
Cumul]]/Tableau1[[#This Row],[Diff jour_x000D_
Cumul]]</f>
        <v>21.203688922181531</v>
      </c>
      <c r="Q433" s="80">
        <f>Tableau1[[#This Row],[Conso HP / jour
Cumul]]*365</f>
        <v>7739.3464565962586</v>
      </c>
      <c r="R433" s="78">
        <v>125585</v>
      </c>
      <c r="S433" s="79">
        <f>Tableau1[[#This Row],[Index HC_x000D_
kWh]]-R432</f>
        <v>3</v>
      </c>
      <c r="T433" s="81">
        <f>Tableau1[[#This Row],[Différence_x000D_ HC
Instantané]]/(Tableau1[[#This Row],[Diff jour
Instantané]]*24)</f>
        <v>0.13109978150020854</v>
      </c>
      <c r="U433" s="81">
        <f>Tableau1[[#This Row],[Différence_x000D_ HC
Instantané]]/Tableau1[[#This Row],[Diff jour
Instantané]]</f>
        <v>3.1463947560050052</v>
      </c>
      <c r="V433" s="81">
        <f>Tableau1[[#This Row],[Conso HC / jour_x000D_
Instantané]]*365</f>
        <v>1148.4340859418269</v>
      </c>
      <c r="W433" s="79">
        <f>Tableau1[[#This Row],[Index HC_x000D_
kWh]]-$R$5</f>
        <v>6153</v>
      </c>
      <c r="X433" s="82">
        <f>Tableau1[[#This Row],[Différence HC
Cumul]]/(Tableau1[[#This Row],[Diff jour_x000D_
Cumul]]*24)</f>
        <v>0.3777952427148718</v>
      </c>
      <c r="Y433" s="82">
        <f>Tableau1[[#This Row],[Différence HC
Cumul]]/Tableau1[[#This Row],[Diff jour_x000D_
Cumul]]</f>
        <v>9.0670858251569229</v>
      </c>
      <c r="Z433" s="82">
        <f>Tableau1[[#This Row],[Conso HC / jour_x000D_
Cumul]]*365</f>
        <v>3309.486326182277</v>
      </c>
      <c r="AA433" s="79">
        <f>Tableau1[[#This Row],[Différence HP
Instantané]]+Tableau1[[#This Row],[Différence_x000D_ HC
Instantané]]</f>
        <v>12</v>
      </c>
      <c r="AB433" s="80">
        <f>Tableau1[[#This Row],[Conso HP + HC
Instantané]]/(Tableau1[[#This Row],[Diff jour
Instantané]]*24)</f>
        <v>0.52439912600083416</v>
      </c>
      <c r="AC433" s="80">
        <f>IF(ISERROR(Tableau1[[#This Row],[Date]]-A432),"",Tableau1[[#This Row],[Conso HP + HC
Instantané]]/Tableau1[[#This Row],[Diff jour
Instantané]])</f>
        <v>12.585579024020021</v>
      </c>
      <c r="AD433" s="80">
        <f>Tableau1[[#This Row],[Conso HP + HC / jour_x000D_
Instantané]]*365</f>
        <v>4593.7363437673075</v>
      </c>
      <c r="AE433" s="79">
        <f>Tableau1[[#This Row],[Différence HP
Cumul]]+Tableau1[[#This Row],[Différence HC
Cumul]]</f>
        <v>20542</v>
      </c>
      <c r="AF433" s="77">
        <f>(Tableau1[[#This Row],[Conso HP + HC
Cumul]]-AE$6)/Tableau1[[#This Row],[Diff jour_x000D_
Cumul
depuis le 24/01]]</f>
        <v>28.056672261035807</v>
      </c>
      <c r="AG433" s="77">
        <f>(Tableau1[[#This Row],[Conso HP + HC
Cumul]]-AE$59)/Tableau1[[#This Row],[Diff jour_x000D_
Cumul
depuis
précédente facture
16/02/2021]]</f>
        <v>26.48034447730619</v>
      </c>
      <c r="AH433" s="80">
        <f>Tableau1[[#This Row],[Conso HP + HC
Cumul]]/(Tableau1[[#This Row],[Diff jour_x000D_
Cumul]]*24)</f>
        <v>1.2612822811391022</v>
      </c>
      <c r="AI433" s="80">
        <f>Tableau1[[#This Row],[Conso HP + HC
Cumul]]/Tableau1[[#This Row],[Diff jour_x000D_
Cumul]]</f>
        <v>30.270774747338454</v>
      </c>
      <c r="AJ433" s="80">
        <f>Tableau1[[#This Row],[Conso HP + HC / jour_x000D_
Cumul]]*365</f>
        <v>11048.832782778536</v>
      </c>
      <c r="AK433" s="83">
        <f>(Tableau1[[#This Row],[Différence HP
Cumul]]*0.1799)+(Tableau1[[#This Row],[Différence HC
Cumul]]*0.1346)</f>
        <v>3416.7748999999999</v>
      </c>
      <c r="AL433" s="83">
        <f>Tableau1[[#This Row],[Montant
Tarif HP/HC]]/Tableau1[[#This Row],[Diff jour_x000D_
Cumul]]</f>
        <v>5.0349733891665789</v>
      </c>
      <c r="AM433" s="83">
        <f>(Tableau1[[#This Row],[Montant
Tarif HP/HC]]-AK$6)/Tableau1[[#This Row],[Diff jour_x000D_
Cumul
depuis le 24/01]]</f>
        <v>4.6717135162561849</v>
      </c>
      <c r="AN433" s="83">
        <f>(Tableau1[[#This Row],[Montant
Tarif HP/HC]]-AK$59)/Tableau1[[#This Row],[Diff jour_x000D_
Cumul
depuis
précédente facture
16/02/2021]]</f>
        <v>4.4090404617002985</v>
      </c>
      <c r="AO433" s="83">
        <f>Tableau1[[#This Row],[Conso HP + HC
Cumul]]*0.1599</f>
        <v>3284.6657999999998</v>
      </c>
      <c r="AP433" s="83">
        <f>Tableau1[[#This Row],[Montant
Tarif normal]]/Tableau1[[#This Row],[Diff jour_x000D_
Cumul]]</f>
        <v>4.8402968820994188</v>
      </c>
      <c r="AQ433" s="83">
        <f>(Tableau1[[#This Row],[Conso HP / an
Cumul]]*0.1799)+(Tableau1[[#This Row],[Conso HC / an_x000D_
Cumul]]*0.1346)</f>
        <v>1837.7652870458014</v>
      </c>
      <c r="AR433" s="83">
        <f>Tableau1[[#This Row],[Conso HP + HC / an_x000D_
Cumul]]*0.1599</f>
        <v>1766.7083619662878</v>
      </c>
      <c r="AS433" s="79">
        <f>MONTH(Tableau1[[#This Row],[Date]])</f>
        <v>10</v>
      </c>
      <c r="AT433" s="79">
        <f>YEAR(Tableau1[[#This Row],[Date]])</f>
        <v>2022</v>
      </c>
    </row>
    <row r="434" spans="1:46" x14ac:dyDescent="0.2">
      <c r="A434" s="74">
        <v>44862.348611111112</v>
      </c>
      <c r="B434" s="75"/>
      <c r="C434" s="76">
        <f>IF(ISERROR(Tableau1[[#This Row],[Date]]-A433),"",Tableau1[[#This Row],[Date]]-A433)</f>
        <v>1.0319444444467081</v>
      </c>
      <c r="D434" s="77">
        <f>IF(ISERROR(Tableau1[[#This Row],[Date]]-A433),"",Tableau1[[#This Row],[Date]]-A433)</f>
        <v>1.0319444444467081</v>
      </c>
      <c r="E434" s="76">
        <f>Tableau1[[#This Row],[Date]]-$A$5</f>
        <v>679.64027777777665</v>
      </c>
      <c r="F434" s="77">
        <f>Tableau1[[#This Row],[Date]]-$A$5</f>
        <v>679.64027777777665</v>
      </c>
      <c r="G434" s="77">
        <f>Tableau1[[#This Row],[Diff jour_x000D_
Cumul]]-F$6</f>
        <v>641.55694444444816</v>
      </c>
      <c r="H434" s="77">
        <f>Tableau1[[#This Row],[Diff jour_x000D_
Cumul]]-F$59</f>
        <v>619.03749999999854</v>
      </c>
      <c r="I434" s="78">
        <v>194156</v>
      </c>
      <c r="J434" s="79">
        <f>IF(ISERROR(Tableau1[[#This Row],[Index HP
kWh]]-I433),"",Tableau1[[#This Row],[Index HP
kWh]]-I433)</f>
        <v>8</v>
      </c>
      <c r="K434" s="77">
        <f>IF(ISERROR(Tableau1[[#This Row],[Différence HP
Instantané]]/(Tableau1[[#This Row],[Diff jour
Instantané]]*24)),"",Tableau1[[#This Row],[Différence HP
Instantané]]/(Tableau1[[#This Row],[Diff jour
Instantané]]*24))</f>
        <v>0.3230148048445135</v>
      </c>
      <c r="L434" s="77">
        <f>Tableau1[[#This Row],[Différence HP
Instantané]]/Tableau1[[#This Row],[Diff jour
Instantané]]</f>
        <v>7.7523553162683241</v>
      </c>
      <c r="M434" s="77">
        <f>Tableau1[[#This Row],[Conso HP / jour
Instantané]]*365</f>
        <v>2829.6096904379383</v>
      </c>
      <c r="N434" s="79">
        <f>Tableau1[[#This Row],[Index HP
kWh]]-$I$5</f>
        <v>14397</v>
      </c>
      <c r="O434" s="80">
        <f>Tableau1[[#This Row],[Différence HP
Cumul]]/(Tableau1[[#This Row],[Diff jour_x000D_
Cumul]]*24)</f>
        <v>0.88263603499400356</v>
      </c>
      <c r="P434" s="80">
        <f>Tableau1[[#This Row],[Différence HP
Cumul]]/Tableau1[[#This Row],[Diff jour_x000D_
Cumul]]</f>
        <v>21.183264839856086</v>
      </c>
      <c r="Q434" s="80">
        <f>Tableau1[[#This Row],[Conso HP / jour
Cumul]]*365</f>
        <v>7731.8916665474717</v>
      </c>
      <c r="R434" s="78">
        <v>125588</v>
      </c>
      <c r="S434" s="79">
        <f>Tableau1[[#This Row],[Index HC_x000D_
kWh]]-R433</f>
        <v>3</v>
      </c>
      <c r="T434" s="81">
        <f>Tableau1[[#This Row],[Différence_x000D_ HC
Instantané]]/(Tableau1[[#This Row],[Diff jour
Instantané]]*24)</f>
        <v>0.12113055181669256</v>
      </c>
      <c r="U434" s="81">
        <f>Tableau1[[#This Row],[Différence_x000D_ HC
Instantané]]/Tableau1[[#This Row],[Diff jour
Instantané]]</f>
        <v>2.9071332436006219</v>
      </c>
      <c r="V434" s="81">
        <f>Tableau1[[#This Row],[Conso HC / jour_x000D_
Instantané]]*365</f>
        <v>1061.103633914227</v>
      </c>
      <c r="W434" s="79">
        <f>Tableau1[[#This Row],[Index HC_x000D_
kWh]]-$R$5</f>
        <v>6156</v>
      </c>
      <c r="X434" s="82">
        <f>Tableau1[[#This Row],[Différence HC
Cumul]]/(Tableau1[[#This Row],[Diff jour_x000D_
Cumul]]*24)</f>
        <v>0.37740553111225161</v>
      </c>
      <c r="Y434" s="82">
        <f>Tableau1[[#This Row],[Différence HC
Cumul]]/Tableau1[[#This Row],[Diff jour_x000D_
Cumul]]</f>
        <v>9.0577327466940378</v>
      </c>
      <c r="Z434" s="82">
        <f>Tableau1[[#This Row],[Conso HC / jour_x000D_
Cumul]]*365</f>
        <v>3306.0724525433238</v>
      </c>
      <c r="AA434" s="79">
        <f>Tableau1[[#This Row],[Différence HP
Instantané]]+Tableau1[[#This Row],[Différence_x000D_ HC
Instantané]]</f>
        <v>11</v>
      </c>
      <c r="AB434" s="80">
        <f>Tableau1[[#This Row],[Conso HP + HC
Instantané]]/(Tableau1[[#This Row],[Diff jour
Instantané]]*24)</f>
        <v>0.44414535666120608</v>
      </c>
      <c r="AC434" s="80">
        <f>IF(ISERROR(Tableau1[[#This Row],[Date]]-A433),"",Tableau1[[#This Row],[Conso HP + HC
Instantané]]/Tableau1[[#This Row],[Diff jour
Instantané]])</f>
        <v>10.659488559868946</v>
      </c>
      <c r="AD434" s="80">
        <f>Tableau1[[#This Row],[Conso HP + HC / jour_x000D_
Instantané]]*365</f>
        <v>3890.7133243521653</v>
      </c>
      <c r="AE434" s="79">
        <f>Tableau1[[#This Row],[Différence HP
Cumul]]+Tableau1[[#This Row],[Différence HC
Cumul]]</f>
        <v>20553</v>
      </c>
      <c r="AF434" s="77">
        <f>(Tableau1[[#This Row],[Conso HP + HC
Cumul]]-AE$6)/Tableau1[[#This Row],[Diff jour_x000D_
Cumul
depuis le 24/01]]</f>
        <v>28.028688888359536</v>
      </c>
      <c r="AG434" s="77">
        <f>(Tableau1[[#This Row],[Conso HP + HC
Cumul]]-AE$59)/Tableau1[[#This Row],[Diff jour_x000D_
Cumul
depuis
précédente facture
16/02/2021]]</f>
        <v>26.453970882216407</v>
      </c>
      <c r="AH434" s="80">
        <f>Tableau1[[#This Row],[Conso HP + HC
Cumul]]/(Tableau1[[#This Row],[Diff jour_x000D_
Cumul]]*24)</f>
        <v>1.2600415661062552</v>
      </c>
      <c r="AI434" s="80">
        <f>Tableau1[[#This Row],[Conso HP + HC
Cumul]]/Tableau1[[#This Row],[Diff jour_x000D_
Cumul]]</f>
        <v>30.240997586550126</v>
      </c>
      <c r="AJ434" s="80">
        <f>Tableau1[[#This Row],[Conso HP + HC / jour_x000D_
Cumul]]*365</f>
        <v>11037.964119090795</v>
      </c>
      <c r="AK434" s="83">
        <f>(Tableau1[[#This Row],[Différence HP
Cumul]]*0.1799)+(Tableau1[[#This Row],[Différence HC
Cumul]]*0.1346)</f>
        <v>3418.6179000000002</v>
      </c>
      <c r="AL434" s="83">
        <f>Tableau1[[#This Row],[Montant
Tarif HP/HC]]/Tableau1[[#This Row],[Diff jour_x000D_
Cumul]]</f>
        <v>5.030040172395128</v>
      </c>
      <c r="AM434" s="83">
        <f>(Tableau1[[#This Row],[Montant
Tarif HP/HC]]-AK$6)/Tableau1[[#This Row],[Diff jour_x000D_
Cumul
depuis le 24/01]]</f>
        <v>4.6670717633534471</v>
      </c>
      <c r="AN434" s="83">
        <f>(Tableau1[[#This Row],[Montant
Tarif HP/HC]]-AK$59)/Tableau1[[#This Row],[Diff jour_x000D_
Cumul
depuis
précédente facture
16/02/2021]]</f>
        <v>4.4046677301455999</v>
      </c>
      <c r="AO434" s="83">
        <f>Tableau1[[#This Row],[Conso HP + HC
Cumul]]*0.1599</f>
        <v>3286.4246999999996</v>
      </c>
      <c r="AP434" s="83">
        <f>Tableau1[[#This Row],[Montant
Tarif normal]]/Tableau1[[#This Row],[Diff jour_x000D_
Cumul]]</f>
        <v>4.8355355140893641</v>
      </c>
      <c r="AQ434" s="83">
        <f>(Tableau1[[#This Row],[Conso HP / an
Cumul]]*0.1799)+(Tableau1[[#This Row],[Conso HC / an_x000D_
Cumul]]*0.1346)</f>
        <v>1835.9646629242216</v>
      </c>
      <c r="AR434" s="83">
        <f>Tableau1[[#This Row],[Conso HP + HC / an_x000D_
Cumul]]*0.1599</f>
        <v>1764.970462642618</v>
      </c>
      <c r="AS434" s="79">
        <f>MONTH(Tableau1[[#This Row],[Date]])</f>
        <v>10</v>
      </c>
      <c r="AT434" s="79">
        <f>YEAR(Tableau1[[#This Row],[Date]])</f>
        <v>2022</v>
      </c>
    </row>
    <row r="435" spans="1:46" x14ac:dyDescent="0.2">
      <c r="A435" s="74">
        <v>44863.336805555555</v>
      </c>
      <c r="B435" s="75"/>
      <c r="C435" s="76">
        <f>IF(ISERROR(Tableau1[[#This Row],[Date]]-A434),"",Tableau1[[#This Row],[Date]]-A434)</f>
        <v>0.9881944444423425</v>
      </c>
      <c r="D435" s="77">
        <f>IF(ISERROR(Tableau1[[#This Row],[Date]]-A434),"",Tableau1[[#This Row],[Date]]-A434)</f>
        <v>0.9881944444423425</v>
      </c>
      <c r="E435" s="76">
        <f>Tableau1[[#This Row],[Date]]-$A$5</f>
        <v>680.62847222221899</v>
      </c>
      <c r="F435" s="77">
        <f>Tableau1[[#This Row],[Date]]-$A$5</f>
        <v>680.62847222221899</v>
      </c>
      <c r="G435" s="77">
        <f>Tableau1[[#This Row],[Diff jour_x000D_
Cumul]]-F$6</f>
        <v>642.54513888889051</v>
      </c>
      <c r="H435" s="77">
        <f>Tableau1[[#This Row],[Diff jour_x000D_
Cumul]]-F$59</f>
        <v>620.02569444444089</v>
      </c>
      <c r="I435" s="78">
        <v>194163</v>
      </c>
      <c r="J435" s="79">
        <f>IF(ISERROR(Tableau1[[#This Row],[Index HP
kWh]]-I434),"",Tableau1[[#This Row],[Index HP
kWh]]-I434)</f>
        <v>7</v>
      </c>
      <c r="K435" s="77">
        <f>IF(ISERROR(Tableau1[[#This Row],[Différence HP
Instantané]]/(Tableau1[[#This Row],[Diff jour
Instantané]]*24)),"",Tableau1[[#This Row],[Différence HP
Instantané]]/(Tableau1[[#This Row],[Diff jour
Instantané]]*24))</f>
        <v>0.29515108924869526</v>
      </c>
      <c r="L435" s="77">
        <f>Tableau1[[#This Row],[Différence HP
Instantané]]/Tableau1[[#This Row],[Diff jour
Instantané]]</f>
        <v>7.0836261419686863</v>
      </c>
      <c r="M435" s="77">
        <f>Tableau1[[#This Row],[Conso HP / jour
Instantané]]*365</f>
        <v>2585.5235418185707</v>
      </c>
      <c r="N435" s="79">
        <f>Tableau1[[#This Row],[Index HP
kWh]]-$I$5</f>
        <v>14404</v>
      </c>
      <c r="O435" s="80">
        <f>Tableau1[[#This Row],[Différence HP
Cumul]]/(Tableau1[[#This Row],[Diff jour_x000D_
Cumul]]*24)</f>
        <v>0.88178307426245561</v>
      </c>
      <c r="P435" s="80">
        <f>Tableau1[[#This Row],[Différence HP
Cumul]]/Tableau1[[#This Row],[Diff jour_x000D_
Cumul]]</f>
        <v>21.162793782298937</v>
      </c>
      <c r="Q435" s="80">
        <f>Tableau1[[#This Row],[Conso HP / jour
Cumul]]*365</f>
        <v>7724.4197305391117</v>
      </c>
      <c r="R435" s="78">
        <v>125591</v>
      </c>
      <c r="S435" s="79">
        <f>Tableau1[[#This Row],[Index HC_x000D_
kWh]]-R434</f>
        <v>3</v>
      </c>
      <c r="T435" s="81">
        <f>Tableau1[[#This Row],[Différence_x000D_ HC
Instantané]]/(Tableau1[[#This Row],[Diff jour
Instantané]]*24)</f>
        <v>0.12649332396372653</v>
      </c>
      <c r="U435" s="81">
        <f>Tableau1[[#This Row],[Différence_x000D_ HC
Instantané]]/Tableau1[[#This Row],[Diff jour
Instantané]]</f>
        <v>3.0358397751294368</v>
      </c>
      <c r="V435" s="81">
        <f>Tableau1[[#This Row],[Conso HC / jour_x000D_
Instantané]]*365</f>
        <v>1108.0815179222445</v>
      </c>
      <c r="W435" s="79">
        <f>Tableau1[[#This Row],[Index HC_x000D_
kWh]]-$R$5</f>
        <v>6159</v>
      </c>
      <c r="X435" s="82">
        <f>Tableau1[[#This Row],[Différence HC
Cumul]]/(Tableau1[[#This Row],[Diff jour_x000D_
Cumul]]*24)</f>
        <v>0.37704123537784395</v>
      </c>
      <c r="Y435" s="82">
        <f>Tableau1[[#This Row],[Différence HC
Cumul]]/Tableau1[[#This Row],[Diff jour_x000D_
Cumul]]</f>
        <v>9.0489896490682558</v>
      </c>
      <c r="Z435" s="82">
        <f>Tableau1[[#This Row],[Conso HC / jour_x000D_
Cumul]]*365</f>
        <v>3302.8812219099132</v>
      </c>
      <c r="AA435" s="79">
        <f>Tableau1[[#This Row],[Différence HP
Instantané]]+Tableau1[[#This Row],[Différence_x000D_ HC
Instantané]]</f>
        <v>10</v>
      </c>
      <c r="AB435" s="80">
        <f>Tableau1[[#This Row],[Conso HP + HC
Instantané]]/(Tableau1[[#This Row],[Diff jour
Instantané]]*24)</f>
        <v>0.4216444132124218</v>
      </c>
      <c r="AC435" s="80">
        <f>IF(ISERROR(Tableau1[[#This Row],[Date]]-A434),"",Tableau1[[#This Row],[Conso HP + HC
Instantané]]/Tableau1[[#This Row],[Diff jour
Instantané]])</f>
        <v>10.119465917098124</v>
      </c>
      <c r="AD435" s="80">
        <f>Tableau1[[#This Row],[Conso HP + HC / jour_x000D_
Instantané]]*365</f>
        <v>3693.6050597408152</v>
      </c>
      <c r="AE435" s="79">
        <f>Tableau1[[#This Row],[Différence HP
Cumul]]+Tableau1[[#This Row],[Différence HC
Cumul]]</f>
        <v>20563</v>
      </c>
      <c r="AF435" s="77">
        <f>(Tableau1[[#This Row],[Conso HP + HC
Cumul]]-AE$6)/Tableau1[[#This Row],[Diff jour_x000D_
Cumul
depuis le 24/01]]</f>
        <v>28.001145617741873</v>
      </c>
      <c r="AG435" s="77">
        <f>(Tableau1[[#This Row],[Conso HP + HC
Cumul]]-AE$59)/Tableau1[[#This Row],[Diff jour_x000D_
Cumul
depuis
précédente facture
16/02/2021]]</f>
        <v>26.427937014259193</v>
      </c>
      <c r="AH435" s="80">
        <f>Tableau1[[#This Row],[Conso HP + HC
Cumul]]/(Tableau1[[#This Row],[Diff jour_x000D_
Cumul]]*24)</f>
        <v>1.2588243096402996</v>
      </c>
      <c r="AI435" s="80">
        <f>Tableau1[[#This Row],[Conso HP + HC
Cumul]]/Tableau1[[#This Row],[Diff jour_x000D_
Cumul]]</f>
        <v>30.211783431367191</v>
      </c>
      <c r="AJ435" s="80">
        <f>Tableau1[[#This Row],[Conso HP + HC / jour_x000D_
Cumul]]*365</f>
        <v>11027.300952449024</v>
      </c>
      <c r="AK435" s="83">
        <f>(Tableau1[[#This Row],[Différence HP
Cumul]]*0.1799)+(Tableau1[[#This Row],[Différence HC
Cumul]]*0.1346)</f>
        <v>3420.2809999999999</v>
      </c>
      <c r="AL435" s="83">
        <f>Tableau1[[#This Row],[Montant
Tarif HP/HC]]/Tableau1[[#This Row],[Diff jour_x000D_
Cumul]]</f>
        <v>5.0251806082001655</v>
      </c>
      <c r="AM435" s="83">
        <f>(Tableau1[[#This Row],[Montant
Tarif HP/HC]]-AK$6)/Tableau1[[#This Row],[Diff jour_x000D_
Cumul
depuis le 24/01]]</f>
        <v>4.6624823980156913</v>
      </c>
      <c r="AN435" s="83">
        <f>(Tableau1[[#This Row],[Montant
Tarif HP/HC]]-AK$59)/Tableau1[[#This Row],[Diff jour_x000D_
Cumul
depuis
précédente facture
16/02/2021]]</f>
        <v>4.4003298967224946</v>
      </c>
      <c r="AO435" s="83">
        <f>Tableau1[[#This Row],[Conso HP + HC
Cumul]]*0.1599</f>
        <v>3288.0236999999997</v>
      </c>
      <c r="AP435" s="83">
        <f>Tableau1[[#This Row],[Montant
Tarif normal]]/Tableau1[[#This Row],[Diff jour_x000D_
Cumul]]</f>
        <v>4.8308641706756132</v>
      </c>
      <c r="AQ435" s="83">
        <f>(Tableau1[[#This Row],[Conso HP / an
Cumul]]*0.1799)+(Tableau1[[#This Row],[Conso HC / an_x000D_
Cumul]]*0.1346)</f>
        <v>1834.1909219930603</v>
      </c>
      <c r="AR435" s="83">
        <f>Tableau1[[#This Row],[Conso HP + HC / an_x000D_
Cumul]]*0.1599</f>
        <v>1763.2654222965989</v>
      </c>
      <c r="AS435" s="79">
        <f>MONTH(Tableau1[[#This Row],[Date]])</f>
        <v>10</v>
      </c>
      <c r="AT435" s="79">
        <f>YEAR(Tableau1[[#This Row],[Date]])</f>
        <v>2022</v>
      </c>
    </row>
    <row r="436" spans="1:46" x14ac:dyDescent="0.2">
      <c r="A436" s="74">
        <v>44866.343055555553</v>
      </c>
      <c r="B436" s="75"/>
      <c r="C436" s="76">
        <f>IF(ISERROR(Tableau1[[#This Row],[Date]]-A435),"",Tableau1[[#This Row],[Date]]-A435)</f>
        <v>3.0062499999985448</v>
      </c>
      <c r="D436" s="77">
        <f>IF(ISERROR(Tableau1[[#This Row],[Date]]-A435),"",Tableau1[[#This Row],[Date]]-A435)</f>
        <v>3.0062499999985448</v>
      </c>
      <c r="E436" s="76">
        <f>Tableau1[[#This Row],[Date]]-$A$5</f>
        <v>683.63472222221753</v>
      </c>
      <c r="F436" s="77">
        <f>Tableau1[[#This Row],[Date]]-$A$5</f>
        <v>683.63472222221753</v>
      </c>
      <c r="G436" s="77">
        <f>Tableau1[[#This Row],[Diff jour_x000D_
Cumul]]-F$6</f>
        <v>645.55138888888905</v>
      </c>
      <c r="H436" s="77">
        <f>Tableau1[[#This Row],[Diff jour_x000D_
Cumul]]-F$59</f>
        <v>623.03194444443943</v>
      </c>
      <c r="I436" s="78">
        <v>194180</v>
      </c>
      <c r="J436" s="79">
        <f>IF(ISERROR(Tableau1[[#This Row],[Index HP
kWh]]-I435),"",Tableau1[[#This Row],[Index HP
kWh]]-I435)</f>
        <v>17</v>
      </c>
      <c r="K436" s="77">
        <f>IF(ISERROR(Tableau1[[#This Row],[Différence HP
Instantané]]/(Tableau1[[#This Row],[Diff jour
Instantané]]*24)),"",Tableau1[[#This Row],[Différence HP
Instantané]]/(Tableau1[[#This Row],[Diff jour
Instantané]]*24))</f>
        <v>0.23562023562034967</v>
      </c>
      <c r="L436" s="77">
        <f>Tableau1[[#This Row],[Différence HP
Instantané]]/Tableau1[[#This Row],[Diff jour
Instantané]]</f>
        <v>5.6548856548883926</v>
      </c>
      <c r="M436" s="77">
        <f>Tableau1[[#This Row],[Conso HP / jour
Instantané]]*365</f>
        <v>2064.0332640342631</v>
      </c>
      <c r="N436" s="79">
        <f>Tableau1[[#This Row],[Index HP
kWh]]-$I$5</f>
        <v>14421</v>
      </c>
      <c r="O436" s="80">
        <f>Tableau1[[#This Row],[Différence HP
Cumul]]/(Tableau1[[#This Row],[Diff jour_x000D_
Cumul]]*24)</f>
        <v>0.87894160502380647</v>
      </c>
      <c r="P436" s="80">
        <f>Tableau1[[#This Row],[Différence HP
Cumul]]/Tableau1[[#This Row],[Diff jour_x000D_
Cumul]]</f>
        <v>21.094598520571356</v>
      </c>
      <c r="Q436" s="80">
        <f>Tableau1[[#This Row],[Conso HP / jour
Cumul]]*365</f>
        <v>7699.5284600085452</v>
      </c>
      <c r="R436" s="78">
        <v>125600</v>
      </c>
      <c r="S436" s="79">
        <f>Tableau1[[#This Row],[Index HC_x000D_
kWh]]-R435</f>
        <v>9</v>
      </c>
      <c r="T436" s="81">
        <f>Tableau1[[#This Row],[Différence_x000D_ HC
Instantané]]/(Tableau1[[#This Row],[Diff jour
Instantané]]*24)</f>
        <v>0.12474012474018512</v>
      </c>
      <c r="U436" s="81">
        <f>Tableau1[[#This Row],[Différence_x000D_ HC
Instantané]]/Tableau1[[#This Row],[Diff jour
Instantané]]</f>
        <v>2.993762993764443</v>
      </c>
      <c r="V436" s="81">
        <f>Tableau1[[#This Row],[Conso HC / jour_x000D_
Instantané]]*365</f>
        <v>1092.7234927240218</v>
      </c>
      <c r="W436" s="79">
        <f>Tableau1[[#This Row],[Index HC_x000D_
kWh]]-$R$5</f>
        <v>6168</v>
      </c>
      <c r="X436" s="82">
        <f>Tableau1[[#This Row],[Différence HC
Cumul]]/(Tableau1[[#This Row],[Diff jour_x000D_
Cumul]]*24)</f>
        <v>0.37593175367775039</v>
      </c>
      <c r="Y436" s="82">
        <f>Tableau1[[#This Row],[Différence HC
Cumul]]/Tableau1[[#This Row],[Diff jour_x000D_
Cumul]]</f>
        <v>9.0223620882660089</v>
      </c>
      <c r="Z436" s="82">
        <f>Tableau1[[#This Row],[Conso HC / jour_x000D_
Cumul]]*365</f>
        <v>3293.1621622170933</v>
      </c>
      <c r="AA436" s="79">
        <f>Tableau1[[#This Row],[Différence HP
Instantané]]+Tableau1[[#This Row],[Différence_x000D_ HC
Instantané]]</f>
        <v>26</v>
      </c>
      <c r="AB436" s="80">
        <f>Tableau1[[#This Row],[Conso HP + HC
Instantané]]/(Tableau1[[#This Row],[Diff jour
Instantané]]*24)</f>
        <v>0.36036036036053481</v>
      </c>
      <c r="AC436" s="80">
        <f>IF(ISERROR(Tableau1[[#This Row],[Date]]-A435),"",Tableau1[[#This Row],[Conso HP + HC
Instantané]]/Tableau1[[#This Row],[Diff jour
Instantané]])</f>
        <v>8.6486486486528342</v>
      </c>
      <c r="AD436" s="80">
        <f>Tableau1[[#This Row],[Conso HP + HC / jour_x000D_
Instantané]]*365</f>
        <v>3156.7567567582846</v>
      </c>
      <c r="AE436" s="79">
        <f>Tableau1[[#This Row],[Différence HP
Cumul]]+Tableau1[[#This Row],[Différence HC
Cumul]]</f>
        <v>20589</v>
      </c>
      <c r="AF436" s="77">
        <f>(Tableau1[[#This Row],[Conso HP + HC
Cumul]]-AE$6)/Tableau1[[#This Row],[Diff jour_x000D_
Cumul
depuis le 24/01]]</f>
        <v>27.911023522096738</v>
      </c>
      <c r="AG436" s="77">
        <f>(Tableau1[[#This Row],[Conso HP + HC
Cumul]]-AE$59)/Tableau1[[#This Row],[Diff jour_x000D_
Cumul
depuis
précédente facture
16/02/2021]]</f>
        <v>26.342148498717282</v>
      </c>
      <c r="AH436" s="80">
        <f>Tableau1[[#This Row],[Conso HP + HC
Cumul]]/(Tableau1[[#This Row],[Diff jour_x000D_
Cumul]]*24)</f>
        <v>1.2548733587015568</v>
      </c>
      <c r="AI436" s="80">
        <f>Tableau1[[#This Row],[Conso HP + HC
Cumul]]/Tableau1[[#This Row],[Diff jour_x000D_
Cumul]]</f>
        <v>30.116960608837367</v>
      </c>
      <c r="AJ436" s="80">
        <f>Tableau1[[#This Row],[Conso HP + HC / jour_x000D_
Cumul]]*365</f>
        <v>10992.690622225638</v>
      </c>
      <c r="AK436" s="83">
        <f>(Tableau1[[#This Row],[Différence HP
Cumul]]*0.1799)+(Tableau1[[#This Row],[Différence HC
Cumul]]*0.1346)</f>
        <v>3424.5506999999998</v>
      </c>
      <c r="AL436" s="83">
        <f>Tableau1[[#This Row],[Montant
Tarif HP/HC]]/Tableau1[[#This Row],[Diff jour_x000D_
Cumul]]</f>
        <v>5.0093282109313915</v>
      </c>
      <c r="AM436" s="83">
        <f>(Tableau1[[#This Row],[Montant
Tarif HP/HC]]-AK$6)/Tableau1[[#This Row],[Diff jour_x000D_
Cumul
depuis le 24/01]]</f>
        <v>4.6473838514448227</v>
      </c>
      <c r="AN436" s="83">
        <f>(Tableau1[[#This Row],[Montant
Tarif HP/HC]]-AK$59)/Tableau1[[#This Row],[Diff jour_x000D_
Cumul
depuis
précédente facture
16/02/2021]]</f>
        <v>4.3859505509571601</v>
      </c>
      <c r="AO436" s="83">
        <f>Tableau1[[#This Row],[Conso HP + HC
Cumul]]*0.1599</f>
        <v>3292.1810999999998</v>
      </c>
      <c r="AP436" s="83">
        <f>Tableau1[[#This Row],[Montant
Tarif normal]]/Tableau1[[#This Row],[Diff jour_x000D_
Cumul]]</f>
        <v>4.8157020013530945</v>
      </c>
      <c r="AQ436" s="83">
        <f>(Tableau1[[#This Row],[Conso HP / an
Cumul]]*0.1799)+(Tableau1[[#This Row],[Conso HC / an_x000D_
Cumul]]*0.1346)</f>
        <v>1828.404796989958</v>
      </c>
      <c r="AR436" s="83">
        <f>Tableau1[[#This Row],[Conso HP + HC / an_x000D_
Cumul]]*0.1599</f>
        <v>1757.7312304938794</v>
      </c>
      <c r="AS436" s="79">
        <f>MONTH(Tableau1[[#This Row],[Date]])</f>
        <v>11</v>
      </c>
      <c r="AT436" s="79">
        <f>YEAR(Tableau1[[#This Row],[Date]])</f>
        <v>2022</v>
      </c>
    </row>
    <row r="437" spans="1:46" x14ac:dyDescent="0.2">
      <c r="A437" s="74">
        <v>44867.345833333333</v>
      </c>
      <c r="B437" s="75"/>
      <c r="C437" s="76">
        <f>IF(ISERROR(Tableau1[[#This Row],[Date]]-A436),"",Tableau1[[#This Row],[Date]]-A436)</f>
        <v>1.0027777777795563</v>
      </c>
      <c r="D437" s="77">
        <f>IF(ISERROR(Tableau1[[#This Row],[Date]]-A436),"",Tableau1[[#This Row],[Date]]-A436)</f>
        <v>1.0027777777795563</v>
      </c>
      <c r="E437" s="76">
        <f>Tableau1[[#This Row],[Date]]-$A$5</f>
        <v>684.63749999999709</v>
      </c>
      <c r="F437" s="77">
        <f>Tableau1[[#This Row],[Date]]-$A$5</f>
        <v>684.63749999999709</v>
      </c>
      <c r="G437" s="77">
        <f>Tableau1[[#This Row],[Diff jour_x000D_
Cumul]]-F$6</f>
        <v>646.55416666666861</v>
      </c>
      <c r="H437" s="77">
        <f>Tableau1[[#This Row],[Diff jour_x000D_
Cumul]]-F$59</f>
        <v>624.03472222221899</v>
      </c>
      <c r="I437" s="78">
        <v>194190</v>
      </c>
      <c r="J437" s="79">
        <f>IF(ISERROR(Tableau1[[#This Row],[Index HP
kWh]]-I436),"",Tableau1[[#This Row],[Index HP
kWh]]-I436)</f>
        <v>10</v>
      </c>
      <c r="K437" s="77">
        <f>IF(ISERROR(Tableau1[[#This Row],[Différence HP
Instantané]]/(Tableau1[[#This Row],[Diff jour
Instantané]]*24)),"",Tableau1[[#This Row],[Différence HP
Instantané]]/(Tableau1[[#This Row],[Diff jour
Instantané]]*24))</f>
        <v>0.41551246537322423</v>
      </c>
      <c r="L437" s="77">
        <f>Tableau1[[#This Row],[Différence HP
Instantané]]/Tableau1[[#This Row],[Diff jour
Instantané]]</f>
        <v>9.9722991689573828</v>
      </c>
      <c r="M437" s="77">
        <f>Tableau1[[#This Row],[Conso HP / jour
Instantané]]*365</f>
        <v>3639.8891966694446</v>
      </c>
      <c r="N437" s="79">
        <f>Tableau1[[#This Row],[Index HP
kWh]]-$I$5</f>
        <v>14431</v>
      </c>
      <c r="O437" s="80">
        <f>Tableau1[[#This Row],[Différence HP
Cumul]]/(Tableau1[[#This Row],[Diff jour_x000D_
Cumul]]*24)</f>
        <v>0.87826282765210673</v>
      </c>
      <c r="P437" s="80">
        <f>Tableau1[[#This Row],[Différence HP
Cumul]]/Tableau1[[#This Row],[Diff jour_x000D_
Cumul]]</f>
        <v>21.078307863650561</v>
      </c>
      <c r="Q437" s="80">
        <f>Tableau1[[#This Row],[Conso HP / jour
Cumul]]*365</f>
        <v>7693.5823702324551</v>
      </c>
      <c r="R437" s="78">
        <v>125603</v>
      </c>
      <c r="S437" s="79">
        <f>Tableau1[[#This Row],[Index HC_x000D_
kWh]]-R436</f>
        <v>3</v>
      </c>
      <c r="T437" s="81">
        <f>Tableau1[[#This Row],[Différence_x000D_ HC
Instantané]]/(Tableau1[[#This Row],[Diff jour
Instantané]]*24)</f>
        <v>0.12465373961196727</v>
      </c>
      <c r="U437" s="81">
        <f>Tableau1[[#This Row],[Différence_x000D_ HC
Instantané]]/Tableau1[[#This Row],[Diff jour
Instantané]]</f>
        <v>2.9916897506872147</v>
      </c>
      <c r="V437" s="81">
        <f>Tableau1[[#This Row],[Conso HC / jour_x000D_
Instantané]]*365</f>
        <v>1091.9667590008335</v>
      </c>
      <c r="W437" s="79">
        <f>Tableau1[[#This Row],[Index HC_x000D_
kWh]]-$R$5</f>
        <v>6171</v>
      </c>
      <c r="X437" s="82">
        <f>Tableau1[[#This Row],[Différence HC
Cumul]]/(Tableau1[[#This Row],[Diff jour_x000D_
Cumul]]*24)</f>
        <v>0.37556371072282935</v>
      </c>
      <c r="Y437" s="82">
        <f>Tableau1[[#This Row],[Différence HC
Cumul]]/Tableau1[[#This Row],[Diff jour_x000D_
Cumul]]</f>
        <v>9.0135290573479043</v>
      </c>
      <c r="Z437" s="82">
        <f>Tableau1[[#This Row],[Conso HC / jour_x000D_
Cumul]]*365</f>
        <v>3289.9381059319849</v>
      </c>
      <c r="AA437" s="79">
        <f>Tableau1[[#This Row],[Différence HP
Instantané]]+Tableau1[[#This Row],[Différence_x000D_ HC
Instantané]]</f>
        <v>13</v>
      </c>
      <c r="AB437" s="80">
        <f>Tableau1[[#This Row],[Conso HP + HC
Instantané]]/(Tableau1[[#This Row],[Diff jour
Instantané]]*24)</f>
        <v>0.54016620498519152</v>
      </c>
      <c r="AC437" s="80">
        <f>IF(ISERROR(Tableau1[[#This Row],[Date]]-A436),"",Tableau1[[#This Row],[Conso HP + HC
Instantané]]/Tableau1[[#This Row],[Diff jour
Instantané]])</f>
        <v>12.963988919644597</v>
      </c>
      <c r="AD437" s="80">
        <f>Tableau1[[#This Row],[Conso HP + HC / jour_x000D_
Instantané]]*365</f>
        <v>4731.8559556702785</v>
      </c>
      <c r="AE437" s="79">
        <f>Tableau1[[#This Row],[Différence HP
Cumul]]+Tableau1[[#This Row],[Différence HC
Cumul]]</f>
        <v>20602</v>
      </c>
      <c r="AF437" s="77">
        <f>(Tableau1[[#This Row],[Conso HP + HC
Cumul]]-AE$6)/Tableau1[[#This Row],[Diff jour_x000D_
Cumul
depuis le 24/01]]</f>
        <v>27.887841312599402</v>
      </c>
      <c r="AG437" s="77">
        <f>(Tableau1[[#This Row],[Conso HP + HC
Cumul]]-AE$59)/Tableau1[[#This Row],[Diff jour_x000D_
Cumul
depuis
précédente facture
16/02/2021]]</f>
        <v>26.320650782875912</v>
      </c>
      <c r="AH437" s="80">
        <f>Tableau1[[#This Row],[Conso HP + HC
Cumul]]/(Tableau1[[#This Row],[Diff jour_x000D_
Cumul]]*24)</f>
        <v>1.2538265383749361</v>
      </c>
      <c r="AI437" s="80">
        <f>Tableau1[[#This Row],[Conso HP + HC
Cumul]]/Tableau1[[#This Row],[Diff jour_x000D_
Cumul]]</f>
        <v>30.091836920998468</v>
      </c>
      <c r="AJ437" s="80">
        <f>Tableau1[[#This Row],[Conso HP + HC / jour_x000D_
Cumul]]*365</f>
        <v>10983.52047616444</v>
      </c>
      <c r="AK437" s="83">
        <f>(Tableau1[[#This Row],[Différence HP
Cumul]]*0.1799)+(Tableau1[[#This Row],[Différence HC
Cumul]]*0.1346)</f>
        <v>3426.7534999999998</v>
      </c>
      <c r="AL437" s="83">
        <f>Tableau1[[#This Row],[Montant
Tarif HP/HC]]/Tableau1[[#This Row],[Diff jour_x000D_
Cumul]]</f>
        <v>5.0052085957897638</v>
      </c>
      <c r="AM437" s="83">
        <f>(Tableau1[[#This Row],[Montant
Tarif HP/HC]]-AK$6)/Tableau1[[#This Row],[Diff jour_x000D_
Cumul
depuis le 24/01]]</f>
        <v>4.6435829429088678</v>
      </c>
      <c r="AN437" s="83">
        <f>(Tableau1[[#This Row],[Montant
Tarif HP/HC]]-AK$59)/Tableau1[[#This Row],[Diff jour_x000D_
Cumul
depuis
précédente facture
16/02/2021]]</f>
        <v>4.3824325836570033</v>
      </c>
      <c r="AO437" s="83">
        <f>Tableau1[[#This Row],[Conso HP + HC
Cumul]]*0.1599</f>
        <v>3294.2597999999998</v>
      </c>
      <c r="AP437" s="83">
        <f>Tableau1[[#This Row],[Montant
Tarif normal]]/Tableau1[[#This Row],[Diff jour_x000D_
Cumul]]</f>
        <v>4.8116847236676543</v>
      </c>
      <c r="AQ437" s="83">
        <f>(Tableau1[[#This Row],[Conso HP / an
Cumul]]*0.1799)+(Tableau1[[#This Row],[Conso HC / an_x000D_
Cumul]]*0.1346)</f>
        <v>1826.9011374632637</v>
      </c>
      <c r="AR437" s="83">
        <f>Tableau1[[#This Row],[Conso HP + HC / an_x000D_
Cumul]]*0.1599</f>
        <v>1756.2649241386939</v>
      </c>
      <c r="AS437" s="79">
        <f>MONTH(Tableau1[[#This Row],[Date]])</f>
        <v>11</v>
      </c>
      <c r="AT437" s="79">
        <f>YEAR(Tableau1[[#This Row],[Date]])</f>
        <v>2022</v>
      </c>
    </row>
    <row r="438" spans="1:46" x14ac:dyDescent="0.2">
      <c r="A438" s="74">
        <v>44868.387499999997</v>
      </c>
      <c r="B438" s="75"/>
      <c r="C438" s="76">
        <f>IF(ISERROR(Tableau1[[#This Row],[Date]]-A437),"",Tableau1[[#This Row],[Date]]-A437)</f>
        <v>1.0416666666642413</v>
      </c>
      <c r="D438" s="77">
        <f>IF(ISERROR(Tableau1[[#This Row],[Date]]-A437),"",Tableau1[[#This Row],[Date]]-A437)</f>
        <v>1.0416666666642413</v>
      </c>
      <c r="E438" s="76">
        <f>Tableau1[[#This Row],[Date]]-$A$5</f>
        <v>685.67916666666133</v>
      </c>
      <c r="F438" s="77">
        <f>Tableau1[[#This Row],[Date]]-$A$5</f>
        <v>685.67916666666133</v>
      </c>
      <c r="G438" s="77">
        <f>Tableau1[[#This Row],[Diff jour_x000D_
Cumul]]-F$6</f>
        <v>647.59583333333285</v>
      </c>
      <c r="H438" s="77">
        <f>Tableau1[[#This Row],[Diff jour_x000D_
Cumul]]-F$59</f>
        <v>625.07638888888323</v>
      </c>
      <c r="I438" s="78">
        <v>194202</v>
      </c>
      <c r="J438" s="79">
        <f>IF(ISERROR(Tableau1[[#This Row],[Index HP
kWh]]-I437),"",Tableau1[[#This Row],[Index HP
kWh]]-I437)</f>
        <v>12</v>
      </c>
      <c r="K438" s="77">
        <f>IF(ISERROR(Tableau1[[#This Row],[Différence HP
Instantané]]/(Tableau1[[#This Row],[Diff jour
Instantané]]*24)),"",Tableau1[[#This Row],[Différence HP
Instantané]]/(Tableau1[[#This Row],[Diff jour
Instantané]]*24))</f>
        <v>0.48000000000111759</v>
      </c>
      <c r="L438" s="77">
        <f>Tableau1[[#This Row],[Différence HP
Instantané]]/Tableau1[[#This Row],[Diff jour
Instantané]]</f>
        <v>11.520000000026823</v>
      </c>
      <c r="M438" s="77">
        <f>Tableau1[[#This Row],[Conso HP / jour
Instantané]]*365</f>
        <v>4204.80000000979</v>
      </c>
      <c r="N438" s="79">
        <f>Tableau1[[#This Row],[Index HP
kWh]]-$I$5</f>
        <v>14443</v>
      </c>
      <c r="O438" s="80">
        <f>Tableau1[[#This Row],[Différence HP
Cumul]]/(Tableau1[[#This Row],[Diff jour_x000D_
Cumul]]*24)</f>
        <v>0.87765779671008137</v>
      </c>
      <c r="P438" s="80">
        <f>Tableau1[[#This Row],[Différence HP
Cumul]]/Tableau1[[#This Row],[Diff jour_x000D_
Cumul]]</f>
        <v>21.063787121041955</v>
      </c>
      <c r="Q438" s="80">
        <f>Tableau1[[#This Row],[Conso HP / jour
Cumul]]*365</f>
        <v>7688.2822991803132</v>
      </c>
      <c r="R438" s="78">
        <v>125607</v>
      </c>
      <c r="S438" s="79">
        <f>Tableau1[[#This Row],[Index HC_x000D_
kWh]]-R437</f>
        <v>4</v>
      </c>
      <c r="T438" s="81">
        <f>Tableau1[[#This Row],[Différence_x000D_ HC
Instantané]]/(Tableau1[[#This Row],[Diff jour
Instantané]]*24)</f>
        <v>0.16000000000037254</v>
      </c>
      <c r="U438" s="81">
        <f>Tableau1[[#This Row],[Différence_x000D_ HC
Instantané]]/Tableau1[[#This Row],[Diff jour
Instantané]]</f>
        <v>3.8400000000089407</v>
      </c>
      <c r="V438" s="81">
        <f>Tableau1[[#This Row],[Conso HC / jour_x000D_
Instantané]]*365</f>
        <v>1401.6000000032634</v>
      </c>
      <c r="W438" s="79">
        <f>Tableau1[[#This Row],[Index HC_x000D_
kWh]]-$R$5</f>
        <v>6175</v>
      </c>
      <c r="X438" s="82">
        <f>Tableau1[[#This Row],[Différence HC
Cumul]]/(Tableau1[[#This Row],[Diff jour_x000D_
Cumul]]*24)</f>
        <v>0.37523623171673148</v>
      </c>
      <c r="Y438" s="82">
        <f>Tableau1[[#This Row],[Différence HC
Cumul]]/Tableau1[[#This Row],[Diff jour_x000D_
Cumul]]</f>
        <v>9.0056695612015556</v>
      </c>
      <c r="Z438" s="82">
        <f>Tableau1[[#This Row],[Conso HC / jour_x000D_
Cumul]]*365</f>
        <v>3287.069389838568</v>
      </c>
      <c r="AA438" s="79">
        <f>Tableau1[[#This Row],[Différence HP
Instantané]]+Tableau1[[#This Row],[Différence_x000D_ HC
Instantané]]</f>
        <v>16</v>
      </c>
      <c r="AB438" s="80">
        <f>Tableau1[[#This Row],[Conso HP + HC
Instantané]]/(Tableau1[[#This Row],[Diff jour
Instantané]]*24)</f>
        <v>0.64000000000149015</v>
      </c>
      <c r="AC438" s="80">
        <f>IF(ISERROR(Tableau1[[#This Row],[Date]]-A437),"",Tableau1[[#This Row],[Conso HP + HC
Instantané]]/Tableau1[[#This Row],[Diff jour
Instantané]])</f>
        <v>15.360000000035763</v>
      </c>
      <c r="AD438" s="80">
        <f>Tableau1[[#This Row],[Conso HP + HC / jour_x000D_
Instantané]]*365</f>
        <v>5606.4000000130536</v>
      </c>
      <c r="AE438" s="79">
        <f>Tableau1[[#This Row],[Différence HP
Cumul]]+Tableau1[[#This Row],[Différence HC
Cumul]]</f>
        <v>20618</v>
      </c>
      <c r="AF438" s="77">
        <f>(Tableau1[[#This Row],[Conso HP + HC
Cumul]]-AE$6)/Tableau1[[#This Row],[Diff jour_x000D_
Cumul
depuis le 24/01]]</f>
        <v>27.867690110215367</v>
      </c>
      <c r="AG438" s="77">
        <f>(Tableau1[[#This Row],[Conso HP + HC
Cumul]]-AE$59)/Tableau1[[#This Row],[Diff jour_x000D_
Cumul
depuis
précédente facture
16/02/2021]]</f>
        <v>26.302385264023524</v>
      </c>
      <c r="AH438" s="80">
        <f>Tableau1[[#This Row],[Conso HP + HC
Cumul]]/(Tableau1[[#This Row],[Diff jour_x000D_
Cumul]]*24)</f>
        <v>1.2528940284268129</v>
      </c>
      <c r="AI438" s="80">
        <f>Tableau1[[#This Row],[Conso HP + HC
Cumul]]/Tableau1[[#This Row],[Diff jour_x000D_
Cumul]]</f>
        <v>30.069456682243509</v>
      </c>
      <c r="AJ438" s="80">
        <f>Tableau1[[#This Row],[Conso HP + HC / jour_x000D_
Cumul]]*365</f>
        <v>10975.35168901888</v>
      </c>
      <c r="AK438" s="83">
        <f>(Tableau1[[#This Row],[Différence HP
Cumul]]*0.1799)+(Tableau1[[#This Row],[Différence HC
Cumul]]*0.1346)</f>
        <v>3429.4507000000003</v>
      </c>
      <c r="AL438" s="83">
        <f>Tableau1[[#This Row],[Montant
Tarif HP/HC]]/Tableau1[[#This Row],[Diff jour_x000D_
Cumul]]</f>
        <v>5.0015384260131777</v>
      </c>
      <c r="AM438" s="83">
        <f>(Tableau1[[#This Row],[Montant
Tarif HP/HC]]-AK$6)/Tableau1[[#This Row],[Diff jour_x000D_
Cumul
depuis le 24/01]]</f>
        <v>4.6402786202814292</v>
      </c>
      <c r="AN438" s="83">
        <f>(Tableau1[[#This Row],[Montant
Tarif HP/HC]]-AK$59)/Tableau1[[#This Row],[Diff jour_x000D_
Cumul
depuis
précédente facture
16/02/2021]]</f>
        <v>4.3794444145715925</v>
      </c>
      <c r="AO438" s="83">
        <f>Tableau1[[#This Row],[Conso HP + HC
Cumul]]*0.1599</f>
        <v>3296.8181999999997</v>
      </c>
      <c r="AP438" s="83">
        <f>Tableau1[[#This Row],[Montant
Tarif normal]]/Tableau1[[#This Row],[Diff jour_x000D_
Cumul]]</f>
        <v>4.8081061234907363</v>
      </c>
      <c r="AQ438" s="83">
        <f>(Tableau1[[#This Row],[Conso HP / an
Cumul]]*0.1799)+(Tableau1[[#This Row],[Conso HC / an_x000D_
Cumul]]*0.1346)</f>
        <v>1825.5615254948098</v>
      </c>
      <c r="AR438" s="83">
        <f>Tableau1[[#This Row],[Conso HP + HC / an_x000D_
Cumul]]*0.1599</f>
        <v>1754.9587350741187</v>
      </c>
      <c r="AS438" s="79">
        <f>MONTH(Tableau1[[#This Row],[Date]])</f>
        <v>11</v>
      </c>
      <c r="AT438" s="79">
        <f>YEAR(Tableau1[[#This Row],[Date]])</f>
        <v>2022</v>
      </c>
    </row>
    <row r="439" spans="1:46" x14ac:dyDescent="0.2">
      <c r="A439" s="74">
        <v>44869.370833333334</v>
      </c>
      <c r="B439" s="75"/>
      <c r="C439" s="76">
        <f>IF(ISERROR(Tableau1[[#This Row],[Date]]-A438),"",Tableau1[[#This Row],[Date]]-A438)</f>
        <v>0.98333333333721384</v>
      </c>
      <c r="D439" s="77">
        <f>IF(ISERROR(Tableau1[[#This Row],[Date]]-A438),"",Tableau1[[#This Row],[Date]]-A438)</f>
        <v>0.98333333333721384</v>
      </c>
      <c r="E439" s="76">
        <f>Tableau1[[#This Row],[Date]]-$A$5</f>
        <v>686.66249999999854</v>
      </c>
      <c r="F439" s="77">
        <f>Tableau1[[#This Row],[Date]]-$A$5</f>
        <v>686.66249999999854</v>
      </c>
      <c r="G439" s="77">
        <f>Tableau1[[#This Row],[Diff jour_x000D_
Cumul]]-F$6</f>
        <v>648.57916666667006</v>
      </c>
      <c r="H439" s="77">
        <f>Tableau1[[#This Row],[Diff jour_x000D_
Cumul]]-F$59</f>
        <v>626.05972222222044</v>
      </c>
      <c r="I439" s="78">
        <v>194230</v>
      </c>
      <c r="J439" s="79">
        <f>IF(ISERROR(Tableau1[[#This Row],[Index HP
kWh]]-I438),"",Tableau1[[#This Row],[Index HP
kWh]]-I438)</f>
        <v>28</v>
      </c>
      <c r="K439" s="77">
        <f>IF(ISERROR(Tableau1[[#This Row],[Différence HP
Instantané]]/(Tableau1[[#This Row],[Diff jour
Instantané]]*24)),"",Tableau1[[#This Row],[Différence HP
Instantané]]/(Tableau1[[#This Row],[Diff jour
Instantané]]*24))</f>
        <v>1.1864406779614196</v>
      </c>
      <c r="L439" s="77">
        <f>Tableau1[[#This Row],[Différence HP
Instantané]]/Tableau1[[#This Row],[Diff jour
Instantané]]</f>
        <v>28.474576271074071</v>
      </c>
      <c r="M439" s="77">
        <f>Tableau1[[#This Row],[Conso HP / jour
Instantané]]*365</f>
        <v>10393.220338942036</v>
      </c>
      <c r="N439" s="79">
        <f>Tableau1[[#This Row],[Index HP
kWh]]-$I$5</f>
        <v>14471</v>
      </c>
      <c r="O439" s="80">
        <f>Tableau1[[#This Row],[Différence HP
Cumul]]/(Tableau1[[#This Row],[Diff jour_x000D_
Cumul]]*24)</f>
        <v>0.87809998847080573</v>
      </c>
      <c r="P439" s="80">
        <f>Tableau1[[#This Row],[Différence HP
Cumul]]/Tableau1[[#This Row],[Diff jour_x000D_
Cumul]]</f>
        <v>21.074399723299337</v>
      </c>
      <c r="Q439" s="80">
        <f>Tableau1[[#This Row],[Conso HP / jour
Cumul]]*365</f>
        <v>7692.1558990042577</v>
      </c>
      <c r="R439" s="78">
        <v>125619</v>
      </c>
      <c r="S439" s="79">
        <f>Tableau1[[#This Row],[Index HC_x000D_
kWh]]-R438</f>
        <v>12</v>
      </c>
      <c r="T439" s="81">
        <f>Tableau1[[#This Row],[Différence_x000D_ HC
Instantané]]/(Tableau1[[#This Row],[Diff jour
Instantané]]*24)</f>
        <v>0.50847457626917991</v>
      </c>
      <c r="U439" s="81">
        <f>Tableau1[[#This Row],[Différence_x000D_ HC
Instantané]]/Tableau1[[#This Row],[Diff jour
Instantané]]</f>
        <v>12.203389830460317</v>
      </c>
      <c r="V439" s="81">
        <f>Tableau1[[#This Row],[Conso HC / jour_x000D_
Instantané]]*365</f>
        <v>4454.2372881180154</v>
      </c>
      <c r="W439" s="79">
        <f>Tableau1[[#This Row],[Index HC_x000D_
kWh]]-$R$5</f>
        <v>6187</v>
      </c>
      <c r="X439" s="82">
        <f>Tableau1[[#This Row],[Différence HC
Cumul]]/(Tableau1[[#This Row],[Diff jour_x000D_
Cumul]]*24)</f>
        <v>0.37542703535822508</v>
      </c>
      <c r="Y439" s="82">
        <f>Tableau1[[#This Row],[Différence HC
Cumul]]/Tableau1[[#This Row],[Diff jour_x000D_
Cumul]]</f>
        <v>9.0102488485974011</v>
      </c>
      <c r="Z439" s="82">
        <f>Tableau1[[#This Row],[Conso HC / jour_x000D_
Cumul]]*365</f>
        <v>3288.7408297380512</v>
      </c>
      <c r="AA439" s="79">
        <f>Tableau1[[#This Row],[Différence HP
Instantané]]+Tableau1[[#This Row],[Différence_x000D_ HC
Instantané]]</f>
        <v>40</v>
      </c>
      <c r="AB439" s="80">
        <f>Tableau1[[#This Row],[Conso HP + HC
Instantané]]/(Tableau1[[#This Row],[Diff jour
Instantané]]*24)</f>
        <v>1.6949152542305996</v>
      </c>
      <c r="AC439" s="80">
        <f>IF(ISERROR(Tableau1[[#This Row],[Date]]-A438),"",Tableau1[[#This Row],[Conso HP + HC
Instantané]]/Tableau1[[#This Row],[Diff jour
Instantané]])</f>
        <v>40.677966101534388</v>
      </c>
      <c r="AD439" s="80">
        <f>Tableau1[[#This Row],[Conso HP + HC / jour_x000D_
Instantané]]*365</f>
        <v>14847.457627060052</v>
      </c>
      <c r="AE439" s="79">
        <f>Tableau1[[#This Row],[Différence HP
Cumul]]+Tableau1[[#This Row],[Différence HC
Cumul]]</f>
        <v>20658</v>
      </c>
      <c r="AF439" s="77">
        <f>(Tableau1[[#This Row],[Conso HP + HC
Cumul]]-AE$6)/Tableau1[[#This Row],[Diff jour_x000D_
Cumul
depuis le 24/01]]</f>
        <v>27.887112213235195</v>
      </c>
      <c r="AG439" s="77">
        <f>(Tableau1[[#This Row],[Conso HP + HC
Cumul]]-AE$59)/Tableau1[[#This Row],[Diff jour_x000D_
Cumul
depuis
précédente facture
16/02/2021]]</f>
        <v>26.324964560090411</v>
      </c>
      <c r="AH439" s="80">
        <f>Tableau1[[#This Row],[Conso HP + HC
Cumul]]/(Tableau1[[#This Row],[Diff jour_x000D_
Cumul]]*24)</f>
        <v>1.2535270238290308</v>
      </c>
      <c r="AI439" s="80">
        <f>Tableau1[[#This Row],[Conso HP + HC
Cumul]]/Tableau1[[#This Row],[Diff jour_x000D_
Cumul]]</f>
        <v>30.084648571896739</v>
      </c>
      <c r="AJ439" s="80">
        <f>Tableau1[[#This Row],[Conso HP + HC / jour_x000D_
Cumul]]*365</f>
        <v>10980.896728742309</v>
      </c>
      <c r="AK439" s="83">
        <f>(Tableau1[[#This Row],[Différence HP
Cumul]]*0.1799)+(Tableau1[[#This Row],[Différence HC
Cumul]]*0.1346)</f>
        <v>3436.1030999999998</v>
      </c>
      <c r="AL439" s="83">
        <f>Tableau1[[#This Row],[Montant
Tarif HP/HC]]/Tableau1[[#This Row],[Diff jour_x000D_
Cumul]]</f>
        <v>5.0040640052427605</v>
      </c>
      <c r="AM439" s="83">
        <f>(Tableau1[[#This Row],[Montant
Tarif HP/HC]]-AK$6)/Tableau1[[#This Row],[Diff jour_x000D_
Cumul
depuis le 24/01]]</f>
        <v>4.6435002152140008</v>
      </c>
      <c r="AN439" s="83">
        <f>(Tableau1[[#This Row],[Montant
Tarif HP/HC]]-AK$59)/Tableau1[[#This Row],[Diff jour_x000D_
Cumul
depuis
précédente facture
16/02/2021]]</f>
        <v>4.3831915751736616</v>
      </c>
      <c r="AO439" s="83">
        <f>Tableau1[[#This Row],[Conso HP + HC
Cumul]]*0.1599</f>
        <v>3303.2141999999999</v>
      </c>
      <c r="AP439" s="83">
        <f>Tableau1[[#This Row],[Montant
Tarif normal]]/Tableau1[[#This Row],[Diff jour_x000D_
Cumul]]</f>
        <v>4.8105353066462886</v>
      </c>
      <c r="AQ439" s="83">
        <f>(Tableau1[[#This Row],[Conso HP / an
Cumul]]*0.1799)+(Tableau1[[#This Row],[Conso HC / an_x000D_
Cumul]]*0.1346)</f>
        <v>1826.4833619136077</v>
      </c>
      <c r="AR439" s="83">
        <f>Tableau1[[#This Row],[Conso HP + HC / an_x000D_
Cumul]]*0.1599</f>
        <v>1755.8453869258951</v>
      </c>
      <c r="AS439" s="79">
        <f>MONTH(Tableau1[[#This Row],[Date]])</f>
        <v>11</v>
      </c>
      <c r="AT439" s="79">
        <f>YEAR(Tableau1[[#This Row],[Date]])</f>
        <v>2022</v>
      </c>
    </row>
    <row r="440" spans="1:46" x14ac:dyDescent="0.2">
      <c r="A440" s="74">
        <v>44870.311805555553</v>
      </c>
      <c r="B440" s="75"/>
      <c r="C440" s="76">
        <f>IF(ISERROR(Tableau1[[#This Row],[Date]]-A439),"",Tableau1[[#This Row],[Date]]-A439)</f>
        <v>0.94097222221898846</v>
      </c>
      <c r="D440" s="77">
        <f>IF(ISERROR(Tableau1[[#This Row],[Date]]-A439),"",Tableau1[[#This Row],[Date]]-A439)</f>
        <v>0.94097222221898846</v>
      </c>
      <c r="E440" s="76">
        <f>Tableau1[[#This Row],[Date]]-$A$5</f>
        <v>687.60347222221753</v>
      </c>
      <c r="F440" s="77">
        <f>Tableau1[[#This Row],[Date]]-$A$5</f>
        <v>687.60347222221753</v>
      </c>
      <c r="G440" s="77">
        <f>Tableau1[[#This Row],[Diff jour_x000D_
Cumul]]-F$6</f>
        <v>649.52013888888905</v>
      </c>
      <c r="H440" s="77">
        <f>Tableau1[[#This Row],[Diff jour_x000D_
Cumul]]-F$59</f>
        <v>627.00069444443943</v>
      </c>
      <c r="I440" s="78">
        <v>194257</v>
      </c>
      <c r="J440" s="79">
        <f>IF(ISERROR(Tableau1[[#This Row],[Index HP
kWh]]-I439),"",Tableau1[[#This Row],[Index HP
kWh]]-I439)</f>
        <v>27</v>
      </c>
      <c r="K440" s="77">
        <f>IF(ISERROR(Tableau1[[#This Row],[Différence HP
Instantané]]/(Tableau1[[#This Row],[Diff jour
Instantané]]*24)),"",Tableau1[[#This Row],[Différence HP
Instantané]]/(Tableau1[[#This Row],[Diff jour
Instantané]]*24))</f>
        <v>1.1955719557236659</v>
      </c>
      <c r="L440" s="77">
        <f>Tableau1[[#This Row],[Différence HP
Instantané]]/Tableau1[[#This Row],[Diff jour
Instantané]]</f>
        <v>28.69372693736798</v>
      </c>
      <c r="M440" s="77">
        <f>Tableau1[[#This Row],[Conso HP / jour
Instantané]]*365</f>
        <v>10473.210332139313</v>
      </c>
      <c r="N440" s="79">
        <f>Tableau1[[#This Row],[Index HP
kWh]]-$I$5</f>
        <v>14498</v>
      </c>
      <c r="O440" s="80">
        <f>Tableau1[[#This Row],[Différence HP
Cumul]]/(Tableau1[[#This Row],[Diff jour_x000D_
Cumul]]*24)</f>
        <v>0.87853444279598925</v>
      </c>
      <c r="P440" s="80">
        <f>Tableau1[[#This Row],[Différence HP
Cumul]]/Tableau1[[#This Row],[Diff jour_x000D_
Cumul]]</f>
        <v>21.084826627103741</v>
      </c>
      <c r="Q440" s="80">
        <f>Tableau1[[#This Row],[Conso HP / jour
Cumul]]*365</f>
        <v>7695.9617188928651</v>
      </c>
      <c r="R440" s="78">
        <v>125625</v>
      </c>
      <c r="S440" s="79">
        <f>Tableau1[[#This Row],[Index HC_x000D_
kWh]]-R439</f>
        <v>6</v>
      </c>
      <c r="T440" s="81">
        <f>Tableau1[[#This Row],[Différence_x000D_ HC
Instantané]]/(Tableau1[[#This Row],[Diff jour
Instantané]]*24)</f>
        <v>0.26568265682748132</v>
      </c>
      <c r="U440" s="81">
        <f>Tableau1[[#This Row],[Différence_x000D_ HC
Instantané]]/Tableau1[[#This Row],[Diff jour
Instantané]]</f>
        <v>6.3763837638595513</v>
      </c>
      <c r="V440" s="81">
        <f>Tableau1[[#This Row],[Conso HC / jour_x000D_
Instantané]]*365</f>
        <v>2327.3800738087361</v>
      </c>
      <c r="W440" s="79">
        <f>Tableau1[[#This Row],[Index HC_x000D_
kWh]]-$R$5</f>
        <v>6193</v>
      </c>
      <c r="X440" s="82">
        <f>Tableau1[[#This Row],[Différence HC
Cumul]]/(Tableau1[[#This Row],[Diff jour_x000D_
Cumul]]*24)</f>
        <v>0.37527685227173135</v>
      </c>
      <c r="Y440" s="82">
        <f>Tableau1[[#This Row],[Différence HC
Cumul]]/Tableau1[[#This Row],[Diff jour_x000D_
Cumul]]</f>
        <v>9.0066444545215525</v>
      </c>
      <c r="Z440" s="82">
        <f>Tableau1[[#This Row],[Conso HC / jour_x000D_
Cumul]]*365</f>
        <v>3287.4252259003665</v>
      </c>
      <c r="AA440" s="79">
        <f>Tableau1[[#This Row],[Différence HP
Instantané]]+Tableau1[[#This Row],[Différence_x000D_ HC
Instantané]]</f>
        <v>33</v>
      </c>
      <c r="AB440" s="80">
        <f>Tableau1[[#This Row],[Conso HP + HC
Instantané]]/(Tableau1[[#This Row],[Diff jour
Instantané]]*24)</f>
        <v>1.4612546125511472</v>
      </c>
      <c r="AC440" s="80">
        <f>IF(ISERROR(Tableau1[[#This Row],[Date]]-A439),"",Tableau1[[#This Row],[Conso HP + HC
Instantané]]/Tableau1[[#This Row],[Diff jour
Instantané]])</f>
        <v>35.070110701227534</v>
      </c>
      <c r="AD440" s="80">
        <f>Tableau1[[#This Row],[Conso HP + HC / jour_x000D_
Instantané]]*365</f>
        <v>12800.590405948051</v>
      </c>
      <c r="AE440" s="79">
        <f>Tableau1[[#This Row],[Différence HP
Cumul]]+Tableau1[[#This Row],[Différence HC
Cumul]]</f>
        <v>20691</v>
      </c>
      <c r="AF440" s="77">
        <f>(Tableau1[[#This Row],[Conso HP + HC
Cumul]]-AE$6)/Tableau1[[#This Row],[Diff jour_x000D_
Cumul
depuis le 24/01]]</f>
        <v>27.897518360242437</v>
      </c>
      <c r="AG440" s="77">
        <f>(Tableau1[[#This Row],[Conso HP + HC
Cumul]]-AE$59)/Tableau1[[#This Row],[Diff jour_x000D_
Cumul
depuis
précédente facture
16/02/2021]]</f>
        <v>26.338088851133417</v>
      </c>
      <c r="AH440" s="80">
        <f>Tableau1[[#This Row],[Conso HP + HC
Cumul]]/(Tableau1[[#This Row],[Diff jour_x000D_
Cumul]]*24)</f>
        <v>1.2538112950677205</v>
      </c>
      <c r="AI440" s="80">
        <f>Tableau1[[#This Row],[Conso HP + HC
Cumul]]/Tableau1[[#This Row],[Diff jour_x000D_
Cumul]]</f>
        <v>30.091471081625293</v>
      </c>
      <c r="AJ440" s="80">
        <f>Tableau1[[#This Row],[Conso HP + HC / jour_x000D_
Cumul]]*365</f>
        <v>10983.386944793232</v>
      </c>
      <c r="AK440" s="83">
        <f>(Tableau1[[#This Row],[Différence HP
Cumul]]*0.1799)+(Tableau1[[#This Row],[Différence HC
Cumul]]*0.1346)</f>
        <v>3441.768</v>
      </c>
      <c r="AL440" s="83">
        <f>Tableau1[[#This Row],[Montant
Tarif HP/HC]]/Tableau1[[#This Row],[Diff jour_x000D_
Cumul]]</f>
        <v>5.0054546537945637</v>
      </c>
      <c r="AM440" s="83">
        <f>(Tableau1[[#This Row],[Montant
Tarif HP/HC]]-AK$6)/Tableau1[[#This Row],[Diff jour_x000D_
Cumul
depuis le 24/01]]</f>
        <v>4.6454947573475707</v>
      </c>
      <c r="AN440" s="83">
        <f>(Tableau1[[#This Row],[Montant
Tarif HP/HC]]-AK$59)/Tableau1[[#This Row],[Diff jour_x000D_
Cumul
depuis
précédente facture
16/02/2021]]</f>
        <v>4.3856484121385115</v>
      </c>
      <c r="AO440" s="83">
        <f>Tableau1[[#This Row],[Conso HP + HC
Cumul]]*0.1599</f>
        <v>3308.4908999999998</v>
      </c>
      <c r="AP440" s="83">
        <f>Tableau1[[#This Row],[Montant
Tarif normal]]/Tableau1[[#This Row],[Diff jour_x000D_
Cumul]]</f>
        <v>4.8116262259518843</v>
      </c>
      <c r="AQ440" s="83">
        <f>(Tableau1[[#This Row],[Conso HP / an
Cumul]]*0.1799)+(Tableau1[[#This Row],[Conso HC / an_x000D_
Cumul]]*0.1346)</f>
        <v>1826.9909486350157</v>
      </c>
      <c r="AR440" s="83">
        <f>Tableau1[[#This Row],[Conso HP + HC / an_x000D_
Cumul]]*0.1599</f>
        <v>1756.2435724724376</v>
      </c>
      <c r="AS440" s="79">
        <f>MONTH(Tableau1[[#This Row],[Date]])</f>
        <v>11</v>
      </c>
      <c r="AT440" s="79">
        <f>YEAR(Tableau1[[#This Row],[Date]])</f>
        <v>2022</v>
      </c>
    </row>
    <row r="441" spans="1:46" x14ac:dyDescent="0.2">
      <c r="A441" s="74">
        <v>44871.44027777778</v>
      </c>
      <c r="B441" s="75"/>
      <c r="C441" s="76">
        <f>IF(ISERROR(Tableau1[[#This Row],[Date]]-A440),"",Tableau1[[#This Row],[Date]]-A440)</f>
        <v>1.1284722222262644</v>
      </c>
      <c r="D441" s="77">
        <f>IF(ISERROR(Tableau1[[#This Row],[Date]]-A440),"",Tableau1[[#This Row],[Date]]-A440)</f>
        <v>1.1284722222262644</v>
      </c>
      <c r="E441" s="76">
        <f>Tableau1[[#This Row],[Date]]-$A$5</f>
        <v>688.7319444444438</v>
      </c>
      <c r="F441" s="77">
        <f>Tableau1[[#This Row],[Date]]-$A$5</f>
        <v>688.7319444444438</v>
      </c>
      <c r="G441" s="77">
        <f>Tableau1[[#This Row],[Diff jour_x000D_
Cumul]]-F$6</f>
        <v>650.64861111111531</v>
      </c>
      <c r="H441" s="77">
        <f>Tableau1[[#This Row],[Diff jour_x000D_
Cumul]]-F$59</f>
        <v>628.1291666666657</v>
      </c>
      <c r="I441" s="78">
        <v>194289</v>
      </c>
      <c r="J441" s="79">
        <f>IF(ISERROR(Tableau1[[#This Row],[Index HP
kWh]]-I440),"",Tableau1[[#This Row],[Index HP
kWh]]-I440)</f>
        <v>32</v>
      </c>
      <c r="K441" s="77">
        <f>IF(ISERROR(Tableau1[[#This Row],[Différence HP
Instantané]]/(Tableau1[[#This Row],[Diff jour
Instantané]]*24)),"",Tableau1[[#This Row],[Différence HP
Instantané]]/(Tableau1[[#This Row],[Diff jour
Instantané]]*24))</f>
        <v>1.1815384615342293</v>
      </c>
      <c r="L441" s="77">
        <f>Tableau1[[#This Row],[Différence HP
Instantané]]/Tableau1[[#This Row],[Diff jour
Instantané]]</f>
        <v>28.356923076821502</v>
      </c>
      <c r="M441" s="77">
        <f>Tableau1[[#This Row],[Conso HP / jour
Instantané]]*365</f>
        <v>10350.276923039848</v>
      </c>
      <c r="N441" s="79">
        <f>Tableau1[[#This Row],[Index HP
kWh]]-$I$5</f>
        <v>14530</v>
      </c>
      <c r="O441" s="80">
        <f>Tableau1[[#This Row],[Différence HP
Cumul]]/(Tableau1[[#This Row],[Diff jour_x000D_
Cumul]]*24)</f>
        <v>0.87903090825127583</v>
      </c>
      <c r="P441" s="80">
        <f>Tableau1[[#This Row],[Différence HP
Cumul]]/Tableau1[[#This Row],[Diff jour_x000D_
Cumul]]</f>
        <v>21.096741798030621</v>
      </c>
      <c r="Q441" s="80">
        <f>Tableau1[[#This Row],[Conso HP / jour
Cumul]]*365</f>
        <v>7700.3107562811765</v>
      </c>
      <c r="R441" s="78">
        <v>125628</v>
      </c>
      <c r="S441" s="79">
        <f>Tableau1[[#This Row],[Index HC_x000D_
kWh]]-R440</f>
        <v>3</v>
      </c>
      <c r="T441" s="81">
        <f>Tableau1[[#This Row],[Différence_x000D_ HC
Instantané]]/(Tableau1[[#This Row],[Diff jour
Instantané]]*24)</f>
        <v>0.11076923076883399</v>
      </c>
      <c r="U441" s="81">
        <f>Tableau1[[#This Row],[Différence_x000D_ HC
Instantané]]/Tableau1[[#This Row],[Diff jour
Instantané]]</f>
        <v>2.6584615384520158</v>
      </c>
      <c r="V441" s="81">
        <f>Tableau1[[#This Row],[Conso HC / jour_x000D_
Instantané]]*365</f>
        <v>970.33846153498575</v>
      </c>
      <c r="W441" s="79">
        <f>Tableau1[[#This Row],[Index HC_x000D_
kWh]]-$R$5</f>
        <v>6196</v>
      </c>
      <c r="X441" s="82">
        <f>Tableau1[[#This Row],[Différence HC
Cumul]]/(Tableau1[[#This Row],[Diff jour_x000D_
Cumul]]*24)</f>
        <v>0.37484346232105331</v>
      </c>
      <c r="Y441" s="82">
        <f>Tableau1[[#This Row],[Différence HC
Cumul]]/Tableau1[[#This Row],[Diff jour_x000D_
Cumul]]</f>
        <v>8.9962430957052799</v>
      </c>
      <c r="Z441" s="82">
        <f>Tableau1[[#This Row],[Conso HC / jour_x000D_
Cumul]]*365</f>
        <v>3283.6287299324272</v>
      </c>
      <c r="AA441" s="79">
        <f>Tableau1[[#This Row],[Différence HP
Instantané]]+Tableau1[[#This Row],[Différence_x000D_ HC
Instantané]]</f>
        <v>35</v>
      </c>
      <c r="AB441" s="80">
        <f>Tableau1[[#This Row],[Conso HP + HC
Instantané]]/(Tableau1[[#This Row],[Diff jour
Instantané]]*24)</f>
        <v>1.2923076923030632</v>
      </c>
      <c r="AC441" s="80">
        <f>IF(ISERROR(Tableau1[[#This Row],[Date]]-A440),"",Tableau1[[#This Row],[Conso HP + HC
Instantané]]/Tableau1[[#This Row],[Diff jour
Instantané]])</f>
        <v>31.015384615273518</v>
      </c>
      <c r="AD441" s="80">
        <f>Tableau1[[#This Row],[Conso HP + HC / jour_x000D_
Instantané]]*365</f>
        <v>11320.615384574834</v>
      </c>
      <c r="AE441" s="79">
        <f>Tableau1[[#This Row],[Différence HP
Cumul]]+Tableau1[[#This Row],[Différence HC
Cumul]]</f>
        <v>20726</v>
      </c>
      <c r="AF441" s="77">
        <f>(Tableau1[[#This Row],[Conso HP + HC
Cumul]]-AE$6)/Tableau1[[#This Row],[Diff jour_x000D_
Cumul
depuis le 24/01]]</f>
        <v>27.902925926479167</v>
      </c>
      <c r="AG441" s="77">
        <f>(Tableau1[[#This Row],[Conso HP + HC
Cumul]]-AE$59)/Tableau1[[#This Row],[Diff jour_x000D_
Cumul
depuis
précédente facture
16/02/2021]]</f>
        <v>26.346491897234554</v>
      </c>
      <c r="AH441" s="80">
        <f>Tableau1[[#This Row],[Conso HP + HC
Cumul]]/(Tableau1[[#This Row],[Diff jour_x000D_
Cumul]]*24)</f>
        <v>1.2538743705723292</v>
      </c>
      <c r="AI441" s="80">
        <f>Tableau1[[#This Row],[Conso HP + HC
Cumul]]/Tableau1[[#This Row],[Diff jour_x000D_
Cumul]]</f>
        <v>30.092984893735899</v>
      </c>
      <c r="AJ441" s="80">
        <f>Tableau1[[#This Row],[Conso HP + HC / jour_x000D_
Cumul]]*365</f>
        <v>10983.939486213603</v>
      </c>
      <c r="AK441" s="83">
        <f>(Tableau1[[#This Row],[Différence HP
Cumul]]*0.1799)+(Tableau1[[#This Row],[Différence HC
Cumul]]*0.1346)</f>
        <v>3447.9286000000002</v>
      </c>
      <c r="AL441" s="83">
        <f>Tableau1[[#This Row],[Montant
Tarif HP/HC]]/Tableau1[[#This Row],[Diff jour_x000D_
Cumul]]</f>
        <v>5.0061981701476395</v>
      </c>
      <c r="AM441" s="83">
        <f>(Tableau1[[#This Row],[Montant
Tarif HP/HC]]-AK$6)/Tableau1[[#This Row],[Diff jour_x000D_
Cumul
depuis le 24/01]]</f>
        <v>4.6469061001094767</v>
      </c>
      <c r="AN441" s="83">
        <f>(Tableau1[[#This Row],[Montant
Tarif HP/HC]]-AK$59)/Tableau1[[#This Row],[Diff jour_x000D_
Cumul
depuis
précédente facture
16/02/2021]]</f>
        <v>4.3875771835676121</v>
      </c>
      <c r="AO441" s="83">
        <f>Tableau1[[#This Row],[Conso HP + HC
Cumul]]*0.1599</f>
        <v>3314.0873999999999</v>
      </c>
      <c r="AP441" s="83">
        <f>Tableau1[[#This Row],[Montant
Tarif normal]]/Tableau1[[#This Row],[Diff jour_x000D_
Cumul]]</f>
        <v>4.8118682845083702</v>
      </c>
      <c r="AQ441" s="83">
        <f>(Tableau1[[#This Row],[Conso HP / an
Cumul]]*0.1799)+(Tableau1[[#This Row],[Conso HC / an_x000D_
Cumul]]*0.1346)</f>
        <v>1827.2623321038884</v>
      </c>
      <c r="AR441" s="83">
        <f>Tableau1[[#This Row],[Conso HP + HC / an_x000D_
Cumul]]*0.1599</f>
        <v>1756.3319238455549</v>
      </c>
      <c r="AS441" s="79">
        <f>MONTH(Tableau1[[#This Row],[Date]])</f>
        <v>11</v>
      </c>
      <c r="AT441" s="79">
        <f>YEAR(Tableau1[[#This Row],[Date]])</f>
        <v>2022</v>
      </c>
    </row>
    <row r="442" spans="1:46" x14ac:dyDescent="0.2">
      <c r="A442" s="74">
        <v>44872.321527777778</v>
      </c>
      <c r="B442" s="75"/>
      <c r="C442" s="76">
        <f>IF(ISERROR(Tableau1[[#This Row],[Date]]-A441),"",Tableau1[[#This Row],[Date]]-A441)</f>
        <v>0.88124999999854481</v>
      </c>
      <c r="D442" s="77">
        <f>IF(ISERROR(Tableau1[[#This Row],[Date]]-A441),"",Tableau1[[#This Row],[Date]]-A441)</f>
        <v>0.88124999999854481</v>
      </c>
      <c r="E442" s="76">
        <f>Tableau1[[#This Row],[Date]]-$A$5</f>
        <v>689.61319444444234</v>
      </c>
      <c r="F442" s="77">
        <f>Tableau1[[#This Row],[Date]]-$A$5</f>
        <v>689.61319444444234</v>
      </c>
      <c r="G442" s="77">
        <f>Tableau1[[#This Row],[Diff jour_x000D_
Cumul]]-F$6</f>
        <v>651.52986111111386</v>
      </c>
      <c r="H442" s="77">
        <f>Tableau1[[#This Row],[Diff jour_x000D_
Cumul]]-F$59</f>
        <v>629.01041666666424</v>
      </c>
      <c r="I442" s="78">
        <v>194308</v>
      </c>
      <c r="J442" s="79">
        <f>IF(ISERROR(Tableau1[[#This Row],[Index HP
kWh]]-I441),"",Tableau1[[#This Row],[Index HP
kWh]]-I441)</f>
        <v>19</v>
      </c>
      <c r="K442" s="77">
        <f>IF(ISERROR(Tableau1[[#This Row],[Différence HP
Instantané]]/(Tableau1[[#This Row],[Diff jour
Instantané]]*24)),"",Tableau1[[#This Row],[Différence HP
Instantané]]/(Tableau1[[#This Row],[Diff jour
Instantané]]*24))</f>
        <v>0.89834515366578604</v>
      </c>
      <c r="L442" s="77">
        <f>Tableau1[[#This Row],[Différence HP
Instantané]]/Tableau1[[#This Row],[Diff jour
Instantané]]</f>
        <v>21.560283687978863</v>
      </c>
      <c r="M442" s="77">
        <f>Tableau1[[#This Row],[Conso HP / jour
Instantané]]*365</f>
        <v>7869.5035461122852</v>
      </c>
      <c r="N442" s="79">
        <f>Tableau1[[#This Row],[Index HP
kWh]]-$I$5</f>
        <v>14549</v>
      </c>
      <c r="O442" s="80">
        <f>Tableau1[[#This Row],[Différence HP
Cumul]]/(Tableau1[[#This Row],[Diff jour_x000D_
Cumul]]*24)</f>
        <v>0.87905558973780862</v>
      </c>
      <c r="P442" s="80">
        <f>Tableau1[[#This Row],[Différence HP
Cumul]]/Tableau1[[#This Row],[Diff jour_x000D_
Cumul]]</f>
        <v>21.097334153707408</v>
      </c>
      <c r="Q442" s="80">
        <f>Tableau1[[#This Row],[Conso HP / jour
Cumul]]*365</f>
        <v>7700.5269661032034</v>
      </c>
      <c r="R442" s="78">
        <v>125632</v>
      </c>
      <c r="S442" s="79">
        <f>Tableau1[[#This Row],[Index HC_x000D_
kWh]]-R441</f>
        <v>4</v>
      </c>
      <c r="T442" s="81">
        <f>Tableau1[[#This Row],[Différence_x000D_ HC
Instantané]]/(Tableau1[[#This Row],[Diff jour
Instantané]]*24)</f>
        <v>0.18912529550858653</v>
      </c>
      <c r="U442" s="81">
        <f>Tableau1[[#This Row],[Différence_x000D_ HC
Instantané]]/Tableau1[[#This Row],[Diff jour
Instantané]]</f>
        <v>4.5390070922060763</v>
      </c>
      <c r="V442" s="81">
        <f>Tableau1[[#This Row],[Conso HC / jour_x000D_
Instantané]]*365</f>
        <v>1656.7375886552179</v>
      </c>
      <c r="W442" s="79">
        <f>Tableau1[[#This Row],[Index HC_x000D_
kWh]]-$R$5</f>
        <v>6200</v>
      </c>
      <c r="X442" s="82">
        <f>Tableau1[[#This Row],[Différence HC
Cumul]]/(Tableau1[[#This Row],[Diff jour_x000D_
Cumul]]*24)</f>
        <v>0.37460613488036382</v>
      </c>
      <c r="Y442" s="82">
        <f>Tableau1[[#This Row],[Différence HC
Cumul]]/Tableau1[[#This Row],[Diff jour_x000D_
Cumul]]</f>
        <v>8.990547237128732</v>
      </c>
      <c r="Z442" s="82">
        <f>Tableau1[[#This Row],[Conso HC / jour_x000D_
Cumul]]*365</f>
        <v>3281.5497415519872</v>
      </c>
      <c r="AA442" s="79">
        <f>Tableau1[[#This Row],[Différence HP
Instantané]]+Tableau1[[#This Row],[Différence_x000D_ HC
Instantané]]</f>
        <v>23</v>
      </c>
      <c r="AB442" s="80">
        <f>Tableau1[[#This Row],[Conso HP + HC
Instantané]]/(Tableau1[[#This Row],[Diff jour
Instantané]]*24)</f>
        <v>1.0874704491743725</v>
      </c>
      <c r="AC442" s="80">
        <f>IF(ISERROR(Tableau1[[#This Row],[Date]]-A441),"",Tableau1[[#This Row],[Conso HP + HC
Instantané]]/Tableau1[[#This Row],[Diff jour
Instantané]])</f>
        <v>26.099290780184941</v>
      </c>
      <c r="AD442" s="80">
        <f>Tableau1[[#This Row],[Conso HP + HC / jour_x000D_
Instantané]]*365</f>
        <v>9526.2411347675024</v>
      </c>
      <c r="AE442" s="79">
        <f>Tableau1[[#This Row],[Différence HP
Cumul]]+Tableau1[[#This Row],[Différence HC
Cumul]]</f>
        <v>20749</v>
      </c>
      <c r="AF442" s="77">
        <f>(Tableau1[[#This Row],[Conso HP + HC
Cumul]]-AE$6)/Tableau1[[#This Row],[Diff jour_x000D_
Cumul
depuis le 24/01]]</f>
        <v>27.900486355298256</v>
      </c>
      <c r="AG442" s="77">
        <f>(Tableau1[[#This Row],[Conso HP + HC
Cumul]]-AE$59)/Tableau1[[#This Row],[Diff jour_x000D_
Cumul
depuis
précédente facture
16/02/2021]]</f>
        <v>26.346145565951911</v>
      </c>
      <c r="AH442" s="80">
        <f>Tableau1[[#This Row],[Conso HP + HC
Cumul]]/(Tableau1[[#This Row],[Diff jour_x000D_
Cumul]]*24)</f>
        <v>1.2536617246181725</v>
      </c>
      <c r="AI442" s="80">
        <f>Tableau1[[#This Row],[Conso HP + HC
Cumul]]/Tableau1[[#This Row],[Diff jour_x000D_
Cumul]]</f>
        <v>30.087881390836138</v>
      </c>
      <c r="AJ442" s="80">
        <f>Tableau1[[#This Row],[Conso HP + HC / jour_x000D_
Cumul]]*365</f>
        <v>10982.076707655191</v>
      </c>
      <c r="AK442" s="83">
        <f>(Tableau1[[#This Row],[Différence HP
Cumul]]*0.1799)+(Tableau1[[#This Row],[Différence HC
Cumul]]*0.1346)</f>
        <v>3451.8851</v>
      </c>
      <c r="AL442" s="83">
        <f>Tableau1[[#This Row],[Montant
Tarif HP/HC]]/Tableau1[[#This Row],[Diff jour_x000D_
Cumul]]</f>
        <v>5.0055380723694896</v>
      </c>
      <c r="AM442" s="83">
        <f>(Tableau1[[#This Row],[Montant
Tarif HP/HC]]-AK$6)/Tableau1[[#This Row],[Diff jour_x000D_
Cumul
depuis le 24/01]]</f>
        <v>4.6466933915154627</v>
      </c>
      <c r="AN442" s="83">
        <f>(Tableau1[[#This Row],[Montant
Tarif HP/HC]]-AK$59)/Tableau1[[#This Row],[Diff jour_x000D_
Cumul
depuis
précédente facture
16/02/2021]]</f>
        <v>4.3877201821644611</v>
      </c>
      <c r="AO442" s="83">
        <f>Tableau1[[#This Row],[Conso HP + HC
Cumul]]*0.1599</f>
        <v>3317.7650999999996</v>
      </c>
      <c r="AP442" s="83">
        <f>Tableau1[[#This Row],[Montant
Tarif normal]]/Tableau1[[#This Row],[Diff jour_x000D_
Cumul]]</f>
        <v>4.8110522343946975</v>
      </c>
      <c r="AQ442" s="83">
        <f>(Tableau1[[#This Row],[Conso HP / an
Cumul]]*0.1799)+(Tableau1[[#This Row],[Conso HC / an_x000D_
Cumul]]*0.1346)</f>
        <v>1827.0213964148638</v>
      </c>
      <c r="AR442" s="83">
        <f>Tableau1[[#This Row],[Conso HP + HC / an_x000D_
Cumul]]*0.1599</f>
        <v>1756.0340655540649</v>
      </c>
      <c r="AS442" s="79">
        <f>MONTH(Tableau1[[#This Row],[Date]])</f>
        <v>11</v>
      </c>
      <c r="AT442" s="79">
        <f>YEAR(Tableau1[[#This Row],[Date]])</f>
        <v>2022</v>
      </c>
    </row>
    <row r="443" spans="1:46" x14ac:dyDescent="0.2">
      <c r="A443" s="74">
        <v>44873.320138888892</v>
      </c>
      <c r="B443" s="75"/>
      <c r="C443" s="76">
        <f>IF(ISERROR(Tableau1[[#This Row],[Date]]-A442),"",Tableau1[[#This Row],[Date]]-A442)</f>
        <v>0.99861111111385981</v>
      </c>
      <c r="D443" s="77">
        <f>IF(ISERROR(Tableau1[[#This Row],[Date]]-A442),"",Tableau1[[#This Row],[Date]]-A442)</f>
        <v>0.99861111111385981</v>
      </c>
      <c r="E443" s="76">
        <f>Tableau1[[#This Row],[Date]]-$A$5</f>
        <v>690.6118055555562</v>
      </c>
      <c r="F443" s="77">
        <f>Tableau1[[#This Row],[Date]]-$A$5</f>
        <v>690.6118055555562</v>
      </c>
      <c r="G443" s="77">
        <f>Tableau1[[#This Row],[Diff jour_x000D_
Cumul]]-F$6</f>
        <v>652.52847222222772</v>
      </c>
      <c r="H443" s="77">
        <f>Tableau1[[#This Row],[Diff jour_x000D_
Cumul]]-F$59</f>
        <v>630.0090277777781</v>
      </c>
      <c r="I443" s="78">
        <v>194326</v>
      </c>
      <c r="J443" s="79">
        <f>IF(ISERROR(Tableau1[[#This Row],[Index HP
kWh]]-I442),"",Tableau1[[#This Row],[Index HP
kWh]]-I442)</f>
        <v>18</v>
      </c>
      <c r="K443" s="77">
        <f>IF(ISERROR(Tableau1[[#This Row],[Différence HP
Instantané]]/(Tableau1[[#This Row],[Diff jour
Instantané]]*24)),"",Tableau1[[#This Row],[Différence HP
Instantané]]/(Tableau1[[#This Row],[Diff jour
Instantané]]*24))</f>
        <v>0.75104311543604119</v>
      </c>
      <c r="L443" s="77">
        <f>Tableau1[[#This Row],[Différence HP
Instantané]]/Tableau1[[#This Row],[Diff jour
Instantané]]</f>
        <v>18.025034770464991</v>
      </c>
      <c r="M443" s="77">
        <f>Tableau1[[#This Row],[Conso HP / jour
Instantané]]*365</f>
        <v>6579.137691219722</v>
      </c>
      <c r="N443" s="79">
        <f>Tableau1[[#This Row],[Index HP
kWh]]-$I$5</f>
        <v>14567</v>
      </c>
      <c r="O443" s="80">
        <f>Tableau1[[#This Row],[Différence HP
Cumul]]/(Tableau1[[#This Row],[Diff jour_x000D_
Cumul]]*24)</f>
        <v>0.87887048621341102</v>
      </c>
      <c r="P443" s="80">
        <f>Tableau1[[#This Row],[Différence HP
Cumul]]/Tableau1[[#This Row],[Diff jour_x000D_
Cumul]]</f>
        <v>21.092891669121865</v>
      </c>
      <c r="Q443" s="80">
        <f>Tableau1[[#This Row],[Conso HP / jour
Cumul]]*365</f>
        <v>7698.9054592294806</v>
      </c>
      <c r="R443" s="78">
        <v>125636</v>
      </c>
      <c r="S443" s="79">
        <f>Tableau1[[#This Row],[Index HC_x000D_
kWh]]-R442</f>
        <v>4</v>
      </c>
      <c r="T443" s="81">
        <f>Tableau1[[#This Row],[Différence_x000D_ HC
Instantané]]/(Tableau1[[#This Row],[Diff jour
Instantané]]*24)</f>
        <v>0.16689847009689804</v>
      </c>
      <c r="U443" s="81">
        <f>Tableau1[[#This Row],[Différence_x000D_ HC
Instantané]]/Tableau1[[#This Row],[Diff jour
Instantané]]</f>
        <v>4.0055632823255536</v>
      </c>
      <c r="V443" s="81">
        <f>Tableau1[[#This Row],[Conso HC / jour_x000D_
Instantané]]*365</f>
        <v>1462.030598048827</v>
      </c>
      <c r="W443" s="79">
        <f>Tableau1[[#This Row],[Index HC_x000D_
kWh]]-$R$5</f>
        <v>6204</v>
      </c>
      <c r="X443" s="82">
        <f>Tableau1[[#This Row],[Différence HC
Cumul]]/(Tableau1[[#This Row],[Diff jour_x000D_
Cumul]]*24)</f>
        <v>0.3743057936752936</v>
      </c>
      <c r="Y443" s="82">
        <f>Tableau1[[#This Row],[Différence HC
Cumul]]/Tableau1[[#This Row],[Diff jour_x000D_
Cumul]]</f>
        <v>8.9833390482070463</v>
      </c>
      <c r="Z443" s="82">
        <f>Tableau1[[#This Row],[Conso HC / jour_x000D_
Cumul]]*365</f>
        <v>3278.9187525955717</v>
      </c>
      <c r="AA443" s="79">
        <f>Tableau1[[#This Row],[Différence HP
Instantané]]+Tableau1[[#This Row],[Différence_x000D_ HC
Instantané]]</f>
        <v>22</v>
      </c>
      <c r="AB443" s="80">
        <f>Tableau1[[#This Row],[Conso HP + HC
Instantané]]/(Tableau1[[#This Row],[Diff jour
Instantané]]*24)</f>
        <v>0.91794158553293925</v>
      </c>
      <c r="AC443" s="80">
        <f>IF(ISERROR(Tableau1[[#This Row],[Date]]-A442),"",Tableau1[[#This Row],[Conso HP + HC
Instantané]]/Tableau1[[#This Row],[Diff jour
Instantané]])</f>
        <v>22.030598052790541</v>
      </c>
      <c r="AD443" s="80">
        <f>Tableau1[[#This Row],[Conso HP + HC / jour_x000D_
Instantané]]*365</f>
        <v>8041.1682892685476</v>
      </c>
      <c r="AE443" s="79">
        <f>Tableau1[[#This Row],[Différence HP
Cumul]]+Tableau1[[#This Row],[Différence HC
Cumul]]</f>
        <v>20771</v>
      </c>
      <c r="AF443" s="77">
        <f>(Tableau1[[#This Row],[Conso HP + HC
Cumul]]-AE$6)/Tableau1[[#This Row],[Diff jour_x000D_
Cumul
depuis le 24/01]]</f>
        <v>27.891503244323928</v>
      </c>
      <c r="AG443" s="77">
        <f>(Tableau1[[#This Row],[Conso HP + HC
Cumul]]-AE$59)/Tableau1[[#This Row],[Diff jour_x000D_
Cumul
depuis
précédente facture
16/02/2021]]</f>
        <v>26.339305102550323</v>
      </c>
      <c r="AH443" s="80">
        <f>Tableau1[[#This Row],[Conso HP + HC
Cumul]]/(Tableau1[[#This Row],[Diff jour_x000D_
Cumul]]*24)</f>
        <v>1.2531762798887045</v>
      </c>
      <c r="AI443" s="80">
        <f>Tableau1[[#This Row],[Conso HP + HC
Cumul]]/Tableau1[[#This Row],[Diff jour_x000D_
Cumul]]</f>
        <v>30.076230717328912</v>
      </c>
      <c r="AJ443" s="80">
        <f>Tableau1[[#This Row],[Conso HP + HC / jour_x000D_
Cumul]]*365</f>
        <v>10977.824211825053</v>
      </c>
      <c r="AK443" s="83">
        <f>(Tableau1[[#This Row],[Différence HP
Cumul]]*0.1799)+(Tableau1[[#This Row],[Différence HC
Cumul]]*0.1346)</f>
        <v>3455.6617000000001</v>
      </c>
      <c r="AL443" s="83">
        <f>Tableau1[[#This Row],[Montant
Tarif HP/HC]]/Tableau1[[#This Row],[Diff jour_x000D_
Cumul]]</f>
        <v>5.0037686471636915</v>
      </c>
      <c r="AM443" s="83">
        <f>(Tableau1[[#This Row],[Montant
Tarif HP/HC]]-AK$6)/Tableau1[[#This Row],[Diff jour_x000D_
Cumul
depuis le 24/01]]</f>
        <v>4.6453698635968026</v>
      </c>
      <c r="AN443" s="83">
        <f>(Tableau1[[#This Row],[Montant
Tarif HP/HC]]-AK$59)/Tableau1[[#This Row],[Diff jour_x000D_
Cumul
depuis
précédente facture
16/02/2021]]</f>
        <v>4.3867598369952789</v>
      </c>
      <c r="AO443" s="83">
        <f>Tableau1[[#This Row],[Conso HP + HC
Cumul]]*0.1599</f>
        <v>3321.2828999999997</v>
      </c>
      <c r="AP443" s="83">
        <f>Tableau1[[#This Row],[Montant
Tarif normal]]/Tableau1[[#This Row],[Diff jour_x000D_
Cumul]]</f>
        <v>4.8091892917008927</v>
      </c>
      <c r="AQ443" s="83">
        <f>(Tableau1[[#This Row],[Conso HP / an
Cumul]]*0.1799)+(Tableau1[[#This Row],[Conso HC / an_x000D_
Cumul]]*0.1346)</f>
        <v>1826.3755562147476</v>
      </c>
      <c r="AR443" s="83">
        <f>Tableau1[[#This Row],[Conso HP + HC / an_x000D_
Cumul]]*0.1599</f>
        <v>1755.3540914708258</v>
      </c>
      <c r="AS443" s="79">
        <f>MONTH(Tableau1[[#This Row],[Date]])</f>
        <v>11</v>
      </c>
      <c r="AT443" s="79">
        <f>YEAR(Tableau1[[#This Row],[Date]])</f>
        <v>2022</v>
      </c>
    </row>
    <row r="444" spans="1:46" x14ac:dyDescent="0.2">
      <c r="A444" s="74">
        <v>44874.388888888891</v>
      </c>
      <c r="B444" s="75"/>
      <c r="C444" s="76">
        <f>IF(ISERROR(Tableau1[[#This Row],[Date]]-A443),"",Tableau1[[#This Row],[Date]]-A443)</f>
        <v>1.0687499999985448</v>
      </c>
      <c r="D444" s="77">
        <f>IF(ISERROR(Tableau1[[#This Row],[Date]]-A443),"",Tableau1[[#This Row],[Date]]-A443)</f>
        <v>1.0687499999985448</v>
      </c>
      <c r="E444" s="76">
        <f>Tableau1[[#This Row],[Date]]-$A$5</f>
        <v>691.68055555555475</v>
      </c>
      <c r="F444" s="77">
        <f>Tableau1[[#This Row],[Date]]-$A$5</f>
        <v>691.68055555555475</v>
      </c>
      <c r="G444" s="77">
        <f>Tableau1[[#This Row],[Diff jour_x000D_
Cumul]]-F$6</f>
        <v>653.59722222222626</v>
      </c>
      <c r="H444" s="77">
        <f>Tableau1[[#This Row],[Diff jour_x000D_
Cumul]]-F$59</f>
        <v>631.07777777777665</v>
      </c>
      <c r="I444" s="78">
        <v>194343</v>
      </c>
      <c r="J444" s="79">
        <f>IF(ISERROR(Tableau1[[#This Row],[Index HP
kWh]]-I443),"",Tableau1[[#This Row],[Index HP
kWh]]-I443)</f>
        <v>17</v>
      </c>
      <c r="K444" s="77">
        <f>IF(ISERROR(Tableau1[[#This Row],[Différence HP
Instantané]]/(Tableau1[[#This Row],[Diff jour
Instantané]]*24)),"",Tableau1[[#This Row],[Différence HP
Instantané]]/(Tableau1[[#This Row],[Diff jour
Instantané]]*24))</f>
        <v>0.66276803118998628</v>
      </c>
      <c r="L444" s="77">
        <f>Tableau1[[#This Row],[Différence HP
Instantané]]/Tableau1[[#This Row],[Diff jour
Instantané]]</f>
        <v>15.90643274855967</v>
      </c>
      <c r="M444" s="77">
        <f>Tableau1[[#This Row],[Conso HP / jour
Instantané]]*365</f>
        <v>5805.8479532242791</v>
      </c>
      <c r="N444" s="79">
        <f>Tableau1[[#This Row],[Index HP
kWh]]-$I$5</f>
        <v>14584</v>
      </c>
      <c r="O444" s="80">
        <f>Tableau1[[#This Row],[Différence HP
Cumul]]/(Tableau1[[#This Row],[Diff jour_x000D_
Cumul]]*24)</f>
        <v>0.87853657557077269</v>
      </c>
      <c r="P444" s="80">
        <f>Tableau1[[#This Row],[Différence HP
Cumul]]/Tableau1[[#This Row],[Diff jour_x000D_
Cumul]]</f>
        <v>21.084877813698544</v>
      </c>
      <c r="Q444" s="80">
        <f>Tableau1[[#This Row],[Conso HP / jour
Cumul]]*365</f>
        <v>7695.9804019999683</v>
      </c>
      <c r="R444" s="78">
        <v>125639</v>
      </c>
      <c r="S444" s="79">
        <f>Tableau1[[#This Row],[Index HC_x000D_
kWh]]-R443</f>
        <v>3</v>
      </c>
      <c r="T444" s="81">
        <f>Tableau1[[#This Row],[Différence_x000D_ HC
Instantané]]/(Tableau1[[#This Row],[Diff jour
Instantané]]*24)</f>
        <v>0.11695906432764464</v>
      </c>
      <c r="U444" s="81">
        <f>Tableau1[[#This Row],[Différence_x000D_ HC
Instantané]]/Tableau1[[#This Row],[Diff jour
Instantané]]</f>
        <v>2.8070175438634712</v>
      </c>
      <c r="V444" s="81">
        <f>Tableau1[[#This Row],[Conso HC / jour_x000D_
Instantané]]*365</f>
        <v>1024.5614035101671</v>
      </c>
      <c r="W444" s="79">
        <f>Tableau1[[#This Row],[Index HC_x000D_
kWh]]-$R$5</f>
        <v>6207</v>
      </c>
      <c r="X444" s="82">
        <f>Tableau1[[#This Row],[Différence HC
Cumul]]/(Tableau1[[#This Row],[Diff jour_x000D_
Cumul]]*24)</f>
        <v>0.37390815445473025</v>
      </c>
      <c r="Y444" s="82">
        <f>Tableau1[[#This Row],[Différence HC
Cumul]]/Tableau1[[#This Row],[Diff jour_x000D_
Cumul]]</f>
        <v>8.9737957069135259</v>
      </c>
      <c r="Z444" s="82">
        <f>Tableau1[[#This Row],[Conso HC / jour_x000D_
Cumul]]*365</f>
        <v>3275.4354330234369</v>
      </c>
      <c r="AA444" s="79">
        <f>Tableau1[[#This Row],[Différence HP
Instantané]]+Tableau1[[#This Row],[Différence_x000D_ HC
Instantané]]</f>
        <v>20</v>
      </c>
      <c r="AB444" s="80">
        <f>Tableau1[[#This Row],[Conso HP + HC
Instantané]]/(Tableau1[[#This Row],[Diff jour
Instantané]]*24)</f>
        <v>0.77972709551763086</v>
      </c>
      <c r="AC444" s="80">
        <f>IF(ISERROR(Tableau1[[#This Row],[Date]]-A443),"",Tableau1[[#This Row],[Conso HP + HC
Instantané]]/Tableau1[[#This Row],[Diff jour
Instantané]])</f>
        <v>18.71345029242314</v>
      </c>
      <c r="AD444" s="80">
        <f>Tableau1[[#This Row],[Conso HP + HC / jour_x000D_
Instantané]]*365</f>
        <v>6830.4093567344462</v>
      </c>
      <c r="AE444" s="79">
        <f>Tableau1[[#This Row],[Différence HP
Cumul]]+Tableau1[[#This Row],[Différence HC
Cumul]]</f>
        <v>20791</v>
      </c>
      <c r="AF444" s="77">
        <f>(Tableau1[[#This Row],[Conso HP + HC
Cumul]]-AE$6)/Tableau1[[#This Row],[Diff jour_x000D_
Cumul
depuis le 24/01]]</f>
        <v>27.87649546314184</v>
      </c>
      <c r="AG444" s="77">
        <f>(Tableau1[[#This Row],[Conso HP + HC
Cumul]]-AE$59)/Tableau1[[#This Row],[Diff jour_x000D_
Cumul
depuis
précédente facture
16/02/2021]]</f>
        <v>26.326390478370385</v>
      </c>
      <c r="AH444" s="80">
        <f>Tableau1[[#This Row],[Conso HP + HC
Cumul]]/(Tableau1[[#This Row],[Diff jour_x000D_
Cumul]]*24)</f>
        <v>1.2524447300255031</v>
      </c>
      <c r="AI444" s="80">
        <f>Tableau1[[#This Row],[Conso HP + HC
Cumul]]/Tableau1[[#This Row],[Diff jour_x000D_
Cumul]]</f>
        <v>30.058673520612071</v>
      </c>
      <c r="AJ444" s="80">
        <f>Tableau1[[#This Row],[Conso HP + HC / jour_x000D_
Cumul]]*365</f>
        <v>10971.415835023407</v>
      </c>
      <c r="AK444" s="83">
        <f>(Tableau1[[#This Row],[Différence HP
Cumul]]*0.1799)+(Tableau1[[#This Row],[Différence HC
Cumul]]*0.1346)</f>
        <v>3459.1237999999998</v>
      </c>
      <c r="AL444" s="83">
        <f>Tableau1[[#This Row],[Montant
Tarif HP/HC]]/Tableau1[[#This Row],[Diff jour_x000D_
Cumul]]</f>
        <v>5.0010424208349287</v>
      </c>
      <c r="AM444" s="83">
        <f>(Tableau1[[#This Row],[Montant
Tarif HP/HC]]-AK$6)/Tableau1[[#This Row],[Diff jour_x000D_
Cumul
depuis le 24/01]]</f>
        <v>4.6430708344843419</v>
      </c>
      <c r="AN444" s="83">
        <f>(Tableau1[[#This Row],[Montant
Tarif HP/HC]]-AK$59)/Tableau1[[#This Row],[Diff jour_x000D_
Cumul
depuis
précédente facture
16/02/2021]]</f>
        <v>4.384816733278174</v>
      </c>
      <c r="AO444" s="83">
        <f>Tableau1[[#This Row],[Conso HP + HC
Cumul]]*0.1599</f>
        <v>3324.4808999999996</v>
      </c>
      <c r="AP444" s="83">
        <f>Tableau1[[#This Row],[Montant
Tarif normal]]/Tableau1[[#This Row],[Diff jour_x000D_
Cumul]]</f>
        <v>4.8063818959458695</v>
      </c>
      <c r="AQ444" s="83">
        <f>(Tableau1[[#This Row],[Conso HP / an
Cumul]]*0.1799)+(Tableau1[[#This Row],[Conso HC / an_x000D_
Cumul]]*0.1346)</f>
        <v>1825.3804836047489</v>
      </c>
      <c r="AR444" s="83">
        <f>Tableau1[[#This Row],[Conso HP + HC / an_x000D_
Cumul]]*0.1599</f>
        <v>1754.3293920202425</v>
      </c>
      <c r="AS444" s="79">
        <f>MONTH(Tableau1[[#This Row],[Date]])</f>
        <v>11</v>
      </c>
      <c r="AT444" s="79">
        <f>YEAR(Tableau1[[#This Row],[Date]])</f>
        <v>2022</v>
      </c>
    </row>
    <row r="445" spans="1:46" x14ac:dyDescent="0.2">
      <c r="A445" s="74">
        <v>44875.308333333334</v>
      </c>
      <c r="B445" s="75"/>
      <c r="C445" s="76">
        <f>IF(ISERROR(Tableau1[[#This Row],[Date]]-A444),"",Tableau1[[#This Row],[Date]]-A444)</f>
        <v>0.91944444444379769</v>
      </c>
      <c r="D445" s="77">
        <f>IF(ISERROR(Tableau1[[#This Row],[Date]]-A444),"",Tableau1[[#This Row],[Date]]-A444)</f>
        <v>0.91944444444379769</v>
      </c>
      <c r="E445" s="76">
        <f>Tableau1[[#This Row],[Date]]-$A$5</f>
        <v>692.59999999999854</v>
      </c>
      <c r="F445" s="77">
        <f>Tableau1[[#This Row],[Date]]-$A$5</f>
        <v>692.59999999999854</v>
      </c>
      <c r="G445" s="77">
        <f>Tableau1[[#This Row],[Diff jour_x000D_
Cumul]]-F$6</f>
        <v>654.51666666667006</v>
      </c>
      <c r="H445" s="77">
        <f>Tableau1[[#This Row],[Diff jour_x000D_
Cumul]]-F$59</f>
        <v>631.99722222222044</v>
      </c>
      <c r="I445" s="78">
        <v>194361</v>
      </c>
      <c r="J445" s="79">
        <f>IF(ISERROR(Tableau1[[#This Row],[Index HP
kWh]]-I444),"",Tableau1[[#This Row],[Index HP
kWh]]-I444)</f>
        <v>18</v>
      </c>
      <c r="K445" s="77">
        <f>IF(ISERROR(Tableau1[[#This Row],[Différence HP
Instantané]]/(Tableau1[[#This Row],[Diff jour
Instantané]]*24)),"",Tableau1[[#This Row],[Différence HP
Instantané]]/(Tableau1[[#This Row],[Diff jour
Instantané]]*24))</f>
        <v>0.81570996978909338</v>
      </c>
      <c r="L445" s="77">
        <f>Tableau1[[#This Row],[Différence HP
Instantané]]/Tableau1[[#This Row],[Diff jour
Instantané]]</f>
        <v>19.577039274938244</v>
      </c>
      <c r="M445" s="77">
        <f>Tableau1[[#This Row],[Conso HP / jour
Instantané]]*365</f>
        <v>7145.6193353524586</v>
      </c>
      <c r="N445" s="79">
        <f>Tableau1[[#This Row],[Index HP
kWh]]-$I$5</f>
        <v>14602</v>
      </c>
      <c r="O445" s="80">
        <f>Tableau1[[#This Row],[Différence HP
Cumul]]/(Tableau1[[#This Row],[Diff jour_x000D_
Cumul]]*24)</f>
        <v>0.87845317162383474</v>
      </c>
      <c r="P445" s="80">
        <f>Tableau1[[#This Row],[Différence HP
Cumul]]/Tableau1[[#This Row],[Diff jour_x000D_
Cumul]]</f>
        <v>21.082876118972035</v>
      </c>
      <c r="Q445" s="80">
        <f>Tableau1[[#This Row],[Conso HP / jour
Cumul]]*365</f>
        <v>7695.2497834247924</v>
      </c>
      <c r="R445" s="78">
        <v>125644</v>
      </c>
      <c r="S445" s="79">
        <f>Tableau1[[#This Row],[Index HC_x000D_
kWh]]-R444</f>
        <v>5</v>
      </c>
      <c r="T445" s="81">
        <f>Tableau1[[#This Row],[Différence_x000D_ HC
Instantané]]/(Tableau1[[#This Row],[Diff jour
Instantané]]*24)</f>
        <v>0.22658610271919261</v>
      </c>
      <c r="U445" s="81">
        <f>Tableau1[[#This Row],[Différence_x000D_ HC
Instantané]]/Tableau1[[#This Row],[Diff jour
Instantané]]</f>
        <v>5.438066465260623</v>
      </c>
      <c r="V445" s="81">
        <f>Tableau1[[#This Row],[Conso HC / jour_x000D_
Instantané]]*365</f>
        <v>1984.8942598201274</v>
      </c>
      <c r="W445" s="79">
        <f>Tableau1[[#This Row],[Index HC_x000D_
kWh]]-$R$5</f>
        <v>6212</v>
      </c>
      <c r="X445" s="82">
        <f>Tableau1[[#This Row],[Différence HC
Cumul]]/(Tableau1[[#This Row],[Diff jour_x000D_
Cumul]]*24)</f>
        <v>0.37371258061411189</v>
      </c>
      <c r="Y445" s="82">
        <f>Tableau1[[#This Row],[Différence HC
Cumul]]/Tableau1[[#This Row],[Diff jour_x000D_
Cumul]]</f>
        <v>8.9691019347386849</v>
      </c>
      <c r="Z445" s="82">
        <f>Tableau1[[#This Row],[Conso HC / jour_x000D_
Cumul]]*365</f>
        <v>3273.7222061796201</v>
      </c>
      <c r="AA445" s="79">
        <f>Tableau1[[#This Row],[Différence HP
Instantané]]+Tableau1[[#This Row],[Différence_x000D_ HC
Instantané]]</f>
        <v>23</v>
      </c>
      <c r="AB445" s="80">
        <f>Tableau1[[#This Row],[Conso HP + HC
Instantané]]/(Tableau1[[#This Row],[Diff jour
Instantané]]*24)</f>
        <v>1.0422960725082859</v>
      </c>
      <c r="AC445" s="80">
        <f>IF(ISERROR(Tableau1[[#This Row],[Date]]-A444),"",Tableau1[[#This Row],[Conso HP + HC
Instantané]]/Tableau1[[#This Row],[Diff jour
Instantané]])</f>
        <v>25.015105740198866</v>
      </c>
      <c r="AD445" s="80">
        <f>Tableau1[[#This Row],[Conso HP + HC / jour_x000D_
Instantané]]*365</f>
        <v>9130.5135951725861</v>
      </c>
      <c r="AE445" s="79">
        <f>Tableau1[[#This Row],[Différence HP
Cumul]]+Tableau1[[#This Row],[Différence HC
Cumul]]</f>
        <v>20814</v>
      </c>
      <c r="AF445" s="77">
        <f>(Tableau1[[#This Row],[Conso HP + HC
Cumul]]-AE$6)/Tableau1[[#This Row],[Diff jour_x000D_
Cumul
depuis le 24/01]]</f>
        <v>27.872475872781298</v>
      </c>
      <c r="AG445" s="77">
        <f>(Tableau1[[#This Row],[Conso HP + HC
Cumul]]-AE$59)/Tableau1[[#This Row],[Diff jour_x000D_
Cumul
depuis
précédente facture
16/02/2021]]</f>
        <v>26.324482790448343</v>
      </c>
      <c r="AH445" s="80">
        <f>Tableau1[[#This Row],[Conso HP + HC
Cumul]]/(Tableau1[[#This Row],[Diff jour_x000D_
Cumul]]*24)</f>
        <v>1.2521657522379466</v>
      </c>
      <c r="AI445" s="80">
        <f>Tableau1[[#This Row],[Conso HP + HC
Cumul]]/Tableau1[[#This Row],[Diff jour_x000D_
Cumul]]</f>
        <v>30.05197805371072</v>
      </c>
      <c r="AJ445" s="80">
        <f>Tableau1[[#This Row],[Conso HP + HC / jour_x000D_
Cumul]]*365</f>
        <v>10968.971989604413</v>
      </c>
      <c r="AK445" s="83">
        <f>(Tableau1[[#This Row],[Différence HP
Cumul]]*0.1799)+(Tableau1[[#This Row],[Différence HC
Cumul]]*0.1346)</f>
        <v>3463.0349999999999</v>
      </c>
      <c r="AL445" s="83">
        <f>Tableau1[[#This Row],[Montant
Tarif HP/HC]]/Tableau1[[#This Row],[Diff jour_x000D_
Cumul]]</f>
        <v>5.0000505342188957</v>
      </c>
      <c r="AM445" s="83">
        <f>(Tableau1[[#This Row],[Montant
Tarif HP/HC]]-AK$6)/Tableau1[[#This Row],[Diff jour_x000D_
Cumul
depuis le 24/01]]</f>
        <v>4.642524101754451</v>
      </c>
      <c r="AN445" s="83">
        <f>(Tableau1[[#This Row],[Montant
Tarif HP/HC]]-AK$59)/Tableau1[[#This Row],[Diff jour_x000D_
Cumul
depuis
précédente facture
16/02/2021]]</f>
        <v>4.3846262334134849</v>
      </c>
      <c r="AO445" s="83">
        <f>Tableau1[[#This Row],[Conso HP + HC
Cumul]]*0.1599</f>
        <v>3328.1585999999998</v>
      </c>
      <c r="AP445" s="83">
        <f>Tableau1[[#This Row],[Montant
Tarif normal]]/Tableau1[[#This Row],[Diff jour_x000D_
Cumul]]</f>
        <v>4.8053112907883433</v>
      </c>
      <c r="AQ445" s="83">
        <f>(Tableau1[[#This Row],[Conso HP / an
Cumul]]*0.1799)+(Tableau1[[#This Row],[Conso HC / an_x000D_
Cumul]]*0.1346)</f>
        <v>1825.018444989897</v>
      </c>
      <c r="AR445" s="83">
        <f>Tableau1[[#This Row],[Conso HP + HC / an_x000D_
Cumul]]*0.1599</f>
        <v>1753.9386211377455</v>
      </c>
      <c r="AS445" s="79">
        <f>MONTH(Tableau1[[#This Row],[Date]])</f>
        <v>11</v>
      </c>
      <c r="AT445" s="79">
        <f>YEAR(Tableau1[[#This Row],[Date]])</f>
        <v>2022</v>
      </c>
    </row>
    <row r="446" spans="1:46" x14ac:dyDescent="0.2">
      <c r="A446" s="74">
        <v>44876.362500000003</v>
      </c>
      <c r="B446" s="75"/>
      <c r="C446" s="76">
        <f>IF(ISERROR(Tableau1[[#This Row],[Date]]-A445),"",Tableau1[[#This Row],[Date]]-A445)</f>
        <v>1.0541666666686069</v>
      </c>
      <c r="D446" s="77">
        <f>IF(ISERROR(Tableau1[[#This Row],[Date]]-A445),"",Tableau1[[#This Row],[Date]]-A445)</f>
        <v>1.0541666666686069</v>
      </c>
      <c r="E446" s="76">
        <f>Tableau1[[#This Row],[Date]]-$A$5</f>
        <v>693.65416666666715</v>
      </c>
      <c r="F446" s="77">
        <f>Tableau1[[#This Row],[Date]]-$A$5</f>
        <v>693.65416666666715</v>
      </c>
      <c r="G446" s="77">
        <f>Tableau1[[#This Row],[Diff jour_x000D_
Cumul]]-F$6</f>
        <v>655.57083333333867</v>
      </c>
      <c r="H446" s="77">
        <f>Tableau1[[#This Row],[Diff jour_x000D_
Cumul]]-F$59</f>
        <v>633.05138888888905</v>
      </c>
      <c r="I446" s="78">
        <v>194388</v>
      </c>
      <c r="J446" s="79">
        <f>IF(ISERROR(Tableau1[[#This Row],[Index HP
kWh]]-I445),"",Tableau1[[#This Row],[Index HP
kWh]]-I445)</f>
        <v>27</v>
      </c>
      <c r="K446" s="77">
        <f>IF(ISERROR(Tableau1[[#This Row],[Différence HP
Instantané]]/(Tableau1[[#This Row],[Diff jour
Instantané]]*24)),"",Tableau1[[#This Row],[Différence HP
Instantané]]/(Tableau1[[#This Row],[Diff jour
Instantané]]*24))</f>
        <v>1.0671936758873639</v>
      </c>
      <c r="L446" s="77">
        <f>Tableau1[[#This Row],[Différence HP
Instantané]]/Tableau1[[#This Row],[Diff jour
Instantané]]</f>
        <v>25.61264822129673</v>
      </c>
      <c r="M446" s="77">
        <f>Tableau1[[#This Row],[Conso HP / jour
Instantané]]*365</f>
        <v>9348.6166007733063</v>
      </c>
      <c r="N446" s="79">
        <f>Tableau1[[#This Row],[Index HP
kWh]]-$I$5</f>
        <v>14629</v>
      </c>
      <c r="O446" s="80">
        <f>Tableau1[[#This Row],[Différence HP
Cumul]]/(Tableau1[[#This Row],[Diff jour_x000D_
Cumul]]*24)</f>
        <v>0.8787400061269719</v>
      </c>
      <c r="P446" s="80">
        <f>Tableau1[[#This Row],[Différence HP
Cumul]]/Tableau1[[#This Row],[Diff jour_x000D_
Cumul]]</f>
        <v>21.089760147047325</v>
      </c>
      <c r="Q446" s="80">
        <f>Tableau1[[#This Row],[Conso HP / jour
Cumul]]*365</f>
        <v>7697.7624536722742</v>
      </c>
      <c r="R446" s="78">
        <v>125657</v>
      </c>
      <c r="S446" s="79">
        <f>Tableau1[[#This Row],[Index HC_x000D_
kWh]]-R445</f>
        <v>13</v>
      </c>
      <c r="T446" s="81">
        <f>Tableau1[[#This Row],[Différence_x000D_ HC
Instantané]]/(Tableau1[[#This Row],[Diff jour
Instantané]]*24)</f>
        <v>0.51383399209391589</v>
      </c>
      <c r="U446" s="81">
        <f>Tableau1[[#This Row],[Différence_x000D_ HC
Instantané]]/Tableau1[[#This Row],[Diff jour
Instantané]]</f>
        <v>12.332015810253981</v>
      </c>
      <c r="V446" s="81">
        <f>Tableau1[[#This Row],[Conso HC / jour_x000D_
Instantané]]*365</f>
        <v>4501.1857707427034</v>
      </c>
      <c r="W446" s="79">
        <f>Tableau1[[#This Row],[Index HC_x000D_
kWh]]-$R$5</f>
        <v>6225</v>
      </c>
      <c r="X446" s="82">
        <f>Tableau1[[#This Row],[Différence HC
Cumul]]/(Tableau1[[#This Row],[Diff jour_x000D_
Cumul]]*24)</f>
        <v>0.37392552725001027</v>
      </c>
      <c r="Y446" s="82">
        <f>Tableau1[[#This Row],[Différence HC
Cumul]]/Tableau1[[#This Row],[Diff jour_x000D_
Cumul]]</f>
        <v>8.9742126540002456</v>
      </c>
      <c r="Z446" s="82">
        <f>Tableau1[[#This Row],[Conso HC / jour_x000D_
Cumul]]*365</f>
        <v>3275.5876187100898</v>
      </c>
      <c r="AA446" s="79">
        <f>Tableau1[[#This Row],[Différence HP
Instantané]]+Tableau1[[#This Row],[Différence_x000D_ HC
Instantané]]</f>
        <v>40</v>
      </c>
      <c r="AB446" s="80">
        <f>Tableau1[[#This Row],[Conso HP + HC
Instantané]]/(Tableau1[[#This Row],[Diff jour
Instantané]]*24)</f>
        <v>1.5810276679812798</v>
      </c>
      <c r="AC446" s="80">
        <f>IF(ISERROR(Tableau1[[#This Row],[Date]]-A445),"",Tableau1[[#This Row],[Conso HP + HC
Instantané]]/Tableau1[[#This Row],[Diff jour
Instantané]])</f>
        <v>37.944664031550715</v>
      </c>
      <c r="AD446" s="80">
        <f>Tableau1[[#This Row],[Conso HP + HC / jour_x000D_
Instantané]]*365</f>
        <v>13849.802371516011</v>
      </c>
      <c r="AE446" s="79">
        <f>Tableau1[[#This Row],[Différence HP
Cumul]]+Tableau1[[#This Row],[Différence HC
Cumul]]</f>
        <v>20854</v>
      </c>
      <c r="AF446" s="77">
        <f>(Tableau1[[#This Row],[Conso HP + HC
Cumul]]-AE$6)/Tableau1[[#This Row],[Diff jour_x000D_
Cumul
depuis le 24/01]]</f>
        <v>27.888672086031665</v>
      </c>
      <c r="AG446" s="77">
        <f>(Tableau1[[#This Row],[Conso HP + HC
Cumul]]-AE$59)/Tableau1[[#This Row],[Diff jour_x000D_
Cumul
depuis
précédente facture
16/02/2021]]</f>
        <v>26.343832890519238</v>
      </c>
      <c r="AH446" s="80">
        <f>Tableau1[[#This Row],[Conso HP + HC
Cumul]]/(Tableau1[[#This Row],[Diff jour_x000D_
Cumul]]*24)</f>
        <v>1.2526655333769821</v>
      </c>
      <c r="AI446" s="80">
        <f>Tableau1[[#This Row],[Conso HP + HC
Cumul]]/Tableau1[[#This Row],[Diff jour_x000D_
Cumul]]</f>
        <v>30.063972801047573</v>
      </c>
      <c r="AJ446" s="80">
        <f>Tableau1[[#This Row],[Conso HP + HC / jour_x000D_
Cumul]]*365</f>
        <v>10973.350072382364</v>
      </c>
      <c r="AK446" s="83">
        <f>(Tableau1[[#This Row],[Différence HP
Cumul]]*0.1799)+(Tableau1[[#This Row],[Différence HC
Cumul]]*0.1346)</f>
        <v>3469.6421</v>
      </c>
      <c r="AL446" s="83">
        <f>Tableau1[[#This Row],[Montant
Tarif HP/HC]]/Tableau1[[#This Row],[Diff jour_x000D_
Cumul]]</f>
        <v>5.0019768736822465</v>
      </c>
      <c r="AM446" s="83">
        <f>(Tableau1[[#This Row],[Montant
Tarif HP/HC]]-AK$6)/Tableau1[[#This Row],[Diff jour_x000D_
Cumul
depuis le 24/01]]</f>
        <v>4.6451372531571975</v>
      </c>
      <c r="AN446" s="83">
        <f>(Tableau1[[#This Row],[Montant
Tarif HP/HC]]-AK$59)/Tableau1[[#This Row],[Diff jour_x000D_
Cumul
depuis
précédente facture
16/02/2021]]</f>
        <v>4.3877617974668537</v>
      </c>
      <c r="AO446" s="83">
        <f>Tableau1[[#This Row],[Conso HP + HC
Cumul]]*0.1599</f>
        <v>3334.5545999999999</v>
      </c>
      <c r="AP446" s="83">
        <f>Tableau1[[#This Row],[Montant
Tarif normal]]/Tableau1[[#This Row],[Diff jour_x000D_
Cumul]]</f>
        <v>4.8072292508875067</v>
      </c>
      <c r="AQ446" s="83">
        <f>(Tableau1[[#This Row],[Conso HP / an
Cumul]]*0.1799)+(Tableau1[[#This Row],[Conso HC / an_x000D_
Cumul]]*0.1346)</f>
        <v>1825.7215588940203</v>
      </c>
      <c r="AR446" s="83">
        <f>Tableau1[[#This Row],[Conso HP + HC / an_x000D_
Cumul]]*0.1599</f>
        <v>1754.6386765739398</v>
      </c>
      <c r="AS446" s="79">
        <f>MONTH(Tableau1[[#This Row],[Date]])</f>
        <v>11</v>
      </c>
      <c r="AT446" s="79">
        <f>YEAR(Tableau1[[#This Row],[Date]])</f>
        <v>2022</v>
      </c>
    </row>
    <row r="447" spans="1:46" x14ac:dyDescent="0.2">
      <c r="A447" s="74">
        <v>44877.359722222223</v>
      </c>
      <c r="B447" s="75"/>
      <c r="C447" s="76">
        <f>IF(ISERROR(Tableau1[[#This Row],[Date]]-A446),"",Tableau1[[#This Row],[Date]]-A446)</f>
        <v>0.99722222222044365</v>
      </c>
      <c r="D447" s="77">
        <f>IF(ISERROR(Tableau1[[#This Row],[Date]]-A446),"",Tableau1[[#This Row],[Date]]-A446)</f>
        <v>0.99722222222044365</v>
      </c>
      <c r="E447" s="76">
        <f>Tableau1[[#This Row],[Date]]-$A$5</f>
        <v>694.6513888888876</v>
      </c>
      <c r="F447" s="77">
        <f>Tableau1[[#This Row],[Date]]-$A$5</f>
        <v>694.6513888888876</v>
      </c>
      <c r="G447" s="77">
        <f>Tableau1[[#This Row],[Diff jour_x000D_
Cumul]]-F$6</f>
        <v>656.56805555555911</v>
      </c>
      <c r="H447" s="77">
        <f>Tableau1[[#This Row],[Diff jour_x000D_
Cumul]]-F$59</f>
        <v>634.04861111110949</v>
      </c>
      <c r="I447" s="78">
        <v>194410</v>
      </c>
      <c r="J447" s="79">
        <f>IF(ISERROR(Tableau1[[#This Row],[Index HP
kWh]]-I446),"",Tableau1[[#This Row],[Index HP
kWh]]-I446)</f>
        <v>22</v>
      </c>
      <c r="K447" s="77">
        <f>IF(ISERROR(Tableau1[[#This Row],[Différence HP
Instantané]]/(Tableau1[[#This Row],[Diff jour
Instantané]]*24)),"",Tableau1[[#This Row],[Différence HP
Instantané]]/(Tableau1[[#This Row],[Diff jour
Instantané]]*24))</f>
        <v>0.91922005571194587</v>
      </c>
      <c r="L447" s="77">
        <f>Tableau1[[#This Row],[Différence HP
Instantané]]/Tableau1[[#This Row],[Diff jour
Instantané]]</f>
        <v>22.061281337086701</v>
      </c>
      <c r="M447" s="77">
        <f>Tableau1[[#This Row],[Conso HP / jour
Instantané]]*365</f>
        <v>8052.3676880366456</v>
      </c>
      <c r="N447" s="79">
        <f>Tableau1[[#This Row],[Index HP
kWh]]-$I$5</f>
        <v>14651</v>
      </c>
      <c r="O447" s="80">
        <f>Tableau1[[#This Row],[Différence HP
Cumul]]/(Tableau1[[#This Row],[Diff jour_x000D_
Cumul]]*24)</f>
        <v>0.87879811816078968</v>
      </c>
      <c r="P447" s="80">
        <f>Tableau1[[#This Row],[Différence HP
Cumul]]/Tableau1[[#This Row],[Diff jour_x000D_
Cumul]]</f>
        <v>21.091154835858955</v>
      </c>
      <c r="Q447" s="80">
        <f>Tableau1[[#This Row],[Conso HP / jour
Cumul]]*365</f>
        <v>7698.2715150885188</v>
      </c>
      <c r="R447" s="78">
        <v>125662</v>
      </c>
      <c r="S447" s="79">
        <f>Tableau1[[#This Row],[Index HC_x000D_
kWh]]-R446</f>
        <v>5</v>
      </c>
      <c r="T447" s="81">
        <f>Tableau1[[#This Row],[Différence_x000D_ HC
Instantané]]/(Tableau1[[#This Row],[Diff jour
Instantané]]*24)</f>
        <v>0.20891364902544224</v>
      </c>
      <c r="U447" s="81">
        <f>Tableau1[[#This Row],[Différence_x000D_ HC
Instantané]]/Tableau1[[#This Row],[Diff jour
Instantané]]</f>
        <v>5.0139275766106142</v>
      </c>
      <c r="V447" s="81">
        <f>Tableau1[[#This Row],[Conso HC / jour_x000D_
Instantané]]*365</f>
        <v>1830.0835654628743</v>
      </c>
      <c r="W447" s="79">
        <f>Tableau1[[#This Row],[Index HC_x000D_
kWh]]-$R$5</f>
        <v>6230</v>
      </c>
      <c r="X447" s="82">
        <f>Tableau1[[#This Row],[Différence HC
Cumul]]/(Tableau1[[#This Row],[Diff jour_x000D_
Cumul]]*24)</f>
        <v>0.37368864078504677</v>
      </c>
      <c r="Y447" s="82">
        <f>Tableau1[[#This Row],[Différence HC
Cumul]]/Tableau1[[#This Row],[Diff jour_x000D_
Cumul]]</f>
        <v>8.9685273788411219</v>
      </c>
      <c r="Z447" s="82">
        <f>Tableau1[[#This Row],[Conso HC / jour_x000D_
Cumul]]*365</f>
        <v>3273.5124932770095</v>
      </c>
      <c r="AA447" s="79">
        <f>Tableau1[[#This Row],[Différence HP
Instantané]]+Tableau1[[#This Row],[Différence_x000D_ HC
Instantané]]</f>
        <v>27</v>
      </c>
      <c r="AB447" s="80">
        <f>Tableau1[[#This Row],[Conso HP + HC
Instantané]]/(Tableau1[[#This Row],[Diff jour
Instantané]]*24)</f>
        <v>1.1281337047373881</v>
      </c>
      <c r="AC447" s="80">
        <f>IF(ISERROR(Tableau1[[#This Row],[Date]]-A446),"",Tableau1[[#This Row],[Conso HP + HC
Instantané]]/Tableau1[[#This Row],[Diff jour
Instantané]])</f>
        <v>27.075208913697313</v>
      </c>
      <c r="AD447" s="80">
        <f>Tableau1[[#This Row],[Conso HP + HC / jour_x000D_
Instantané]]*365</f>
        <v>9882.4512534995192</v>
      </c>
      <c r="AE447" s="79">
        <f>Tableau1[[#This Row],[Différence HP
Cumul]]+Tableau1[[#This Row],[Différence HC
Cumul]]</f>
        <v>20881</v>
      </c>
      <c r="AF447" s="77">
        <f>(Tableau1[[#This Row],[Conso HP + HC
Cumul]]-AE$6)/Tableau1[[#This Row],[Diff jour_x000D_
Cumul
depuis le 24/01]]</f>
        <v>27.887436565135477</v>
      </c>
      <c r="AG447" s="77">
        <f>(Tableau1[[#This Row],[Conso HP + HC
Cumul]]-AE$59)/Tableau1[[#This Row],[Diff jour_x000D_
Cumul
depuis
précédente facture
16/02/2021]]</f>
        <v>26.344983187847127</v>
      </c>
      <c r="AH447" s="80">
        <f>Tableau1[[#This Row],[Conso HP + HC
Cumul]]/(Tableau1[[#This Row],[Diff jour_x000D_
Cumul]]*24)</f>
        <v>1.2524867589458364</v>
      </c>
      <c r="AI447" s="80">
        <f>Tableau1[[#This Row],[Conso HP + HC
Cumul]]/Tableau1[[#This Row],[Diff jour_x000D_
Cumul]]</f>
        <v>30.059682214700075</v>
      </c>
      <c r="AJ447" s="80">
        <f>Tableau1[[#This Row],[Conso HP + HC / jour_x000D_
Cumul]]*365</f>
        <v>10971.784008365528</v>
      </c>
      <c r="AK447" s="83">
        <f>(Tableau1[[#This Row],[Différence HP
Cumul]]*0.1799)+(Tableau1[[#This Row],[Différence HC
Cumul]]*0.1346)</f>
        <v>3474.2728999999999</v>
      </c>
      <c r="AL447" s="83">
        <f>Tableau1[[#This Row],[Montant
Tarif HP/HC]]/Tableau1[[#This Row],[Diff jour_x000D_
Cumul]]</f>
        <v>5.0014625401630406</v>
      </c>
      <c r="AM447" s="83">
        <f>(Tableau1[[#This Row],[Montant
Tarif HP/HC]]-AK$6)/Tableau1[[#This Row],[Diff jour_x000D_
Cumul
depuis le 24/01]]</f>
        <v>4.6451350689295303</v>
      </c>
      <c r="AN447" s="83">
        <f>(Tableau1[[#This Row],[Montant
Tarif HP/HC]]-AK$59)/Tableau1[[#This Row],[Diff jour_x000D_
Cumul
depuis
précédente facture
16/02/2021]]</f>
        <v>4.3881643319496728</v>
      </c>
      <c r="AO447" s="83">
        <f>Tableau1[[#This Row],[Conso HP + HC
Cumul]]*0.1599</f>
        <v>3338.8718999999996</v>
      </c>
      <c r="AP447" s="83">
        <f>Tableau1[[#This Row],[Montant
Tarif normal]]/Tableau1[[#This Row],[Diff jour_x000D_
Cumul]]</f>
        <v>4.8065431861305417</v>
      </c>
      <c r="AQ447" s="83">
        <f>(Tableau1[[#This Row],[Conso HP / an
Cumul]]*0.1799)+(Tableau1[[#This Row],[Conso HC / an_x000D_
Cumul]]*0.1346)</f>
        <v>1825.5338271595101</v>
      </c>
      <c r="AR447" s="83">
        <f>Tableau1[[#This Row],[Conso HP + HC / an_x000D_
Cumul]]*0.1599</f>
        <v>1754.3882629376478</v>
      </c>
      <c r="AS447" s="79">
        <f>MONTH(Tableau1[[#This Row],[Date]])</f>
        <v>11</v>
      </c>
      <c r="AT447" s="79">
        <f>YEAR(Tableau1[[#This Row],[Date]])</f>
        <v>2022</v>
      </c>
    </row>
    <row r="448" spans="1:46" x14ac:dyDescent="0.2">
      <c r="A448" s="74">
        <v>44878.379166666666</v>
      </c>
      <c r="B448" s="75"/>
      <c r="C448" s="76">
        <f>IF(ISERROR(Tableau1[[#This Row],[Date]]-A447),"",Tableau1[[#This Row],[Date]]-A447)</f>
        <v>1.0194444444423425</v>
      </c>
      <c r="D448" s="77">
        <f>IF(ISERROR(Tableau1[[#This Row],[Date]]-A447),"",Tableau1[[#This Row],[Date]]-A447)</f>
        <v>1.0194444444423425</v>
      </c>
      <c r="E448" s="76">
        <f>Tableau1[[#This Row],[Date]]-$A$5</f>
        <v>695.67083333332994</v>
      </c>
      <c r="F448" s="77">
        <f>Tableau1[[#This Row],[Date]]-$A$5</f>
        <v>695.67083333332994</v>
      </c>
      <c r="G448" s="77">
        <f>Tableau1[[#This Row],[Diff jour_x000D_
Cumul]]-F$6</f>
        <v>657.58750000000146</v>
      </c>
      <c r="H448" s="77">
        <f>Tableau1[[#This Row],[Diff jour_x000D_
Cumul]]-F$59</f>
        <v>635.06805555555184</v>
      </c>
      <c r="I448" s="78">
        <v>194427</v>
      </c>
      <c r="J448" s="79">
        <f>IF(ISERROR(Tableau1[[#This Row],[Index HP
kWh]]-I447),"",Tableau1[[#This Row],[Index HP
kWh]]-I447)</f>
        <v>17</v>
      </c>
      <c r="K448" s="77">
        <f>IF(ISERROR(Tableau1[[#This Row],[Différence HP
Instantané]]/(Tableau1[[#This Row],[Diff jour
Instantané]]*24)),"",Tableau1[[#This Row],[Différence HP
Instantané]]/(Tableau1[[#This Row],[Diff jour
Instantané]]*24))</f>
        <v>0.69482288828481131</v>
      </c>
      <c r="L448" s="77">
        <f>Tableau1[[#This Row],[Différence HP
Instantané]]/Tableau1[[#This Row],[Diff jour
Instantané]]</f>
        <v>16.675749318835472</v>
      </c>
      <c r="M448" s="77">
        <f>Tableau1[[#This Row],[Conso HP / jour
Instantané]]*365</f>
        <v>6086.648501374947</v>
      </c>
      <c r="N448" s="79">
        <f>Tableau1[[#This Row],[Index HP
kWh]]-$I$5</f>
        <v>14668</v>
      </c>
      <c r="O448" s="80">
        <f>Tableau1[[#This Row],[Différence HP
Cumul]]/(Tableau1[[#This Row],[Diff jour_x000D_
Cumul]]*24)</f>
        <v>0.87852851863609294</v>
      </c>
      <c r="P448" s="80">
        <f>Tableau1[[#This Row],[Différence HP
Cumul]]/Tableau1[[#This Row],[Diff jour_x000D_
Cumul]]</f>
        <v>21.08468444726623</v>
      </c>
      <c r="Q448" s="80">
        <f>Tableau1[[#This Row],[Conso HP / jour
Cumul]]*365</f>
        <v>7695.9098232521737</v>
      </c>
      <c r="R448" s="78">
        <v>125665</v>
      </c>
      <c r="S448" s="79">
        <f>Tableau1[[#This Row],[Index HC_x000D_
kWh]]-R447</f>
        <v>3</v>
      </c>
      <c r="T448" s="81">
        <f>Tableau1[[#This Row],[Différence_x000D_ HC
Instantané]]/(Tableau1[[#This Row],[Diff jour
Instantané]]*24)</f>
        <v>0.12261580381496671</v>
      </c>
      <c r="U448" s="81">
        <f>Tableau1[[#This Row],[Différence_x000D_ HC
Instantané]]/Tableau1[[#This Row],[Diff jour
Instantané]]</f>
        <v>2.942779291559201</v>
      </c>
      <c r="V448" s="81">
        <f>Tableau1[[#This Row],[Conso HC / jour_x000D_
Instantané]]*365</f>
        <v>1074.1144414191083</v>
      </c>
      <c r="W448" s="79">
        <f>Tableau1[[#This Row],[Index HC_x000D_
kWh]]-$R$5</f>
        <v>6233</v>
      </c>
      <c r="X448" s="82">
        <f>Tableau1[[#This Row],[Différence HC
Cumul]]/(Tableau1[[#This Row],[Diff jour_x000D_
Cumul]]*24)</f>
        <v>0.3733207156162236</v>
      </c>
      <c r="Y448" s="82">
        <f>Tableau1[[#This Row],[Différence HC
Cumul]]/Tableau1[[#This Row],[Diff jour_x000D_
Cumul]]</f>
        <v>8.9596971747893654</v>
      </c>
      <c r="Z448" s="82">
        <f>Tableau1[[#This Row],[Conso HC / jour_x000D_
Cumul]]*365</f>
        <v>3270.2894687981184</v>
      </c>
      <c r="AA448" s="79">
        <f>Tableau1[[#This Row],[Différence HP
Instantané]]+Tableau1[[#This Row],[Différence_x000D_ HC
Instantané]]</f>
        <v>20</v>
      </c>
      <c r="AB448" s="80">
        <f>Tableau1[[#This Row],[Conso HP + HC
Instantané]]/(Tableau1[[#This Row],[Diff jour
Instantané]]*24)</f>
        <v>0.81743869209977804</v>
      </c>
      <c r="AC448" s="80">
        <f>IF(ISERROR(Tableau1[[#This Row],[Date]]-A447),"",Tableau1[[#This Row],[Conso HP + HC
Instantané]]/Tableau1[[#This Row],[Diff jour
Instantané]])</f>
        <v>19.618528610394673</v>
      </c>
      <c r="AD448" s="80">
        <f>Tableau1[[#This Row],[Conso HP + HC / jour_x000D_
Instantané]]*365</f>
        <v>7160.7629427940556</v>
      </c>
      <c r="AE448" s="79">
        <f>Tableau1[[#This Row],[Différence HP
Cumul]]+Tableau1[[#This Row],[Différence HC
Cumul]]</f>
        <v>20901</v>
      </c>
      <c r="AF448" s="77">
        <f>(Tableau1[[#This Row],[Conso HP + HC
Cumul]]-AE$6)/Tableau1[[#This Row],[Diff jour_x000D_
Cumul
depuis le 24/01]]</f>
        <v>27.874617446347383</v>
      </c>
      <c r="AG448" s="77">
        <f>(Tableau1[[#This Row],[Conso HP + HC
Cumul]]-AE$59)/Tableau1[[#This Row],[Diff jour_x000D_
Cumul
depuis
précédente facture
16/02/2021]]</f>
        <v>26.334185531297106</v>
      </c>
      <c r="AH448" s="80">
        <f>Tableau1[[#This Row],[Conso HP + HC
Cumul]]/(Tableau1[[#This Row],[Diff jour_x000D_
Cumul]]*24)</f>
        <v>1.2518492342523164</v>
      </c>
      <c r="AI448" s="80">
        <f>Tableau1[[#This Row],[Conso HP + HC
Cumul]]/Tableau1[[#This Row],[Diff jour_x000D_
Cumul]]</f>
        <v>30.044381622055596</v>
      </c>
      <c r="AJ448" s="80">
        <f>Tableau1[[#This Row],[Conso HP + HC / jour_x000D_
Cumul]]*365</f>
        <v>10966.199292050293</v>
      </c>
      <c r="AK448" s="83">
        <f>(Tableau1[[#This Row],[Différence HP
Cumul]]*0.1799)+(Tableau1[[#This Row],[Différence HC
Cumul]]*0.1346)</f>
        <v>3477.7350000000001</v>
      </c>
      <c r="AL448" s="83">
        <f>Tableau1[[#This Row],[Montant
Tarif HP/HC]]/Tableau1[[#This Row],[Diff jour_x000D_
Cumul]]</f>
        <v>4.999109971789844</v>
      </c>
      <c r="AM448" s="83">
        <f>(Tableau1[[#This Row],[Montant
Tarif HP/HC]]-AK$6)/Tableau1[[#This Row],[Diff jour_x000D_
Cumul
depuis le 24/01]]</f>
        <v>4.6431986617750391</v>
      </c>
      <c r="AN448" s="83">
        <f>(Tableau1[[#This Row],[Montant
Tarif HP/HC]]-AK$59)/Tableau1[[#This Row],[Diff jour_x000D_
Cumul
depuis
précédente facture
16/02/2021]]</f>
        <v>4.3865717628688348</v>
      </c>
      <c r="AO448" s="83">
        <f>Tableau1[[#This Row],[Conso HP + HC
Cumul]]*0.1599</f>
        <v>3342.0698999999995</v>
      </c>
      <c r="AP448" s="83">
        <f>Tableau1[[#This Row],[Montant
Tarif normal]]/Tableau1[[#This Row],[Diff jour_x000D_
Cumul]]</f>
        <v>4.8040966213666891</v>
      </c>
      <c r="AQ448" s="83">
        <f>(Tableau1[[#This Row],[Conso HP / an
Cumul]]*0.1799)+(Tableau1[[#This Row],[Conso HC / an_x000D_
Cumul]]*0.1346)</f>
        <v>1824.6751397032929</v>
      </c>
      <c r="AR448" s="83">
        <f>Tableau1[[#This Row],[Conso HP + HC / an_x000D_
Cumul]]*0.1599</f>
        <v>1753.4952667988416</v>
      </c>
      <c r="AS448" s="79">
        <f>MONTH(Tableau1[[#This Row],[Date]])</f>
        <v>11</v>
      </c>
      <c r="AT448" s="79">
        <f>YEAR(Tableau1[[#This Row],[Date]])</f>
        <v>2022</v>
      </c>
    </row>
    <row r="449" spans="1:46" x14ac:dyDescent="0.2">
      <c r="A449" s="74">
        <v>44879.319444444445</v>
      </c>
      <c r="B449" s="75"/>
      <c r="C449" s="76">
        <f>IF(ISERROR(Tableau1[[#This Row],[Date]]-A448),"",Tableau1[[#This Row],[Date]]-A448)</f>
        <v>0.94027777777955635</v>
      </c>
      <c r="D449" s="77">
        <f>IF(ISERROR(Tableau1[[#This Row],[Date]]-A448),"",Tableau1[[#This Row],[Date]]-A448)</f>
        <v>0.94027777777955635</v>
      </c>
      <c r="E449" s="76">
        <f>Tableau1[[#This Row],[Date]]-$A$5</f>
        <v>696.61111111110949</v>
      </c>
      <c r="F449" s="77">
        <f>Tableau1[[#This Row],[Date]]-$A$5</f>
        <v>696.61111111110949</v>
      </c>
      <c r="G449" s="77">
        <f>Tableau1[[#This Row],[Diff jour_x000D_
Cumul]]-F$6</f>
        <v>658.52777777778101</v>
      </c>
      <c r="H449" s="77">
        <f>Tableau1[[#This Row],[Diff jour_x000D_
Cumul]]-F$59</f>
        <v>636.00833333333139</v>
      </c>
      <c r="I449" s="78">
        <v>194440</v>
      </c>
      <c r="J449" s="79">
        <f>IF(ISERROR(Tableau1[[#This Row],[Index HP
kWh]]-I448),"",Tableau1[[#This Row],[Index HP
kWh]]-I448)</f>
        <v>13</v>
      </c>
      <c r="K449" s="77">
        <f>IF(ISERROR(Tableau1[[#This Row],[Différence HP
Instantané]]/(Tableau1[[#This Row],[Diff jour
Instantané]]*24)),"",Tableau1[[#This Row],[Différence HP
Instantané]]/(Tableau1[[#This Row],[Diff jour
Instantané]]*24))</f>
        <v>0.57607090103288372</v>
      </c>
      <c r="L449" s="77">
        <f>Tableau1[[#This Row],[Différence HP
Instantané]]/Tableau1[[#This Row],[Diff jour
Instantané]]</f>
        <v>13.825701624789209</v>
      </c>
      <c r="M449" s="77">
        <f>Tableau1[[#This Row],[Conso HP / jour
Instantané]]*365</f>
        <v>5046.3810930480613</v>
      </c>
      <c r="N449" s="79">
        <f>Tableau1[[#This Row],[Index HP
kWh]]-$I$5</f>
        <v>14681</v>
      </c>
      <c r="O449" s="80">
        <f>Tableau1[[#This Row],[Différence HP
Cumul]]/(Tableau1[[#This Row],[Diff jour_x000D_
Cumul]]*24)</f>
        <v>0.87812026477390748</v>
      </c>
      <c r="P449" s="80">
        <f>Tableau1[[#This Row],[Différence HP
Cumul]]/Tableau1[[#This Row],[Diff jour_x000D_
Cumul]]</f>
        <v>21.074886354573778</v>
      </c>
      <c r="Q449" s="80">
        <f>Tableau1[[#This Row],[Conso HP / jour
Cumul]]*365</f>
        <v>7692.3335194194287</v>
      </c>
      <c r="R449" s="78">
        <v>125668</v>
      </c>
      <c r="S449" s="79">
        <f>Tableau1[[#This Row],[Index HC_x000D_
kWh]]-R448</f>
        <v>3</v>
      </c>
      <c r="T449" s="81">
        <f>Tableau1[[#This Row],[Différence_x000D_ HC
Instantané]]/(Tableau1[[#This Row],[Diff jour
Instantané]]*24)</f>
        <v>0.13293943869989625</v>
      </c>
      <c r="U449" s="81">
        <f>Tableau1[[#This Row],[Différence_x000D_ HC
Instantané]]/Tableau1[[#This Row],[Diff jour
Instantané]]</f>
        <v>3.1905465287975101</v>
      </c>
      <c r="V449" s="81">
        <f>Tableau1[[#This Row],[Conso HC / jour_x000D_
Instantané]]*365</f>
        <v>1164.5494830110913</v>
      </c>
      <c r="W449" s="79">
        <f>Tableau1[[#This Row],[Index HC_x000D_
kWh]]-$R$5</f>
        <v>6236</v>
      </c>
      <c r="X449" s="82">
        <f>Tableau1[[#This Row],[Différence HC
Cumul]]/(Tableau1[[#This Row],[Diff jour_x000D_
Cumul]]*24)</f>
        <v>0.37299625169471334</v>
      </c>
      <c r="Y449" s="82">
        <f>Tableau1[[#This Row],[Différence HC
Cumul]]/Tableau1[[#This Row],[Diff jour_x000D_
Cumul]]</f>
        <v>8.9519100406731216</v>
      </c>
      <c r="Z449" s="82">
        <f>Tableau1[[#This Row],[Conso HC / jour_x000D_
Cumul]]*365</f>
        <v>3267.4471648456893</v>
      </c>
      <c r="AA449" s="79">
        <f>Tableau1[[#This Row],[Différence HP
Instantané]]+Tableau1[[#This Row],[Différence_x000D_ HC
Instantané]]</f>
        <v>16</v>
      </c>
      <c r="AB449" s="80">
        <f>Tableau1[[#This Row],[Conso HP + HC
Instantané]]/(Tableau1[[#This Row],[Diff jour
Instantané]]*24)</f>
        <v>0.70901033973278005</v>
      </c>
      <c r="AC449" s="80">
        <f>IF(ISERROR(Tableau1[[#This Row],[Date]]-A448),"",Tableau1[[#This Row],[Conso HP + HC
Instantané]]/Tableau1[[#This Row],[Diff jour
Instantané]])</f>
        <v>17.016248153586719</v>
      </c>
      <c r="AD449" s="80">
        <f>Tableau1[[#This Row],[Conso HP + HC / jour_x000D_
Instantané]]*365</f>
        <v>6210.9305760591524</v>
      </c>
      <c r="AE449" s="79">
        <f>Tableau1[[#This Row],[Différence HP
Cumul]]+Tableau1[[#This Row],[Différence HC
Cumul]]</f>
        <v>20917</v>
      </c>
      <c r="AF449" s="77">
        <f>(Tableau1[[#This Row],[Conso HP + HC
Cumul]]-AE$6)/Tableau1[[#This Row],[Diff jour_x000D_
Cumul
depuis le 24/01]]</f>
        <v>27.859113342050733</v>
      </c>
      <c r="AG449" s="77">
        <f>(Tableau1[[#This Row],[Conso HP + HC
Cumul]]-AE$59)/Tableau1[[#This Row],[Diff jour_x000D_
Cumul
depuis
précédente facture
16/02/2021]]</f>
        <v>26.320409847879432</v>
      </c>
      <c r="AH449" s="80">
        <f>Tableau1[[#This Row],[Conso HP + HC
Cumul]]/(Tableau1[[#This Row],[Diff jour_x000D_
Cumul]]*24)</f>
        <v>1.2511165164686209</v>
      </c>
      <c r="AI449" s="80">
        <f>Tableau1[[#This Row],[Conso HP + HC
Cumul]]/Tableau1[[#This Row],[Diff jour_x000D_
Cumul]]</f>
        <v>30.026796395246901</v>
      </c>
      <c r="AJ449" s="80">
        <f>Tableau1[[#This Row],[Conso HP + HC / jour_x000D_
Cumul]]*365</f>
        <v>10959.780684265119</v>
      </c>
      <c r="AK449" s="83">
        <f>(Tableau1[[#This Row],[Différence HP
Cumul]]*0.1799)+(Tableau1[[#This Row],[Différence HC
Cumul]]*0.1346)</f>
        <v>3480.4775</v>
      </c>
      <c r="AL449" s="83">
        <f>Tableau1[[#This Row],[Montant
Tarif HP/HC]]/Tableau1[[#This Row],[Diff jour_x000D_
Cumul]]</f>
        <v>4.9962991466624249</v>
      </c>
      <c r="AM449" s="83">
        <f>(Tableau1[[#This Row],[Montant
Tarif HP/HC]]-AK$6)/Tableau1[[#This Row],[Diff jour_x000D_
Cumul
depuis le 24/01]]</f>
        <v>4.6407334711266488</v>
      </c>
      <c r="AN449" s="83">
        <f>(Tableau1[[#This Row],[Montant
Tarif HP/HC]]-AK$59)/Tableau1[[#This Row],[Diff jour_x000D_
Cumul
depuis
précédente facture
16/02/2021]]</f>
        <v>4.3843986845036227</v>
      </c>
      <c r="AO449" s="83">
        <f>Tableau1[[#This Row],[Conso HP + HC
Cumul]]*0.1599</f>
        <v>3344.6282999999999</v>
      </c>
      <c r="AP449" s="83">
        <f>Tableau1[[#This Row],[Montant
Tarif normal]]/Tableau1[[#This Row],[Diff jour_x000D_
Cumul]]</f>
        <v>4.8012847435999788</v>
      </c>
      <c r="AQ449" s="83">
        <f>(Tableau1[[#This Row],[Conso HP / an
Cumul]]*0.1799)+(Tableau1[[#This Row],[Conso HC / an_x000D_
Cumul]]*0.1346)</f>
        <v>1823.6491885317851</v>
      </c>
      <c r="AR449" s="83">
        <f>Tableau1[[#This Row],[Conso HP + HC / an_x000D_
Cumul]]*0.1599</f>
        <v>1752.4689314139923</v>
      </c>
      <c r="AS449" s="79">
        <f>MONTH(Tableau1[[#This Row],[Date]])</f>
        <v>11</v>
      </c>
      <c r="AT449" s="79">
        <f>YEAR(Tableau1[[#This Row],[Date]])</f>
        <v>2022</v>
      </c>
    </row>
    <row r="450" spans="1:46" x14ac:dyDescent="0.2">
      <c r="A450" s="74">
        <v>44881.320138888892</v>
      </c>
      <c r="B450" s="75"/>
      <c r="C450" s="76">
        <f>IF(ISERROR(Tableau1[[#This Row],[Date]]-A449),"",Tableau1[[#This Row],[Date]]-A449)</f>
        <v>2.0006944444467081</v>
      </c>
      <c r="D450" s="77">
        <f>IF(ISERROR(Tableau1[[#This Row],[Date]]-A449),"",Tableau1[[#This Row],[Date]]-A449)</f>
        <v>2.0006944444467081</v>
      </c>
      <c r="E450" s="76">
        <f>Tableau1[[#This Row],[Date]]-$A$5</f>
        <v>698.6118055555562</v>
      </c>
      <c r="F450" s="77">
        <f>Tableau1[[#This Row],[Date]]-$A$5</f>
        <v>698.6118055555562</v>
      </c>
      <c r="G450" s="77">
        <f>Tableau1[[#This Row],[Diff jour_x000D_
Cumul]]-F$6</f>
        <v>660.52847222222772</v>
      </c>
      <c r="H450" s="77">
        <f>Tableau1[[#This Row],[Diff jour_x000D_
Cumul]]-F$59</f>
        <v>638.0090277777781</v>
      </c>
      <c r="I450" s="78">
        <v>194483</v>
      </c>
      <c r="J450" s="79">
        <f>IF(ISERROR(Tableau1[[#This Row],[Index HP
kWh]]-I449),"",Tableau1[[#This Row],[Index HP
kWh]]-I449)</f>
        <v>43</v>
      </c>
      <c r="K450" s="77">
        <f>IF(ISERROR(Tableau1[[#This Row],[Différence HP
Instantané]]/(Tableau1[[#This Row],[Diff jour
Instantané]]*24)),"",Tableau1[[#This Row],[Différence HP
Instantané]]/(Tableau1[[#This Row],[Diff jour
Instantané]]*24))</f>
        <v>0.89552238805868822</v>
      </c>
      <c r="L450" s="77">
        <f>Tableau1[[#This Row],[Différence HP
Instantané]]/Tableau1[[#This Row],[Diff jour
Instantané]]</f>
        <v>21.492537313408519</v>
      </c>
      <c r="M450" s="77">
        <f>Tableau1[[#This Row],[Conso HP / jour
Instantané]]*365</f>
        <v>7844.7761193941096</v>
      </c>
      <c r="N450" s="79">
        <f>Tableau1[[#This Row],[Index HP
kWh]]-$I$5</f>
        <v>14724</v>
      </c>
      <c r="O450" s="80">
        <f>Tableau1[[#This Row],[Différence HP
Cumul]]/(Tableau1[[#This Row],[Diff jour_x000D_
Cumul]]*24)</f>
        <v>0.87817010122256256</v>
      </c>
      <c r="P450" s="80">
        <f>Tableau1[[#This Row],[Différence HP
Cumul]]/Tableau1[[#This Row],[Diff jour_x000D_
Cumul]]</f>
        <v>21.076082429341501</v>
      </c>
      <c r="Q450" s="80">
        <f>Tableau1[[#This Row],[Conso HP / jour
Cumul]]*365</f>
        <v>7692.7700867096473</v>
      </c>
      <c r="R450" s="78">
        <v>125678</v>
      </c>
      <c r="S450" s="79">
        <f>Tableau1[[#This Row],[Index HC_x000D_
kWh]]-R449</f>
        <v>10</v>
      </c>
      <c r="T450" s="81">
        <f>Tableau1[[#This Row],[Différence_x000D_ HC
Instantané]]/(Tableau1[[#This Row],[Diff jour
Instantané]]*24)</f>
        <v>0.20826102047876471</v>
      </c>
      <c r="U450" s="81">
        <f>Tableau1[[#This Row],[Différence_x000D_ HC
Instantané]]/Tableau1[[#This Row],[Diff jour
Instantané]]</f>
        <v>4.9982644914903531</v>
      </c>
      <c r="V450" s="81">
        <f>Tableau1[[#This Row],[Conso HC / jour_x000D_
Instantané]]*365</f>
        <v>1824.3665393939789</v>
      </c>
      <c r="W450" s="79">
        <f>Tableau1[[#This Row],[Index HC_x000D_
kWh]]-$R$5</f>
        <v>6246</v>
      </c>
      <c r="X450" s="82">
        <f>Tableau1[[#This Row],[Différence HC
Cumul]]/(Tableau1[[#This Row],[Diff jour_x000D_
Cumul]]*24)</f>
        <v>0.37252448059196724</v>
      </c>
      <c r="Y450" s="82">
        <f>Tableau1[[#This Row],[Différence HC
Cumul]]/Tableau1[[#This Row],[Diff jour_x000D_
Cumul]]</f>
        <v>8.9405875342072143</v>
      </c>
      <c r="Z450" s="82">
        <f>Tableau1[[#This Row],[Conso HC / jour_x000D_
Cumul]]*365</f>
        <v>3263.314449985633</v>
      </c>
      <c r="AA450" s="79">
        <f>Tableau1[[#This Row],[Différence HP
Instantané]]+Tableau1[[#This Row],[Différence_x000D_ HC
Instantané]]</f>
        <v>53</v>
      </c>
      <c r="AB450" s="80">
        <f>Tableau1[[#This Row],[Conso HP + HC
Instantané]]/(Tableau1[[#This Row],[Diff jour
Instantané]]*24)</f>
        <v>1.1037834085374529</v>
      </c>
      <c r="AC450" s="80">
        <f>IF(ISERROR(Tableau1[[#This Row],[Date]]-A449),"",Tableau1[[#This Row],[Conso HP + HC
Instantané]]/Tableau1[[#This Row],[Diff jour
Instantané]])</f>
        <v>26.490801804898872</v>
      </c>
      <c r="AD450" s="80">
        <f>Tableau1[[#This Row],[Conso HP + HC / jour_x000D_
Instantané]]*365</f>
        <v>9669.1426587880887</v>
      </c>
      <c r="AE450" s="79">
        <f>Tableau1[[#This Row],[Différence HP
Cumul]]+Tableau1[[#This Row],[Différence HC
Cumul]]</f>
        <v>20970</v>
      </c>
      <c r="AF450" s="77">
        <f>(Tableau1[[#This Row],[Conso HP + HC
Cumul]]-AE$6)/Tableau1[[#This Row],[Diff jour_x000D_
Cumul
depuis le 24/01]]</f>
        <v>27.85496882231271</v>
      </c>
      <c r="AG450" s="77">
        <f>(Tableau1[[#This Row],[Conso HP + HC
Cumul]]-AE$59)/Tableau1[[#This Row],[Diff jour_x000D_
Cumul
depuis
précédente facture
16/02/2021]]</f>
        <v>26.320944169851291</v>
      </c>
      <c r="AH450" s="80">
        <f>Tableau1[[#This Row],[Conso HP + HC
Cumul]]/(Tableau1[[#This Row],[Diff jour_x000D_
Cumul]]*24)</f>
        <v>1.2506945818145299</v>
      </c>
      <c r="AI450" s="80">
        <f>Tableau1[[#This Row],[Conso HP + HC
Cumul]]/Tableau1[[#This Row],[Diff jour_x000D_
Cumul]]</f>
        <v>30.016669963548715</v>
      </c>
      <c r="AJ450" s="80">
        <f>Tableau1[[#This Row],[Conso HP + HC / jour_x000D_
Cumul]]*365</f>
        <v>10956.084536695282</v>
      </c>
      <c r="AK450" s="83">
        <f>(Tableau1[[#This Row],[Différence HP
Cumul]]*0.1799)+(Tableau1[[#This Row],[Différence HC
Cumul]]*0.1346)</f>
        <v>3489.5592000000001</v>
      </c>
      <c r="AL450" s="83">
        <f>Tableau1[[#This Row],[Montant
Tarif HP/HC]]/Tableau1[[#This Row],[Diff jour_x000D_
Cumul]]</f>
        <v>4.9949903111428275</v>
      </c>
      <c r="AM450" s="83">
        <f>(Tableau1[[#This Row],[Montant
Tarif HP/HC]]-AK$6)/Tableau1[[#This Row],[Diff jour_x000D_
Cumul
depuis le 24/01]]</f>
        <v>4.6404261570858809</v>
      </c>
      <c r="AN450" s="83">
        <f>(Tableau1[[#This Row],[Montant
Tarif HP/HC]]-AK$59)/Tableau1[[#This Row],[Diff jour_x000D_
Cumul
depuis
précédente facture
16/02/2021]]</f>
        <v>4.3848843483362394</v>
      </c>
      <c r="AO450" s="83">
        <f>Tableau1[[#This Row],[Conso HP + HC
Cumul]]*0.1599</f>
        <v>3353.1029999999996</v>
      </c>
      <c r="AP450" s="83">
        <f>Tableau1[[#This Row],[Montant
Tarif normal]]/Tableau1[[#This Row],[Diff jour_x000D_
Cumul]]</f>
        <v>4.799665527171439</v>
      </c>
      <c r="AQ450" s="83">
        <f>(Tableau1[[#This Row],[Conso HP / an
Cumul]]*0.1799)+(Tableau1[[#This Row],[Conso HC / an_x000D_
Cumul]]*0.1346)</f>
        <v>1823.1714635671319</v>
      </c>
      <c r="AR450" s="83">
        <f>Tableau1[[#This Row],[Conso HP + HC / an_x000D_
Cumul]]*0.1599</f>
        <v>1751.8779174175754</v>
      </c>
      <c r="AS450" s="79">
        <f>MONTH(Tableau1[[#This Row],[Date]])</f>
        <v>11</v>
      </c>
      <c r="AT450" s="79">
        <f>YEAR(Tableau1[[#This Row],[Date]])</f>
        <v>2022</v>
      </c>
    </row>
    <row r="451" spans="1:46" x14ac:dyDescent="0.2">
      <c r="A451" s="74">
        <v>44882.299305555556</v>
      </c>
      <c r="B451" s="75"/>
      <c r="C451" s="76">
        <f>IF(ISERROR(Tableau1[[#This Row],[Date]]-A450),"",Tableau1[[#This Row],[Date]]-A450)</f>
        <v>0.97916666666424135</v>
      </c>
      <c r="D451" s="77">
        <f>IF(ISERROR(Tableau1[[#This Row],[Date]]-A450),"",Tableau1[[#This Row],[Date]]-A450)</f>
        <v>0.97916666666424135</v>
      </c>
      <c r="E451" s="76">
        <f>Tableau1[[#This Row],[Date]]-$A$5</f>
        <v>699.59097222222044</v>
      </c>
      <c r="F451" s="77">
        <f>Tableau1[[#This Row],[Date]]-$A$5</f>
        <v>699.59097222222044</v>
      </c>
      <c r="G451" s="77">
        <f>Tableau1[[#This Row],[Diff jour_x000D_
Cumul]]-F$6</f>
        <v>661.50763888889196</v>
      </c>
      <c r="H451" s="77">
        <f>Tableau1[[#This Row],[Diff jour_x000D_
Cumul]]-F$59</f>
        <v>638.98819444444234</v>
      </c>
      <c r="I451" s="78">
        <v>194509</v>
      </c>
      <c r="J451" s="79">
        <f>IF(ISERROR(Tableau1[[#This Row],[Index HP
kWh]]-I450),"",Tableau1[[#This Row],[Index HP
kWh]]-I450)</f>
        <v>26</v>
      </c>
      <c r="K451" s="77">
        <f>IF(ISERROR(Tableau1[[#This Row],[Différence HP
Instantané]]/(Tableau1[[#This Row],[Diff jour
Instantané]]*24)),"",Tableau1[[#This Row],[Différence HP
Instantané]]/(Tableau1[[#This Row],[Diff jour
Instantané]]*24))</f>
        <v>1.1063829787261448</v>
      </c>
      <c r="L451" s="77">
        <f>Tableau1[[#This Row],[Différence HP
Instantané]]/Tableau1[[#This Row],[Diff jour
Instantané]]</f>
        <v>26.553191489427473</v>
      </c>
      <c r="M451" s="77">
        <f>Tableau1[[#This Row],[Conso HP / jour
Instantané]]*365</f>
        <v>9691.9148936410274</v>
      </c>
      <c r="N451" s="79">
        <f>Tableau1[[#This Row],[Index HP
kWh]]-$I$5</f>
        <v>14750</v>
      </c>
      <c r="O451" s="80">
        <f>Tableau1[[#This Row],[Différence HP
Cumul]]/(Tableau1[[#This Row],[Diff jour_x000D_
Cumul]]*24)</f>
        <v>0.8784895142101905</v>
      </c>
      <c r="P451" s="80">
        <f>Tableau1[[#This Row],[Différence HP
Cumul]]/Tableau1[[#This Row],[Diff jour_x000D_
Cumul]]</f>
        <v>21.083748341044572</v>
      </c>
      <c r="Q451" s="80">
        <f>Tableau1[[#This Row],[Conso HP / jour
Cumul]]*365</f>
        <v>7695.568144481269</v>
      </c>
      <c r="R451" s="78">
        <v>125682</v>
      </c>
      <c r="S451" s="79">
        <f>Tableau1[[#This Row],[Index HC_x000D_
kWh]]-R450</f>
        <v>4</v>
      </c>
      <c r="T451" s="81">
        <f>Tableau1[[#This Row],[Différence_x000D_ HC
Instantané]]/(Tableau1[[#This Row],[Diff jour
Instantané]]*24)</f>
        <v>0.17021276595786841</v>
      </c>
      <c r="U451" s="81">
        <f>Tableau1[[#This Row],[Différence_x000D_ HC
Instantané]]/Tableau1[[#This Row],[Diff jour
Instantané]]</f>
        <v>4.0851063829888421</v>
      </c>
      <c r="V451" s="81">
        <f>Tableau1[[#This Row],[Conso HC / jour_x000D_
Instantané]]*365</f>
        <v>1491.0638297909275</v>
      </c>
      <c r="W451" s="79">
        <f>Tableau1[[#This Row],[Index HC_x000D_
kWh]]-$R$5</f>
        <v>6250</v>
      </c>
      <c r="X451" s="82">
        <f>Tableau1[[#This Row],[Différence HC
Cumul]]/(Tableau1[[#This Row],[Diff jour_x000D_
Cumul]]*24)</f>
        <v>0.3722413195805892</v>
      </c>
      <c r="Y451" s="82">
        <f>Tableau1[[#This Row],[Différence HC
Cumul]]/Tableau1[[#This Row],[Diff jour_x000D_
Cumul]]</f>
        <v>8.9337916699341413</v>
      </c>
      <c r="Z451" s="82">
        <f>Tableau1[[#This Row],[Conso HC / jour_x000D_
Cumul]]*365</f>
        <v>3260.8339595259617</v>
      </c>
      <c r="AA451" s="79">
        <f>Tableau1[[#This Row],[Différence HP
Instantané]]+Tableau1[[#This Row],[Différence_x000D_ HC
Instantané]]</f>
        <v>30</v>
      </c>
      <c r="AB451" s="80">
        <f>Tableau1[[#This Row],[Conso HP + HC
Instantané]]/(Tableau1[[#This Row],[Diff jour
Instantané]]*24)</f>
        <v>1.276595744684013</v>
      </c>
      <c r="AC451" s="80">
        <f>IF(ISERROR(Tableau1[[#This Row],[Date]]-A450),"",Tableau1[[#This Row],[Conso HP + HC
Instantané]]/Tableau1[[#This Row],[Diff jour
Instantané]])</f>
        <v>30.638297872416313</v>
      </c>
      <c r="AD451" s="80">
        <f>Tableau1[[#This Row],[Conso HP + HC / jour_x000D_
Instantané]]*365</f>
        <v>11182.978723431954</v>
      </c>
      <c r="AE451" s="79">
        <f>Tableau1[[#This Row],[Différence HP
Cumul]]+Tableau1[[#This Row],[Différence HC
Cumul]]</f>
        <v>21000</v>
      </c>
      <c r="AF451" s="77">
        <f>(Tableau1[[#This Row],[Conso HP + HC
Cumul]]-AE$6)/Tableau1[[#This Row],[Diff jour_x000D_
Cumul
depuis le 24/01]]</f>
        <v>27.859088718846024</v>
      </c>
      <c r="AG451" s="77">
        <f>(Tableau1[[#This Row],[Conso HP + HC
Cumul]]-AE$59)/Tableau1[[#This Row],[Diff jour_x000D_
Cumul
depuis
précédente facture
16/02/2021]]</f>
        <v>26.327559955354854</v>
      </c>
      <c r="AH451" s="80">
        <f>Tableau1[[#This Row],[Conso HP + HC
Cumul]]/(Tableau1[[#This Row],[Diff jour_x000D_
Cumul]]*24)</f>
        <v>1.2507308337907797</v>
      </c>
      <c r="AI451" s="80">
        <f>Tableau1[[#This Row],[Conso HP + HC
Cumul]]/Tableau1[[#This Row],[Diff jour_x000D_
Cumul]]</f>
        <v>30.017540010978713</v>
      </c>
      <c r="AJ451" s="80">
        <f>Tableau1[[#This Row],[Conso HP + HC / jour_x000D_
Cumul]]*365</f>
        <v>10956.402104007231</v>
      </c>
      <c r="AK451" s="83">
        <f>(Tableau1[[#This Row],[Différence HP
Cumul]]*0.1799)+(Tableau1[[#This Row],[Différence HC
Cumul]]*0.1346)</f>
        <v>3494.7750000000001</v>
      </c>
      <c r="AL451" s="83">
        <f>Tableau1[[#This Row],[Montant
Tarif HP/HC]]/Tableau1[[#This Row],[Diff jour_x000D_
Cumul]]</f>
        <v>4.9954546853270543</v>
      </c>
      <c r="AM451" s="83">
        <f>(Tableau1[[#This Row],[Montant
Tarif HP/HC]]-AK$6)/Tableau1[[#This Row],[Diff jour_x000D_
Cumul
depuis le 24/01]]</f>
        <v>4.6414420930303146</v>
      </c>
      <c r="AN451" s="83">
        <f>(Tableau1[[#This Row],[Montant
Tarif HP/HC]]-AK$59)/Tableau1[[#This Row],[Diff jour_x000D_
Cumul
depuis
précédente facture
16/02/2021]]</f>
        <v>4.3863276729812792</v>
      </c>
      <c r="AO451" s="83">
        <f>Tableau1[[#This Row],[Conso HP + HC
Cumul]]*0.1599</f>
        <v>3357.8999999999996</v>
      </c>
      <c r="AP451" s="83">
        <f>Tableau1[[#This Row],[Montant
Tarif normal]]/Tableau1[[#This Row],[Diff jour_x000D_
Cumul]]</f>
        <v>4.7998046477554954</v>
      </c>
      <c r="AQ451" s="83">
        <f>(Tableau1[[#This Row],[Conso HP / an
Cumul]]*0.1799)+(Tableau1[[#This Row],[Conso HC / an_x000D_
Cumul]]*0.1346)</f>
        <v>1823.3409601443748</v>
      </c>
      <c r="AR451" s="83">
        <f>Tableau1[[#This Row],[Conso HP + HC / an_x000D_
Cumul]]*0.1599</f>
        <v>1751.9286964307562</v>
      </c>
      <c r="AS451" s="79">
        <f>MONTH(Tableau1[[#This Row],[Date]])</f>
        <v>11</v>
      </c>
      <c r="AT451" s="79">
        <f>YEAR(Tableau1[[#This Row],[Date]])</f>
        <v>2022</v>
      </c>
    </row>
    <row r="452" spans="1:46" x14ac:dyDescent="0.2">
      <c r="A452" s="74">
        <v>44883.327777777777</v>
      </c>
      <c r="B452" s="75"/>
      <c r="C452" s="76">
        <f>IF(ISERROR(Tableau1[[#This Row],[Date]]-A451),"",Tableau1[[#This Row],[Date]]-A451)</f>
        <v>1.0284722222204437</v>
      </c>
      <c r="D452" s="77">
        <f>IF(ISERROR(Tableau1[[#This Row],[Date]]-A451),"",Tableau1[[#This Row],[Date]]-A451)</f>
        <v>1.0284722222204437</v>
      </c>
      <c r="E452" s="76">
        <f>Tableau1[[#This Row],[Date]]-$A$5</f>
        <v>700.61944444444089</v>
      </c>
      <c r="F452" s="77">
        <f>Tableau1[[#This Row],[Date]]-$A$5</f>
        <v>700.61944444444089</v>
      </c>
      <c r="G452" s="77">
        <f>Tableau1[[#This Row],[Diff jour_x000D_
Cumul]]-F$6</f>
        <v>662.5361111111124</v>
      </c>
      <c r="H452" s="77">
        <f>Tableau1[[#This Row],[Diff jour_x000D_
Cumul]]-F$59</f>
        <v>640.01666666666279</v>
      </c>
      <c r="I452" s="78">
        <v>194533</v>
      </c>
      <c r="J452" s="79">
        <f>IF(ISERROR(Tableau1[[#This Row],[Index HP
kWh]]-I451),"",Tableau1[[#This Row],[Index HP
kWh]]-I451)</f>
        <v>24</v>
      </c>
      <c r="K452" s="77">
        <f>IF(ISERROR(Tableau1[[#This Row],[Différence HP
Instantané]]/(Tableau1[[#This Row],[Diff jour
Instantané]]*24)),"",Tableau1[[#This Row],[Différence HP
Instantané]]/(Tableau1[[#This Row],[Diff jour
Instantané]]*24))</f>
        <v>0.97231600270255925</v>
      </c>
      <c r="L452" s="77">
        <f>Tableau1[[#This Row],[Différence HP
Instantané]]/Tableau1[[#This Row],[Diff jour
Instantané]]</f>
        <v>23.335584064861422</v>
      </c>
      <c r="M452" s="77">
        <f>Tableau1[[#This Row],[Conso HP / jour
Instantané]]*365</f>
        <v>8517.4881836744189</v>
      </c>
      <c r="N452" s="79">
        <f>Tableau1[[#This Row],[Index HP
kWh]]-$I$5</f>
        <v>14774</v>
      </c>
      <c r="O452" s="80">
        <f>Tableau1[[#This Row],[Différence HP
Cumul]]/(Tableau1[[#This Row],[Diff jour_x000D_
Cumul]]*24)</f>
        <v>0.87862724652391389</v>
      </c>
      <c r="P452" s="80">
        <f>Tableau1[[#This Row],[Différence HP
Cumul]]/Tableau1[[#This Row],[Diff jour_x000D_
Cumul]]</f>
        <v>21.087053916573932</v>
      </c>
      <c r="Q452" s="80">
        <f>Tableau1[[#This Row],[Conso HP / jour
Cumul]]*365</f>
        <v>7696.774679549485</v>
      </c>
      <c r="R452" s="78">
        <v>125687</v>
      </c>
      <c r="S452" s="79">
        <f>Tableau1[[#This Row],[Index HC_x000D_
kWh]]-R451</f>
        <v>5</v>
      </c>
      <c r="T452" s="81">
        <f>Tableau1[[#This Row],[Différence_x000D_ HC
Instantané]]/(Tableau1[[#This Row],[Diff jour
Instantané]]*24)</f>
        <v>0.20256583389636651</v>
      </c>
      <c r="U452" s="81">
        <f>Tableau1[[#This Row],[Différence_x000D_ HC
Instantané]]/Tableau1[[#This Row],[Diff jour
Instantané]]</f>
        <v>4.8615800135127962</v>
      </c>
      <c r="V452" s="81">
        <f>Tableau1[[#This Row],[Conso HC / jour_x000D_
Instantané]]*365</f>
        <v>1774.4767049321706</v>
      </c>
      <c r="W452" s="79">
        <f>Tableau1[[#This Row],[Index HC_x000D_
kWh]]-$R$5</f>
        <v>6255</v>
      </c>
      <c r="X452" s="82">
        <f>Tableau1[[#This Row],[Différence HC
Cumul]]/(Tableau1[[#This Row],[Diff jour_x000D_
Cumul]]*24)</f>
        <v>0.37199224495783684</v>
      </c>
      <c r="Y452" s="82">
        <f>Tableau1[[#This Row],[Différence HC
Cumul]]/Tableau1[[#This Row],[Diff jour_x000D_
Cumul]]</f>
        <v>8.9278138789880845</v>
      </c>
      <c r="Z452" s="82">
        <f>Tableau1[[#This Row],[Conso HC / jour_x000D_
Cumul]]*365</f>
        <v>3258.6520658306508</v>
      </c>
      <c r="AA452" s="79">
        <f>Tableau1[[#This Row],[Différence HP
Instantané]]+Tableau1[[#This Row],[Différence_x000D_ HC
Instantané]]</f>
        <v>29</v>
      </c>
      <c r="AB452" s="80">
        <f>Tableau1[[#This Row],[Conso HP + HC
Instantané]]/(Tableau1[[#This Row],[Diff jour
Instantané]]*24)</f>
        <v>1.1748818365989258</v>
      </c>
      <c r="AC452" s="80">
        <f>IF(ISERROR(Tableau1[[#This Row],[Date]]-A451),"",Tableau1[[#This Row],[Conso HP + HC
Instantané]]/Tableau1[[#This Row],[Diff jour
Instantané]])</f>
        <v>28.197164078374218</v>
      </c>
      <c r="AD452" s="80">
        <f>Tableau1[[#This Row],[Conso HP + HC / jour_x000D_
Instantané]]*365</f>
        <v>10291.96488860659</v>
      </c>
      <c r="AE452" s="79">
        <f>Tableau1[[#This Row],[Différence HP
Cumul]]+Tableau1[[#This Row],[Différence HC
Cumul]]</f>
        <v>21029</v>
      </c>
      <c r="AF452" s="77">
        <f>(Tableau1[[#This Row],[Conso HP + HC
Cumul]]-AE$6)/Tableau1[[#This Row],[Diff jour_x000D_
Cumul
depuis le 24/01]]</f>
        <v>27.859613522114046</v>
      </c>
      <c r="AG452" s="77">
        <f>(Tableau1[[#This Row],[Conso HP + HC
Cumul]]-AE$59)/Tableau1[[#This Row],[Diff jour_x000D_
Cumul
depuis
précédente facture
16/02/2021]]</f>
        <v>26.330564308221298</v>
      </c>
      <c r="AH452" s="80">
        <f>Tableau1[[#This Row],[Conso HP + HC
Cumul]]/(Tableau1[[#This Row],[Diff jour_x000D_
Cumul]]*24)</f>
        <v>1.2506194914817508</v>
      </c>
      <c r="AI452" s="80">
        <f>Tableau1[[#This Row],[Conso HP + HC
Cumul]]/Tableau1[[#This Row],[Diff jour_x000D_
Cumul]]</f>
        <v>30.014867795562015</v>
      </c>
      <c r="AJ452" s="80">
        <f>Tableau1[[#This Row],[Conso HP + HC / jour_x000D_
Cumul]]*365</f>
        <v>10955.426745380135</v>
      </c>
      <c r="AK452" s="83">
        <f>(Tableau1[[#This Row],[Différence HP
Cumul]]*0.1799)+(Tableau1[[#This Row],[Différence HC
Cumul]]*0.1346)</f>
        <v>3499.7655999999997</v>
      </c>
      <c r="AL452" s="83">
        <f>Tableau1[[#This Row],[Montant
Tarif HP/HC]]/Tableau1[[#This Row],[Diff jour_x000D_
Cumul]]</f>
        <v>4.9952447477034463</v>
      </c>
      <c r="AM452" s="83">
        <f>(Tableau1[[#This Row],[Montant
Tarif HP/HC]]-AK$6)/Tableau1[[#This Row],[Diff jour_x000D_
Cumul
depuis le 24/01]]</f>
        <v>4.6417696310054284</v>
      </c>
      <c r="AN452" s="83">
        <f>(Tableau1[[#This Row],[Montant
Tarif HP/HC]]-AK$59)/Tableau1[[#This Row],[Diff jour_x000D_
Cumul
depuis
précédente facture
16/02/2021]]</f>
        <v>4.3870766907112051</v>
      </c>
      <c r="AO452" s="83">
        <f>Tableau1[[#This Row],[Conso HP + HC
Cumul]]*0.1599</f>
        <v>3362.5370999999996</v>
      </c>
      <c r="AP452" s="83">
        <f>Tableau1[[#This Row],[Montant
Tarif normal]]/Tableau1[[#This Row],[Diff jour_x000D_
Cumul]]</f>
        <v>4.7993773605103653</v>
      </c>
      <c r="AQ452" s="83">
        <f>(Tableau1[[#This Row],[Conso HP / an
Cumul]]*0.1799)+(Tableau1[[#This Row],[Conso HC / an_x000D_
Cumul]]*0.1346)</f>
        <v>1823.2643329117579</v>
      </c>
      <c r="AR452" s="83">
        <f>Tableau1[[#This Row],[Conso HP + HC / an_x000D_
Cumul]]*0.1599</f>
        <v>1751.7727365862834</v>
      </c>
      <c r="AS452" s="79">
        <f>MONTH(Tableau1[[#This Row],[Date]])</f>
        <v>11</v>
      </c>
      <c r="AT452" s="79">
        <f>YEAR(Tableau1[[#This Row],[Date]])</f>
        <v>2022</v>
      </c>
    </row>
    <row r="453" spans="1:46" x14ac:dyDescent="0.2">
      <c r="A453" s="74">
        <v>44884.400694444441</v>
      </c>
      <c r="B453" s="75"/>
      <c r="C453" s="76">
        <f>IF(ISERROR(Tableau1[[#This Row],[Date]]-A452),"",Tableau1[[#This Row],[Date]]-A452)</f>
        <v>1.0729166666642413</v>
      </c>
      <c r="D453" s="77">
        <f>IF(ISERROR(Tableau1[[#This Row],[Date]]-A452),"",Tableau1[[#This Row],[Date]]-A452)</f>
        <v>1.0729166666642413</v>
      </c>
      <c r="E453" s="76">
        <f>Tableau1[[#This Row],[Date]]-$A$5</f>
        <v>701.69236111110513</v>
      </c>
      <c r="F453" s="77">
        <f>Tableau1[[#This Row],[Date]]-$A$5</f>
        <v>701.69236111110513</v>
      </c>
      <c r="G453" s="77">
        <f>Tableau1[[#This Row],[Diff jour_x000D_
Cumul]]-F$6</f>
        <v>663.60902777777665</v>
      </c>
      <c r="H453" s="77">
        <f>Tableau1[[#This Row],[Diff jour_x000D_
Cumul]]-F$59</f>
        <v>641.08958333332703</v>
      </c>
      <c r="I453" s="78">
        <v>194565</v>
      </c>
      <c r="J453" s="79">
        <f>IF(ISERROR(Tableau1[[#This Row],[Index HP
kWh]]-I452),"",Tableau1[[#This Row],[Index HP
kWh]]-I452)</f>
        <v>32</v>
      </c>
      <c r="K453" s="77">
        <f>IF(ISERROR(Tableau1[[#This Row],[Différence HP
Instantané]]/(Tableau1[[#This Row],[Diff jour
Instantané]]*24)),"",Tableau1[[#This Row],[Différence HP
Instantané]]/(Tableau1[[#This Row],[Diff jour
Instantané]]*24))</f>
        <v>1.2427184466047509</v>
      </c>
      <c r="L453" s="77">
        <f>Tableau1[[#This Row],[Différence HP
Instantané]]/Tableau1[[#This Row],[Diff jour
Instantané]]</f>
        <v>29.825242718514023</v>
      </c>
      <c r="M453" s="77">
        <f>Tableau1[[#This Row],[Conso HP / jour
Instantané]]*365</f>
        <v>10886.213592257618</v>
      </c>
      <c r="N453" s="79">
        <f>Tableau1[[#This Row],[Index HP
kWh]]-$I$5</f>
        <v>14806</v>
      </c>
      <c r="O453" s="80">
        <f>Tableau1[[#This Row],[Différence HP
Cumul]]/(Tableau1[[#This Row],[Diff jour_x000D_
Cumul]]*24)</f>
        <v>0.87918395704037711</v>
      </c>
      <c r="P453" s="80">
        <f>Tableau1[[#This Row],[Différence HP
Cumul]]/Tableau1[[#This Row],[Diff jour_x000D_
Cumul]]</f>
        <v>21.100414968969051</v>
      </c>
      <c r="Q453" s="80">
        <f>Tableau1[[#This Row],[Conso HP / jour
Cumul]]*365</f>
        <v>7701.6514636737038</v>
      </c>
      <c r="R453" s="78">
        <v>125700</v>
      </c>
      <c r="S453" s="79">
        <f>Tableau1[[#This Row],[Index HC_x000D_
kWh]]-R452</f>
        <v>13</v>
      </c>
      <c r="T453" s="81">
        <f>Tableau1[[#This Row],[Différence_x000D_ HC
Instantané]]/(Tableau1[[#This Row],[Diff jour
Instantané]]*24)</f>
        <v>0.50485436893318003</v>
      </c>
      <c r="U453" s="81">
        <f>Tableau1[[#This Row],[Différence_x000D_ HC
Instantané]]/Tableau1[[#This Row],[Diff jour
Instantané]]</f>
        <v>12.116504854396322</v>
      </c>
      <c r="V453" s="81">
        <f>Tableau1[[#This Row],[Conso HC / jour_x000D_
Instantané]]*365</f>
        <v>4422.5242718546569</v>
      </c>
      <c r="W453" s="79">
        <f>Tableau1[[#This Row],[Index HC_x000D_
kWh]]-$R$5</f>
        <v>6268</v>
      </c>
      <c r="X453" s="82">
        <f>Tableau1[[#This Row],[Différence HC
Cumul]]/(Tableau1[[#This Row],[Diff jour_x000D_
Cumul]]*24)</f>
        <v>0.37219539664521706</v>
      </c>
      <c r="Y453" s="82">
        <f>Tableau1[[#This Row],[Différence HC
Cumul]]/Tableau1[[#This Row],[Diff jour_x000D_
Cumul]]</f>
        <v>8.9326895194852103</v>
      </c>
      <c r="Z453" s="82">
        <f>Tableau1[[#This Row],[Conso HC / jour_x000D_
Cumul]]*365</f>
        <v>3260.4316746121017</v>
      </c>
      <c r="AA453" s="79">
        <f>Tableau1[[#This Row],[Différence HP
Instantané]]+Tableau1[[#This Row],[Différence_x000D_ HC
Instantané]]</f>
        <v>45</v>
      </c>
      <c r="AB453" s="80">
        <f>Tableau1[[#This Row],[Conso HP + HC
Instantané]]/(Tableau1[[#This Row],[Diff jour
Instantané]]*24)</f>
        <v>1.7475728155379309</v>
      </c>
      <c r="AC453" s="80">
        <f>IF(ISERROR(Tableau1[[#This Row],[Date]]-A452),"",Tableau1[[#This Row],[Conso HP + HC
Instantané]]/Tableau1[[#This Row],[Diff jour
Instantané]])</f>
        <v>41.941747572910344</v>
      </c>
      <c r="AD453" s="80">
        <f>Tableau1[[#This Row],[Conso HP + HC / jour_x000D_
Instantané]]*365</f>
        <v>15308.737864112276</v>
      </c>
      <c r="AE453" s="79">
        <f>Tableau1[[#This Row],[Différence HP
Cumul]]+Tableau1[[#This Row],[Différence HC
Cumul]]</f>
        <v>21074</v>
      </c>
      <c r="AF453" s="77">
        <f>(Tableau1[[#This Row],[Conso HP + HC
Cumul]]-AE$6)/Tableau1[[#This Row],[Diff jour_x000D_
Cumul
depuis le 24/01]]</f>
        <v>27.882381380435525</v>
      </c>
      <c r="AG453" s="77">
        <f>(Tableau1[[#This Row],[Conso HP + HC
Cumul]]-AE$59)/Tableau1[[#This Row],[Diff jour_x000D_
Cumul
depuis
précédente facture
16/02/2021]]</f>
        <v>26.356690920080982</v>
      </c>
      <c r="AH453" s="80">
        <f>Tableau1[[#This Row],[Conso HP + HC
Cumul]]/(Tableau1[[#This Row],[Diff jour_x000D_
Cumul]]*24)</f>
        <v>1.2513793536855942</v>
      </c>
      <c r="AI453" s="80">
        <f>Tableau1[[#This Row],[Conso HP + HC
Cumul]]/Tableau1[[#This Row],[Diff jour_x000D_
Cumul]]</f>
        <v>30.03310448845426</v>
      </c>
      <c r="AJ453" s="80">
        <f>Tableau1[[#This Row],[Conso HP + HC / jour_x000D_
Cumul]]*365</f>
        <v>10962.083138285805</v>
      </c>
      <c r="AK453" s="83">
        <f>(Tableau1[[#This Row],[Différence HP
Cumul]]*0.1799)+(Tableau1[[#This Row],[Différence HC
Cumul]]*0.1346)</f>
        <v>3507.2721999999999</v>
      </c>
      <c r="AL453" s="83">
        <f>Tableau1[[#This Row],[Montant
Tarif HP/HC]]/Tableau1[[#This Row],[Diff jour_x000D_
Cumul]]</f>
        <v>4.9983046622402414</v>
      </c>
      <c r="AM453" s="83">
        <f>(Tableau1[[#This Row],[Montant
Tarif HP/HC]]-AK$6)/Tableau1[[#This Row],[Diff jour_x000D_
Cumul
depuis le 24/01]]</f>
        <v>4.6455766437106929</v>
      </c>
      <c r="AN453" s="83">
        <f>(Tableau1[[#This Row],[Montant
Tarif HP/HC]]-AK$59)/Tableau1[[#This Row],[Diff jour_x000D_
Cumul
depuis
précédente facture
16/02/2021]]</f>
        <v>4.3914436814928139</v>
      </c>
      <c r="AO453" s="83">
        <f>Tableau1[[#This Row],[Conso HP + HC
Cumul]]*0.1599</f>
        <v>3369.7325999999998</v>
      </c>
      <c r="AP453" s="83">
        <f>Tableau1[[#This Row],[Montant
Tarif normal]]/Tableau1[[#This Row],[Diff jour_x000D_
Cumul]]</f>
        <v>4.8022934077038366</v>
      </c>
      <c r="AQ453" s="83">
        <f>(Tableau1[[#This Row],[Conso HP / an
Cumul]]*0.1799)+(Tableau1[[#This Row],[Conso HC / an_x000D_
Cumul]]*0.1346)</f>
        <v>1824.3812017176883</v>
      </c>
      <c r="AR453" s="83">
        <f>Tableau1[[#This Row],[Conso HP + HC / an_x000D_
Cumul]]*0.1599</f>
        <v>1752.8370938119001</v>
      </c>
      <c r="AS453" s="79">
        <f>MONTH(Tableau1[[#This Row],[Date]])</f>
        <v>11</v>
      </c>
      <c r="AT453" s="79">
        <f>YEAR(Tableau1[[#This Row],[Date]])</f>
        <v>2022</v>
      </c>
    </row>
    <row r="454" spans="1:46" x14ac:dyDescent="0.2">
      <c r="A454" s="74">
        <v>44885.402083333334</v>
      </c>
      <c r="B454" s="75"/>
      <c r="C454" s="76">
        <f>IF(ISERROR(Tableau1[[#This Row],[Date]]-A453),"",Tableau1[[#This Row],[Date]]-A453)</f>
        <v>1.0013888888934162</v>
      </c>
      <c r="D454" s="77">
        <f>IF(ISERROR(Tableau1[[#This Row],[Date]]-A453),"",Tableau1[[#This Row],[Date]]-A453)</f>
        <v>1.0013888888934162</v>
      </c>
      <c r="E454" s="76">
        <f>Tableau1[[#This Row],[Date]]-$A$5</f>
        <v>702.69374999999854</v>
      </c>
      <c r="F454" s="77">
        <f>Tableau1[[#This Row],[Date]]-$A$5</f>
        <v>702.69374999999854</v>
      </c>
      <c r="G454" s="77">
        <f>Tableau1[[#This Row],[Diff jour_x000D_
Cumul]]-F$6</f>
        <v>664.61041666667006</v>
      </c>
      <c r="H454" s="77">
        <f>Tableau1[[#This Row],[Diff jour_x000D_
Cumul]]-F$59</f>
        <v>642.09097222222044</v>
      </c>
      <c r="I454" s="78">
        <v>194594</v>
      </c>
      <c r="J454" s="79">
        <f>IF(ISERROR(Tableau1[[#This Row],[Index HP
kWh]]-I453),"",Tableau1[[#This Row],[Index HP
kWh]]-I453)</f>
        <v>29</v>
      </c>
      <c r="K454" s="77">
        <f>IF(ISERROR(Tableau1[[#This Row],[Différence HP
Instantané]]/(Tableau1[[#This Row],[Diff jour
Instantané]]*24)),"",Tableau1[[#This Row],[Différence HP
Instantané]]/(Tableau1[[#This Row],[Diff jour
Instantané]]*24))</f>
        <v>1.206657420244198</v>
      </c>
      <c r="L454" s="77">
        <f>Tableau1[[#This Row],[Différence HP
Instantané]]/Tableau1[[#This Row],[Diff jour
Instantané]]</f>
        <v>28.959778085860751</v>
      </c>
      <c r="M454" s="77">
        <f>Tableau1[[#This Row],[Conso HP / jour
Instantané]]*365</f>
        <v>10570.319001339174</v>
      </c>
      <c r="N454" s="79">
        <f>Tableau1[[#This Row],[Index HP
kWh]]-$I$5</f>
        <v>14835</v>
      </c>
      <c r="O454" s="80">
        <f>Tableau1[[#This Row],[Différence HP
Cumul]]/(Tableau1[[#This Row],[Diff jour_x000D_
Cumul]]*24)</f>
        <v>0.87965063016428036</v>
      </c>
      <c r="P454" s="80">
        <f>Tableau1[[#This Row],[Différence HP
Cumul]]/Tableau1[[#This Row],[Diff jour_x000D_
Cumul]]</f>
        <v>21.11161512394273</v>
      </c>
      <c r="Q454" s="80">
        <f>Tableau1[[#This Row],[Conso HP / jour
Cumul]]*365</f>
        <v>7705.7395202390962</v>
      </c>
      <c r="R454" s="78">
        <v>125716</v>
      </c>
      <c r="S454" s="79">
        <f>Tableau1[[#This Row],[Index HC_x000D_
kWh]]-R453</f>
        <v>16</v>
      </c>
      <c r="T454" s="81">
        <f>Tableau1[[#This Row],[Différence_x000D_ HC
Instantané]]/(Tableau1[[#This Row],[Diff jour
Instantané]]*24)</f>
        <v>0.66574202496231616</v>
      </c>
      <c r="U454" s="81">
        <f>Tableau1[[#This Row],[Différence_x000D_ HC
Instantané]]/Tableau1[[#This Row],[Diff jour
Instantané]]</f>
        <v>15.977808599095587</v>
      </c>
      <c r="V454" s="81">
        <f>Tableau1[[#This Row],[Conso HC / jour_x000D_
Instantané]]*365</f>
        <v>5831.9001386698892</v>
      </c>
      <c r="W454" s="79">
        <f>Tableau1[[#This Row],[Index HC_x000D_
kWh]]-$R$5</f>
        <v>6284</v>
      </c>
      <c r="X454" s="82">
        <f>Tableau1[[#This Row],[Différence HC
Cumul]]/(Tableau1[[#This Row],[Diff jour_x000D_
Cumul]]*24)</f>
        <v>0.37261372160110129</v>
      </c>
      <c r="Y454" s="82">
        <f>Tableau1[[#This Row],[Différence HC
Cumul]]/Tableau1[[#This Row],[Diff jour_x000D_
Cumul]]</f>
        <v>8.9427293184264318</v>
      </c>
      <c r="Z454" s="82">
        <f>Tableau1[[#This Row],[Conso HC / jour_x000D_
Cumul]]*365</f>
        <v>3264.0962012256477</v>
      </c>
      <c r="AA454" s="79">
        <f>Tableau1[[#This Row],[Différence HP
Instantané]]+Tableau1[[#This Row],[Différence_x000D_ HC
Instantané]]</f>
        <v>45</v>
      </c>
      <c r="AB454" s="80">
        <f>Tableau1[[#This Row],[Conso HP + HC
Instantané]]/(Tableau1[[#This Row],[Diff jour
Instantané]]*24)</f>
        <v>1.872399445206514</v>
      </c>
      <c r="AC454" s="80">
        <f>IF(ISERROR(Tableau1[[#This Row],[Date]]-A453),"",Tableau1[[#This Row],[Conso HP + HC
Instantané]]/Tableau1[[#This Row],[Diff jour
Instantané]])</f>
        <v>44.937586684956337</v>
      </c>
      <c r="AD454" s="80">
        <f>Tableau1[[#This Row],[Conso HP + HC / jour_x000D_
Instantané]]*365</f>
        <v>16402.219140009063</v>
      </c>
      <c r="AE454" s="79">
        <f>Tableau1[[#This Row],[Différence HP
Cumul]]+Tableau1[[#This Row],[Différence HC
Cumul]]</f>
        <v>21119</v>
      </c>
      <c r="AF454" s="77">
        <f>(Tableau1[[#This Row],[Conso HP + HC
Cumul]]-AE$6)/Tableau1[[#This Row],[Diff jour_x000D_
Cumul
depuis le 24/01]]</f>
        <v>27.908078981107209</v>
      </c>
      <c r="AG454" s="77">
        <f>(Tableau1[[#This Row],[Conso HP + HC
Cumul]]-AE$59)/Tableau1[[#This Row],[Diff jour_x000D_
Cumul
depuis
précédente facture
16/02/2021]]</f>
        <v>26.385669216567905</v>
      </c>
      <c r="AH454" s="80">
        <f>Tableau1[[#This Row],[Conso HP + HC
Cumul]]/(Tableau1[[#This Row],[Diff jour_x000D_
Cumul]]*24)</f>
        <v>1.2522643517653818</v>
      </c>
      <c r="AI454" s="80">
        <f>Tableau1[[#This Row],[Conso HP + HC
Cumul]]/Tableau1[[#This Row],[Diff jour_x000D_
Cumul]]</f>
        <v>30.05434444236916</v>
      </c>
      <c r="AJ454" s="80">
        <f>Tableau1[[#This Row],[Conso HP + HC / jour_x000D_
Cumul]]*365</f>
        <v>10969.835721464744</v>
      </c>
      <c r="AK454" s="83">
        <f>(Tableau1[[#This Row],[Différence HP
Cumul]]*0.1799)+(Tableau1[[#This Row],[Différence HC
Cumul]]*0.1346)</f>
        <v>3514.6428999999998</v>
      </c>
      <c r="AL454" s="83">
        <f>Tableau1[[#This Row],[Montant
Tarif HP/HC]]/Tableau1[[#This Row],[Diff jour_x000D_
Cumul]]</f>
        <v>5.0016709270574946</v>
      </c>
      <c r="AM454" s="83">
        <f>(Tableau1[[#This Row],[Montant
Tarif HP/HC]]-AK$6)/Tableau1[[#This Row],[Diff jour_x000D_
Cumul
depuis le 24/01]]</f>
        <v>4.6496672674781037</v>
      </c>
      <c r="AN454" s="83">
        <f>(Tableau1[[#This Row],[Montant
Tarif HP/HC]]-AK$59)/Tableau1[[#This Row],[Diff jour_x000D_
Cumul
depuis
précédente facture
16/02/2021]]</f>
        <v>4.3960741111667616</v>
      </c>
      <c r="AO454" s="83">
        <f>Tableau1[[#This Row],[Conso HP + HC
Cumul]]*0.1599</f>
        <v>3376.9280999999996</v>
      </c>
      <c r="AP454" s="83">
        <f>Tableau1[[#This Row],[Montant
Tarif normal]]/Tableau1[[#This Row],[Diff jour_x000D_
Cumul]]</f>
        <v>4.8056896763348282</v>
      </c>
      <c r="AQ454" s="83">
        <f>(Tableau1[[#This Row],[Conso HP / an
Cumul]]*0.1799)+(Tableau1[[#This Row],[Conso HC / an_x000D_
Cumul]]*0.1346)</f>
        <v>1825.6098883759855</v>
      </c>
      <c r="AR454" s="83">
        <f>Tableau1[[#This Row],[Conso HP + HC / an_x000D_
Cumul]]*0.1599</f>
        <v>1754.0767318622125</v>
      </c>
      <c r="AS454" s="79">
        <f>MONTH(Tableau1[[#This Row],[Date]])</f>
        <v>11</v>
      </c>
      <c r="AT454" s="79">
        <f>YEAR(Tableau1[[#This Row],[Date]])</f>
        <v>2022</v>
      </c>
    </row>
    <row r="455" spans="1:46" x14ac:dyDescent="0.2">
      <c r="A455" s="74">
        <v>44886.306250000001</v>
      </c>
      <c r="B455" s="75"/>
      <c r="C455" s="76">
        <f>IF(ISERROR(Tableau1[[#This Row],[Date]]-A454),"",Tableau1[[#This Row],[Date]]-A454)</f>
        <v>0.90416666666715173</v>
      </c>
      <c r="D455" s="77">
        <f>IF(ISERROR(Tableau1[[#This Row],[Date]]-A454),"",Tableau1[[#This Row],[Date]]-A454)</f>
        <v>0.90416666666715173</v>
      </c>
      <c r="E455" s="76">
        <f>Tableau1[[#This Row],[Date]]-$A$5</f>
        <v>703.5979166666657</v>
      </c>
      <c r="F455" s="77">
        <f>Tableau1[[#This Row],[Date]]-$A$5</f>
        <v>703.5979166666657</v>
      </c>
      <c r="G455" s="77">
        <f>Tableau1[[#This Row],[Diff jour_x000D_
Cumul]]-F$6</f>
        <v>665.51458333333721</v>
      </c>
      <c r="H455" s="77">
        <f>Tableau1[[#This Row],[Diff jour_x000D_
Cumul]]-F$59</f>
        <v>642.9951388888876</v>
      </c>
      <c r="I455" s="78">
        <v>194624</v>
      </c>
      <c r="J455" s="79">
        <f>IF(ISERROR(Tableau1[[#This Row],[Index HP
kWh]]-I454),"",Tableau1[[#This Row],[Index HP
kWh]]-I454)</f>
        <v>30</v>
      </c>
      <c r="K455" s="77">
        <f>IF(ISERROR(Tableau1[[#This Row],[Différence HP
Instantané]]/(Tableau1[[#This Row],[Diff jour
Instantané]]*24)),"",Tableau1[[#This Row],[Différence HP
Instantané]]/(Tableau1[[#This Row],[Diff jour
Instantané]]*24))</f>
        <v>1.3824884792619312</v>
      </c>
      <c r="L455" s="77">
        <f>Tableau1[[#This Row],[Différence HP
Instantané]]/Tableau1[[#This Row],[Diff jour
Instantané]]</f>
        <v>33.17972350228635</v>
      </c>
      <c r="M455" s="77">
        <f>Tableau1[[#This Row],[Conso HP / jour
Instantané]]*365</f>
        <v>12110.599078334519</v>
      </c>
      <c r="N455" s="79">
        <f>Tableau1[[#This Row],[Index HP
kWh]]-$I$5</f>
        <v>14865</v>
      </c>
      <c r="O455" s="80">
        <f>Tableau1[[#This Row],[Différence HP
Cumul]]/(Tableau1[[#This Row],[Diff jour_x000D_
Cumul]]*24)</f>
        <v>0.88029680777669661</v>
      </c>
      <c r="P455" s="80">
        <f>Tableau1[[#This Row],[Différence HP
Cumul]]/Tableau1[[#This Row],[Diff jour_x000D_
Cumul]]</f>
        <v>21.127123386640719</v>
      </c>
      <c r="Q455" s="80">
        <f>Tableau1[[#This Row],[Conso HP / jour
Cumul]]*365</f>
        <v>7711.4000361238623</v>
      </c>
      <c r="R455" s="78">
        <v>125720</v>
      </c>
      <c r="S455" s="79">
        <f>Tableau1[[#This Row],[Index HC_x000D_
kWh]]-R454</f>
        <v>4</v>
      </c>
      <c r="T455" s="81">
        <f>Tableau1[[#This Row],[Différence_x000D_ HC
Instantané]]/(Tableau1[[#This Row],[Diff jour
Instantané]]*24)</f>
        <v>0.18433179723492416</v>
      </c>
      <c r="U455" s="81">
        <f>Tableau1[[#This Row],[Différence_x000D_ HC
Instantané]]/Tableau1[[#This Row],[Diff jour
Instantané]]</f>
        <v>4.4239631336381793</v>
      </c>
      <c r="V455" s="81">
        <f>Tableau1[[#This Row],[Conso HC / jour_x000D_
Instantané]]*365</f>
        <v>1614.7465437779354</v>
      </c>
      <c r="W455" s="79">
        <f>Tableau1[[#This Row],[Index HC_x000D_
kWh]]-$R$5</f>
        <v>6288</v>
      </c>
      <c r="X455" s="82">
        <f>Tableau1[[#This Row],[Différence HC
Cumul]]/(Tableau1[[#This Row],[Diff jour_x000D_
Cumul]]*24)</f>
        <v>0.37237176772955721</v>
      </c>
      <c r="Y455" s="82">
        <f>Tableau1[[#This Row],[Différence HC
Cumul]]/Tableau1[[#This Row],[Diff jour_x000D_
Cumul]]</f>
        <v>8.9369224255093727</v>
      </c>
      <c r="Z455" s="82">
        <f>Tableau1[[#This Row],[Conso HC / jour_x000D_
Cumul]]*365</f>
        <v>3261.9766853109209</v>
      </c>
      <c r="AA455" s="79">
        <f>Tableau1[[#This Row],[Différence HP
Instantané]]+Tableau1[[#This Row],[Différence_x000D_ HC
Instantané]]</f>
        <v>34</v>
      </c>
      <c r="AB455" s="80">
        <f>Tableau1[[#This Row],[Conso HP + HC
Instantané]]/(Tableau1[[#This Row],[Diff jour
Instantané]]*24)</f>
        <v>1.5668202764968553</v>
      </c>
      <c r="AC455" s="80">
        <f>IF(ISERROR(Tableau1[[#This Row],[Date]]-A454),"",Tableau1[[#This Row],[Conso HP + HC
Instantané]]/Tableau1[[#This Row],[Diff jour
Instantané]])</f>
        <v>37.603686635924525</v>
      </c>
      <c r="AD455" s="80">
        <f>Tableau1[[#This Row],[Conso HP + HC / jour_x000D_
Instantané]]*365</f>
        <v>13725.345622112452</v>
      </c>
      <c r="AE455" s="79">
        <f>Tableau1[[#This Row],[Différence HP
Cumul]]+Tableau1[[#This Row],[Différence HC
Cumul]]</f>
        <v>21153</v>
      </c>
      <c r="AF455" s="77">
        <f>(Tableau1[[#This Row],[Conso HP + HC
Cumul]]-AE$6)/Tableau1[[#This Row],[Diff jour_x000D_
Cumul
depuis le 24/01]]</f>
        <v>27.921251412597233</v>
      </c>
      <c r="AG455" s="77">
        <f>(Tableau1[[#This Row],[Conso HP + HC
Cumul]]-AE$59)/Tableau1[[#This Row],[Diff jour_x000D_
Cumul
depuis
précédente facture
16/02/2021]]</f>
        <v>26.401443764155001</v>
      </c>
      <c r="AH455" s="80">
        <f>Tableau1[[#This Row],[Conso HP + HC
Cumul]]/(Tableau1[[#This Row],[Diff jour_x000D_
Cumul]]*24)</f>
        <v>1.2526685755062539</v>
      </c>
      <c r="AI455" s="80">
        <f>Tableau1[[#This Row],[Conso HP + HC
Cumul]]/Tableau1[[#This Row],[Diff jour_x000D_
Cumul]]</f>
        <v>30.064045812150091</v>
      </c>
      <c r="AJ455" s="80">
        <f>Tableau1[[#This Row],[Conso HP + HC / jour_x000D_
Cumul]]*365</f>
        <v>10973.376721434783</v>
      </c>
      <c r="AK455" s="83">
        <f>(Tableau1[[#This Row],[Différence HP
Cumul]]*0.1799)+(Tableau1[[#This Row],[Différence HC
Cumul]]*0.1346)</f>
        <v>3520.5782999999997</v>
      </c>
      <c r="AL455" s="83">
        <f>Tableau1[[#This Row],[Montant
Tarif HP/HC]]/Tableau1[[#This Row],[Diff jour_x000D_
Cumul]]</f>
        <v>5.0036792557302263</v>
      </c>
      <c r="AM455" s="83">
        <f>(Tableau1[[#This Row],[Montant
Tarif HP/HC]]-AK$6)/Tableau1[[#This Row],[Diff jour_x000D_
Cumul
depuis le 24/01]]</f>
        <v>4.652268751936913</v>
      </c>
      <c r="AN455" s="83">
        <f>(Tableau1[[#This Row],[Montant
Tarif HP/HC]]-AK$59)/Tableau1[[#This Row],[Diff jour_x000D_
Cumul
depuis
précédente facture
16/02/2021]]</f>
        <v>4.3991233042413356</v>
      </c>
      <c r="AO455" s="83">
        <f>Tableau1[[#This Row],[Conso HP + HC
Cumul]]*0.1599</f>
        <v>3382.3646999999996</v>
      </c>
      <c r="AP455" s="83">
        <f>Tableau1[[#This Row],[Montant
Tarif normal]]/Tableau1[[#This Row],[Diff jour_x000D_
Cumul]]</f>
        <v>4.807240925362799</v>
      </c>
      <c r="AQ455" s="83">
        <f>(Tableau1[[#This Row],[Conso HP / an
Cumul]]*0.1799)+(Tableau1[[#This Row],[Conso HC / an_x000D_
Cumul]]*0.1346)</f>
        <v>1826.3429283415328</v>
      </c>
      <c r="AR455" s="83">
        <f>Tableau1[[#This Row],[Conso HP + HC / an_x000D_
Cumul]]*0.1599</f>
        <v>1754.6429377574216</v>
      </c>
      <c r="AS455" s="79">
        <f>MONTH(Tableau1[[#This Row],[Date]])</f>
        <v>11</v>
      </c>
      <c r="AT455" s="79">
        <f>YEAR(Tableau1[[#This Row],[Date]])</f>
        <v>2022</v>
      </c>
    </row>
    <row r="456" spans="1:46" x14ac:dyDescent="0.2">
      <c r="A456" s="74">
        <v>44887.321527777778</v>
      </c>
      <c r="B456" s="75"/>
      <c r="C456" s="76">
        <f>IF(ISERROR(Tableau1[[#This Row],[Date]]-A455),"",Tableau1[[#This Row],[Date]]-A455)</f>
        <v>1.015277777776646</v>
      </c>
      <c r="D456" s="77">
        <f>IF(ISERROR(Tableau1[[#This Row],[Date]]-A455),"",Tableau1[[#This Row],[Date]]-A455)</f>
        <v>1.015277777776646</v>
      </c>
      <c r="E456" s="76">
        <f>Tableau1[[#This Row],[Date]]-$A$5</f>
        <v>704.61319444444234</v>
      </c>
      <c r="F456" s="77">
        <f>Tableau1[[#This Row],[Date]]-$A$5</f>
        <v>704.61319444444234</v>
      </c>
      <c r="G456" s="77">
        <f>Tableau1[[#This Row],[Diff jour_x000D_
Cumul]]-F$6</f>
        <v>666.52986111111386</v>
      </c>
      <c r="H456" s="77">
        <f>Tableau1[[#This Row],[Diff jour_x000D_
Cumul]]-F$59</f>
        <v>644.01041666666424</v>
      </c>
      <c r="I456" s="78">
        <v>194661</v>
      </c>
      <c r="J456" s="79">
        <f>IF(ISERROR(Tableau1[[#This Row],[Index HP
kWh]]-I455),"",Tableau1[[#This Row],[Index HP
kWh]]-I455)</f>
        <v>37</v>
      </c>
      <c r="K456" s="77">
        <f>IF(ISERROR(Tableau1[[#This Row],[Différence HP
Instantané]]/(Tableau1[[#This Row],[Diff jour
Instantané]]*24)),"",Tableau1[[#This Row],[Différence HP
Instantané]]/(Tableau1[[#This Row],[Diff jour
Instantané]]*24))</f>
        <v>1.5184678522588748</v>
      </c>
      <c r="L456" s="77">
        <f>Tableau1[[#This Row],[Différence HP
Instantané]]/Tableau1[[#This Row],[Diff jour
Instantané]]</f>
        <v>36.443228454212992</v>
      </c>
      <c r="M456" s="77">
        <f>Tableau1[[#This Row],[Conso HP / jour
Instantané]]*365</f>
        <v>13301.778385787742</v>
      </c>
      <c r="N456" s="79">
        <f>Tableau1[[#This Row],[Index HP
kWh]]-$I$5</f>
        <v>14902</v>
      </c>
      <c r="O456" s="80">
        <f>Tableau1[[#This Row],[Différence HP
Cumul]]/(Tableau1[[#This Row],[Diff jour_x000D_
Cumul]]*24)</f>
        <v>0.88121634900157264</v>
      </c>
      <c r="P456" s="80">
        <f>Tableau1[[#This Row],[Différence HP
Cumul]]/Tableau1[[#This Row],[Diff jour_x000D_
Cumul]]</f>
        <v>21.149192376037742</v>
      </c>
      <c r="Q456" s="80">
        <f>Tableau1[[#This Row],[Conso HP / jour
Cumul]]*365</f>
        <v>7719.455217253776</v>
      </c>
      <c r="R456" s="78">
        <v>125725</v>
      </c>
      <c r="S456" s="79">
        <f>Tableau1[[#This Row],[Index HC_x000D_
kWh]]-R455</f>
        <v>5</v>
      </c>
      <c r="T456" s="81">
        <f>Tableau1[[#This Row],[Différence_x000D_ HC
Instantané]]/(Tableau1[[#This Row],[Diff jour
Instantané]]*24)</f>
        <v>0.20519835841336145</v>
      </c>
      <c r="U456" s="81">
        <f>Tableau1[[#This Row],[Différence_x000D_ HC
Instantané]]/Tableau1[[#This Row],[Diff jour
Instantané]]</f>
        <v>4.9247606019206751</v>
      </c>
      <c r="V456" s="81">
        <f>Tableau1[[#This Row],[Conso HC / jour_x000D_
Instantané]]*365</f>
        <v>1797.5376197010464</v>
      </c>
      <c r="W456" s="79">
        <f>Tableau1[[#This Row],[Index HC_x000D_
kWh]]-$R$5</f>
        <v>6293</v>
      </c>
      <c r="X456" s="82">
        <f>Tableau1[[#This Row],[Différence HC
Cumul]]/(Tableau1[[#This Row],[Diff jour_x000D_
Cumul]]*24)</f>
        <v>0.37213088741557487</v>
      </c>
      <c r="Y456" s="82">
        <f>Tableau1[[#This Row],[Différence HC
Cumul]]/Tableau1[[#This Row],[Diff jour_x000D_
Cumul]]</f>
        <v>8.931141297973797</v>
      </c>
      <c r="Z456" s="82">
        <f>Tableau1[[#This Row],[Conso HC / jour_x000D_
Cumul]]*365</f>
        <v>3259.866573760436</v>
      </c>
      <c r="AA456" s="79">
        <f>Tableau1[[#This Row],[Différence HP
Instantané]]+Tableau1[[#This Row],[Différence_x000D_ HC
Instantané]]</f>
        <v>42</v>
      </c>
      <c r="AB456" s="80">
        <f>Tableau1[[#This Row],[Conso HP + HC
Instantané]]/(Tableau1[[#This Row],[Diff jour
Instantané]]*24)</f>
        <v>1.7236662106722362</v>
      </c>
      <c r="AC456" s="80">
        <f>IF(ISERROR(Tableau1[[#This Row],[Date]]-A455),"",Tableau1[[#This Row],[Conso HP + HC
Instantané]]/Tableau1[[#This Row],[Diff jour
Instantané]])</f>
        <v>41.367989056133666</v>
      </c>
      <c r="AD456" s="80">
        <f>Tableau1[[#This Row],[Conso HP + HC / jour_x000D_
Instantané]]*365</f>
        <v>15099.316005488789</v>
      </c>
      <c r="AE456" s="79">
        <f>Tableau1[[#This Row],[Différence HP
Cumul]]+Tableau1[[#This Row],[Différence HC
Cumul]]</f>
        <v>21195</v>
      </c>
      <c r="AF456" s="77">
        <f>(Tableau1[[#This Row],[Conso HP + HC
Cumul]]-AE$6)/Tableau1[[#This Row],[Diff jour_x000D_
Cumul
depuis le 24/01]]</f>
        <v>27.941733876639155</v>
      </c>
      <c r="AG456" s="77">
        <f>(Tableau1[[#This Row],[Conso HP + HC
Cumul]]-AE$59)/Tableau1[[#This Row],[Diff jour_x000D_
Cumul
depuis
précédente facture
16/02/2021]]</f>
        <v>26.42503841488081</v>
      </c>
      <c r="AH456" s="80">
        <f>Tableau1[[#This Row],[Conso HP + HC
Cumul]]/(Tableau1[[#This Row],[Diff jour_x000D_
Cumul]]*24)</f>
        <v>1.2533472364171474</v>
      </c>
      <c r="AI456" s="80">
        <f>Tableau1[[#This Row],[Conso HP + HC
Cumul]]/Tableau1[[#This Row],[Diff jour_x000D_
Cumul]]</f>
        <v>30.080333674011541</v>
      </c>
      <c r="AJ456" s="80">
        <f>Tableau1[[#This Row],[Conso HP + HC / jour_x000D_
Cumul]]*365</f>
        <v>10979.321791014212</v>
      </c>
      <c r="AK456" s="83">
        <f>(Tableau1[[#This Row],[Différence HP
Cumul]]*0.1799)+(Tableau1[[#This Row],[Différence HC
Cumul]]*0.1346)</f>
        <v>3527.9076</v>
      </c>
      <c r="AL456" s="83">
        <f>Tableau1[[#This Row],[Montant
Tarif HP/HC]]/Tableau1[[#This Row],[Diff jour_x000D_
Cumul]]</f>
        <v>5.0068713271564631</v>
      </c>
      <c r="AM456" s="83">
        <f>(Tableau1[[#This Row],[Montant
Tarif HP/HC]]-AK$6)/Tableau1[[#This Row],[Diff jour_x000D_
Cumul
depuis le 24/01]]</f>
        <v>4.6561784866269242</v>
      </c>
      <c r="AN456" s="83">
        <f>(Tableau1[[#This Row],[Montant
Tarif HP/HC]]-AK$59)/Tableau1[[#This Row],[Diff jour_x000D_
Cumul
depuis
précédente facture
16/02/2021]]</f>
        <v>4.4035688346138455</v>
      </c>
      <c r="AO456" s="83">
        <f>Tableau1[[#This Row],[Conso HP + HC
Cumul]]*0.1599</f>
        <v>3389.0804999999996</v>
      </c>
      <c r="AP456" s="83">
        <f>Tableau1[[#This Row],[Montant
Tarif normal]]/Tableau1[[#This Row],[Diff jour_x000D_
Cumul]]</f>
        <v>4.8098453544744446</v>
      </c>
      <c r="AQ456" s="83">
        <f>(Tableau1[[#This Row],[Conso HP / an
Cumul]]*0.1799)+(Tableau1[[#This Row],[Conso HC / an_x000D_
Cumul]]*0.1346)</f>
        <v>1827.5080344121091</v>
      </c>
      <c r="AR456" s="83">
        <f>Tableau1[[#This Row],[Conso HP + HC / an_x000D_
Cumul]]*0.1599</f>
        <v>1755.5935543831724</v>
      </c>
      <c r="AS456" s="79">
        <f>MONTH(Tableau1[[#This Row],[Date]])</f>
        <v>11</v>
      </c>
      <c r="AT456" s="79">
        <f>YEAR(Tableau1[[#This Row],[Date]])</f>
        <v>2022</v>
      </c>
    </row>
    <row r="457" spans="1:46" x14ac:dyDescent="0.2">
      <c r="A457" s="74">
        <v>44888.320833333331</v>
      </c>
      <c r="B457" s="75"/>
      <c r="C457" s="76">
        <f>IF(ISERROR(Tableau1[[#This Row],[Date]]-A456),"",Tableau1[[#This Row],[Date]]-A456)</f>
        <v>0.99930555555329192</v>
      </c>
      <c r="D457" s="77">
        <f>IF(ISERROR(Tableau1[[#This Row],[Date]]-A456),"",Tableau1[[#This Row],[Date]]-A456)</f>
        <v>0.99930555555329192</v>
      </c>
      <c r="E457" s="76">
        <f>Tableau1[[#This Row],[Date]]-$A$5</f>
        <v>705.61249999999563</v>
      </c>
      <c r="F457" s="77">
        <f>Tableau1[[#This Row],[Date]]-$A$5</f>
        <v>705.61249999999563</v>
      </c>
      <c r="G457" s="77">
        <f>Tableau1[[#This Row],[Diff jour_x000D_
Cumul]]-F$6</f>
        <v>667.52916666666715</v>
      </c>
      <c r="H457" s="77">
        <f>Tableau1[[#This Row],[Diff jour_x000D_
Cumul]]-F$59</f>
        <v>645.00972222221753</v>
      </c>
      <c r="I457" s="78">
        <v>194680</v>
      </c>
      <c r="J457" s="79">
        <f>IF(ISERROR(Tableau1[[#This Row],[Index HP
kWh]]-I456),"",Tableau1[[#This Row],[Index HP
kWh]]-I456)</f>
        <v>19</v>
      </c>
      <c r="K457" s="77">
        <f>IF(ISERROR(Tableau1[[#This Row],[Différence HP
Instantané]]/(Tableau1[[#This Row],[Diff jour
Instantané]]*24)),"",Tableau1[[#This Row],[Différence HP
Instantané]]/(Tableau1[[#This Row],[Diff jour
Instantané]]*24))</f>
        <v>0.79221681723598492</v>
      </c>
      <c r="L457" s="77">
        <f>Tableau1[[#This Row],[Différence HP
Instantané]]/Tableau1[[#This Row],[Diff jour
Instantané]]</f>
        <v>19.013203613663638</v>
      </c>
      <c r="M457" s="77">
        <f>Tableau1[[#This Row],[Conso HP / jour
Instantané]]*365</f>
        <v>6939.8193189872281</v>
      </c>
      <c r="N457" s="79">
        <f>Tableau1[[#This Row],[Index HP
kWh]]-$I$5</f>
        <v>14921</v>
      </c>
      <c r="O457" s="80">
        <f>Tableau1[[#This Row],[Différence HP
Cumul]]/(Tableau1[[#This Row],[Diff jour_x000D_
Cumul]]*24)</f>
        <v>0.88109030570367897</v>
      </c>
      <c r="P457" s="80">
        <f>Tableau1[[#This Row],[Différence HP
Cumul]]/Tableau1[[#This Row],[Diff jour_x000D_
Cumul]]</f>
        <v>21.146167336888297</v>
      </c>
      <c r="Q457" s="80">
        <f>Tableau1[[#This Row],[Conso HP / jour
Cumul]]*365</f>
        <v>7718.3510779642284</v>
      </c>
      <c r="R457" s="78">
        <v>125739</v>
      </c>
      <c r="S457" s="79">
        <f>Tableau1[[#This Row],[Index HC_x000D_
kWh]]-R456</f>
        <v>14</v>
      </c>
      <c r="T457" s="81">
        <f>Tableau1[[#This Row],[Différence_x000D_ HC
Instantané]]/(Tableau1[[#This Row],[Diff jour
Instantané]]*24)</f>
        <v>0.58373870743704148</v>
      </c>
      <c r="U457" s="81">
        <f>Tableau1[[#This Row],[Différence_x000D_ HC
Instantané]]/Tableau1[[#This Row],[Diff jour
Instantané]]</f>
        <v>14.009728978488997</v>
      </c>
      <c r="V457" s="81">
        <f>Tableau1[[#This Row],[Conso HC / jour_x000D_
Instantané]]*365</f>
        <v>5113.5510771484842</v>
      </c>
      <c r="W457" s="79">
        <f>Tableau1[[#This Row],[Index HC_x000D_
kWh]]-$R$5</f>
        <v>6307</v>
      </c>
      <c r="X457" s="82">
        <f>Tableau1[[#This Row],[Différence HC
Cumul]]/(Tableau1[[#This Row],[Diff jour_x000D_
Cumul]]*24)</f>
        <v>0.37243057154836157</v>
      </c>
      <c r="Y457" s="82">
        <f>Tableau1[[#This Row],[Différence HC
Cumul]]/Tableau1[[#This Row],[Diff jour_x000D_
Cumul]]</f>
        <v>8.9383337171606776</v>
      </c>
      <c r="Z457" s="82">
        <f>Tableau1[[#This Row],[Conso HC / jour_x000D_
Cumul]]*365</f>
        <v>3262.4918067636472</v>
      </c>
      <c r="AA457" s="79">
        <f>Tableau1[[#This Row],[Différence HP
Instantané]]+Tableau1[[#This Row],[Différence_x000D_ HC
Instantané]]</f>
        <v>33</v>
      </c>
      <c r="AB457" s="80">
        <f>Tableau1[[#This Row],[Conso HP + HC
Instantané]]/(Tableau1[[#This Row],[Diff jour
Instantané]]*24)</f>
        <v>1.3759555246730264</v>
      </c>
      <c r="AC457" s="80">
        <f>IF(ISERROR(Tableau1[[#This Row],[Date]]-A456),"",Tableau1[[#This Row],[Conso HP + HC
Instantané]]/Tableau1[[#This Row],[Diff jour
Instantané]])</f>
        <v>33.022932592152635</v>
      </c>
      <c r="AD457" s="80">
        <f>Tableau1[[#This Row],[Conso HP + HC / jour_x000D_
Instantané]]*365</f>
        <v>12053.370396135711</v>
      </c>
      <c r="AE457" s="79">
        <f>Tableau1[[#This Row],[Différence HP
Cumul]]+Tableau1[[#This Row],[Différence HC
Cumul]]</f>
        <v>21228</v>
      </c>
      <c r="AF457" s="77">
        <f>(Tableau1[[#This Row],[Conso HP + HC
Cumul]]-AE$6)/Tableau1[[#This Row],[Diff jour_x000D_
Cumul
depuis le 24/01]]</f>
        <v>27.949340540675482</v>
      </c>
      <c r="AG457" s="77">
        <f>(Tableau1[[#This Row],[Conso HP + HC
Cumul]]-AE$59)/Tableau1[[#This Row],[Diff jour_x000D_
Cumul
depuis
précédente facture
16/02/2021]]</f>
        <v>26.435260450424067</v>
      </c>
      <c r="AH457" s="80">
        <f>Tableau1[[#This Row],[Conso HP + HC
Cumul]]/(Tableau1[[#This Row],[Diff jour_x000D_
Cumul]]*24)</f>
        <v>1.2535208772520405</v>
      </c>
      <c r="AI457" s="80">
        <f>Tableau1[[#This Row],[Conso HP + HC
Cumul]]/Tableau1[[#This Row],[Diff jour_x000D_
Cumul]]</f>
        <v>30.084501054048975</v>
      </c>
      <c r="AJ457" s="80">
        <f>Tableau1[[#This Row],[Conso HP + HC / jour_x000D_
Cumul]]*365</f>
        <v>10980.842884727876</v>
      </c>
      <c r="AK457" s="83">
        <f>(Tableau1[[#This Row],[Différence HP
Cumul]]*0.1799)+(Tableau1[[#This Row],[Différence HC
Cumul]]*0.1346)</f>
        <v>3533.2101000000002</v>
      </c>
      <c r="AL457" s="83">
        <f>Tableau1[[#This Row],[Montant
Tarif HP/HC]]/Tableau1[[#This Row],[Diff jour_x000D_
Cumul]]</f>
        <v>5.0072952222360323</v>
      </c>
      <c r="AM457" s="83">
        <f>(Tableau1[[#This Row],[Montant
Tarif HP/HC]]-AK$6)/Tableau1[[#This Row],[Diff jour_x000D_
Cumul
depuis le 24/01]]</f>
        <v>4.6571515601690283</v>
      </c>
      <c r="AN457" s="83">
        <f>(Tableau1[[#This Row],[Montant
Tarif HP/HC]]-AK$59)/Tableau1[[#This Row],[Diff jour_x000D_
Cumul
depuis
précédente facture
16/02/2021]]</f>
        <v>4.4049672464024336</v>
      </c>
      <c r="AO457" s="83">
        <f>Tableau1[[#This Row],[Conso HP + HC
Cumul]]*0.1599</f>
        <v>3394.3571999999999</v>
      </c>
      <c r="AP457" s="83">
        <f>Tableau1[[#This Row],[Montant
Tarif normal]]/Tableau1[[#This Row],[Diff jour_x000D_
Cumul]]</f>
        <v>4.8105117185424309</v>
      </c>
      <c r="AQ457" s="83">
        <f>(Tableau1[[#This Row],[Conso HP / an
Cumul]]*0.1799)+(Tableau1[[#This Row],[Conso HC / an_x000D_
Cumul]]*0.1346)</f>
        <v>1827.6627561161515</v>
      </c>
      <c r="AR457" s="83">
        <f>Tableau1[[#This Row],[Conso HP + HC / an_x000D_
Cumul]]*0.1599</f>
        <v>1755.8367772679871</v>
      </c>
      <c r="AS457" s="79">
        <f>MONTH(Tableau1[[#This Row],[Date]])</f>
        <v>11</v>
      </c>
      <c r="AT457" s="79">
        <f>YEAR(Tableau1[[#This Row],[Date]])</f>
        <v>2022</v>
      </c>
    </row>
    <row r="458" spans="1:46" x14ac:dyDescent="0.2">
      <c r="A458" s="74">
        <v>44889.36041666667</v>
      </c>
      <c r="B458" s="75"/>
      <c r="C458" s="76">
        <f>IF(ISERROR(Tableau1[[#This Row],[Date]]-A457),"",Tableau1[[#This Row],[Date]]-A457)</f>
        <v>1.039583333338669</v>
      </c>
      <c r="D458" s="77">
        <f>IF(ISERROR(Tableau1[[#This Row],[Date]]-A457),"",Tableau1[[#This Row],[Date]]-A457)</f>
        <v>1.039583333338669</v>
      </c>
      <c r="E458" s="76">
        <f>Tableau1[[#This Row],[Date]]-$A$5</f>
        <v>706.6520833333343</v>
      </c>
      <c r="F458" s="77">
        <f>Tableau1[[#This Row],[Date]]-$A$5</f>
        <v>706.6520833333343</v>
      </c>
      <c r="G458" s="77">
        <f>Tableau1[[#This Row],[Diff jour_x000D_
Cumul]]-F$6</f>
        <v>668.56875000000582</v>
      </c>
      <c r="H458" s="77">
        <f>Tableau1[[#This Row],[Diff jour_x000D_
Cumul]]-F$59</f>
        <v>646.0493055555562</v>
      </c>
      <c r="I458" s="78">
        <v>194708</v>
      </c>
      <c r="J458" s="79">
        <f>IF(ISERROR(Tableau1[[#This Row],[Index HP
kWh]]-I457),"",Tableau1[[#This Row],[Index HP
kWh]]-I457)</f>
        <v>28</v>
      </c>
      <c r="K458" s="77">
        <f>IF(ISERROR(Tableau1[[#This Row],[Différence HP
Instantané]]/(Tableau1[[#This Row],[Diff jour
Instantané]]*24)),"",Tableau1[[#This Row],[Différence HP
Instantané]]/(Tableau1[[#This Row],[Diff jour
Instantané]]*24))</f>
        <v>1.1222444889721959</v>
      </c>
      <c r="L458" s="77">
        <f>Tableau1[[#This Row],[Différence HP
Instantané]]/Tableau1[[#This Row],[Diff jour
Instantané]]</f>
        <v>26.933867735332704</v>
      </c>
      <c r="M458" s="77">
        <f>Tableau1[[#This Row],[Conso HP / jour
Instantané]]*365</f>
        <v>9830.8617233964378</v>
      </c>
      <c r="N458" s="79">
        <f>Tableau1[[#This Row],[Index HP
kWh]]-$I$5</f>
        <v>14949</v>
      </c>
      <c r="O458" s="80">
        <f>Tableau1[[#This Row],[Différence HP
Cumul]]/(Tableau1[[#This Row],[Diff jour_x000D_
Cumul]]*24)</f>
        <v>0.88144507699156405</v>
      </c>
      <c r="P458" s="80">
        <f>Tableau1[[#This Row],[Différence HP
Cumul]]/Tableau1[[#This Row],[Diff jour_x000D_
Cumul]]</f>
        <v>21.154681847797537</v>
      </c>
      <c r="Q458" s="80">
        <f>Tableau1[[#This Row],[Conso HP / jour
Cumul]]*365</f>
        <v>7721.4588744461007</v>
      </c>
      <c r="R458" s="78">
        <v>125753</v>
      </c>
      <c r="S458" s="79">
        <f>Tableau1[[#This Row],[Index HC_x000D_
kWh]]-R457</f>
        <v>14</v>
      </c>
      <c r="T458" s="81">
        <f>Tableau1[[#This Row],[Différence_x000D_ HC
Instantané]]/(Tableau1[[#This Row],[Diff jour
Instantané]]*24)</f>
        <v>0.56112224448609793</v>
      </c>
      <c r="U458" s="81">
        <f>Tableau1[[#This Row],[Différence_x000D_ HC
Instantané]]/Tableau1[[#This Row],[Diff jour
Instantané]]</f>
        <v>13.466933867666352</v>
      </c>
      <c r="V458" s="81">
        <f>Tableau1[[#This Row],[Conso HC / jour_x000D_
Instantané]]*365</f>
        <v>4915.4308616982189</v>
      </c>
      <c r="W458" s="79">
        <f>Tableau1[[#This Row],[Index HC_x000D_
kWh]]-$R$5</f>
        <v>6321</v>
      </c>
      <c r="X458" s="82">
        <f>Tableau1[[#This Row],[Différence HC
Cumul]]/(Tableau1[[#This Row],[Diff jour_x000D_
Cumul]]*24)</f>
        <v>0.37270816319912209</v>
      </c>
      <c r="Y458" s="82">
        <f>Tableau1[[#This Row],[Différence HC
Cumul]]/Tableau1[[#This Row],[Diff jour_x000D_
Cumul]]</f>
        <v>8.9449959167789306</v>
      </c>
      <c r="Z458" s="82">
        <f>Tableau1[[#This Row],[Conso HC / jour_x000D_
Cumul]]*365</f>
        <v>3264.9235096243096</v>
      </c>
      <c r="AA458" s="79">
        <f>Tableau1[[#This Row],[Différence HP
Instantané]]+Tableau1[[#This Row],[Différence_x000D_ HC
Instantané]]</f>
        <v>42</v>
      </c>
      <c r="AB458" s="80">
        <f>Tableau1[[#This Row],[Conso HP + HC
Instantané]]/(Tableau1[[#This Row],[Diff jour
Instantané]]*24)</f>
        <v>1.683366733458294</v>
      </c>
      <c r="AC458" s="80">
        <f>IF(ISERROR(Tableau1[[#This Row],[Date]]-A457),"",Tableau1[[#This Row],[Conso HP + HC
Instantané]]/Tableau1[[#This Row],[Diff jour
Instantané]])</f>
        <v>40.400801602999053</v>
      </c>
      <c r="AD458" s="80">
        <f>Tableau1[[#This Row],[Conso HP + HC / jour_x000D_
Instantané]]*365</f>
        <v>14746.292585094654</v>
      </c>
      <c r="AE458" s="79">
        <f>Tableau1[[#This Row],[Différence HP
Cumul]]+Tableau1[[#This Row],[Différence HC
Cumul]]</f>
        <v>21270</v>
      </c>
      <c r="AF458" s="77">
        <f>(Tableau1[[#This Row],[Conso HP + HC
Cumul]]-AE$6)/Tableau1[[#This Row],[Diff jour_x000D_
Cumul
depuis le 24/01]]</f>
        <v>27.968701797683241</v>
      </c>
      <c r="AG458" s="77">
        <f>(Tableau1[[#This Row],[Conso HP + HC
Cumul]]-AE$59)/Tableau1[[#This Row],[Diff jour_x000D_
Cumul
depuis
précédente facture
16/02/2021]]</f>
        <v>26.457732951668824</v>
      </c>
      <c r="AH458" s="80">
        <f>Tableau1[[#This Row],[Conso HP + HC
Cumul]]/(Tableau1[[#This Row],[Diff jour_x000D_
Cumul]]*24)</f>
        <v>1.2541532401906861</v>
      </c>
      <c r="AI458" s="80">
        <f>Tableau1[[#This Row],[Conso HP + HC
Cumul]]/Tableau1[[#This Row],[Diff jour_x000D_
Cumul]]</f>
        <v>30.099677764576469</v>
      </c>
      <c r="AJ458" s="80">
        <f>Tableau1[[#This Row],[Conso HP + HC / jour_x000D_
Cumul]]*365</f>
        <v>10986.382384070412</v>
      </c>
      <c r="AK458" s="83">
        <f>(Tableau1[[#This Row],[Différence HP
Cumul]]*0.1799)+(Tableau1[[#This Row],[Différence HC
Cumul]]*0.1346)</f>
        <v>3540.1316999999999</v>
      </c>
      <c r="AL458" s="83">
        <f>Tableau1[[#This Row],[Montant
Tarif HP/HC]]/Tableau1[[#This Row],[Diff jour_x000D_
Cumul]]</f>
        <v>5.0097237148172207</v>
      </c>
      <c r="AM458" s="83">
        <f>(Tableau1[[#This Row],[Montant
Tarif HP/HC]]-AK$6)/Tableau1[[#This Row],[Diff jour_x000D_
Cumul
depuis le 24/01]]</f>
        <v>4.6602628375914561</v>
      </c>
      <c r="AN458" s="83">
        <f>(Tableau1[[#This Row],[Montant
Tarif HP/HC]]-AK$59)/Tableau1[[#This Row],[Diff jour_x000D_
Cumul
depuis
précédente facture
16/02/2021]]</f>
        <v>4.4085927738143438</v>
      </c>
      <c r="AO458" s="83">
        <f>Tableau1[[#This Row],[Conso HP + HC
Cumul]]*0.1599</f>
        <v>3401.0729999999999</v>
      </c>
      <c r="AP458" s="83">
        <f>Tableau1[[#This Row],[Montant
Tarif normal]]/Tableau1[[#This Row],[Diff jour_x000D_
Cumul]]</f>
        <v>4.8129384745557768</v>
      </c>
      <c r="AQ458" s="83">
        <f>(Tableau1[[#This Row],[Conso HP / an
Cumul]]*0.1799)+(Tableau1[[#This Row],[Conso HC / an_x000D_
Cumul]]*0.1346)</f>
        <v>1828.5491559082857</v>
      </c>
      <c r="AR458" s="83">
        <f>Tableau1[[#This Row],[Conso HP + HC / an_x000D_
Cumul]]*0.1599</f>
        <v>1756.7225432128587</v>
      </c>
      <c r="AS458" s="79">
        <f>MONTH(Tableau1[[#This Row],[Date]])</f>
        <v>11</v>
      </c>
      <c r="AT458" s="79">
        <f>YEAR(Tableau1[[#This Row],[Date]])</f>
        <v>2022</v>
      </c>
    </row>
    <row r="459" spans="1:46" x14ac:dyDescent="0.2">
      <c r="A459" s="74">
        <v>44890.34652777778</v>
      </c>
      <c r="B459" s="75"/>
      <c r="C459" s="76">
        <f>IF(ISERROR(Tableau1[[#This Row],[Date]]-A458),"",Tableau1[[#This Row],[Date]]-A458)</f>
        <v>0.98611111110949423</v>
      </c>
      <c r="D459" s="77">
        <f>IF(ISERROR(Tableau1[[#This Row],[Date]]-A458),"",Tableau1[[#This Row],[Date]]-A458)</f>
        <v>0.98611111110949423</v>
      </c>
      <c r="E459" s="76">
        <f>Tableau1[[#This Row],[Date]]-$A$5</f>
        <v>707.6381944444438</v>
      </c>
      <c r="F459" s="77">
        <f>Tableau1[[#This Row],[Date]]-$A$5</f>
        <v>707.6381944444438</v>
      </c>
      <c r="G459" s="77">
        <f>Tableau1[[#This Row],[Diff jour_x000D_
Cumul]]-F$6</f>
        <v>669.55486111111531</v>
      </c>
      <c r="H459" s="77">
        <f>Tableau1[[#This Row],[Diff jour_x000D_
Cumul]]-F$59</f>
        <v>647.0354166666657</v>
      </c>
      <c r="I459" s="78">
        <v>194736</v>
      </c>
      <c r="J459" s="79">
        <f>IF(ISERROR(Tableau1[[#This Row],[Index HP
kWh]]-I458),"",Tableau1[[#This Row],[Index HP
kWh]]-I458)</f>
        <v>28</v>
      </c>
      <c r="K459" s="77">
        <f>IF(ISERROR(Tableau1[[#This Row],[Différence HP
Instantané]]/(Tableau1[[#This Row],[Diff jour
Instantané]]*24)),"",Tableau1[[#This Row],[Différence HP
Instantané]]/(Tableau1[[#This Row],[Diff jour
Instantané]]*24))</f>
        <v>1.1830985915512355</v>
      </c>
      <c r="L459" s="77">
        <f>Tableau1[[#This Row],[Différence HP
Instantané]]/Tableau1[[#This Row],[Diff jour
Instantané]]</f>
        <v>28.394366197229655</v>
      </c>
      <c r="M459" s="77">
        <f>Tableau1[[#This Row],[Conso HP / jour
Instantané]]*365</f>
        <v>10363.943661988824</v>
      </c>
      <c r="N459" s="79">
        <f>Tableau1[[#This Row],[Index HP
kWh]]-$I$5</f>
        <v>14977</v>
      </c>
      <c r="O459" s="80">
        <f>Tableau1[[#This Row],[Différence HP
Cumul]]/(Tableau1[[#This Row],[Diff jour_x000D_
Cumul]]*24)</f>
        <v>0.88186543853330657</v>
      </c>
      <c r="P459" s="80">
        <f>Tableau1[[#This Row],[Différence HP
Cumul]]/Tableau1[[#This Row],[Diff jour_x000D_
Cumul]]</f>
        <v>21.164770524799358</v>
      </c>
      <c r="Q459" s="80">
        <f>Tableau1[[#This Row],[Conso HP / jour
Cumul]]*365</f>
        <v>7725.1412415517661</v>
      </c>
      <c r="R459" s="78">
        <v>125757</v>
      </c>
      <c r="S459" s="79">
        <f>Tableau1[[#This Row],[Index HC_x000D_
kWh]]-R458</f>
        <v>4</v>
      </c>
      <c r="T459" s="81">
        <f>Tableau1[[#This Row],[Différence_x000D_ HC
Instantané]]/(Tableau1[[#This Row],[Diff jour
Instantané]]*24)</f>
        <v>0.16901408450731939</v>
      </c>
      <c r="U459" s="81">
        <f>Tableau1[[#This Row],[Différence_x000D_ HC
Instantané]]/Tableau1[[#This Row],[Diff jour
Instantané]]</f>
        <v>4.0563380281756647</v>
      </c>
      <c r="V459" s="81">
        <f>Tableau1[[#This Row],[Conso HC / jour_x000D_
Instantané]]*365</f>
        <v>1480.5633802841176</v>
      </c>
      <c r="W459" s="79">
        <f>Tableau1[[#This Row],[Index HC_x000D_
kWh]]-$R$5</f>
        <v>6325</v>
      </c>
      <c r="X459" s="82">
        <f>Tableau1[[#This Row],[Différence HC
Cumul]]/(Tableau1[[#This Row],[Diff jour_x000D_
Cumul]]*24)</f>
        <v>0.37242431052434827</v>
      </c>
      <c r="Y459" s="82">
        <f>Tableau1[[#This Row],[Différence HC
Cumul]]/Tableau1[[#This Row],[Diff jour_x000D_
Cumul]]</f>
        <v>8.938183452584358</v>
      </c>
      <c r="Z459" s="82">
        <f>Tableau1[[#This Row],[Conso HC / jour_x000D_
Cumul]]*365</f>
        <v>3262.4369601932908</v>
      </c>
      <c r="AA459" s="79">
        <f>Tableau1[[#This Row],[Différence HP
Instantané]]+Tableau1[[#This Row],[Différence_x000D_ HC
Instantané]]</f>
        <v>32</v>
      </c>
      <c r="AB459" s="80">
        <f>Tableau1[[#This Row],[Conso HP + HC
Instantané]]/(Tableau1[[#This Row],[Diff jour
Instantané]]*24)</f>
        <v>1.3521126760585551</v>
      </c>
      <c r="AC459" s="80">
        <f>IF(ISERROR(Tableau1[[#This Row],[Date]]-A458),"",Tableau1[[#This Row],[Conso HP + HC
Instantané]]/Tableau1[[#This Row],[Diff jour
Instantané]])</f>
        <v>32.450704225405318</v>
      </c>
      <c r="AD459" s="80">
        <f>Tableau1[[#This Row],[Conso HP + HC / jour_x000D_
Instantané]]*365</f>
        <v>11844.50704227294</v>
      </c>
      <c r="AE459" s="79">
        <f>Tableau1[[#This Row],[Différence HP
Cumul]]+Tableau1[[#This Row],[Différence HC
Cumul]]</f>
        <v>21302</v>
      </c>
      <c r="AF459" s="77">
        <f>(Tableau1[[#This Row],[Conso HP + HC
Cumul]]-AE$6)/Tableau1[[#This Row],[Diff jour_x000D_
Cumul
depuis le 24/01]]</f>
        <v>27.975302828682647</v>
      </c>
      <c r="AG459" s="77">
        <f>(Tableau1[[#This Row],[Conso HP + HC
Cumul]]-AE$59)/Tableau1[[#This Row],[Diff jour_x000D_
Cumul
depuis
précédente facture
16/02/2021]]</f>
        <v>26.466866509754464</v>
      </c>
      <c r="AH459" s="80">
        <f>Tableau1[[#This Row],[Conso HP + HC
Cumul]]/(Tableau1[[#This Row],[Diff jour_x000D_
Cumul]]*24)</f>
        <v>1.2542897490576548</v>
      </c>
      <c r="AI459" s="80">
        <f>Tableau1[[#This Row],[Conso HP + HC
Cumul]]/Tableau1[[#This Row],[Diff jour_x000D_
Cumul]]</f>
        <v>30.102953977383716</v>
      </c>
      <c r="AJ459" s="80">
        <f>Tableau1[[#This Row],[Conso HP + HC / jour_x000D_
Cumul]]*365</f>
        <v>10987.578201745057</v>
      </c>
      <c r="AK459" s="83">
        <f>(Tableau1[[#This Row],[Différence HP
Cumul]]*0.1799)+(Tableau1[[#This Row],[Différence HC
Cumul]]*0.1346)</f>
        <v>3545.7073</v>
      </c>
      <c r="AL459" s="83">
        <f>Tableau1[[#This Row],[Montant
Tarif HP/HC]]/Tableau1[[#This Row],[Diff jour_x000D_
Cumul]]</f>
        <v>5.0106217101292589</v>
      </c>
      <c r="AM459" s="83">
        <f>(Tableau1[[#This Row],[Montant
Tarif HP/HC]]-AK$6)/Tableau1[[#This Row],[Diff jour_x000D_
Cumul
depuis le 24/01]]</f>
        <v>4.6617265907386356</v>
      </c>
      <c r="AN459" s="83">
        <f>(Tableau1[[#This Row],[Montant
Tarif HP/HC]]-AK$59)/Tableau1[[#This Row],[Diff jour_x000D_
Cumul
depuis
précédente facture
16/02/2021]]</f>
        <v>4.4104910279898446</v>
      </c>
      <c r="AO459" s="83">
        <f>Tableau1[[#This Row],[Conso HP + HC
Cumul]]*0.1599</f>
        <v>3406.1897999999997</v>
      </c>
      <c r="AP459" s="83">
        <f>Tableau1[[#This Row],[Montant
Tarif normal]]/Tableau1[[#This Row],[Diff jour_x000D_
Cumul]]</f>
        <v>4.8134623409836559</v>
      </c>
      <c r="AQ459" s="83">
        <f>(Tableau1[[#This Row],[Conso HP / an
Cumul]]*0.1799)+(Tableau1[[#This Row],[Conso HC / an_x000D_
Cumul]]*0.1346)</f>
        <v>1828.8769241971797</v>
      </c>
      <c r="AR459" s="83">
        <f>Tableau1[[#This Row],[Conso HP + HC / an_x000D_
Cumul]]*0.1599</f>
        <v>1756.9137544590344</v>
      </c>
      <c r="AS459" s="79">
        <f>MONTH(Tableau1[[#This Row],[Date]])</f>
        <v>11</v>
      </c>
      <c r="AT459" s="79">
        <f>YEAR(Tableau1[[#This Row],[Date]])</f>
        <v>2022</v>
      </c>
    </row>
    <row r="460" spans="1:46" x14ac:dyDescent="0.2">
      <c r="A460" s="74">
        <v>44891.353472222225</v>
      </c>
      <c r="B460" s="75"/>
      <c r="C460" s="76">
        <f>IF(ISERROR(Tableau1[[#This Row],[Date]]-A459),"",Tableau1[[#This Row],[Date]]-A459)</f>
        <v>1.0069444444452529</v>
      </c>
      <c r="D460" s="77">
        <f>IF(ISERROR(Tableau1[[#This Row],[Date]]-A459),"",Tableau1[[#This Row],[Date]]-A459)</f>
        <v>1.0069444444452529</v>
      </c>
      <c r="E460" s="76">
        <f>Tableau1[[#This Row],[Date]]-$A$5</f>
        <v>708.64513888888905</v>
      </c>
      <c r="F460" s="77">
        <f>Tableau1[[#This Row],[Date]]-$A$5</f>
        <v>708.64513888888905</v>
      </c>
      <c r="G460" s="77">
        <f>Tableau1[[#This Row],[Diff jour_x000D_
Cumul]]-F$6</f>
        <v>670.56180555556057</v>
      </c>
      <c r="H460" s="77">
        <f>Tableau1[[#This Row],[Diff jour_x000D_
Cumul]]-F$59</f>
        <v>648.04236111111095</v>
      </c>
      <c r="I460" s="78">
        <v>194763</v>
      </c>
      <c r="J460" s="79">
        <f>IF(ISERROR(Tableau1[[#This Row],[Index HP
kWh]]-I459),"",Tableau1[[#This Row],[Index HP
kWh]]-I459)</f>
        <v>27</v>
      </c>
      <c r="K460" s="77">
        <f>IF(ISERROR(Tableau1[[#This Row],[Différence HP
Instantané]]/(Tableau1[[#This Row],[Diff jour
Instantané]]*24)),"",Tableau1[[#This Row],[Différence HP
Instantané]]/(Tableau1[[#This Row],[Diff jour
Instantané]]*24))</f>
        <v>1.1172413793094478</v>
      </c>
      <c r="L460" s="77">
        <f>Tableau1[[#This Row],[Différence HP
Instantané]]/Tableau1[[#This Row],[Diff jour
Instantané]]</f>
        <v>26.813793103426747</v>
      </c>
      <c r="M460" s="77">
        <f>Tableau1[[#This Row],[Conso HP / jour
Instantané]]*365</f>
        <v>9787.0344827507633</v>
      </c>
      <c r="N460" s="79">
        <f>Tableau1[[#This Row],[Index HP
kWh]]-$I$5</f>
        <v>15004</v>
      </c>
      <c r="O460" s="80">
        <f>Tableau1[[#This Row],[Différence HP
Cumul]]/(Tableau1[[#This Row],[Diff jour_x000D_
Cumul]]*24)</f>
        <v>0.8821998943602275</v>
      </c>
      <c r="P460" s="80">
        <f>Tableau1[[#This Row],[Différence HP
Cumul]]/Tableau1[[#This Row],[Diff jour_x000D_
Cumul]]</f>
        <v>21.172797464645459</v>
      </c>
      <c r="Q460" s="80">
        <f>Tableau1[[#This Row],[Conso HP / jour
Cumul]]*365</f>
        <v>7728.071074595593</v>
      </c>
      <c r="R460" s="78">
        <v>125762</v>
      </c>
      <c r="S460" s="79">
        <f>Tableau1[[#This Row],[Index HC_x000D_
kWh]]-R459</f>
        <v>5</v>
      </c>
      <c r="T460" s="81">
        <f>Tableau1[[#This Row],[Différence_x000D_ HC
Instantané]]/(Tableau1[[#This Row],[Diff jour
Instantané]]*24)</f>
        <v>0.20689655172397181</v>
      </c>
      <c r="U460" s="81">
        <f>Tableau1[[#This Row],[Différence_x000D_ HC
Instantané]]/Tableau1[[#This Row],[Diff jour
Instantané]]</f>
        <v>4.9655172413753235</v>
      </c>
      <c r="V460" s="81">
        <f>Tableau1[[#This Row],[Conso HC / jour_x000D_
Instantané]]*365</f>
        <v>1812.4137931019932</v>
      </c>
      <c r="W460" s="79">
        <f>Tableau1[[#This Row],[Index HC_x000D_
kWh]]-$R$5</f>
        <v>6330</v>
      </c>
      <c r="X460" s="82">
        <f>Tableau1[[#This Row],[Différence HC
Cumul]]/(Tableau1[[#This Row],[Diff jour_x000D_
Cumul]]*24)</f>
        <v>0.37218910499201813</v>
      </c>
      <c r="Y460" s="82">
        <f>Tableau1[[#This Row],[Différence HC
Cumul]]/Tableau1[[#This Row],[Diff jour_x000D_
Cumul]]</f>
        <v>8.9325385198084355</v>
      </c>
      <c r="Z460" s="82">
        <f>Tableau1[[#This Row],[Conso HC / jour_x000D_
Cumul]]*365</f>
        <v>3260.376559730079</v>
      </c>
      <c r="AA460" s="79">
        <f>Tableau1[[#This Row],[Différence HP
Instantané]]+Tableau1[[#This Row],[Différence_x000D_ HC
Instantané]]</f>
        <v>32</v>
      </c>
      <c r="AB460" s="80">
        <f>Tableau1[[#This Row],[Conso HP + HC
Instantané]]/(Tableau1[[#This Row],[Diff jour
Instantané]]*24)</f>
        <v>1.3241379310334196</v>
      </c>
      <c r="AC460" s="80">
        <f>IF(ISERROR(Tableau1[[#This Row],[Date]]-A459),"",Tableau1[[#This Row],[Conso HP + HC
Instantané]]/Tableau1[[#This Row],[Diff jour
Instantané]])</f>
        <v>31.77931034480207</v>
      </c>
      <c r="AD460" s="80">
        <f>Tableau1[[#This Row],[Conso HP + HC / jour_x000D_
Instantané]]*365</f>
        <v>11599.448275852756</v>
      </c>
      <c r="AE460" s="79">
        <f>Tableau1[[#This Row],[Différence HP
Cumul]]+Tableau1[[#This Row],[Différence HC
Cumul]]</f>
        <v>21334</v>
      </c>
      <c r="AF460" s="77">
        <f>(Tableau1[[#This Row],[Conso HP + HC
Cumul]]-AE$6)/Tableau1[[#This Row],[Diff jour_x000D_
Cumul
depuis le 24/01]]</f>
        <v>27.981015089958564</v>
      </c>
      <c r="AG460" s="77">
        <f>(Tableau1[[#This Row],[Conso HP + HC
Cumul]]-AE$59)/Tableau1[[#This Row],[Diff jour_x000D_
Cumul
depuis
précédente facture
16/02/2021]]</f>
        <v>26.475121117982479</v>
      </c>
      <c r="AH460" s="80">
        <f>Tableau1[[#This Row],[Conso HP + HC
Cumul]]/(Tableau1[[#This Row],[Diff jour_x000D_
Cumul]]*24)</f>
        <v>1.2543889993522457</v>
      </c>
      <c r="AI460" s="80">
        <f>Tableau1[[#This Row],[Conso HP + HC
Cumul]]/Tableau1[[#This Row],[Diff jour_x000D_
Cumul]]</f>
        <v>30.105335984453895</v>
      </c>
      <c r="AJ460" s="80">
        <f>Tableau1[[#This Row],[Conso HP + HC / jour_x000D_
Cumul]]*365</f>
        <v>10988.447634325672</v>
      </c>
      <c r="AK460" s="83">
        <f>(Tableau1[[#This Row],[Différence HP
Cumul]]*0.1799)+(Tableau1[[#This Row],[Différence HC
Cumul]]*0.1346)</f>
        <v>3551.2375999999999</v>
      </c>
      <c r="AL460" s="83">
        <f>Tableau1[[#This Row],[Montant
Tarif HP/HC]]/Tableau1[[#This Row],[Diff jour_x000D_
Cumul]]</f>
        <v>5.0113059486559335</v>
      </c>
      <c r="AM460" s="83">
        <f>(Tableau1[[#This Row],[Montant
Tarif HP/HC]]-AK$6)/Tableau1[[#This Row],[Diff jour_x000D_
Cumul
depuis le 24/01]]</f>
        <v>4.6629736052584079</v>
      </c>
      <c r="AN460" s="83">
        <f>(Tableau1[[#This Row],[Montant
Tarif HP/HC]]-AK$59)/Tableau1[[#This Row],[Diff jour_x000D_
Cumul
depuis
précédente facture
16/02/2021]]</f>
        <v>4.4121717523181472</v>
      </c>
      <c r="AO460" s="83">
        <f>Tableau1[[#This Row],[Conso HP + HC
Cumul]]*0.1599</f>
        <v>3411.3065999999999</v>
      </c>
      <c r="AP460" s="83">
        <f>Tableau1[[#This Row],[Montant
Tarif normal]]/Tableau1[[#This Row],[Diff jour_x000D_
Cumul]]</f>
        <v>4.8138432239141773</v>
      </c>
      <c r="AQ460" s="83">
        <f>(Tableau1[[#This Row],[Conso HP / an
Cumul]]*0.1799)+(Tableau1[[#This Row],[Conso HC / an_x000D_
Cumul]]*0.1346)</f>
        <v>1829.1266712594158</v>
      </c>
      <c r="AR460" s="83">
        <f>Tableau1[[#This Row],[Conso HP + HC / an_x000D_
Cumul]]*0.1599</f>
        <v>1757.0527767286749</v>
      </c>
      <c r="AS460" s="79">
        <f>MONTH(Tableau1[[#This Row],[Date]])</f>
        <v>11</v>
      </c>
      <c r="AT460" s="79">
        <f>YEAR(Tableau1[[#This Row],[Date]])</f>
        <v>2022</v>
      </c>
    </row>
    <row r="461" spans="1:46" x14ac:dyDescent="0.2">
      <c r="A461" s="74">
        <v>44892.386111111111</v>
      </c>
      <c r="B461" s="75"/>
      <c r="C461" s="76">
        <f>IF(ISERROR(Tableau1[[#This Row],[Date]]-A460),"",Tableau1[[#This Row],[Date]]-A460)</f>
        <v>1.0326388888861402</v>
      </c>
      <c r="D461" s="77">
        <f>IF(ISERROR(Tableau1[[#This Row],[Date]]-A460),"",Tableau1[[#This Row],[Date]]-A460)</f>
        <v>1.0326388888861402</v>
      </c>
      <c r="E461" s="76">
        <f>Tableau1[[#This Row],[Date]]-$A$5</f>
        <v>709.67777777777519</v>
      </c>
      <c r="F461" s="77">
        <f>Tableau1[[#This Row],[Date]]-$A$5</f>
        <v>709.67777777777519</v>
      </c>
      <c r="G461" s="77">
        <f>Tableau1[[#This Row],[Diff jour_x000D_
Cumul]]-F$6</f>
        <v>671.59444444444671</v>
      </c>
      <c r="H461" s="77">
        <f>Tableau1[[#This Row],[Diff jour_x000D_
Cumul]]-F$59</f>
        <v>649.07499999999709</v>
      </c>
      <c r="I461" s="78">
        <v>194797</v>
      </c>
      <c r="J461" s="79">
        <f>IF(ISERROR(Tableau1[[#This Row],[Index HP
kWh]]-I460),"",Tableau1[[#This Row],[Index HP
kWh]]-I460)</f>
        <v>34</v>
      </c>
      <c r="K461" s="77">
        <f>IF(ISERROR(Tableau1[[#This Row],[Différence HP
Instantané]]/(Tableau1[[#This Row],[Diff jour
Instantané]]*24)),"",Tableau1[[#This Row],[Différence HP
Instantané]]/(Tableau1[[#This Row],[Diff jour
Instantané]]*24))</f>
        <v>1.3718897108308206</v>
      </c>
      <c r="L461" s="77">
        <f>Tableau1[[#This Row],[Différence HP
Instantané]]/Tableau1[[#This Row],[Diff jour
Instantané]]</f>
        <v>32.925353059939695</v>
      </c>
      <c r="M461" s="77">
        <f>Tableau1[[#This Row],[Conso HP / jour
Instantané]]*365</f>
        <v>12017.753866877989</v>
      </c>
      <c r="N461" s="79">
        <f>Tableau1[[#This Row],[Index HP
kWh]]-$I$5</f>
        <v>15038</v>
      </c>
      <c r="O461" s="80">
        <f>Tableau1[[#This Row],[Différence HP
Cumul]]/(Tableau1[[#This Row],[Diff jour_x000D_
Cumul]]*24)</f>
        <v>0.88291243287251187</v>
      </c>
      <c r="P461" s="80">
        <f>Tableau1[[#This Row],[Différence HP
Cumul]]/Tableau1[[#This Row],[Diff jour_x000D_
Cumul]]</f>
        <v>21.189898388940286</v>
      </c>
      <c r="Q461" s="80">
        <f>Tableau1[[#This Row],[Conso HP / jour
Cumul]]*365</f>
        <v>7734.312911963204</v>
      </c>
      <c r="R461" s="78">
        <v>125766</v>
      </c>
      <c r="S461" s="79">
        <f>Tableau1[[#This Row],[Index HC_x000D_
kWh]]-R460</f>
        <v>4</v>
      </c>
      <c r="T461" s="81">
        <f>Tableau1[[#This Row],[Différence_x000D_ HC
Instantané]]/(Tableau1[[#This Row],[Diff jour
Instantané]]*24)</f>
        <v>0.16139878950950828</v>
      </c>
      <c r="U461" s="81">
        <f>Tableau1[[#This Row],[Différence_x000D_ HC
Instantané]]/Tableau1[[#This Row],[Diff jour
Instantané]]</f>
        <v>3.873570948228199</v>
      </c>
      <c r="V461" s="81">
        <f>Tableau1[[#This Row],[Conso HC / jour_x000D_
Instantané]]*365</f>
        <v>1413.8533961032927</v>
      </c>
      <c r="W461" s="79">
        <f>Tableau1[[#This Row],[Index HC_x000D_
kWh]]-$R$5</f>
        <v>6334</v>
      </c>
      <c r="X461" s="82">
        <f>Tableau1[[#This Row],[Différence HC
Cumul]]/(Tableau1[[#This Row],[Diff jour_x000D_
Cumul]]*24)</f>
        <v>0.37188238793818928</v>
      </c>
      <c r="Y461" s="82">
        <f>Tableau1[[#This Row],[Différence HC
Cumul]]/Tableau1[[#This Row],[Diff jour_x000D_
Cumul]]</f>
        <v>8.925177310516542</v>
      </c>
      <c r="Z461" s="82">
        <f>Tableau1[[#This Row],[Conso HC / jour_x000D_
Cumul]]*365</f>
        <v>3257.6897183385377</v>
      </c>
      <c r="AA461" s="79">
        <f>Tableau1[[#This Row],[Différence HP
Instantané]]+Tableau1[[#This Row],[Différence_x000D_ HC
Instantané]]</f>
        <v>38</v>
      </c>
      <c r="AB461" s="80">
        <f>Tableau1[[#This Row],[Conso HP + HC
Instantané]]/(Tableau1[[#This Row],[Diff jour
Instantané]]*24)</f>
        <v>1.5332885003403287</v>
      </c>
      <c r="AC461" s="80">
        <f>IF(ISERROR(Tableau1[[#This Row],[Date]]-A460),"",Tableau1[[#This Row],[Conso HP + HC
Instantané]]/Tableau1[[#This Row],[Diff jour
Instantané]])</f>
        <v>36.798924008167894</v>
      </c>
      <c r="AD461" s="80">
        <f>Tableau1[[#This Row],[Conso HP + HC / jour_x000D_
Instantané]]*365</f>
        <v>13431.607262981281</v>
      </c>
      <c r="AE461" s="79">
        <f>Tableau1[[#This Row],[Différence HP
Cumul]]+Tableau1[[#This Row],[Différence HC
Cumul]]</f>
        <v>21372</v>
      </c>
      <c r="AF461" s="77">
        <f>(Tableau1[[#This Row],[Conso HP + HC
Cumul]]-AE$6)/Tableau1[[#This Row],[Diff jour_x000D_
Cumul
depuis le 24/01]]</f>
        <v>27.994573444621743</v>
      </c>
      <c r="AG461" s="77">
        <f>(Tableau1[[#This Row],[Conso HP + HC
Cumul]]-AE$59)/Tableau1[[#This Row],[Diff jour_x000D_
Cumul
depuis
précédente facture
16/02/2021]]</f>
        <v>26.491545661133269</v>
      </c>
      <c r="AH461" s="80">
        <f>Tableau1[[#This Row],[Conso HP + HC
Cumul]]/(Tableau1[[#This Row],[Diff jour_x000D_
Cumul]]*24)</f>
        <v>1.2547948208107012</v>
      </c>
      <c r="AI461" s="80">
        <f>Tableau1[[#This Row],[Conso HP + HC
Cumul]]/Tableau1[[#This Row],[Diff jour_x000D_
Cumul]]</f>
        <v>30.115075699456828</v>
      </c>
      <c r="AJ461" s="80">
        <f>Tableau1[[#This Row],[Conso HP + HC / jour_x000D_
Cumul]]*365</f>
        <v>10992.002630301742</v>
      </c>
      <c r="AK461" s="83">
        <f>(Tableau1[[#This Row],[Différence HP
Cumul]]*0.1799)+(Tableau1[[#This Row],[Différence HC
Cumul]]*0.1346)</f>
        <v>3557.8926000000001</v>
      </c>
      <c r="AL461" s="83">
        <f>Tableau1[[#This Row],[Montant
Tarif HP/HC]]/Tableau1[[#This Row],[Diff jour_x000D_
Cumul]]</f>
        <v>5.0133915861658842</v>
      </c>
      <c r="AM461" s="83">
        <f>(Tableau1[[#This Row],[Montant
Tarif HP/HC]]-AK$6)/Tableau1[[#This Row],[Diff jour_x000D_
Cumul
depuis le 24/01]]</f>
        <v>4.6657131039731166</v>
      </c>
      <c r="AN461" s="83">
        <f>(Tableau1[[#This Row],[Montant
Tarif HP/HC]]-AK$59)/Tableau1[[#This Row],[Diff jour_x000D_
Cumul
depuis
précédente facture
16/02/2021]]</f>
        <v>4.4154053075530761</v>
      </c>
      <c r="AO461" s="83">
        <f>Tableau1[[#This Row],[Conso HP + HC
Cumul]]*0.1599</f>
        <v>3417.3827999999999</v>
      </c>
      <c r="AP461" s="83">
        <f>Tableau1[[#This Row],[Montant
Tarif normal]]/Tableau1[[#This Row],[Diff jour_x000D_
Cumul]]</f>
        <v>4.8154006043431465</v>
      </c>
      <c r="AQ461" s="83">
        <f>(Tableau1[[#This Row],[Conso HP / an
Cumul]]*0.1799)+(Tableau1[[#This Row],[Conso HC / an_x000D_
Cumul]]*0.1346)</f>
        <v>1829.8879289505476</v>
      </c>
      <c r="AR461" s="83">
        <f>Tableau1[[#This Row],[Conso HP + HC / an_x000D_
Cumul]]*0.1599</f>
        <v>1757.6212205852485</v>
      </c>
      <c r="AS461" s="79">
        <f>MONTH(Tableau1[[#This Row],[Date]])</f>
        <v>11</v>
      </c>
      <c r="AT461" s="79">
        <f>YEAR(Tableau1[[#This Row],[Date]])</f>
        <v>2022</v>
      </c>
    </row>
    <row r="462" spans="1:46" x14ac:dyDescent="0.2">
      <c r="A462" s="74">
        <v>44893.326388888891</v>
      </c>
      <c r="B462" s="75"/>
      <c r="C462" s="76">
        <f>IF(ISERROR(Tableau1[[#This Row],[Date]]-A461),"",Tableau1[[#This Row],[Date]]-A461)</f>
        <v>0.94027777777955635</v>
      </c>
      <c r="D462" s="77">
        <f>IF(ISERROR(Tableau1[[#This Row],[Date]]-A461),"",Tableau1[[#This Row],[Date]]-A461)</f>
        <v>0.94027777777955635</v>
      </c>
      <c r="E462" s="76">
        <f>Tableau1[[#This Row],[Date]]-$A$5</f>
        <v>710.61805555555475</v>
      </c>
      <c r="F462" s="77">
        <f>Tableau1[[#This Row],[Date]]-$A$5</f>
        <v>710.61805555555475</v>
      </c>
      <c r="G462" s="77">
        <f>Tableau1[[#This Row],[Diff jour_x000D_
Cumul]]-F$6</f>
        <v>672.53472222222626</v>
      </c>
      <c r="H462" s="77">
        <f>Tableau1[[#This Row],[Diff jour_x000D_
Cumul]]-F$59</f>
        <v>650.01527777777665</v>
      </c>
      <c r="I462" s="78">
        <v>194826</v>
      </c>
      <c r="J462" s="79">
        <f>IF(ISERROR(Tableau1[[#This Row],[Index HP
kWh]]-I461),"",Tableau1[[#This Row],[Index HP
kWh]]-I461)</f>
        <v>29</v>
      </c>
      <c r="K462" s="77">
        <f>IF(ISERROR(Tableau1[[#This Row],[Différence HP
Instantané]]/(Tableau1[[#This Row],[Diff jour
Instantané]]*24)),"",Tableau1[[#This Row],[Différence HP
Instantané]]/(Tableau1[[#This Row],[Diff jour
Instantané]]*24))</f>
        <v>1.2850812407656638</v>
      </c>
      <c r="L462" s="77">
        <f>Tableau1[[#This Row],[Différence HP
Instantané]]/Tableau1[[#This Row],[Diff jour
Instantané]]</f>
        <v>30.84194977837593</v>
      </c>
      <c r="M462" s="77">
        <f>Tableau1[[#This Row],[Conso HP / jour
Instantané]]*365</f>
        <v>11257.311669107215</v>
      </c>
      <c r="N462" s="79">
        <f>Tableau1[[#This Row],[Index HP
kWh]]-$I$5</f>
        <v>15067</v>
      </c>
      <c r="O462" s="80">
        <f>Tableau1[[#This Row],[Différence HP
Cumul]]/(Tableau1[[#This Row],[Diff jour_x000D_
Cumul]]*24)</f>
        <v>0.88344457582894487</v>
      </c>
      <c r="P462" s="80">
        <f>Tableau1[[#This Row],[Différence HP
Cumul]]/Tableau1[[#This Row],[Diff jour_x000D_
Cumul]]</f>
        <v>21.202669819894677</v>
      </c>
      <c r="Q462" s="80">
        <f>Tableau1[[#This Row],[Conso HP / jour
Cumul]]*365</f>
        <v>7738.9744842615573</v>
      </c>
      <c r="R462" s="78">
        <v>125778</v>
      </c>
      <c r="S462" s="79">
        <f>Tableau1[[#This Row],[Index HC_x000D_
kWh]]-R461</f>
        <v>12</v>
      </c>
      <c r="T462" s="81">
        <f>Tableau1[[#This Row],[Différence_x000D_ HC
Instantané]]/(Tableau1[[#This Row],[Diff jour
Instantané]]*24)</f>
        <v>0.53175775479958498</v>
      </c>
      <c r="U462" s="81">
        <f>Tableau1[[#This Row],[Différence_x000D_ HC
Instantané]]/Tableau1[[#This Row],[Diff jour
Instantané]]</f>
        <v>12.76218611519004</v>
      </c>
      <c r="V462" s="81">
        <f>Tableau1[[#This Row],[Conso HC / jour_x000D_
Instantané]]*365</f>
        <v>4658.1979320443652</v>
      </c>
      <c r="W462" s="79">
        <f>Tableau1[[#This Row],[Index HC_x000D_
kWh]]-$R$5</f>
        <v>6346</v>
      </c>
      <c r="X462" s="82">
        <f>Tableau1[[#This Row],[Différence HC
Cumul]]/(Tableau1[[#This Row],[Diff jour_x000D_
Cumul]]*24)</f>
        <v>0.37209393231635257</v>
      </c>
      <c r="Y462" s="82">
        <f>Tableau1[[#This Row],[Différence HC
Cumul]]/Tableau1[[#This Row],[Diff jour_x000D_
Cumul]]</f>
        <v>8.9302543755924617</v>
      </c>
      <c r="Z462" s="82">
        <f>Tableau1[[#This Row],[Conso HC / jour_x000D_
Cumul]]*365</f>
        <v>3259.5428470912484</v>
      </c>
      <c r="AA462" s="79">
        <f>Tableau1[[#This Row],[Différence HP
Instantané]]+Tableau1[[#This Row],[Différence_x000D_ HC
Instantané]]</f>
        <v>41</v>
      </c>
      <c r="AB462" s="80">
        <f>Tableau1[[#This Row],[Conso HP + HC
Instantané]]/(Tableau1[[#This Row],[Diff jour
Instantané]]*24)</f>
        <v>1.8168389955652489</v>
      </c>
      <c r="AC462" s="80">
        <f>IF(ISERROR(Tableau1[[#This Row],[Date]]-A461),"",Tableau1[[#This Row],[Conso HP + HC
Instantané]]/Tableau1[[#This Row],[Diff jour
Instantané]])</f>
        <v>43.604135893565967</v>
      </c>
      <c r="AD462" s="80">
        <f>Tableau1[[#This Row],[Conso HP + HC / jour_x000D_
Instantané]]*365</f>
        <v>15915.509601151578</v>
      </c>
      <c r="AE462" s="79">
        <f>Tableau1[[#This Row],[Différence HP
Cumul]]+Tableau1[[#This Row],[Différence HC
Cumul]]</f>
        <v>21413</v>
      </c>
      <c r="AF462" s="77">
        <f>(Tableau1[[#This Row],[Conso HP + HC
Cumul]]-AE$6)/Tableau1[[#This Row],[Diff jour_x000D_
Cumul
depuis le 24/01]]</f>
        <v>28.01639733594903</v>
      </c>
      <c r="AG462" s="77">
        <f>(Tableau1[[#This Row],[Conso HP + HC
Cumul]]-AE$59)/Tableau1[[#This Row],[Diff jour_x000D_
Cumul
depuis
précédente facture
16/02/2021]]</f>
        <v>26.516299830559586</v>
      </c>
      <c r="AH462" s="80">
        <f>Tableau1[[#This Row],[Conso HP + HC
Cumul]]/(Tableau1[[#This Row],[Diff jour_x000D_
Cumul]]*24)</f>
        <v>1.2555385081452974</v>
      </c>
      <c r="AI462" s="80">
        <f>Tableau1[[#This Row],[Conso HP + HC
Cumul]]/Tableau1[[#This Row],[Diff jour_x000D_
Cumul]]</f>
        <v>30.132924195487139</v>
      </c>
      <c r="AJ462" s="80">
        <f>Tableau1[[#This Row],[Conso HP + HC / jour_x000D_
Cumul]]*365</f>
        <v>10998.517331352805</v>
      </c>
      <c r="AK462" s="83">
        <f>(Tableau1[[#This Row],[Différence HP
Cumul]]*0.1799)+(Tableau1[[#This Row],[Différence HC
Cumul]]*0.1346)</f>
        <v>3564.7249000000002</v>
      </c>
      <c r="AL462" s="83">
        <f>Tableau1[[#This Row],[Montant
Tarif HP/HC]]/Tableau1[[#This Row],[Diff jour_x000D_
Cumul]]</f>
        <v>5.0163725395537977</v>
      </c>
      <c r="AM462" s="83">
        <f>(Tableau1[[#This Row],[Montant
Tarif HP/HC]]-AK$6)/Tableau1[[#This Row],[Diff jour_x000D_
Cumul
depuis le 24/01]]</f>
        <v>4.6693489514171853</v>
      </c>
      <c r="AN462" s="83">
        <f>(Tableau1[[#This Row],[Montant
Tarif HP/HC]]-AK$59)/Tableau1[[#This Row],[Diff jour_x000D_
Cumul
depuis
précédente facture
16/02/2021]]</f>
        <v>4.4195291991000287</v>
      </c>
      <c r="AO462" s="83">
        <f>Tableau1[[#This Row],[Conso HP + HC
Cumul]]*0.1599</f>
        <v>3423.9386999999997</v>
      </c>
      <c r="AP462" s="83">
        <f>Tableau1[[#This Row],[Montant
Tarif normal]]/Tableau1[[#This Row],[Diff jour_x000D_
Cumul]]</f>
        <v>4.8182545788583928</v>
      </c>
      <c r="AQ462" s="83">
        <f>(Tableau1[[#This Row],[Conso HP / an
Cumul]]*0.1799)+(Tableau1[[#This Row],[Conso HC / an_x000D_
Cumul]]*0.1346)</f>
        <v>1830.9759769371362</v>
      </c>
      <c r="AR462" s="83">
        <f>Tableau1[[#This Row],[Conso HP + HC / an_x000D_
Cumul]]*0.1599</f>
        <v>1758.6629212833134</v>
      </c>
      <c r="AS462" s="79">
        <f>MONTH(Tableau1[[#This Row],[Date]])</f>
        <v>11</v>
      </c>
      <c r="AT462" s="79">
        <f>YEAR(Tableau1[[#This Row],[Date]])</f>
        <v>2022</v>
      </c>
    </row>
    <row r="463" spans="1:46" x14ac:dyDescent="0.2">
      <c r="A463" s="74">
        <v>44894.31527777778</v>
      </c>
      <c r="B463" s="75"/>
      <c r="C463" s="76">
        <f>IF(ISERROR(Tableau1[[#This Row],[Date]]-A462),"",Tableau1[[#This Row],[Date]]-A462)</f>
        <v>0.98888888888905058</v>
      </c>
      <c r="D463" s="77">
        <f>IF(ISERROR(Tableau1[[#This Row],[Date]]-A462),"",Tableau1[[#This Row],[Date]]-A462)</f>
        <v>0.98888888888905058</v>
      </c>
      <c r="E463" s="76">
        <f>Tableau1[[#This Row],[Date]]-$A$5</f>
        <v>711.6069444444438</v>
      </c>
      <c r="F463" s="77">
        <f>Tableau1[[#This Row],[Date]]-$A$5</f>
        <v>711.6069444444438</v>
      </c>
      <c r="G463" s="77">
        <f>Tableau1[[#This Row],[Diff jour_x000D_
Cumul]]-F$6</f>
        <v>673.52361111111531</v>
      </c>
      <c r="H463" s="77">
        <f>Tableau1[[#This Row],[Diff jour_x000D_
Cumul]]-F$59</f>
        <v>651.0041666666657</v>
      </c>
      <c r="I463" s="78">
        <v>194853</v>
      </c>
      <c r="J463" s="79">
        <f>IF(ISERROR(Tableau1[[#This Row],[Index HP
kWh]]-I462),"",Tableau1[[#This Row],[Index HP
kWh]]-I462)</f>
        <v>27</v>
      </c>
      <c r="K463" s="77">
        <f>IF(ISERROR(Tableau1[[#This Row],[Différence HP
Instantané]]/(Tableau1[[#This Row],[Diff jour
Instantané]]*24)),"",Tableau1[[#This Row],[Différence HP
Instantané]]/(Tableau1[[#This Row],[Diff jour
Instantané]]*24))</f>
        <v>1.1376404494380163</v>
      </c>
      <c r="L463" s="77">
        <f>Tableau1[[#This Row],[Différence HP
Instantané]]/Tableau1[[#This Row],[Diff jour
Instantané]]</f>
        <v>27.303370786512389</v>
      </c>
      <c r="M463" s="77">
        <f>Tableau1[[#This Row],[Conso HP / jour
Instantané]]*365</f>
        <v>9965.7303370770223</v>
      </c>
      <c r="N463" s="79">
        <f>Tableau1[[#This Row],[Index HP
kWh]]-$I$5</f>
        <v>15094</v>
      </c>
      <c r="O463" s="80">
        <f>Tableau1[[#This Row],[Différence HP
Cumul]]/(Tableau1[[#This Row],[Diff jour_x000D_
Cumul]]*24)</f>
        <v>0.88379782066020451</v>
      </c>
      <c r="P463" s="80">
        <f>Tableau1[[#This Row],[Différence HP
Cumul]]/Tableau1[[#This Row],[Diff jour_x000D_
Cumul]]</f>
        <v>21.211147695844907</v>
      </c>
      <c r="Q463" s="80">
        <f>Tableau1[[#This Row],[Conso HP / jour
Cumul]]*365</f>
        <v>7742.0689089833913</v>
      </c>
      <c r="R463" s="78">
        <v>125795</v>
      </c>
      <c r="S463" s="79">
        <f>Tableau1[[#This Row],[Index HC_x000D_
kWh]]-R462</f>
        <v>17</v>
      </c>
      <c r="T463" s="81">
        <f>Tableau1[[#This Row],[Différence_x000D_ HC
Instantané]]/(Tableau1[[#This Row],[Diff jour
Instantané]]*24)</f>
        <v>0.71629213483134357</v>
      </c>
      <c r="U463" s="81">
        <f>Tableau1[[#This Row],[Différence_x000D_ HC
Instantané]]/Tableau1[[#This Row],[Diff jour
Instantané]]</f>
        <v>17.191011235952246</v>
      </c>
      <c r="V463" s="81">
        <f>Tableau1[[#This Row],[Conso HC / jour_x000D_
Instantané]]*365</f>
        <v>6274.7191011225696</v>
      </c>
      <c r="W463" s="79">
        <f>Tableau1[[#This Row],[Index HC_x000D_
kWh]]-$R$5</f>
        <v>6363</v>
      </c>
      <c r="X463" s="82">
        <f>Tableau1[[#This Row],[Différence HC
Cumul]]/(Tableau1[[#This Row],[Diff jour_x000D_
Cumul]]*24)</f>
        <v>0.3725722494276455</v>
      </c>
      <c r="Y463" s="82">
        <f>Tableau1[[#This Row],[Différence HC
Cumul]]/Tableau1[[#This Row],[Diff jour_x000D_
Cumul]]</f>
        <v>8.9417339862634933</v>
      </c>
      <c r="Z463" s="82">
        <f>Tableau1[[#This Row],[Conso HC / jour_x000D_
Cumul]]*365</f>
        <v>3263.7329049861751</v>
      </c>
      <c r="AA463" s="79">
        <f>Tableau1[[#This Row],[Différence HP
Instantané]]+Tableau1[[#This Row],[Différence_x000D_ HC
Instantané]]</f>
        <v>44</v>
      </c>
      <c r="AB463" s="80">
        <f>Tableau1[[#This Row],[Conso HP + HC
Instantané]]/(Tableau1[[#This Row],[Diff jour
Instantané]]*24)</f>
        <v>1.8539325842693597</v>
      </c>
      <c r="AC463" s="80">
        <f>IF(ISERROR(Tableau1[[#This Row],[Date]]-A462),"",Tableau1[[#This Row],[Conso HP + HC
Instantané]]/Tableau1[[#This Row],[Diff jour
Instantané]])</f>
        <v>44.494382022464634</v>
      </c>
      <c r="AD463" s="80">
        <f>Tableau1[[#This Row],[Conso HP + HC / jour_x000D_
Instantané]]*365</f>
        <v>16240.449438199592</v>
      </c>
      <c r="AE463" s="79">
        <f>Tableau1[[#This Row],[Différence HP
Cumul]]+Tableau1[[#This Row],[Différence HC
Cumul]]</f>
        <v>21457</v>
      </c>
      <c r="AF463" s="77">
        <f>(Tableau1[[#This Row],[Conso HP + HC
Cumul]]-AE$6)/Tableau1[[#This Row],[Diff jour_x000D_
Cumul
depuis le 24/01]]</f>
        <v>28.040590839634664</v>
      </c>
      <c r="AG463" s="77">
        <f>(Tableau1[[#This Row],[Conso HP + HC
Cumul]]-AE$59)/Tableau1[[#This Row],[Diff jour_x000D_
Cumul
depuis
précédente facture
16/02/2021]]</f>
        <v>26.543608911873363</v>
      </c>
      <c r="AH463" s="80">
        <f>Tableau1[[#This Row],[Conso HP + HC
Cumul]]/(Tableau1[[#This Row],[Diff jour_x000D_
Cumul]]*24)</f>
        <v>1.25637007008785</v>
      </c>
      <c r="AI463" s="80">
        <f>Tableau1[[#This Row],[Conso HP + HC
Cumul]]/Tableau1[[#This Row],[Diff jour_x000D_
Cumul]]</f>
        <v>30.152881682108401</v>
      </c>
      <c r="AJ463" s="80">
        <f>Tableau1[[#This Row],[Conso HP + HC / jour_x000D_
Cumul]]*365</f>
        <v>11005.801813969567</v>
      </c>
      <c r="AK463" s="83">
        <f>(Tableau1[[#This Row],[Différence HP
Cumul]]*0.1799)+(Tableau1[[#This Row],[Différence HC
Cumul]]*0.1346)</f>
        <v>3571.8704000000002</v>
      </c>
      <c r="AL463" s="83">
        <f>Tableau1[[#This Row],[Montant
Tarif HP/HC]]/Tableau1[[#This Row],[Diff jour_x000D_
Cumul]]</f>
        <v>5.0194428650335654</v>
      </c>
      <c r="AM463" s="83">
        <f>(Tableau1[[#This Row],[Montant
Tarif HP/HC]]-AK$6)/Tableau1[[#This Row],[Diff jour_x000D_
Cumul
depuis le 24/01]]</f>
        <v>4.6731023947440304</v>
      </c>
      <c r="AN463" s="83">
        <f>(Tableau1[[#This Row],[Montant
Tarif HP/HC]]-AK$59)/Tableau1[[#This Row],[Diff jour_x000D_
Cumul
depuis
précédente facture
16/02/2021]]</f>
        <v>4.4237919624170416</v>
      </c>
      <c r="AO463" s="83">
        <f>Tableau1[[#This Row],[Conso HP + HC
Cumul]]*0.1599</f>
        <v>3430.9742999999999</v>
      </c>
      <c r="AP463" s="83">
        <f>Tableau1[[#This Row],[Montant
Tarif normal]]/Tableau1[[#This Row],[Diff jour_x000D_
Cumul]]</f>
        <v>4.8214457809691336</v>
      </c>
      <c r="AQ463" s="83">
        <f>(Tableau1[[#This Row],[Conso HP / an
Cumul]]*0.1799)+(Tableau1[[#This Row],[Conso HC / an_x000D_
Cumul]]*0.1346)</f>
        <v>1832.0966457372513</v>
      </c>
      <c r="AR463" s="83">
        <f>Tableau1[[#This Row],[Conso HP + HC / an_x000D_
Cumul]]*0.1599</f>
        <v>1759.8277100537337</v>
      </c>
      <c r="AS463" s="79">
        <f>MONTH(Tableau1[[#This Row],[Date]])</f>
        <v>11</v>
      </c>
      <c r="AT463" s="79">
        <f>YEAR(Tableau1[[#This Row],[Date]])</f>
        <v>2022</v>
      </c>
    </row>
    <row r="464" spans="1:46" x14ac:dyDescent="0.2">
      <c r="A464" s="74">
        <v>44895.31527777778</v>
      </c>
      <c r="B464" s="75"/>
      <c r="C464" s="76">
        <f>IF(ISERROR(Tableau1[[#This Row],[Date]]-A463),"",Tableau1[[#This Row],[Date]]-A463)</f>
        <v>1</v>
      </c>
      <c r="D464" s="77">
        <f>IF(ISERROR(Tableau1[[#This Row],[Date]]-A463),"",Tableau1[[#This Row],[Date]]-A463)</f>
        <v>1</v>
      </c>
      <c r="E464" s="76">
        <f>Tableau1[[#This Row],[Date]]-$A$5</f>
        <v>712.6069444444438</v>
      </c>
      <c r="F464" s="77">
        <f>Tableau1[[#This Row],[Date]]-$A$5</f>
        <v>712.6069444444438</v>
      </c>
      <c r="G464" s="77">
        <f>Tableau1[[#This Row],[Diff jour_x000D_
Cumul]]-F$6</f>
        <v>674.52361111111531</v>
      </c>
      <c r="H464" s="77">
        <f>Tableau1[[#This Row],[Diff jour_x000D_
Cumul]]-F$59</f>
        <v>652.0041666666657</v>
      </c>
      <c r="I464" s="78">
        <v>194904</v>
      </c>
      <c r="J464" s="79">
        <f>IF(ISERROR(Tableau1[[#This Row],[Index HP
kWh]]-I463),"",Tableau1[[#This Row],[Index HP
kWh]]-I463)</f>
        <v>51</v>
      </c>
      <c r="K464" s="77">
        <f>IF(ISERROR(Tableau1[[#This Row],[Différence HP
Instantané]]/(Tableau1[[#This Row],[Diff jour
Instantané]]*24)),"",Tableau1[[#This Row],[Différence HP
Instantané]]/(Tableau1[[#This Row],[Diff jour
Instantané]]*24))</f>
        <v>2.125</v>
      </c>
      <c r="L464" s="77">
        <f>Tableau1[[#This Row],[Différence HP
Instantané]]/Tableau1[[#This Row],[Diff jour
Instantané]]</f>
        <v>51</v>
      </c>
      <c r="M464" s="77">
        <f>Tableau1[[#This Row],[Conso HP / jour
Instantané]]*365</f>
        <v>18615</v>
      </c>
      <c r="N464" s="79">
        <f>Tableau1[[#This Row],[Index HP
kWh]]-$I$5</f>
        <v>15145</v>
      </c>
      <c r="O464" s="80">
        <f>Tableau1[[#This Row],[Différence HP
Cumul]]/(Tableau1[[#This Row],[Diff jour_x000D_
Cumul]]*24)</f>
        <v>0.88553959737037602</v>
      </c>
      <c r="P464" s="80">
        <f>Tableau1[[#This Row],[Différence HP
Cumul]]/Tableau1[[#This Row],[Diff jour_x000D_
Cumul]]</f>
        <v>21.252950336889025</v>
      </c>
      <c r="Q464" s="80">
        <f>Tableau1[[#This Row],[Conso HP / jour
Cumul]]*365</f>
        <v>7757.3268729644942</v>
      </c>
      <c r="R464" s="78">
        <v>125795</v>
      </c>
      <c r="S464" s="79">
        <f>Tableau1[[#This Row],[Index HC_x000D_
kWh]]-R463</f>
        <v>0</v>
      </c>
      <c r="T464" s="81">
        <f>Tableau1[[#This Row],[Différence_x000D_ HC
Instantané]]/(Tableau1[[#This Row],[Diff jour
Instantané]]*24)</f>
        <v>0</v>
      </c>
      <c r="U464" s="81">
        <f>Tableau1[[#This Row],[Différence_x000D_ HC
Instantané]]/Tableau1[[#This Row],[Diff jour
Instantané]]</f>
        <v>0</v>
      </c>
      <c r="V464" s="81">
        <f>Tableau1[[#This Row],[Conso HC / jour_x000D_
Instantané]]*365</f>
        <v>0</v>
      </c>
      <c r="W464" s="79">
        <f>Tableau1[[#This Row],[Index HC_x000D_
kWh]]-$R$5</f>
        <v>6363</v>
      </c>
      <c r="X464" s="82">
        <f>Tableau1[[#This Row],[Différence HC
Cumul]]/(Tableau1[[#This Row],[Diff jour_x000D_
Cumul]]*24)</f>
        <v>0.37204941948284598</v>
      </c>
      <c r="Y464" s="82">
        <f>Tableau1[[#This Row],[Différence HC
Cumul]]/Tableau1[[#This Row],[Diff jour_x000D_
Cumul]]</f>
        <v>8.9291860675883044</v>
      </c>
      <c r="Z464" s="82">
        <f>Tableau1[[#This Row],[Conso HC / jour_x000D_
Cumul]]*365</f>
        <v>3259.1529146697312</v>
      </c>
      <c r="AA464" s="79">
        <f>Tableau1[[#This Row],[Différence HP
Instantané]]+Tableau1[[#This Row],[Différence_x000D_ HC
Instantané]]</f>
        <v>51</v>
      </c>
      <c r="AB464" s="80">
        <f>Tableau1[[#This Row],[Conso HP + HC
Instantané]]/(Tableau1[[#This Row],[Diff jour
Instantané]]*24)</f>
        <v>2.125</v>
      </c>
      <c r="AC464" s="80">
        <f>IF(ISERROR(Tableau1[[#This Row],[Date]]-A463),"",Tableau1[[#This Row],[Conso HP + HC
Instantané]]/Tableau1[[#This Row],[Diff jour
Instantané]])</f>
        <v>51</v>
      </c>
      <c r="AD464" s="80">
        <f>Tableau1[[#This Row],[Conso HP + HC / jour_x000D_
Instantané]]*365</f>
        <v>18615</v>
      </c>
      <c r="AE464" s="79">
        <f>Tableau1[[#This Row],[Différence HP
Cumul]]+Tableau1[[#This Row],[Différence HC
Cumul]]</f>
        <v>21508</v>
      </c>
      <c r="AF464" s="77">
        <f>(Tableau1[[#This Row],[Conso HP + HC
Cumul]]-AE$6)/Tableau1[[#This Row],[Diff jour_x000D_
Cumul
depuis le 24/01]]</f>
        <v>28.074628801808508</v>
      </c>
      <c r="AG464" s="77">
        <f>(Tableau1[[#This Row],[Conso HP + HC
Cumul]]-AE$59)/Tableau1[[#This Row],[Diff jour_x000D_
Cumul
depuis
précédente facture
16/02/2021]]</f>
        <v>26.581118474447418</v>
      </c>
      <c r="AH464" s="80">
        <f>Tableau1[[#This Row],[Conso HP + HC
Cumul]]/(Tableau1[[#This Row],[Diff jour_x000D_
Cumul]]*24)</f>
        <v>1.257589016853222</v>
      </c>
      <c r="AI464" s="80">
        <f>Tableau1[[#This Row],[Conso HP + HC
Cumul]]/Tableau1[[#This Row],[Diff jour_x000D_
Cumul]]</f>
        <v>30.18213640447733</v>
      </c>
      <c r="AJ464" s="80">
        <f>Tableau1[[#This Row],[Conso HP + HC / jour_x000D_
Cumul]]*365</f>
        <v>11016.479787634225</v>
      </c>
      <c r="AK464" s="83">
        <f>(Tableau1[[#This Row],[Différence HP
Cumul]]*0.1799)+(Tableau1[[#This Row],[Différence HC
Cumul]]*0.1346)</f>
        <v>3581.0453000000002</v>
      </c>
      <c r="AL464" s="83">
        <f>Tableau1[[#This Row],[Montant
Tarif HP/HC]]/Tableau1[[#This Row],[Diff jour_x000D_
Cumul]]</f>
        <v>5.0252742103037216</v>
      </c>
      <c r="AM464" s="83">
        <f>(Tableau1[[#This Row],[Montant
Tarif HP/HC]]-AK$6)/Tableau1[[#This Row],[Diff jour_x000D_
Cumul
depuis le 24/01]]</f>
        <v>4.6797764348089004</v>
      </c>
      <c r="AN464" s="83">
        <f>(Tableau1[[#This Row],[Montant
Tarif HP/HC]]-AK$59)/Tableau1[[#This Row],[Diff jour_x000D_
Cumul
depuis
précédente facture
16/02/2021]]</f>
        <v>4.4310788913670098</v>
      </c>
      <c r="AO464" s="83">
        <f>Tableau1[[#This Row],[Conso HP + HC
Cumul]]*0.1599</f>
        <v>3439.1291999999999</v>
      </c>
      <c r="AP464" s="83">
        <f>Tableau1[[#This Row],[Montant
Tarif normal]]/Tableau1[[#This Row],[Diff jour_x000D_
Cumul]]</f>
        <v>4.8261236110759249</v>
      </c>
      <c r="AQ464" s="83">
        <f>(Tableau1[[#This Row],[Conso HP / an
Cumul]]*0.1799)+(Tableau1[[#This Row],[Conso HC / an_x000D_
Cumul]]*0.1346)</f>
        <v>1834.2250867608584</v>
      </c>
      <c r="AR464" s="83">
        <f>Tableau1[[#This Row],[Conso HP + HC / an_x000D_
Cumul]]*0.1599</f>
        <v>1761.5351180427126</v>
      </c>
      <c r="AS464" s="79">
        <f>MONTH(Tableau1[[#This Row],[Date]])</f>
        <v>11</v>
      </c>
      <c r="AT464" s="79">
        <f>YEAR(Tableau1[[#This Row],[Date]])</f>
        <v>2022</v>
      </c>
    </row>
    <row r="465" spans="1:46" x14ac:dyDescent="0.2">
      <c r="A465" s="74">
        <v>44896.319444444445</v>
      </c>
      <c r="B465" s="75"/>
      <c r="C465" s="76">
        <f>IF(ISERROR(Tableau1[[#This Row],[Date]]-A464),"",Tableau1[[#This Row],[Date]]-A464)</f>
        <v>1.0041666666656965</v>
      </c>
      <c r="D465" s="77">
        <f>IF(ISERROR(Tableau1[[#This Row],[Date]]-A464),"",Tableau1[[#This Row],[Date]]-A464)</f>
        <v>1.0041666666656965</v>
      </c>
      <c r="E465" s="76">
        <f>Tableau1[[#This Row],[Date]]-$A$5</f>
        <v>713.61111111110949</v>
      </c>
      <c r="F465" s="77">
        <f>Tableau1[[#This Row],[Date]]-$A$5</f>
        <v>713.61111111110949</v>
      </c>
      <c r="G465" s="77">
        <f>Tableau1[[#This Row],[Diff jour_x000D_
Cumul]]-F$6</f>
        <v>675.52777777778101</v>
      </c>
      <c r="H465" s="77">
        <f>Tableau1[[#This Row],[Diff jour_x000D_
Cumul]]-F$59</f>
        <v>653.00833333333139</v>
      </c>
      <c r="I465" s="78">
        <v>194961</v>
      </c>
      <c r="J465" s="79">
        <f>IF(ISERROR(Tableau1[[#This Row],[Index HP
kWh]]-I464),"",Tableau1[[#This Row],[Index HP
kWh]]-I464)</f>
        <v>57</v>
      </c>
      <c r="K465" s="77">
        <f>IF(ISERROR(Tableau1[[#This Row],[Différence HP
Instantané]]/(Tableau1[[#This Row],[Diff jour
Instantané]]*24)),"",Tableau1[[#This Row],[Différence HP
Instantané]]/(Tableau1[[#This Row],[Diff jour
Instantané]]*24))</f>
        <v>2.3651452282180525</v>
      </c>
      <c r="L465" s="77">
        <f>Tableau1[[#This Row],[Différence HP
Instantané]]/Tableau1[[#This Row],[Diff jour
Instantané]]</f>
        <v>56.76348547723326</v>
      </c>
      <c r="M465" s="77">
        <f>Tableau1[[#This Row],[Conso HP / jour
Instantané]]*365</f>
        <v>20718.67219919014</v>
      </c>
      <c r="N465" s="79">
        <f>Tableau1[[#This Row],[Index HP
kWh]]-$I$5</f>
        <v>15202</v>
      </c>
      <c r="O465" s="80">
        <f>Tableau1[[#This Row],[Différence HP
Cumul]]/(Tableau1[[#This Row],[Diff jour_x000D_
Cumul]]*24)</f>
        <v>0.88762164266251664</v>
      </c>
      <c r="P465" s="80">
        <f>Tableau1[[#This Row],[Différence HP
Cumul]]/Tableau1[[#This Row],[Diff jour_x000D_
Cumul]]</f>
        <v>21.302919423900398</v>
      </c>
      <c r="Q465" s="80">
        <f>Tableau1[[#This Row],[Conso HP / jour
Cumul]]*365</f>
        <v>7775.5655897236456</v>
      </c>
      <c r="R465" s="78">
        <v>125795</v>
      </c>
      <c r="S465" s="79">
        <f>Tableau1[[#This Row],[Index HC_x000D_
kWh]]-R464</f>
        <v>0</v>
      </c>
      <c r="T465" s="81">
        <f>Tableau1[[#This Row],[Différence_x000D_ HC
Instantané]]/(Tableau1[[#This Row],[Diff jour
Instantané]]*24)</f>
        <v>0</v>
      </c>
      <c r="U465" s="81">
        <f>Tableau1[[#This Row],[Différence_x000D_ HC
Instantané]]/Tableau1[[#This Row],[Diff jour
Instantané]]</f>
        <v>0</v>
      </c>
      <c r="V465" s="81">
        <f>Tableau1[[#This Row],[Conso HC / jour_x000D_
Instantané]]*365</f>
        <v>0</v>
      </c>
      <c r="W465" s="79">
        <f>Tableau1[[#This Row],[Index HC_x000D_
kWh]]-$R$5</f>
        <v>6363</v>
      </c>
      <c r="X465" s="82">
        <f>Tableau1[[#This Row],[Différence HC
Cumul]]/(Tableau1[[#This Row],[Diff jour_x000D_
Cumul]]*24)</f>
        <v>0.37152588555858396</v>
      </c>
      <c r="Y465" s="82">
        <f>Tableau1[[#This Row],[Différence HC
Cumul]]/Tableau1[[#This Row],[Diff jour_x000D_
Cumul]]</f>
        <v>8.9166212534060154</v>
      </c>
      <c r="Z465" s="82">
        <f>Tableau1[[#This Row],[Conso HC / jour_x000D_
Cumul]]*365</f>
        <v>3254.5667574931958</v>
      </c>
      <c r="AA465" s="79">
        <f>Tableau1[[#This Row],[Différence HP
Instantané]]+Tableau1[[#This Row],[Différence_x000D_ HC
Instantané]]</f>
        <v>57</v>
      </c>
      <c r="AB465" s="80">
        <f>Tableau1[[#This Row],[Conso HP + HC
Instantané]]/(Tableau1[[#This Row],[Diff jour
Instantané]]*24)</f>
        <v>2.3651452282180525</v>
      </c>
      <c r="AC465" s="80">
        <f>IF(ISERROR(Tableau1[[#This Row],[Date]]-A464),"",Tableau1[[#This Row],[Conso HP + HC
Instantané]]/Tableau1[[#This Row],[Diff jour
Instantané]])</f>
        <v>56.76348547723326</v>
      </c>
      <c r="AD465" s="80">
        <f>Tableau1[[#This Row],[Conso HP + HC / jour_x000D_
Instantané]]*365</f>
        <v>20718.67219919014</v>
      </c>
      <c r="AE465" s="79">
        <f>Tableau1[[#This Row],[Différence HP
Cumul]]+Tableau1[[#This Row],[Différence HC
Cumul]]</f>
        <v>21565</v>
      </c>
      <c r="AF465" s="77">
        <f>(Tableau1[[#This Row],[Conso HP + HC
Cumul]]-AE$6)/Tableau1[[#This Row],[Diff jour_x000D_
Cumul
depuis le 24/01]]</f>
        <v>28.117274558986665</v>
      </c>
      <c r="AG465" s="77">
        <f>(Tableau1[[#This Row],[Conso HP + HC
Cumul]]-AE$59)/Tableau1[[#This Row],[Diff jour_x000D_
Cumul
depuis
précédente facture
16/02/2021]]</f>
        <v>26.627531552685728</v>
      </c>
      <c r="AH465" s="80">
        <f>Tableau1[[#This Row],[Conso HP + HC
Cumul]]/(Tableau1[[#This Row],[Diff jour_x000D_
Cumul]]*24)</f>
        <v>1.2591475282211007</v>
      </c>
      <c r="AI465" s="80">
        <f>Tableau1[[#This Row],[Conso HP + HC
Cumul]]/Tableau1[[#This Row],[Diff jour_x000D_
Cumul]]</f>
        <v>30.219540677306412</v>
      </c>
      <c r="AJ465" s="80">
        <f>Tableau1[[#This Row],[Conso HP + HC / jour_x000D_
Cumul]]*365</f>
        <v>11030.132347216841</v>
      </c>
      <c r="AK465" s="83">
        <f>(Tableau1[[#This Row],[Différence HP
Cumul]]*0.1799)+(Tableau1[[#This Row],[Différence HC
Cumul]]*0.1346)</f>
        <v>3591.2996000000003</v>
      </c>
      <c r="AL465" s="83">
        <f>Tableau1[[#This Row],[Montant
Tarif HP/HC]]/Tableau1[[#This Row],[Diff jour_x000D_
Cumul]]</f>
        <v>5.0325724250681318</v>
      </c>
      <c r="AM465" s="83">
        <f>(Tableau1[[#This Row],[Montant
Tarif HP/HC]]-AK$6)/Tableau1[[#This Row],[Diff jour_x000D_
Cumul
depuis le 24/01]]</f>
        <v>4.6879996710390834</v>
      </c>
      <c r="AN465" s="83">
        <f>(Tableau1[[#This Row],[Montant
Tarif HP/HC]]-AK$59)/Tableau1[[#This Row],[Diff jour_x000D_
Cumul
depuis
précédente facture
16/02/2021]]</f>
        <v>4.4399681474202861</v>
      </c>
      <c r="AO465" s="83">
        <f>Tableau1[[#This Row],[Conso HP + HC
Cumul]]*0.1599</f>
        <v>3448.2434999999996</v>
      </c>
      <c r="AP465" s="83">
        <f>Tableau1[[#This Row],[Montant
Tarif normal]]/Tableau1[[#This Row],[Diff jour_x000D_
Cumul]]</f>
        <v>4.8321045543012948</v>
      </c>
      <c r="AQ465" s="83">
        <f>(Tableau1[[#This Row],[Conso HP / an
Cumul]]*0.1799)+(Tableau1[[#This Row],[Conso HC / an_x000D_
Cumul]]*0.1346)</f>
        <v>1836.8889351498681</v>
      </c>
      <c r="AR465" s="83">
        <f>Tableau1[[#This Row],[Conso HP + HC / an_x000D_
Cumul]]*0.1599</f>
        <v>1763.7181623199726</v>
      </c>
      <c r="AS465" s="79">
        <f>MONTH(Tableau1[[#This Row],[Date]])</f>
        <v>12</v>
      </c>
      <c r="AT465" s="79">
        <f>YEAR(Tableau1[[#This Row],[Date]])</f>
        <v>2022</v>
      </c>
    </row>
    <row r="466" spans="1:46" x14ac:dyDescent="0.2">
      <c r="A466" s="74">
        <v>44897.320138888892</v>
      </c>
      <c r="B466" s="75"/>
      <c r="C466" s="76">
        <f>IF(ISERROR(Tableau1[[#This Row],[Date]]-A465),"",Tableau1[[#This Row],[Date]]-A465)</f>
        <v>1.0006944444467081</v>
      </c>
      <c r="D466" s="77">
        <f>IF(ISERROR(Tableau1[[#This Row],[Date]]-A465),"",Tableau1[[#This Row],[Date]]-A465)</f>
        <v>1.0006944444467081</v>
      </c>
      <c r="E466" s="76">
        <f>Tableau1[[#This Row],[Date]]-$A$5</f>
        <v>714.6118055555562</v>
      </c>
      <c r="F466" s="77">
        <f>Tableau1[[#This Row],[Date]]-$A$5</f>
        <v>714.6118055555562</v>
      </c>
      <c r="G466" s="77">
        <f>Tableau1[[#This Row],[Diff jour_x000D_
Cumul]]-F$6</f>
        <v>676.52847222222772</v>
      </c>
      <c r="H466" s="77">
        <f>Tableau1[[#This Row],[Diff jour_x000D_
Cumul]]-F$59</f>
        <v>654.0090277777781</v>
      </c>
      <c r="I466" s="78">
        <v>194984</v>
      </c>
      <c r="J466" s="79">
        <f>IF(ISERROR(Tableau1[[#This Row],[Index HP
kWh]]-I465),"",Tableau1[[#This Row],[Index HP
kWh]]-I465)</f>
        <v>23</v>
      </c>
      <c r="K466" s="77">
        <f>IF(ISERROR(Tableau1[[#This Row],[Différence HP
Instantané]]/(Tableau1[[#This Row],[Diff jour
Instantané]]*24)),"",Tableau1[[#This Row],[Différence HP
Instantané]]/(Tableau1[[#This Row],[Diff jour
Instantané]]*24))</f>
        <v>0.95766828591039443</v>
      </c>
      <c r="L466" s="77">
        <f>Tableau1[[#This Row],[Différence HP
Instantané]]/Tableau1[[#This Row],[Diff jour
Instantané]]</f>
        <v>22.984038861849466</v>
      </c>
      <c r="M466" s="77">
        <f>Tableau1[[#This Row],[Conso HP / jour
Instantané]]*365</f>
        <v>8389.1741845750548</v>
      </c>
      <c r="N466" s="79">
        <f>Tableau1[[#This Row],[Index HP
kWh]]-$I$5</f>
        <v>15225</v>
      </c>
      <c r="O466" s="80">
        <f>Tableau1[[#This Row],[Différence HP
Cumul]]/(Tableau1[[#This Row],[Diff jour_x000D_
Cumul]]*24)</f>
        <v>0.88771973128378667</v>
      </c>
      <c r="P466" s="80">
        <f>Tableau1[[#This Row],[Différence HP
Cumul]]/Tableau1[[#This Row],[Diff jour_x000D_
Cumul]]</f>
        <v>21.305273550810881</v>
      </c>
      <c r="Q466" s="80">
        <f>Tableau1[[#This Row],[Conso HP / jour
Cumul]]*365</f>
        <v>7776.4248460459712</v>
      </c>
      <c r="R466" s="78">
        <v>125816</v>
      </c>
      <c r="S466" s="79">
        <f>Tableau1[[#This Row],[Index HC_x000D_
kWh]]-R465</f>
        <v>21</v>
      </c>
      <c r="T466" s="81">
        <f>Tableau1[[#This Row],[Différence_x000D_ HC
Instantané]]/(Tableau1[[#This Row],[Diff jour
Instantané]]*24)</f>
        <v>0.87439278278775145</v>
      </c>
      <c r="U466" s="81">
        <f>Tableau1[[#This Row],[Différence_x000D_ HC
Instantané]]/Tableau1[[#This Row],[Diff jour
Instantané]]</f>
        <v>20.985426786906036</v>
      </c>
      <c r="V466" s="81">
        <f>Tableau1[[#This Row],[Conso HC / jour_x000D_
Instantané]]*365</f>
        <v>7659.680777220703</v>
      </c>
      <c r="W466" s="79">
        <f>Tableau1[[#This Row],[Index HC_x000D_
kWh]]-$R$5</f>
        <v>6384</v>
      </c>
      <c r="X466" s="82">
        <f>Tableau1[[#This Row],[Différence HC
Cumul]]/(Tableau1[[#This Row],[Diff jour_x000D_
Cumul]]*24)</f>
        <v>0.3722300666348568</v>
      </c>
      <c r="Y466" s="82">
        <f>Tableau1[[#This Row],[Différence HC
Cumul]]/Tableau1[[#This Row],[Diff jour_x000D_
Cumul]]</f>
        <v>8.9335215992365633</v>
      </c>
      <c r="Z466" s="82">
        <f>Tableau1[[#This Row],[Conso HC / jour_x000D_
Cumul]]*365</f>
        <v>3260.7353837213454</v>
      </c>
      <c r="AA466" s="79">
        <f>Tableau1[[#This Row],[Différence HP
Instantané]]+Tableau1[[#This Row],[Différence_x000D_ HC
Instantané]]</f>
        <v>44</v>
      </c>
      <c r="AB466" s="80">
        <f>Tableau1[[#This Row],[Conso HP + HC
Instantané]]/(Tableau1[[#This Row],[Diff jour
Instantané]]*24)</f>
        <v>1.8320610686981458</v>
      </c>
      <c r="AC466" s="80">
        <f>IF(ISERROR(Tableau1[[#This Row],[Date]]-A465),"",Tableau1[[#This Row],[Conso HP + HC
Instantané]]/Tableau1[[#This Row],[Diff jour
Instantané]])</f>
        <v>43.969465648755502</v>
      </c>
      <c r="AD466" s="80">
        <f>Tableau1[[#This Row],[Conso HP + HC / jour_x000D_
Instantané]]*365</f>
        <v>16048.854961795758</v>
      </c>
      <c r="AE466" s="79">
        <f>Tableau1[[#This Row],[Différence HP
Cumul]]+Tableau1[[#This Row],[Différence HC
Cumul]]</f>
        <v>21609</v>
      </c>
      <c r="AF466" s="77">
        <f>(Tableau1[[#This Row],[Conso HP + HC
Cumul]]-AE$6)/Tableau1[[#This Row],[Diff jour_x000D_
Cumul
depuis le 24/01]]</f>
        <v>28.140722499771378</v>
      </c>
      <c r="AG466" s="77">
        <f>(Tableau1[[#This Row],[Conso HP + HC
Cumul]]-AE$59)/Tableau1[[#This Row],[Diff jour_x000D_
Cumul
depuis
précédente facture
16/02/2021]]</f>
        <v>26.6540663195908</v>
      </c>
      <c r="AH466" s="80">
        <f>Tableau1[[#This Row],[Conso HP + HC
Cumul]]/(Tableau1[[#This Row],[Diff jour_x000D_
Cumul]]*24)</f>
        <v>1.2599497979186436</v>
      </c>
      <c r="AI466" s="80">
        <f>Tableau1[[#This Row],[Conso HP + HC
Cumul]]/Tableau1[[#This Row],[Diff jour_x000D_
Cumul]]</f>
        <v>30.238795150047444</v>
      </c>
      <c r="AJ466" s="80">
        <f>Tableau1[[#This Row],[Conso HP + HC / jour_x000D_
Cumul]]*365</f>
        <v>11037.160229767318</v>
      </c>
      <c r="AK466" s="83">
        <f>(Tableau1[[#This Row],[Différence HP
Cumul]]*0.1799)+(Tableau1[[#This Row],[Différence HC
Cumul]]*0.1346)</f>
        <v>3598.2638999999999</v>
      </c>
      <c r="AL466" s="83">
        <f>Tableau1[[#This Row],[Montant
Tarif HP/HC]]/Tableau1[[#This Row],[Diff jour_x000D_
Cumul]]</f>
        <v>5.0352707190481185</v>
      </c>
      <c r="AM466" s="83">
        <f>(Tableau1[[#This Row],[Montant
Tarif HP/HC]]-AK$6)/Tableau1[[#This Row],[Diff jour_x000D_
Cumul
depuis le 24/01]]</f>
        <v>4.6913595366869494</v>
      </c>
      <c r="AN466" s="83">
        <f>(Tableau1[[#This Row],[Montant
Tarif HP/HC]]-AK$59)/Tableau1[[#This Row],[Diff jour_x000D_
Cumul
depuis
précédente facture
16/02/2021]]</f>
        <v>4.4438232142989849</v>
      </c>
      <c r="AO466" s="83">
        <f>Tableau1[[#This Row],[Conso HP + HC
Cumul]]*0.1599</f>
        <v>3455.2790999999997</v>
      </c>
      <c r="AP466" s="83">
        <f>Tableau1[[#This Row],[Montant
Tarif normal]]/Tableau1[[#This Row],[Diff jour_x000D_
Cumul]]</f>
        <v>4.8351833444925862</v>
      </c>
      <c r="AQ466" s="83">
        <f>(Tableau1[[#This Row],[Conso HP / an
Cumul]]*0.1799)+(Tableau1[[#This Row],[Conso HC / an_x000D_
Cumul]]*0.1346)</f>
        <v>1837.8738124525635</v>
      </c>
      <c r="AR466" s="83">
        <f>Tableau1[[#This Row],[Conso HP + HC / an_x000D_
Cumul]]*0.1599</f>
        <v>1764.841920739794</v>
      </c>
      <c r="AS466" s="79">
        <f>MONTH(Tableau1[[#This Row],[Date]])</f>
        <v>12</v>
      </c>
      <c r="AT466" s="79">
        <f>YEAR(Tableau1[[#This Row],[Date]])</f>
        <v>2022</v>
      </c>
    </row>
    <row r="467" spans="1:46" x14ac:dyDescent="0.2">
      <c r="A467" s="74">
        <v>44898.393055555556</v>
      </c>
      <c r="B467" s="75"/>
      <c r="C467" s="76">
        <f>IF(ISERROR(Tableau1[[#This Row],[Date]]-A466),"",Tableau1[[#This Row],[Date]]-A466)</f>
        <v>1.0729166666642413</v>
      </c>
      <c r="D467" s="77">
        <f>IF(ISERROR(Tableau1[[#This Row],[Date]]-A466),"",Tableau1[[#This Row],[Date]]-A466)</f>
        <v>1.0729166666642413</v>
      </c>
      <c r="E467" s="76">
        <f>Tableau1[[#This Row],[Date]]-$A$5</f>
        <v>715.68472222222044</v>
      </c>
      <c r="F467" s="77">
        <f>Tableau1[[#This Row],[Date]]-$A$5</f>
        <v>715.68472222222044</v>
      </c>
      <c r="G467" s="77">
        <f>Tableau1[[#This Row],[Diff jour_x000D_
Cumul]]-F$6</f>
        <v>677.60138888889196</v>
      </c>
      <c r="H467" s="77">
        <f>Tableau1[[#This Row],[Diff jour_x000D_
Cumul]]-F$59</f>
        <v>655.08194444444234</v>
      </c>
      <c r="I467" s="78">
        <v>195032</v>
      </c>
      <c r="J467" s="79">
        <f>IF(ISERROR(Tableau1[[#This Row],[Index HP
kWh]]-I466),"",Tableau1[[#This Row],[Index HP
kWh]]-I466)</f>
        <v>48</v>
      </c>
      <c r="K467" s="77">
        <f>IF(ISERROR(Tableau1[[#This Row],[Différence HP
Instantané]]/(Tableau1[[#This Row],[Diff jour
Instantané]]*24)),"",Tableau1[[#This Row],[Différence HP
Instantané]]/(Tableau1[[#This Row],[Diff jour
Instantané]]*24))</f>
        <v>1.8640776699071264</v>
      </c>
      <c r="L467" s="77">
        <f>Tableau1[[#This Row],[Différence HP
Instantané]]/Tableau1[[#This Row],[Diff jour
Instantané]]</f>
        <v>44.737864077771036</v>
      </c>
      <c r="M467" s="77">
        <f>Tableau1[[#This Row],[Conso HP / jour
Instantané]]*365</f>
        <v>16329.320388386428</v>
      </c>
      <c r="N467" s="79">
        <f>Tableau1[[#This Row],[Index HP
kWh]]-$I$5</f>
        <v>15273</v>
      </c>
      <c r="O467" s="80">
        <f>Tableau1[[#This Row],[Différence HP
Cumul]]/(Tableau1[[#This Row],[Diff jour_x000D_
Cumul]]*24)</f>
        <v>0.88918343544352663</v>
      </c>
      <c r="P467" s="80">
        <f>Tableau1[[#This Row],[Différence HP
Cumul]]/Tableau1[[#This Row],[Diff jour_x000D_
Cumul]]</f>
        <v>21.340402450644639</v>
      </c>
      <c r="Q467" s="80">
        <f>Tableau1[[#This Row],[Conso HP / jour
Cumul]]*365</f>
        <v>7789.2468944852935</v>
      </c>
      <c r="R467" s="78">
        <v>125838</v>
      </c>
      <c r="S467" s="79">
        <f>Tableau1[[#This Row],[Index HC_x000D_
kWh]]-R466</f>
        <v>22</v>
      </c>
      <c r="T467" s="81">
        <f>Tableau1[[#This Row],[Différence_x000D_ HC
Instantané]]/(Tableau1[[#This Row],[Diff jour
Instantané]]*24)</f>
        <v>0.85436893204076625</v>
      </c>
      <c r="U467" s="81">
        <f>Tableau1[[#This Row],[Différence_x000D_ HC
Instantané]]/Tableau1[[#This Row],[Diff jour
Instantané]]</f>
        <v>20.504854368978389</v>
      </c>
      <c r="V467" s="81">
        <f>Tableau1[[#This Row],[Conso HC / jour_x000D_
Instantané]]*365</f>
        <v>7484.2718446771123</v>
      </c>
      <c r="W467" s="79">
        <f>Tableau1[[#This Row],[Index HC_x000D_
kWh]]-$R$5</f>
        <v>6406</v>
      </c>
      <c r="X467" s="82">
        <f>Tableau1[[#This Row],[Différence HC
Cumul]]/(Tableau1[[#This Row],[Diff jour_x000D_
Cumul]]*24)</f>
        <v>0.37295286371055009</v>
      </c>
      <c r="Y467" s="82">
        <f>Tableau1[[#This Row],[Différence HC
Cumul]]/Tableau1[[#This Row],[Diff jour_x000D_
Cumul]]</f>
        <v>8.9508687290532016</v>
      </c>
      <c r="Z467" s="82">
        <f>Tableau1[[#This Row],[Conso HC / jour_x000D_
Cumul]]*365</f>
        <v>3267.0670861044186</v>
      </c>
      <c r="AA467" s="79">
        <f>Tableau1[[#This Row],[Différence HP
Instantané]]+Tableau1[[#This Row],[Différence_x000D_ HC
Instantané]]</f>
        <v>70</v>
      </c>
      <c r="AB467" s="80">
        <f>Tableau1[[#This Row],[Conso HP + HC
Instantané]]/(Tableau1[[#This Row],[Diff jour
Instantané]]*24)</f>
        <v>2.7184466019478926</v>
      </c>
      <c r="AC467" s="80">
        <f>IF(ISERROR(Tableau1[[#This Row],[Date]]-A466),"",Tableau1[[#This Row],[Conso HP + HC
Instantané]]/Tableau1[[#This Row],[Diff jour
Instantané]])</f>
        <v>65.242718446749421</v>
      </c>
      <c r="AD467" s="80">
        <f>Tableau1[[#This Row],[Conso HP + HC / jour_x000D_
Instantané]]*365</f>
        <v>23813.59223306354</v>
      </c>
      <c r="AE467" s="79">
        <f>Tableau1[[#This Row],[Différence HP
Cumul]]+Tableau1[[#This Row],[Différence HC
Cumul]]</f>
        <v>21679</v>
      </c>
      <c r="AF467" s="77">
        <f>(Tableau1[[#This Row],[Conso HP + HC
Cumul]]-AE$6)/Tableau1[[#This Row],[Diff jour_x000D_
Cumul
depuis le 24/01]]</f>
        <v>28.199469944022191</v>
      </c>
      <c r="AG467" s="77">
        <f>(Tableau1[[#This Row],[Conso HP + HC
Cumul]]-AE$59)/Tableau1[[#This Row],[Diff jour_x000D_
Cumul
depuis
précédente facture
16/02/2021]]</f>
        <v>26.717268195878887</v>
      </c>
      <c r="AH467" s="80">
        <f>Tableau1[[#This Row],[Conso HP + HC
Cumul]]/(Tableau1[[#This Row],[Diff jour_x000D_
Cumul]]*24)</f>
        <v>1.2621362991540765</v>
      </c>
      <c r="AI467" s="80">
        <f>Tableau1[[#This Row],[Conso HP + HC
Cumul]]/Tableau1[[#This Row],[Diff jour_x000D_
Cumul]]</f>
        <v>30.291271179697841</v>
      </c>
      <c r="AJ467" s="80">
        <f>Tableau1[[#This Row],[Conso HP + HC / jour_x000D_
Cumul]]*365</f>
        <v>11056.313980589712</v>
      </c>
      <c r="AK467" s="83">
        <f>(Tableau1[[#This Row],[Différence HP
Cumul]]*0.1799)+(Tableau1[[#This Row],[Différence HC
Cumul]]*0.1346)</f>
        <v>3609.8603000000003</v>
      </c>
      <c r="AL467" s="83">
        <f>Tableau1[[#This Row],[Montant
Tarif HP/HC]]/Tableau1[[#This Row],[Diff jour_x000D_
Cumul]]</f>
        <v>5.0439253318015318</v>
      </c>
      <c r="AM467" s="83">
        <f>(Tableau1[[#This Row],[Montant
Tarif HP/HC]]-AK$6)/Tableau1[[#This Row],[Diff jour_x000D_
Cumul
depuis le 24/01]]</f>
        <v>4.7010451162494951</v>
      </c>
      <c r="AN467" s="83">
        <f>(Tableau1[[#This Row],[Montant
Tarif HP/HC]]-AK$59)/Tableau1[[#This Row],[Diff jour_x000D_
Cumul
depuis
précédente facture
16/02/2021]]</f>
        <v>4.4542471743357108</v>
      </c>
      <c r="AO467" s="83">
        <f>Tableau1[[#This Row],[Conso HP + HC
Cumul]]*0.1599</f>
        <v>3466.4720999999995</v>
      </c>
      <c r="AP467" s="83">
        <f>Tableau1[[#This Row],[Montant
Tarif normal]]/Tableau1[[#This Row],[Diff jour_x000D_
Cumul]]</f>
        <v>4.8435742616336839</v>
      </c>
      <c r="AQ467" s="83">
        <f>(Tableau1[[#This Row],[Conso HP / an
Cumul]]*0.1799)+(Tableau1[[#This Row],[Conso HC / an_x000D_
Cumul]]*0.1346)</f>
        <v>1841.032746107559</v>
      </c>
      <c r="AR467" s="83">
        <f>Tableau1[[#This Row],[Conso HP + HC / an_x000D_
Cumul]]*0.1599</f>
        <v>1767.9046054962948</v>
      </c>
      <c r="AS467" s="79">
        <f>MONTH(Tableau1[[#This Row],[Date]])</f>
        <v>12</v>
      </c>
      <c r="AT467" s="79">
        <f>YEAR(Tableau1[[#This Row],[Date]])</f>
        <v>2022</v>
      </c>
    </row>
    <row r="468" spans="1:46" x14ac:dyDescent="0.2">
      <c r="A468" s="74">
        <v>44900.320833333331</v>
      </c>
      <c r="B468" s="75"/>
      <c r="C468" s="76">
        <f>IF(ISERROR(Tableau1[[#This Row],[Date]]-A467),"",Tableau1[[#This Row],[Date]]-A467)</f>
        <v>1.9277777777751908</v>
      </c>
      <c r="D468" s="77">
        <f>IF(ISERROR(Tableau1[[#This Row],[Date]]-A467),"",Tableau1[[#This Row],[Date]]-A467)</f>
        <v>1.9277777777751908</v>
      </c>
      <c r="E468" s="76">
        <f>Tableau1[[#This Row],[Date]]-$A$5</f>
        <v>717.61249999999563</v>
      </c>
      <c r="F468" s="77">
        <f>Tableau1[[#This Row],[Date]]-$A$5</f>
        <v>717.61249999999563</v>
      </c>
      <c r="G468" s="77">
        <f>Tableau1[[#This Row],[Diff jour_x000D_
Cumul]]-F$6</f>
        <v>679.52916666666715</v>
      </c>
      <c r="H468" s="77">
        <f>Tableau1[[#This Row],[Diff jour_x000D_
Cumul]]-F$59</f>
        <v>657.00972222221753</v>
      </c>
      <c r="I468" s="78">
        <v>195116</v>
      </c>
      <c r="J468" s="79">
        <f>IF(ISERROR(Tableau1[[#This Row],[Index HP
kWh]]-I467),"",Tableau1[[#This Row],[Index HP
kWh]]-I467)</f>
        <v>84</v>
      </c>
      <c r="K468" s="77">
        <f>IF(ISERROR(Tableau1[[#This Row],[Différence HP
Instantané]]/(Tableau1[[#This Row],[Diff jour
Instantané]]*24)),"",Tableau1[[#This Row],[Différence HP
Instantané]]/(Tableau1[[#This Row],[Diff jour
Instantané]]*24))</f>
        <v>1.815561959656615</v>
      </c>
      <c r="L468" s="77">
        <f>Tableau1[[#This Row],[Différence HP
Instantané]]/Tableau1[[#This Row],[Diff jour
Instantané]]</f>
        <v>43.573487031758759</v>
      </c>
      <c r="M468" s="77">
        <f>Tableau1[[#This Row],[Conso HP / jour
Instantané]]*365</f>
        <v>15904.322766591948</v>
      </c>
      <c r="N468" s="79">
        <f>Tableau1[[#This Row],[Index HP
kWh]]-$I$5</f>
        <v>15357</v>
      </c>
      <c r="O468" s="80">
        <f>Tableau1[[#This Row],[Différence HP
Cumul]]/(Tableau1[[#This Row],[Diff jour_x000D_
Cumul]]*24)</f>
        <v>0.89167203748541712</v>
      </c>
      <c r="P468" s="80">
        <f>Tableau1[[#This Row],[Différence HP
Cumul]]/Tableau1[[#This Row],[Diff jour_x000D_
Cumul]]</f>
        <v>21.40012889965001</v>
      </c>
      <c r="Q468" s="80">
        <f>Tableau1[[#This Row],[Conso HP / jour
Cumul]]*365</f>
        <v>7811.0470483722538</v>
      </c>
      <c r="R468" s="78">
        <v>125870</v>
      </c>
      <c r="S468" s="79">
        <f>Tableau1[[#This Row],[Index HC_x000D_
kWh]]-R467</f>
        <v>32</v>
      </c>
      <c r="T468" s="81">
        <f>Tableau1[[#This Row],[Différence_x000D_ HC
Instantané]]/(Tableau1[[#This Row],[Diff jour
Instantané]]*24)</f>
        <v>0.69164265129775815</v>
      </c>
      <c r="U468" s="81">
        <f>Tableau1[[#This Row],[Différence_x000D_ HC
Instantané]]/Tableau1[[#This Row],[Diff jour
Instantané]]</f>
        <v>16.599423631146195</v>
      </c>
      <c r="V468" s="81">
        <f>Tableau1[[#This Row],[Conso HC / jour_x000D_
Instantané]]*365</f>
        <v>6058.7896253683612</v>
      </c>
      <c r="W468" s="79">
        <f>Tableau1[[#This Row],[Index HC_x000D_
kWh]]-$R$5</f>
        <v>6438</v>
      </c>
      <c r="X468" s="82">
        <f>Tableau1[[#This Row],[Différence HC
Cumul]]/(Tableau1[[#This Row],[Diff jour_x000D_
Cumul]]*24)</f>
        <v>0.37380898465397638</v>
      </c>
      <c r="Y468" s="82">
        <f>Tableau1[[#This Row],[Différence HC
Cumul]]/Tableau1[[#This Row],[Diff jour_x000D_
Cumul]]</f>
        <v>8.9714156316954341</v>
      </c>
      <c r="Z468" s="82">
        <f>Tableau1[[#This Row],[Conso HC / jour_x000D_
Cumul]]*365</f>
        <v>3274.5667055688336</v>
      </c>
      <c r="AA468" s="79">
        <f>Tableau1[[#This Row],[Différence HP
Instantané]]+Tableau1[[#This Row],[Différence_x000D_ HC
Instantané]]</f>
        <v>116</v>
      </c>
      <c r="AB468" s="80">
        <f>Tableau1[[#This Row],[Conso HP + HC
Instantané]]/(Tableau1[[#This Row],[Diff jour
Instantané]]*24)</f>
        <v>2.5072046109543731</v>
      </c>
      <c r="AC468" s="80">
        <f>IF(ISERROR(Tableau1[[#This Row],[Date]]-A467),"",Tableau1[[#This Row],[Conso HP + HC
Instantané]]/Tableau1[[#This Row],[Diff jour
Instantané]])</f>
        <v>60.172910662904954</v>
      </c>
      <c r="AD468" s="80">
        <f>Tableau1[[#This Row],[Conso HP + HC / jour_x000D_
Instantané]]*365</f>
        <v>21963.112391960309</v>
      </c>
      <c r="AE468" s="79">
        <f>Tableau1[[#This Row],[Différence HP
Cumul]]+Tableau1[[#This Row],[Différence HC
Cumul]]</f>
        <v>21795</v>
      </c>
      <c r="AF468" s="77">
        <f>(Tableau1[[#This Row],[Conso HP + HC
Cumul]]-AE$6)/Tableau1[[#This Row],[Diff jour_x000D_
Cumul
depuis le 24/01]]</f>
        <v>28.290176408910561</v>
      </c>
      <c r="AG468" s="77">
        <f>(Tableau1[[#This Row],[Conso HP + HC
Cumul]]-AE$59)/Tableau1[[#This Row],[Diff jour_x000D_
Cumul
depuis
précédente facture
16/02/2021]]</f>
        <v>26.815432715988244</v>
      </c>
      <c r="AH468" s="80">
        <f>Tableau1[[#This Row],[Conso HP + HC
Cumul]]/(Tableau1[[#This Row],[Diff jour_x000D_
Cumul]]*24)</f>
        <v>1.2654810221393935</v>
      </c>
      <c r="AI468" s="80">
        <f>Tableau1[[#This Row],[Conso HP + HC
Cumul]]/Tableau1[[#This Row],[Diff jour_x000D_
Cumul]]</f>
        <v>30.371544531345446</v>
      </c>
      <c r="AJ468" s="80">
        <f>Tableau1[[#This Row],[Conso HP + HC / jour_x000D_
Cumul]]*365</f>
        <v>11085.613753941088</v>
      </c>
      <c r="AK468" s="83">
        <f>(Tableau1[[#This Row],[Différence HP
Cumul]]*0.1799)+(Tableau1[[#This Row],[Différence HC
Cumul]]*0.1346)</f>
        <v>3629.2790999999997</v>
      </c>
      <c r="AL468" s="83">
        <f>Tableau1[[#This Row],[Montant
Tarif HP/HC]]/Tableau1[[#This Row],[Diff jour_x000D_
Cumul]]</f>
        <v>5.057435733073242</v>
      </c>
      <c r="AM468" s="83">
        <f>(Tableau1[[#This Row],[Montant
Tarif HP/HC]]-AK$6)/Tableau1[[#This Row],[Diff jour_x000D_
Cumul
depuis le 24/01]]</f>
        <v>4.7162854182123617</v>
      </c>
      <c r="AN468" s="83">
        <f>(Tableau1[[#This Row],[Montant
Tarif HP/HC]]-AK$59)/Tableau1[[#This Row],[Diff jour_x000D_
Cumul
depuis
précédente facture
16/02/2021]]</f>
        <v>4.4707339947193718</v>
      </c>
      <c r="AO468" s="83">
        <f>Tableau1[[#This Row],[Conso HP + HC
Cumul]]*0.1599</f>
        <v>3485.0204999999996</v>
      </c>
      <c r="AP468" s="83">
        <f>Tableau1[[#This Row],[Montant
Tarif normal]]/Tableau1[[#This Row],[Diff jour_x000D_
Cumul]]</f>
        <v>4.8564099705621357</v>
      </c>
      <c r="AQ468" s="83">
        <f>(Tableau1[[#This Row],[Conso HP / an
Cumul]]*0.1799)+(Tableau1[[#This Row],[Conso HC / an_x000D_
Cumul]]*0.1346)</f>
        <v>1845.9640425717334</v>
      </c>
      <c r="AR468" s="83">
        <f>Tableau1[[#This Row],[Conso HP + HC / an_x000D_
Cumul]]*0.1599</f>
        <v>1772.5896392551799</v>
      </c>
      <c r="AS468" s="79">
        <f>MONTH(Tableau1[[#This Row],[Date]])</f>
        <v>12</v>
      </c>
      <c r="AT468" s="79">
        <f>YEAR(Tableau1[[#This Row],[Date]])</f>
        <v>2022</v>
      </c>
    </row>
    <row r="469" spans="1:46" x14ac:dyDescent="0.2">
      <c r="A469" s="74">
        <v>44901.353472222225</v>
      </c>
      <c r="B469" s="75"/>
      <c r="C469" s="76">
        <f>IF(ISERROR(Tableau1[[#This Row],[Date]]-A468),"",Tableau1[[#This Row],[Date]]-A468)</f>
        <v>1.0326388888934162</v>
      </c>
      <c r="D469" s="77">
        <f>IF(ISERROR(Tableau1[[#This Row],[Date]]-A468),"",Tableau1[[#This Row],[Date]]-A468)</f>
        <v>1.0326388888934162</v>
      </c>
      <c r="E469" s="76">
        <f>Tableau1[[#This Row],[Date]]-$A$5</f>
        <v>718.64513888888905</v>
      </c>
      <c r="F469" s="77">
        <f>Tableau1[[#This Row],[Date]]-$A$5</f>
        <v>718.64513888888905</v>
      </c>
      <c r="G469" s="77">
        <f>Tableau1[[#This Row],[Diff jour_x000D_
Cumul]]-F$6</f>
        <v>680.56180555556057</v>
      </c>
      <c r="H469" s="77">
        <f>Tableau1[[#This Row],[Diff jour_x000D_
Cumul]]-F$59</f>
        <v>658.04236111111095</v>
      </c>
      <c r="I469" s="78">
        <v>195163</v>
      </c>
      <c r="J469" s="79">
        <f>IF(ISERROR(Tableau1[[#This Row],[Index HP
kWh]]-I468),"",Tableau1[[#This Row],[Index HP
kWh]]-I468)</f>
        <v>47</v>
      </c>
      <c r="K469" s="77">
        <f>IF(ISERROR(Tableau1[[#This Row],[Différence HP
Instantané]]/(Tableau1[[#This Row],[Diff jour
Instantané]]*24)),"",Tableau1[[#This Row],[Différence HP
Instantané]]/(Tableau1[[#This Row],[Diff jour
Instantané]]*24))</f>
        <v>1.8964357767233602</v>
      </c>
      <c r="L469" s="77">
        <f>Tableau1[[#This Row],[Différence HP
Instantané]]/Tableau1[[#This Row],[Diff jour
Instantané]]</f>
        <v>45.514458641360648</v>
      </c>
      <c r="M469" s="77">
        <f>Tableau1[[#This Row],[Conso HP / jour
Instantané]]*365</f>
        <v>16612.777404096636</v>
      </c>
      <c r="N469" s="79">
        <f>Tableau1[[#This Row],[Index HP
kWh]]-$I$5</f>
        <v>15404</v>
      </c>
      <c r="O469" s="80">
        <f>Tableau1[[#This Row],[Différence HP
Cumul]]/(Tableau1[[#This Row],[Diff jour_x000D_
Cumul]]*24)</f>
        <v>0.8931158072337122</v>
      </c>
      <c r="P469" s="80">
        <f>Tableau1[[#This Row],[Différence HP
Cumul]]/Tableau1[[#This Row],[Diff jour_x000D_
Cumul]]</f>
        <v>21.434779373609093</v>
      </c>
      <c r="Q469" s="80">
        <f>Tableau1[[#This Row],[Conso HP / jour
Cumul]]*365</f>
        <v>7823.6944713673192</v>
      </c>
      <c r="R469" s="78">
        <v>125895</v>
      </c>
      <c r="S469" s="79">
        <f>Tableau1[[#This Row],[Index HC_x000D_
kWh]]-R468</f>
        <v>25</v>
      </c>
      <c r="T469" s="81">
        <f>Tableau1[[#This Row],[Différence_x000D_ HC
Instantané]]/(Tableau1[[#This Row],[Diff jour
Instantané]]*24)</f>
        <v>1.0087424344273193</v>
      </c>
      <c r="U469" s="81">
        <f>Tableau1[[#This Row],[Différence_x000D_ HC
Instantané]]/Tableau1[[#This Row],[Diff jour
Instantané]]</f>
        <v>24.209818426255662</v>
      </c>
      <c r="V469" s="81">
        <f>Tableau1[[#This Row],[Conso HC / jour_x000D_
Instantané]]*365</f>
        <v>8836.5837255833176</v>
      </c>
      <c r="W469" s="79">
        <f>Tableau1[[#This Row],[Index HC_x000D_
kWh]]-$R$5</f>
        <v>6463</v>
      </c>
      <c r="X469" s="82">
        <f>Tableau1[[#This Row],[Différence HC
Cumul]]/(Tableau1[[#This Row],[Diff jour_x000D_
Cumul]]*24)</f>
        <v>0.37472133615628939</v>
      </c>
      <c r="Y469" s="82">
        <f>Tableau1[[#This Row],[Différence HC
Cumul]]/Tableau1[[#This Row],[Diff jour_x000D_
Cumul]]</f>
        <v>8.9933120677509457</v>
      </c>
      <c r="Z469" s="82">
        <f>Tableau1[[#This Row],[Conso HC / jour_x000D_
Cumul]]*365</f>
        <v>3282.558904729095</v>
      </c>
      <c r="AA469" s="79">
        <f>Tableau1[[#This Row],[Différence HP
Instantané]]+Tableau1[[#This Row],[Différence_x000D_ HC
Instantané]]</f>
        <v>72</v>
      </c>
      <c r="AB469" s="80">
        <f>Tableau1[[#This Row],[Conso HP + HC
Instantané]]/(Tableau1[[#This Row],[Diff jour
Instantané]]*24)</f>
        <v>2.9051782111506794</v>
      </c>
      <c r="AC469" s="80">
        <f>IF(ISERROR(Tableau1[[#This Row],[Date]]-A468),"",Tableau1[[#This Row],[Conso HP + HC
Instantané]]/Tableau1[[#This Row],[Diff jour
Instantané]])</f>
        <v>69.724277067616313</v>
      </c>
      <c r="AD469" s="80">
        <f>Tableau1[[#This Row],[Conso HP + HC / jour_x000D_
Instantané]]*365</f>
        <v>25449.361129679954</v>
      </c>
      <c r="AE469" s="79">
        <f>Tableau1[[#This Row],[Différence HP
Cumul]]+Tableau1[[#This Row],[Différence HC
Cumul]]</f>
        <v>21867</v>
      </c>
      <c r="AF469" s="77">
        <f>(Tableau1[[#This Row],[Conso HP + HC
Cumul]]-AE$6)/Tableau1[[#This Row],[Diff jour_x000D_
Cumul
depuis le 24/01]]</f>
        <v>28.353045737334856</v>
      </c>
      <c r="AG469" s="77">
        <f>(Tableau1[[#This Row],[Conso HP + HC
Cumul]]-AE$59)/Tableau1[[#This Row],[Diff jour_x000D_
Cumul
depuis
précédente facture
16/02/2021]]</f>
        <v>26.882767805601851</v>
      </c>
      <c r="AH469" s="80">
        <f>Tableau1[[#This Row],[Conso HP + HC
Cumul]]/(Tableau1[[#This Row],[Diff jour_x000D_
Cumul]]*24)</f>
        <v>1.2678371433900015</v>
      </c>
      <c r="AI469" s="80">
        <f>Tableau1[[#This Row],[Conso HP + HC
Cumul]]/Tableau1[[#This Row],[Diff jour_x000D_
Cumul]]</f>
        <v>30.428091441360039</v>
      </c>
      <c r="AJ469" s="80">
        <f>Tableau1[[#This Row],[Conso HP + HC / jour_x000D_
Cumul]]*365</f>
        <v>11106.253376096414</v>
      </c>
      <c r="AK469" s="83">
        <f>(Tableau1[[#This Row],[Différence HP
Cumul]]*0.1799)+(Tableau1[[#This Row],[Différence HC
Cumul]]*0.1346)</f>
        <v>3641.0994000000001</v>
      </c>
      <c r="AL469" s="83">
        <f>Tableau1[[#This Row],[Montant
Tarif HP/HC]]/Tableau1[[#This Row],[Diff jour_x000D_
Cumul]]</f>
        <v>5.0666166136315534</v>
      </c>
      <c r="AM469" s="83">
        <f>(Tableau1[[#This Row],[Montant
Tarif HP/HC]]-AK$6)/Tableau1[[#This Row],[Diff jour_x000D_
Cumul
depuis le 24/01]]</f>
        <v>4.7264976872661029</v>
      </c>
      <c r="AN469" s="83">
        <f>(Tableau1[[#This Row],[Montant
Tarif HP/HC]]-AK$59)/Tableau1[[#This Row],[Diff jour_x000D_
Cumul
depuis
précédente facture
16/02/2021]]</f>
        <v>4.4816810805619793</v>
      </c>
      <c r="AO469" s="83">
        <f>Tableau1[[#This Row],[Conso HP + HC
Cumul]]*0.1599</f>
        <v>3496.5332999999996</v>
      </c>
      <c r="AP469" s="83">
        <f>Tableau1[[#This Row],[Montant
Tarif normal]]/Tableau1[[#This Row],[Diff jour_x000D_
Cumul]]</f>
        <v>4.865451821473469</v>
      </c>
      <c r="AQ469" s="83">
        <f>(Tableau1[[#This Row],[Conso HP / an
Cumul]]*0.1799)+(Tableau1[[#This Row],[Conso HC / an_x000D_
Cumul]]*0.1346)</f>
        <v>1849.315063975517</v>
      </c>
      <c r="AR469" s="83">
        <f>Tableau1[[#This Row],[Conso HP + HC / an_x000D_
Cumul]]*0.1599</f>
        <v>1775.8899148378166</v>
      </c>
      <c r="AS469" s="79">
        <f>MONTH(Tableau1[[#This Row],[Date]])</f>
        <v>12</v>
      </c>
      <c r="AT469" s="79">
        <f>YEAR(Tableau1[[#This Row],[Date]])</f>
        <v>2022</v>
      </c>
    </row>
    <row r="470" spans="1:46" x14ac:dyDescent="0.2">
      <c r="A470" s="74">
        <v>44902.289583333331</v>
      </c>
      <c r="B470" s="75"/>
      <c r="C470" s="76">
        <f>IF(ISERROR(Tableau1[[#This Row],[Date]]-A469),"",Tableau1[[#This Row],[Date]]-A469)</f>
        <v>0.93611111110658385</v>
      </c>
      <c r="D470" s="77">
        <f>IF(ISERROR(Tableau1[[#This Row],[Date]]-A469),"",Tableau1[[#This Row],[Date]]-A469)</f>
        <v>0.93611111110658385</v>
      </c>
      <c r="E470" s="76">
        <f>Tableau1[[#This Row],[Date]]-$A$5</f>
        <v>719.58124999999563</v>
      </c>
      <c r="F470" s="77">
        <f>Tableau1[[#This Row],[Date]]-$A$5</f>
        <v>719.58124999999563</v>
      </c>
      <c r="G470" s="77">
        <f>Tableau1[[#This Row],[Diff jour_x000D_
Cumul]]-F$6</f>
        <v>681.49791666666715</v>
      </c>
      <c r="H470" s="77">
        <f>Tableau1[[#This Row],[Diff jour_x000D_
Cumul]]-F$59</f>
        <v>658.97847222221753</v>
      </c>
      <c r="I470" s="78">
        <v>195205</v>
      </c>
      <c r="J470" s="79">
        <f>IF(ISERROR(Tableau1[[#This Row],[Index HP
kWh]]-I469),"",Tableau1[[#This Row],[Index HP
kWh]]-I469)</f>
        <v>42</v>
      </c>
      <c r="K470" s="77">
        <f>IF(ISERROR(Tableau1[[#This Row],[Différence HP
Instantané]]/(Tableau1[[#This Row],[Diff jour
Instantané]]*24)),"",Tableau1[[#This Row],[Différence HP
Instantané]]/(Tableau1[[#This Row],[Diff jour
Instantané]]*24))</f>
        <v>1.8694362017894566</v>
      </c>
      <c r="L470" s="77">
        <f>Tableau1[[#This Row],[Différence HP
Instantané]]/Tableau1[[#This Row],[Diff jour
Instantané]]</f>
        <v>44.866468842946958</v>
      </c>
      <c r="M470" s="77">
        <f>Tableau1[[#This Row],[Conso HP / jour
Instantané]]*365</f>
        <v>16376.26112767564</v>
      </c>
      <c r="N470" s="79">
        <f>Tableau1[[#This Row],[Index HP
kWh]]-$I$5</f>
        <v>15446</v>
      </c>
      <c r="O470" s="80">
        <f>Tableau1[[#This Row],[Différence HP
Cumul]]/(Tableau1[[#This Row],[Diff jour_x000D_
Cumul]]*24)</f>
        <v>0.89438591310340176</v>
      </c>
      <c r="P470" s="80">
        <f>Tableau1[[#This Row],[Différence HP
Cumul]]/Tableau1[[#This Row],[Diff jour_x000D_
Cumul]]</f>
        <v>21.465261914481644</v>
      </c>
      <c r="Q470" s="80">
        <f>Tableau1[[#This Row],[Conso HP / jour
Cumul]]*365</f>
        <v>7834.8205987858</v>
      </c>
      <c r="R470" s="78">
        <v>125917</v>
      </c>
      <c r="S470" s="79">
        <f>Tableau1[[#This Row],[Index HC_x000D_
kWh]]-R469</f>
        <v>22</v>
      </c>
      <c r="T470" s="81">
        <f>Tableau1[[#This Row],[Différence_x000D_ HC
Instantané]]/(Tableau1[[#This Row],[Diff jour
Instantané]]*24)</f>
        <v>0.9792284866516201</v>
      </c>
      <c r="U470" s="81">
        <f>Tableau1[[#This Row],[Différence_x000D_ HC
Instantané]]/Tableau1[[#This Row],[Diff jour
Instantané]]</f>
        <v>23.501483679638881</v>
      </c>
      <c r="V470" s="81">
        <f>Tableau1[[#This Row],[Conso HC / jour_x000D_
Instantané]]*365</f>
        <v>8578.0415430681915</v>
      </c>
      <c r="W470" s="79">
        <f>Tableau1[[#This Row],[Index HC_x000D_
kWh]]-$R$5</f>
        <v>6485</v>
      </c>
      <c r="X470" s="82">
        <f>Tableau1[[#This Row],[Différence HC
Cumul]]/(Tableau1[[#This Row],[Diff jour_x000D_
Cumul]]*24)</f>
        <v>0.37550774611391691</v>
      </c>
      <c r="Y470" s="82">
        <f>Tableau1[[#This Row],[Différence HC
Cumul]]/Tableau1[[#This Row],[Diff jour_x000D_
Cumul]]</f>
        <v>9.0121859067340058</v>
      </c>
      <c r="Z470" s="82">
        <f>Tableau1[[#This Row],[Conso HC / jour_x000D_
Cumul]]*365</f>
        <v>3289.447855957912</v>
      </c>
      <c r="AA470" s="79">
        <f>Tableau1[[#This Row],[Différence HP
Instantané]]+Tableau1[[#This Row],[Différence_x000D_ HC
Instantané]]</f>
        <v>64</v>
      </c>
      <c r="AB470" s="80">
        <f>Tableau1[[#This Row],[Conso HP + HC
Instantané]]/(Tableau1[[#This Row],[Diff jour
Instantané]]*24)</f>
        <v>2.8486646884410765</v>
      </c>
      <c r="AC470" s="80">
        <f>IF(ISERROR(Tableau1[[#This Row],[Date]]-A469),"",Tableau1[[#This Row],[Conso HP + HC
Instantané]]/Tableau1[[#This Row],[Diff jour
Instantané]])</f>
        <v>68.367952522585838</v>
      </c>
      <c r="AD470" s="80">
        <f>Tableau1[[#This Row],[Conso HP + HC / jour_x000D_
Instantané]]*365</f>
        <v>24954.302670743829</v>
      </c>
      <c r="AE470" s="79">
        <f>Tableau1[[#This Row],[Différence HP
Cumul]]+Tableau1[[#This Row],[Différence HC
Cumul]]</f>
        <v>21931</v>
      </c>
      <c r="AF470" s="77">
        <f>(Tableau1[[#This Row],[Conso HP + HC
Cumul]]-AE$6)/Tableau1[[#This Row],[Diff jour_x000D_
Cumul
depuis le 24/01]]</f>
        <v>28.408010540506645</v>
      </c>
      <c r="AG470" s="77">
        <f>(Tableau1[[#This Row],[Conso HP + HC
Cumul]]-AE$59)/Tableau1[[#This Row],[Diff jour_x000D_
Cumul
depuis
précédente facture
16/02/2021]]</f>
        <v>26.941699537057232</v>
      </c>
      <c r="AH470" s="80">
        <f>Tableau1[[#This Row],[Conso HP + HC
Cumul]]/(Tableau1[[#This Row],[Diff jour_x000D_
Cumul]]*24)</f>
        <v>1.2698936592173187</v>
      </c>
      <c r="AI470" s="80">
        <f>Tableau1[[#This Row],[Conso HP + HC
Cumul]]/Tableau1[[#This Row],[Diff jour_x000D_
Cumul]]</f>
        <v>30.477447821215648</v>
      </c>
      <c r="AJ470" s="80">
        <f>Tableau1[[#This Row],[Conso HP + HC / jour_x000D_
Cumul]]*365</f>
        <v>11124.268454743711</v>
      </c>
      <c r="AK470" s="83">
        <f>(Tableau1[[#This Row],[Différence HP
Cumul]]*0.1799)+(Tableau1[[#This Row],[Différence HC
Cumul]]*0.1346)</f>
        <v>3651.6163999999999</v>
      </c>
      <c r="AL470" s="83">
        <f>Tableau1[[#This Row],[Montant
Tarif HP/HC]]/Tableau1[[#This Row],[Diff jour_x000D_
Cumul]]</f>
        <v>5.0746408414616448</v>
      </c>
      <c r="AM470" s="83">
        <f>(Tableau1[[#This Row],[Montant
Tarif HP/HC]]-AK$6)/Tableau1[[#This Row],[Diff jour_x000D_
Cumul
depuis le 24/01]]</f>
        <v>4.7354375135653966</v>
      </c>
      <c r="AN470" s="83">
        <f>(Tableau1[[#This Row],[Montant
Tarif HP/HC]]-AK$59)/Tableau1[[#This Row],[Diff jour_x000D_
Cumul
depuis
précédente facture
16/02/2021]]</f>
        <v>4.4912741838430801</v>
      </c>
      <c r="AO470" s="83">
        <f>Tableau1[[#This Row],[Conso HP + HC
Cumul]]*0.1599</f>
        <v>3506.7668999999996</v>
      </c>
      <c r="AP470" s="83">
        <f>Tableau1[[#This Row],[Montant
Tarif normal]]/Tableau1[[#This Row],[Diff jour_x000D_
Cumul]]</f>
        <v>4.8733439066123818</v>
      </c>
      <c r="AQ470" s="83">
        <f>(Tableau1[[#This Row],[Conso HP / an
Cumul]]*0.1799)+(Tableau1[[#This Row],[Conso HC / an_x000D_
Cumul]]*0.1346)</f>
        <v>1852.2439071335004</v>
      </c>
      <c r="AR470" s="83">
        <f>Tableau1[[#This Row],[Conso HP + HC / an_x000D_
Cumul]]*0.1599</f>
        <v>1778.7705259135194</v>
      </c>
      <c r="AS470" s="79">
        <f>MONTH(Tableau1[[#This Row],[Date]])</f>
        <v>12</v>
      </c>
      <c r="AT470" s="79">
        <f>YEAR(Tableau1[[#This Row],[Date]])</f>
        <v>2022</v>
      </c>
    </row>
    <row r="471" spans="1:46" x14ac:dyDescent="0.2">
      <c r="A471" s="74">
        <v>44903.307638888888</v>
      </c>
      <c r="B471" s="75"/>
      <c r="C471" s="76">
        <f>IF(ISERROR(Tableau1[[#This Row],[Date]]-A470),"",Tableau1[[#This Row],[Date]]-A470)</f>
        <v>1.0180555555562023</v>
      </c>
      <c r="D471" s="77">
        <f>IF(ISERROR(Tableau1[[#This Row],[Date]]-A470),"",Tableau1[[#This Row],[Date]]-A470)</f>
        <v>1.0180555555562023</v>
      </c>
      <c r="E471" s="76">
        <f>Tableau1[[#This Row],[Date]]-$A$5</f>
        <v>720.59930555555184</v>
      </c>
      <c r="F471" s="77">
        <f>Tableau1[[#This Row],[Date]]-$A$5</f>
        <v>720.59930555555184</v>
      </c>
      <c r="G471" s="77">
        <f>Tableau1[[#This Row],[Diff jour_x000D_
Cumul]]-F$6</f>
        <v>682.51597222222335</v>
      </c>
      <c r="H471" s="77">
        <f>Tableau1[[#This Row],[Diff jour_x000D_
Cumul]]-F$59</f>
        <v>659.99652777777374</v>
      </c>
      <c r="I471" s="78">
        <v>195252</v>
      </c>
      <c r="J471" s="79">
        <f>IF(ISERROR(Tableau1[[#This Row],[Index HP
kWh]]-I470),"",Tableau1[[#This Row],[Index HP
kWh]]-I470)</f>
        <v>47</v>
      </c>
      <c r="K471" s="77">
        <f>IF(ISERROR(Tableau1[[#This Row],[Différence HP
Instantané]]/(Tableau1[[#This Row],[Diff jour
Instantané]]*24)),"",Tableau1[[#This Row],[Différence HP
Instantané]]/(Tableau1[[#This Row],[Diff jour
Instantané]]*24))</f>
        <v>1.9236016371065543</v>
      </c>
      <c r="L471" s="77">
        <f>Tableau1[[#This Row],[Différence HP
Instantané]]/Tableau1[[#This Row],[Diff jour
Instantané]]</f>
        <v>46.1664392905573</v>
      </c>
      <c r="M471" s="77">
        <f>Tableau1[[#This Row],[Conso HP / jour
Instantané]]*365</f>
        <v>16850.750341053415</v>
      </c>
      <c r="N471" s="79">
        <f>Tableau1[[#This Row],[Index HP
kWh]]-$I$5</f>
        <v>15493</v>
      </c>
      <c r="O471" s="80">
        <f>Tableau1[[#This Row],[Différence HP
Cumul]]/(Tableau1[[#This Row],[Diff jour_x000D_
Cumul]]*24)</f>
        <v>0.89583997887561262</v>
      </c>
      <c r="P471" s="80">
        <f>Tableau1[[#This Row],[Différence HP
Cumul]]/Tableau1[[#This Row],[Diff jour_x000D_
Cumul]]</f>
        <v>21.500159493014703</v>
      </c>
      <c r="Q471" s="80">
        <f>Tableau1[[#This Row],[Conso HP / jour
Cumul]]*365</f>
        <v>7847.5582149503662</v>
      </c>
      <c r="R471" s="78">
        <v>125944</v>
      </c>
      <c r="S471" s="79">
        <f>Tableau1[[#This Row],[Index HC_x000D_
kWh]]-R470</f>
        <v>27</v>
      </c>
      <c r="T471" s="81">
        <f>Tableau1[[#This Row],[Différence_x000D_ HC
Instantané]]/(Tableau1[[#This Row],[Diff jour
Instantané]]*24)</f>
        <v>1.1050477489761057</v>
      </c>
      <c r="U471" s="81">
        <f>Tableau1[[#This Row],[Différence_x000D_ HC
Instantané]]/Tableau1[[#This Row],[Diff jour
Instantané]]</f>
        <v>26.521145975426535</v>
      </c>
      <c r="V471" s="81">
        <f>Tableau1[[#This Row],[Conso HC / jour_x000D_
Instantané]]*365</f>
        <v>9680.2182810306858</v>
      </c>
      <c r="W471" s="79">
        <f>Tableau1[[#This Row],[Index HC_x000D_
kWh]]-$R$5</f>
        <v>6512</v>
      </c>
      <c r="X471" s="82">
        <f>Tableau1[[#This Row],[Différence HC
Cumul]]/(Tableau1[[#This Row],[Diff jour_x000D_
Cumul]]*24)</f>
        <v>0.37653843299799838</v>
      </c>
      <c r="Y471" s="82">
        <f>Tableau1[[#This Row],[Différence HC
Cumul]]/Tableau1[[#This Row],[Diff jour_x000D_
Cumul]]</f>
        <v>9.0369223919519612</v>
      </c>
      <c r="Z471" s="82">
        <f>Tableau1[[#This Row],[Conso HC / jour_x000D_
Cumul]]*365</f>
        <v>3298.476673062466</v>
      </c>
      <c r="AA471" s="79">
        <f>Tableau1[[#This Row],[Différence HP
Instantané]]+Tableau1[[#This Row],[Différence_x000D_ HC
Instantané]]</f>
        <v>74</v>
      </c>
      <c r="AB471" s="80">
        <f>Tableau1[[#This Row],[Conso HP + HC
Instantané]]/(Tableau1[[#This Row],[Diff jour
Instantané]]*24)</f>
        <v>3.0286493860826598</v>
      </c>
      <c r="AC471" s="80">
        <f>IF(ISERROR(Tableau1[[#This Row],[Date]]-A470),"",Tableau1[[#This Row],[Conso HP + HC
Instantané]]/Tableau1[[#This Row],[Diff jour
Instantané]])</f>
        <v>72.687585265983842</v>
      </c>
      <c r="AD471" s="80">
        <f>Tableau1[[#This Row],[Conso HP + HC / jour_x000D_
Instantané]]*365</f>
        <v>26530.968622084103</v>
      </c>
      <c r="AE471" s="79">
        <f>Tableau1[[#This Row],[Différence HP
Cumul]]+Tableau1[[#This Row],[Différence HC
Cumul]]</f>
        <v>22005</v>
      </c>
      <c r="AF471" s="77">
        <f>(Tableau1[[#This Row],[Conso HP + HC
Cumul]]-AE$6)/Tableau1[[#This Row],[Diff jour_x000D_
Cumul
depuis le 24/01]]</f>
        <v>28.474058909895223</v>
      </c>
      <c r="AG471" s="77">
        <f>(Tableau1[[#This Row],[Conso HP + HC
Cumul]]-AE$59)/Tableau1[[#This Row],[Diff jour_x000D_
Cumul
depuis
précédente facture
16/02/2021]]</f>
        <v>27.012263322092558</v>
      </c>
      <c r="AH471" s="80">
        <f>Tableau1[[#This Row],[Conso HP + HC
Cumul]]/(Tableau1[[#This Row],[Diff jour_x000D_
Cumul]]*24)</f>
        <v>1.272378411873611</v>
      </c>
      <c r="AI471" s="80">
        <f>Tableau1[[#This Row],[Conso HP + HC
Cumul]]/Tableau1[[#This Row],[Diff jour_x000D_
Cumul]]</f>
        <v>30.537081884966664</v>
      </c>
      <c r="AJ471" s="80">
        <f>Tableau1[[#This Row],[Conso HP + HC / jour_x000D_
Cumul]]*365</f>
        <v>11146.034888012833</v>
      </c>
      <c r="AK471" s="83">
        <f>(Tableau1[[#This Row],[Différence HP
Cumul]]*0.1799)+(Tableau1[[#This Row],[Différence HC
Cumul]]*0.1346)</f>
        <v>3663.7058999999999</v>
      </c>
      <c r="AL471" s="83">
        <f>Tableau1[[#This Row],[Montant
Tarif HP/HC]]/Tableau1[[#This Row],[Diff jour_x000D_
Cumul]]</f>
        <v>5.0842484467500793</v>
      </c>
      <c r="AM471" s="83">
        <f>(Tableau1[[#This Row],[Montant
Tarif HP/HC]]-AK$6)/Tableau1[[#This Row],[Diff jour_x000D_
Cumul
depuis le 24/01]]</f>
        <v>4.7460871713421362</v>
      </c>
      <c r="AN471" s="83">
        <f>(Tableau1[[#This Row],[Montant
Tarif HP/HC]]-AK$59)/Tableau1[[#This Row],[Diff jour_x000D_
Cumul
depuis
précédente facture
16/02/2021]]</f>
        <v>4.5026638397719116</v>
      </c>
      <c r="AO471" s="83">
        <f>Tableau1[[#This Row],[Conso HP + HC
Cumul]]*0.1599</f>
        <v>3518.5994999999998</v>
      </c>
      <c r="AP471" s="83">
        <f>Tableau1[[#This Row],[Montant
Tarif normal]]/Tableau1[[#This Row],[Diff jour_x000D_
Cumul]]</f>
        <v>4.8828793934061689</v>
      </c>
      <c r="AQ471" s="83">
        <f>(Tableau1[[#This Row],[Conso HP / an
Cumul]]*0.1799)+(Tableau1[[#This Row],[Conso HC / an_x000D_
Cumul]]*0.1346)</f>
        <v>1855.750683063779</v>
      </c>
      <c r="AR471" s="83">
        <f>Tableau1[[#This Row],[Conso HP + HC / an_x000D_
Cumul]]*0.1599</f>
        <v>1782.2509785932518</v>
      </c>
      <c r="AS471" s="79">
        <f>MONTH(Tableau1[[#This Row],[Date]])</f>
        <v>12</v>
      </c>
      <c r="AT471" s="79">
        <f>YEAR(Tableau1[[#This Row],[Date]])</f>
        <v>2022</v>
      </c>
    </row>
    <row r="472" spans="1:46" x14ac:dyDescent="0.2">
      <c r="A472" s="74">
        <v>44905.364583333336</v>
      </c>
      <c r="B472" s="75"/>
      <c r="C472" s="76">
        <f>IF(ISERROR(Tableau1[[#This Row],[Date]]-A471),"",Tableau1[[#This Row],[Date]]-A471)</f>
        <v>2.0569444444481633</v>
      </c>
      <c r="D472" s="77">
        <f>IF(ISERROR(Tableau1[[#This Row],[Date]]-A471),"",Tableau1[[#This Row],[Date]]-A471)</f>
        <v>2.0569444444481633</v>
      </c>
      <c r="E472" s="76">
        <f>Tableau1[[#This Row],[Date]]-$A$5</f>
        <v>722.65625</v>
      </c>
      <c r="F472" s="77">
        <f>Tableau1[[#This Row],[Date]]-$A$5</f>
        <v>722.65625</v>
      </c>
      <c r="G472" s="77">
        <f>Tableau1[[#This Row],[Diff jour_x000D_
Cumul]]-F$6</f>
        <v>684.57291666667152</v>
      </c>
      <c r="H472" s="77">
        <f>Tableau1[[#This Row],[Diff jour_x000D_
Cumul]]-F$59</f>
        <v>662.0534722222219</v>
      </c>
      <c r="I472" s="78">
        <v>195368</v>
      </c>
      <c r="J472" s="79">
        <f>IF(ISERROR(Tableau1[[#This Row],[Index HP
kWh]]-I471),"",Tableau1[[#This Row],[Index HP
kWh]]-I471)</f>
        <v>116</v>
      </c>
      <c r="K472" s="77">
        <f>IF(ISERROR(Tableau1[[#This Row],[Différence HP
Instantané]]/(Tableau1[[#This Row],[Diff jour
Instantané]]*24)),"",Tableau1[[#This Row],[Différence HP
Instantané]]/(Tableau1[[#This Row],[Diff jour
Instantané]]*24))</f>
        <v>2.3497636731895399</v>
      </c>
      <c r="L472" s="77">
        <f>Tableau1[[#This Row],[Différence HP
Instantané]]/Tableau1[[#This Row],[Diff jour
Instantané]]</f>
        <v>56.394328156548951</v>
      </c>
      <c r="M472" s="77">
        <f>Tableau1[[#This Row],[Conso HP / jour
Instantané]]*365</f>
        <v>20583.929777140369</v>
      </c>
      <c r="N472" s="79">
        <f>Tableau1[[#This Row],[Index HP
kWh]]-$I$5</f>
        <v>15609</v>
      </c>
      <c r="O472" s="80">
        <f>Tableau1[[#This Row],[Différence HP
Cumul]]/(Tableau1[[#This Row],[Diff jour_x000D_
Cumul]]*24)</f>
        <v>0.89997837837837835</v>
      </c>
      <c r="P472" s="80">
        <f>Tableau1[[#This Row],[Différence HP
Cumul]]/Tableau1[[#This Row],[Diff jour_x000D_
Cumul]]</f>
        <v>21.59948108108108</v>
      </c>
      <c r="Q472" s="80">
        <f>Tableau1[[#This Row],[Conso HP / jour
Cumul]]*365</f>
        <v>7883.8105945945945</v>
      </c>
      <c r="R472" s="78">
        <v>126001</v>
      </c>
      <c r="S472" s="79">
        <f>Tableau1[[#This Row],[Index HC_x000D_
kWh]]-R471</f>
        <v>57</v>
      </c>
      <c r="T472" s="81">
        <f>Tableau1[[#This Row],[Différence_x000D_ HC
Instantané]]/(Tableau1[[#This Row],[Diff jour
Instantané]]*24)</f>
        <v>1.1546252532052048</v>
      </c>
      <c r="U472" s="81">
        <f>Tableau1[[#This Row],[Différence_x000D_ HC
Instantané]]/Tableau1[[#This Row],[Diff jour
Instantané]]</f>
        <v>27.711006076924917</v>
      </c>
      <c r="V472" s="81">
        <f>Tableau1[[#This Row],[Conso HC / jour_x000D_
Instantané]]*365</f>
        <v>10114.517218077595</v>
      </c>
      <c r="W472" s="79">
        <f>Tableau1[[#This Row],[Index HC_x000D_
kWh]]-$R$5</f>
        <v>6569</v>
      </c>
      <c r="X472" s="82">
        <f>Tableau1[[#This Row],[Différence HC
Cumul]]/(Tableau1[[#This Row],[Diff jour_x000D_
Cumul]]*24)</f>
        <v>0.37875315315315317</v>
      </c>
      <c r="Y472" s="82">
        <f>Tableau1[[#This Row],[Différence HC
Cumul]]/Tableau1[[#This Row],[Diff jour_x000D_
Cumul]]</f>
        <v>9.090075675675676</v>
      </c>
      <c r="Z472" s="82">
        <f>Tableau1[[#This Row],[Conso HC / jour_x000D_
Cumul]]*365</f>
        <v>3317.8776216216215</v>
      </c>
      <c r="AA472" s="79">
        <f>Tableau1[[#This Row],[Différence HP
Instantané]]+Tableau1[[#This Row],[Différence_x000D_ HC
Instantané]]</f>
        <v>173</v>
      </c>
      <c r="AB472" s="80">
        <f>Tableau1[[#This Row],[Conso HP + HC
Instantané]]/(Tableau1[[#This Row],[Diff jour
Instantané]]*24)</f>
        <v>3.5043889263947445</v>
      </c>
      <c r="AC472" s="80">
        <f>IF(ISERROR(Tableau1[[#This Row],[Date]]-A471),"",Tableau1[[#This Row],[Conso HP + HC
Instantané]]/Tableau1[[#This Row],[Diff jour
Instantané]])</f>
        <v>84.105334233473869</v>
      </c>
      <c r="AD472" s="80">
        <f>Tableau1[[#This Row],[Conso HP + HC / jour_x000D_
Instantané]]*365</f>
        <v>30698.446995217961</v>
      </c>
      <c r="AE472" s="79">
        <f>Tableau1[[#This Row],[Différence HP
Cumul]]+Tableau1[[#This Row],[Différence HC
Cumul]]</f>
        <v>22178</v>
      </c>
      <c r="AF472" s="77">
        <f>(Tableau1[[#This Row],[Conso HP + HC
Cumul]]-AE$6)/Tableau1[[#This Row],[Diff jour_x000D_
Cumul
depuis le 24/01]]</f>
        <v>28.641214869367865</v>
      </c>
      <c r="AG472" s="77">
        <f>(Tableau1[[#This Row],[Conso HP + HC
Cumul]]-AE$59)/Tableau1[[#This Row],[Diff jour_x000D_
Cumul
depuis
précédente facture
16/02/2021]]</f>
        <v>27.189646690589164</v>
      </c>
      <c r="AH472" s="80">
        <f>Tableau1[[#This Row],[Conso HP + HC
Cumul]]/(Tableau1[[#This Row],[Diff jour_x000D_
Cumul]]*24)</f>
        <v>1.2787315315315315</v>
      </c>
      <c r="AI472" s="80">
        <f>Tableau1[[#This Row],[Conso HP + HC
Cumul]]/Tableau1[[#This Row],[Diff jour_x000D_
Cumul]]</f>
        <v>30.689556756756758</v>
      </c>
      <c r="AJ472" s="80">
        <f>Tableau1[[#This Row],[Conso HP + HC / jour_x000D_
Cumul]]*365</f>
        <v>11201.688216216216</v>
      </c>
      <c r="AK472" s="83">
        <f>(Tableau1[[#This Row],[Différence HP
Cumul]]*0.1799)+(Tableau1[[#This Row],[Différence HC
Cumul]]*0.1346)</f>
        <v>3692.2465000000002</v>
      </c>
      <c r="AL472" s="83">
        <f>Tableau1[[#This Row],[Montant
Tarif HP/HC]]/Tableau1[[#This Row],[Diff jour_x000D_
Cumul]]</f>
        <v>5.1092708324324327</v>
      </c>
      <c r="AM472" s="83">
        <f>(Tableau1[[#This Row],[Montant
Tarif HP/HC]]-AK$6)/Tableau1[[#This Row],[Diff jour_x000D_
Cumul
depuis le 24/01]]</f>
        <v>4.7735176493859885</v>
      </c>
      <c r="AN472" s="83">
        <f>(Tableau1[[#This Row],[Montant
Tarif HP/HC]]-AK$59)/Tableau1[[#This Row],[Diff jour_x000D_
Cumul
depuis
précédente facture
16/02/2021]]</f>
        <v>4.531783648727604</v>
      </c>
      <c r="AO472" s="83">
        <f>Tableau1[[#This Row],[Conso HP + HC
Cumul]]*0.1599</f>
        <v>3546.2621999999997</v>
      </c>
      <c r="AP472" s="83">
        <f>Tableau1[[#This Row],[Montant
Tarif normal]]/Tableau1[[#This Row],[Diff jour_x000D_
Cumul]]</f>
        <v>4.9072601254054051</v>
      </c>
      <c r="AQ472" s="83">
        <f>(Tableau1[[#This Row],[Conso HP / an
Cumul]]*0.1799)+(Tableau1[[#This Row],[Conso HC / an_x000D_
Cumul]]*0.1346)</f>
        <v>1864.8838538378377</v>
      </c>
      <c r="AR472" s="83">
        <f>Tableau1[[#This Row],[Conso HP + HC / an_x000D_
Cumul]]*0.1599</f>
        <v>1791.1499457729728</v>
      </c>
      <c r="AS472" s="79">
        <f>MONTH(Tableau1[[#This Row],[Date]])</f>
        <v>12</v>
      </c>
      <c r="AT472" s="79">
        <f>YEAR(Tableau1[[#This Row],[Date]])</f>
        <v>2022</v>
      </c>
    </row>
    <row r="473" spans="1:46" x14ac:dyDescent="0.2">
      <c r="A473" s="74">
        <v>44906.469444444447</v>
      </c>
      <c r="B473" s="75"/>
      <c r="C473" s="76">
        <f>IF(ISERROR(Tableau1[[#This Row],[Date]]-A472),"",Tableau1[[#This Row],[Date]]-A472)</f>
        <v>1.1048611111109494</v>
      </c>
      <c r="D473" s="77">
        <f>IF(ISERROR(Tableau1[[#This Row],[Date]]-A472),"",Tableau1[[#This Row],[Date]]-A472)</f>
        <v>1.1048611111109494</v>
      </c>
      <c r="E473" s="76">
        <f>Tableau1[[#This Row],[Date]]-$A$5</f>
        <v>723.76111111111095</v>
      </c>
      <c r="F473" s="77">
        <f>Tableau1[[#This Row],[Date]]-$A$5</f>
        <v>723.76111111111095</v>
      </c>
      <c r="G473" s="77">
        <f>Tableau1[[#This Row],[Diff jour_x000D_
Cumul]]-F$6</f>
        <v>685.67777777778247</v>
      </c>
      <c r="H473" s="77">
        <f>Tableau1[[#This Row],[Diff jour_x000D_
Cumul]]-F$59</f>
        <v>663.15833333333285</v>
      </c>
      <c r="I473" s="78">
        <v>195425</v>
      </c>
      <c r="J473" s="79">
        <f>IF(ISERROR(Tableau1[[#This Row],[Index HP
kWh]]-I472),"",Tableau1[[#This Row],[Index HP
kWh]]-I472)</f>
        <v>57</v>
      </c>
      <c r="K473" s="77">
        <f>IF(ISERROR(Tableau1[[#This Row],[Différence HP
Instantané]]/(Tableau1[[#This Row],[Diff jour
Instantané]]*24)),"",Tableau1[[#This Row],[Différence HP
Instantané]]/(Tableau1[[#This Row],[Diff jour
Instantané]]*24))</f>
        <v>2.149591451917348</v>
      </c>
      <c r="L473" s="77">
        <f>Tableau1[[#This Row],[Différence HP
Instantané]]/Tableau1[[#This Row],[Diff jour
Instantané]]</f>
        <v>51.590194846016352</v>
      </c>
      <c r="M473" s="77">
        <f>Tableau1[[#This Row],[Conso HP / jour
Instantané]]*365</f>
        <v>18830.42111879597</v>
      </c>
      <c r="N473" s="79">
        <f>Tableau1[[#This Row],[Index HP
kWh]]-$I$5</f>
        <v>15666</v>
      </c>
      <c r="O473" s="80">
        <f>Tableau1[[#This Row],[Différence HP
Cumul]]/(Tableau1[[#This Row],[Diff jour_x000D_
Cumul]]*24)</f>
        <v>0.90188598140884446</v>
      </c>
      <c r="P473" s="80">
        <f>Tableau1[[#This Row],[Différence HP
Cumul]]/Tableau1[[#This Row],[Diff jour_x000D_
Cumul]]</f>
        <v>21.645263553812267</v>
      </c>
      <c r="Q473" s="80">
        <f>Tableau1[[#This Row],[Conso HP / jour
Cumul]]*365</f>
        <v>7900.5211971414774</v>
      </c>
      <c r="R473" s="78">
        <v>126028</v>
      </c>
      <c r="S473" s="79">
        <f>Tableau1[[#This Row],[Index HC_x000D_
kWh]]-R472</f>
        <v>27</v>
      </c>
      <c r="T473" s="81">
        <f>Tableau1[[#This Row],[Différence_x000D_ HC
Instantané]]/(Tableau1[[#This Row],[Diff jour
Instantané]]*24)</f>
        <v>1.0182275298555858</v>
      </c>
      <c r="U473" s="81">
        <f>Tableau1[[#This Row],[Différence_x000D_ HC
Instantané]]/Tableau1[[#This Row],[Diff jour
Instantané]]</f>
        <v>24.437460716534058</v>
      </c>
      <c r="V473" s="81">
        <f>Tableau1[[#This Row],[Conso HC / jour_x000D_
Instantané]]*365</f>
        <v>8919.6731615349308</v>
      </c>
      <c r="W473" s="79">
        <f>Tableau1[[#This Row],[Index HC_x000D_
kWh]]-$R$5</f>
        <v>6596</v>
      </c>
      <c r="X473" s="82">
        <f>Tableau1[[#This Row],[Différence HC
Cumul]]/(Tableau1[[#This Row],[Diff jour_x000D_
Cumul]]*24)</f>
        <v>0.37972934593212931</v>
      </c>
      <c r="Y473" s="82">
        <f>Tableau1[[#This Row],[Différence HC
Cumul]]/Tableau1[[#This Row],[Diff jour_x000D_
Cumul]]</f>
        <v>9.1135043023711031</v>
      </c>
      <c r="Z473" s="82">
        <f>Tableau1[[#This Row],[Conso HC / jour_x000D_
Cumul]]*365</f>
        <v>3326.4290703654528</v>
      </c>
      <c r="AA473" s="79">
        <f>Tableau1[[#This Row],[Différence HP
Instantané]]+Tableau1[[#This Row],[Différence_x000D_ HC
Instantané]]</f>
        <v>84</v>
      </c>
      <c r="AB473" s="80">
        <f>Tableau1[[#This Row],[Conso HP + HC
Instantané]]/(Tableau1[[#This Row],[Diff jour
Instantané]]*24)</f>
        <v>3.1678189817729336</v>
      </c>
      <c r="AC473" s="80">
        <f>IF(ISERROR(Tableau1[[#This Row],[Date]]-A472),"",Tableau1[[#This Row],[Conso HP + HC
Instantané]]/Tableau1[[#This Row],[Diff jour
Instantané]])</f>
        <v>76.027655562550407</v>
      </c>
      <c r="AD473" s="80">
        <f>Tableau1[[#This Row],[Conso HP + HC / jour_x000D_
Instantané]]*365</f>
        <v>27750.094280330897</v>
      </c>
      <c r="AE473" s="79">
        <f>Tableau1[[#This Row],[Différence HP
Cumul]]+Tableau1[[#This Row],[Différence HC
Cumul]]</f>
        <v>22262</v>
      </c>
      <c r="AF473" s="77">
        <f>(Tableau1[[#This Row],[Conso HP + HC
Cumul]]-AE$6)/Tableau1[[#This Row],[Diff jour_x000D_
Cumul
depuis le 24/01]]</f>
        <v>28.717570611398095</v>
      </c>
      <c r="AG473" s="77">
        <f>(Tableau1[[#This Row],[Conso HP + HC
Cumul]]-AE$59)/Tableau1[[#This Row],[Diff jour_x000D_
Cumul
depuis
précédente facture
16/02/2021]]</f>
        <v>27.271013709647036</v>
      </c>
      <c r="AH473" s="80">
        <f>Tableau1[[#This Row],[Conso HP + HC
Cumul]]/(Tableau1[[#This Row],[Diff jour_x000D_
Cumul]]*24)</f>
        <v>1.2816153273409738</v>
      </c>
      <c r="AI473" s="80">
        <f>Tableau1[[#This Row],[Conso HP + HC
Cumul]]/Tableau1[[#This Row],[Diff jour_x000D_
Cumul]]</f>
        <v>30.758767856183368</v>
      </c>
      <c r="AJ473" s="80">
        <f>Tableau1[[#This Row],[Conso HP + HC / jour_x000D_
Cumul]]*365</f>
        <v>11226.950267506929</v>
      </c>
      <c r="AK473" s="83">
        <f>(Tableau1[[#This Row],[Différence HP
Cumul]]*0.1799)+(Tableau1[[#This Row],[Différence HC
Cumul]]*0.1346)</f>
        <v>3706.1350000000002</v>
      </c>
      <c r="AL473" s="83">
        <f>Tableau1[[#This Row],[Montant
Tarif HP/HC]]/Tableau1[[#This Row],[Diff jour_x000D_
Cumul]]</f>
        <v>5.120660592429978</v>
      </c>
      <c r="AM473" s="83">
        <f>(Tableau1[[#This Row],[Montant
Tarif HP/HC]]-AK$6)/Tableau1[[#This Row],[Diff jour_x000D_
Cumul
depuis le 24/01]]</f>
        <v>4.7860810228322013</v>
      </c>
      <c r="AN473" s="83">
        <f>(Tableau1[[#This Row],[Montant
Tarif HP/HC]]-AK$59)/Tableau1[[#This Row],[Diff jour_x000D_
Cumul
depuis
précédente facture
16/02/2021]]</f>
        <v>4.5451763907563585</v>
      </c>
      <c r="AO473" s="83">
        <f>Tableau1[[#This Row],[Conso HP + HC
Cumul]]*0.1599</f>
        <v>3559.6937999999996</v>
      </c>
      <c r="AP473" s="83">
        <f>Tableau1[[#This Row],[Montant
Tarif normal]]/Tableau1[[#This Row],[Diff jour_x000D_
Cumul]]</f>
        <v>4.9183269802037204</v>
      </c>
      <c r="AQ473" s="83">
        <f>(Tableau1[[#This Row],[Conso HP / an
Cumul]]*0.1799)+(Tableau1[[#This Row],[Conso HC / an_x000D_
Cumul]]*0.1346)</f>
        <v>1869.0411162369419</v>
      </c>
      <c r="AR473" s="83">
        <f>Tableau1[[#This Row],[Conso HP + HC / an_x000D_
Cumul]]*0.1599</f>
        <v>1795.1893477743579</v>
      </c>
      <c r="AS473" s="79">
        <f>MONTH(Tableau1[[#This Row],[Date]])</f>
        <v>12</v>
      </c>
      <c r="AT473" s="79">
        <f>YEAR(Tableau1[[#This Row],[Date]])</f>
        <v>2022</v>
      </c>
    </row>
    <row r="474" spans="1:46" x14ac:dyDescent="0.2">
      <c r="A474" s="74">
        <v>44907.31527777778</v>
      </c>
      <c r="B474" s="75"/>
      <c r="C474" s="76">
        <f>IF(ISERROR(Tableau1[[#This Row],[Date]]-A473),"",Tableau1[[#This Row],[Date]]-A473)</f>
        <v>0.84583333333284827</v>
      </c>
      <c r="D474" s="77">
        <f>IF(ISERROR(Tableau1[[#This Row],[Date]]-A473),"",Tableau1[[#This Row],[Date]]-A473)</f>
        <v>0.84583333333284827</v>
      </c>
      <c r="E474" s="76">
        <f>Tableau1[[#This Row],[Date]]-$A$5</f>
        <v>724.6069444444438</v>
      </c>
      <c r="F474" s="77">
        <f>Tableau1[[#This Row],[Date]]-$A$5</f>
        <v>724.6069444444438</v>
      </c>
      <c r="G474" s="77">
        <f>Tableau1[[#This Row],[Diff jour_x000D_
Cumul]]-F$6</f>
        <v>686.52361111111531</v>
      </c>
      <c r="H474" s="77">
        <f>Tableau1[[#This Row],[Diff jour_x000D_
Cumul]]-F$59</f>
        <v>664.0041666666657</v>
      </c>
      <c r="I474" s="78">
        <v>195466</v>
      </c>
      <c r="J474" s="79">
        <f>IF(ISERROR(Tableau1[[#This Row],[Index HP
kWh]]-I473),"",Tableau1[[#This Row],[Index HP
kWh]]-I473)</f>
        <v>41</v>
      </c>
      <c r="K474" s="77">
        <f>IF(ISERROR(Tableau1[[#This Row],[Différence HP
Instantané]]/(Tableau1[[#This Row],[Diff jour
Instantané]]*24)),"",Tableau1[[#This Row],[Différence HP
Instantané]]/(Tableau1[[#This Row],[Diff jour
Instantané]]*24))</f>
        <v>2.0197044334986951</v>
      </c>
      <c r="L474" s="77">
        <f>Tableau1[[#This Row],[Différence HP
Instantané]]/Tableau1[[#This Row],[Diff jour
Instantané]]</f>
        <v>48.472906403968686</v>
      </c>
      <c r="M474" s="77">
        <f>Tableau1[[#This Row],[Conso HP / jour
Instantané]]*365</f>
        <v>17692.61083744857</v>
      </c>
      <c r="N474" s="79">
        <f>Tableau1[[#This Row],[Index HP
kWh]]-$I$5</f>
        <v>15707</v>
      </c>
      <c r="O474" s="80">
        <f>Tableau1[[#This Row],[Différence HP
Cumul]]/(Tableau1[[#This Row],[Diff jour_x000D_
Cumul]]*24)</f>
        <v>0.90319081034353954</v>
      </c>
      <c r="P474" s="80">
        <f>Tableau1[[#This Row],[Différence HP
Cumul]]/Tableau1[[#This Row],[Diff jour_x000D_
Cumul]]</f>
        <v>21.676579448244951</v>
      </c>
      <c r="Q474" s="80">
        <f>Tableau1[[#This Row],[Conso HP / jour
Cumul]]*365</f>
        <v>7911.9514986094073</v>
      </c>
      <c r="R474" s="78">
        <v>126054</v>
      </c>
      <c r="S474" s="79">
        <f>Tableau1[[#This Row],[Index HC_x000D_
kWh]]-R473</f>
        <v>26</v>
      </c>
      <c r="T474" s="81">
        <f>Tableau1[[#This Row],[Différence_x000D_ HC
Instantané]]/(Tableau1[[#This Row],[Diff jour
Instantané]]*24)</f>
        <v>1.280788177340636</v>
      </c>
      <c r="U474" s="81">
        <f>Tableau1[[#This Row],[Différence_x000D_ HC
Instantané]]/Tableau1[[#This Row],[Diff jour
Instantané]]</f>
        <v>30.738916256175262</v>
      </c>
      <c r="V474" s="81">
        <f>Tableau1[[#This Row],[Conso HC / jour_x000D_
Instantané]]*365</f>
        <v>11219.70443350397</v>
      </c>
      <c r="W474" s="79">
        <f>Tableau1[[#This Row],[Index HC_x000D_
kWh]]-$R$5</f>
        <v>6622</v>
      </c>
      <c r="X474" s="82">
        <f>Tableau1[[#This Row],[Différence HC
Cumul]]/(Tableau1[[#This Row],[Diff jour_x000D_
Cumul]]*24)</f>
        <v>0.38078115146717506</v>
      </c>
      <c r="Y474" s="82">
        <f>Tableau1[[#This Row],[Différence HC
Cumul]]/Tableau1[[#This Row],[Diff jour_x000D_
Cumul]]</f>
        <v>9.1387476352122015</v>
      </c>
      <c r="Z474" s="82">
        <f>Tableau1[[#This Row],[Conso HC / jour_x000D_
Cumul]]*365</f>
        <v>3335.6428868524536</v>
      </c>
      <c r="AA474" s="79">
        <f>Tableau1[[#This Row],[Différence HP
Instantané]]+Tableau1[[#This Row],[Différence_x000D_ HC
Instantané]]</f>
        <v>67</v>
      </c>
      <c r="AB474" s="80">
        <f>Tableau1[[#This Row],[Conso HP + HC
Instantané]]/(Tableau1[[#This Row],[Diff jour
Instantané]]*24)</f>
        <v>3.3004926108393313</v>
      </c>
      <c r="AC474" s="80">
        <f>IF(ISERROR(Tableau1[[#This Row],[Date]]-A473),"",Tableau1[[#This Row],[Conso HP + HC
Instantané]]/Tableau1[[#This Row],[Diff jour
Instantané]])</f>
        <v>79.211822660143952</v>
      </c>
      <c r="AD474" s="80">
        <f>Tableau1[[#This Row],[Conso HP + HC / jour_x000D_
Instantané]]*365</f>
        <v>28912.315270952542</v>
      </c>
      <c r="AE474" s="79">
        <f>Tableau1[[#This Row],[Différence HP
Cumul]]+Tableau1[[#This Row],[Différence HC
Cumul]]</f>
        <v>22329</v>
      </c>
      <c r="AF474" s="77">
        <f>(Tableau1[[#This Row],[Conso HP + HC
Cumul]]-AE$6)/Tableau1[[#This Row],[Diff jour_x000D_
Cumul
depuis le 24/01]]</f>
        <v>28.779782195724255</v>
      </c>
      <c r="AG474" s="77">
        <f>(Tableau1[[#This Row],[Conso HP + HC
Cumul]]-AE$59)/Tableau1[[#This Row],[Diff jour_x000D_
Cumul
depuis
précédente facture
16/02/2021]]</f>
        <v>27.337177854054669</v>
      </c>
      <c r="AH474" s="80">
        <f>Tableau1[[#This Row],[Conso HP + HC
Cumul]]/(Tableau1[[#This Row],[Diff jour_x000D_
Cumul]]*24)</f>
        <v>1.2839719618107146</v>
      </c>
      <c r="AI474" s="80">
        <f>Tableau1[[#This Row],[Conso HP + HC
Cumul]]/Tableau1[[#This Row],[Diff jour_x000D_
Cumul]]</f>
        <v>30.815327083457152</v>
      </c>
      <c r="AJ474" s="80">
        <f>Tableau1[[#This Row],[Conso HP + HC / jour_x000D_
Cumul]]*365</f>
        <v>11247.59438546186</v>
      </c>
      <c r="AK474" s="83">
        <f>(Tableau1[[#This Row],[Différence HP
Cumul]]*0.1799)+(Tableau1[[#This Row],[Différence HC
Cumul]]*0.1346)</f>
        <v>3717.0104999999999</v>
      </c>
      <c r="AL474" s="83">
        <f>Tableau1[[#This Row],[Montant
Tarif HP/HC]]/Tableau1[[#This Row],[Diff jour_x000D_
Cumul]]</f>
        <v>5.1296920744388288</v>
      </c>
      <c r="AM474" s="83">
        <f>(Tableau1[[#This Row],[Montant
Tarif HP/HC]]-AK$6)/Tableau1[[#This Row],[Diff jour_x000D_
Cumul
depuis le 24/01]]</f>
        <v>4.7960257254241583</v>
      </c>
      <c r="AN474" s="83">
        <f>(Tableau1[[#This Row],[Montant
Tarif HP/HC]]-AK$59)/Tableau1[[#This Row],[Diff jour_x000D_
Cumul
depuis
précédente facture
16/02/2021]]</f>
        <v>4.5557652374169404</v>
      </c>
      <c r="AO474" s="83">
        <f>Tableau1[[#This Row],[Conso HP + HC
Cumul]]*0.1599</f>
        <v>3570.4070999999999</v>
      </c>
      <c r="AP474" s="83">
        <f>Tableau1[[#This Row],[Montant
Tarif normal]]/Tableau1[[#This Row],[Diff jour_x000D_
Cumul]]</f>
        <v>4.9273708006447983</v>
      </c>
      <c r="AQ474" s="83">
        <f>(Tableau1[[#This Row],[Conso HP / an
Cumul]]*0.1799)+(Tableau1[[#This Row],[Conso HC / an_x000D_
Cumul]]*0.1346)</f>
        <v>1872.3376071701728</v>
      </c>
      <c r="AR474" s="83">
        <f>Tableau1[[#This Row],[Conso HP + HC / an_x000D_
Cumul]]*0.1599</f>
        <v>1798.4903422353514</v>
      </c>
      <c r="AS474" s="79">
        <f>MONTH(Tableau1[[#This Row],[Date]])</f>
        <v>12</v>
      </c>
      <c r="AT474" s="79">
        <f>YEAR(Tableau1[[#This Row],[Date]])</f>
        <v>2022</v>
      </c>
    </row>
    <row r="475" spans="1:46" x14ac:dyDescent="0.2">
      <c r="A475" s="74">
        <v>44908.3125</v>
      </c>
      <c r="B475" s="75"/>
      <c r="C475" s="76">
        <f>IF(ISERROR(Tableau1[[#This Row],[Date]]-A474),"",Tableau1[[#This Row],[Date]]-A474)</f>
        <v>0.99722222222044365</v>
      </c>
      <c r="D475" s="77">
        <f>IF(ISERROR(Tableau1[[#This Row],[Date]]-A474),"",Tableau1[[#This Row],[Date]]-A474)</f>
        <v>0.99722222222044365</v>
      </c>
      <c r="E475" s="76">
        <f>Tableau1[[#This Row],[Date]]-$A$5</f>
        <v>725.60416666666424</v>
      </c>
      <c r="F475" s="77">
        <f>Tableau1[[#This Row],[Date]]-$A$5</f>
        <v>725.60416666666424</v>
      </c>
      <c r="G475" s="77">
        <f>Tableau1[[#This Row],[Diff jour_x000D_
Cumul]]-F$6</f>
        <v>687.52083333333576</v>
      </c>
      <c r="H475" s="77">
        <f>Tableau1[[#This Row],[Diff jour_x000D_
Cumul]]-F$59</f>
        <v>665.00138888888614</v>
      </c>
      <c r="I475" s="78">
        <v>195519</v>
      </c>
      <c r="J475" s="79">
        <f>IF(ISERROR(Tableau1[[#This Row],[Index HP
kWh]]-I474),"",Tableau1[[#This Row],[Index HP
kWh]]-I474)</f>
        <v>53</v>
      </c>
      <c r="K475" s="77">
        <f>IF(ISERROR(Tableau1[[#This Row],[Différence HP
Instantané]]/(Tableau1[[#This Row],[Diff jour
Instantané]]*24)),"",Tableau1[[#This Row],[Différence HP
Instantané]]/(Tableau1[[#This Row],[Diff jour
Instantané]]*24))</f>
        <v>2.2144846796696878</v>
      </c>
      <c r="L475" s="77">
        <f>Tableau1[[#This Row],[Différence HP
Instantané]]/Tableau1[[#This Row],[Diff jour
Instantané]]</f>
        <v>53.147632312072503</v>
      </c>
      <c r="M475" s="77">
        <f>Tableau1[[#This Row],[Conso HP / jour
Instantané]]*365</f>
        <v>19398.885793906462</v>
      </c>
      <c r="N475" s="79">
        <f>Tableau1[[#This Row],[Index HP
kWh]]-$I$5</f>
        <v>15760</v>
      </c>
      <c r="O475" s="80">
        <f>Tableau1[[#This Row],[Différence HP
Cumul]]/(Tableau1[[#This Row],[Diff jour_x000D_
Cumul]]*24)</f>
        <v>0.9049929656320912</v>
      </c>
      <c r="P475" s="80">
        <f>Tableau1[[#This Row],[Différence HP
Cumul]]/Tableau1[[#This Row],[Diff jour_x000D_
Cumul]]</f>
        <v>21.719831175170189</v>
      </c>
      <c r="Q475" s="80">
        <f>Tableau1[[#This Row],[Conso HP / jour
Cumul]]*365</f>
        <v>7927.7383789371188</v>
      </c>
      <c r="R475" s="78">
        <v>126083</v>
      </c>
      <c r="S475" s="79">
        <f>Tableau1[[#This Row],[Index HC_x000D_
kWh]]-R474</f>
        <v>29</v>
      </c>
      <c r="T475" s="81">
        <f>Tableau1[[#This Row],[Différence_x000D_ HC
Instantané]]/(Tableau1[[#This Row],[Diff jour
Instantané]]*24)</f>
        <v>1.211699164347565</v>
      </c>
      <c r="U475" s="81">
        <f>Tableau1[[#This Row],[Différence_x000D_ HC
Instantané]]/Tableau1[[#This Row],[Diff jour
Instantané]]</f>
        <v>29.080779944341561</v>
      </c>
      <c r="V475" s="81">
        <f>Tableau1[[#This Row],[Conso HC / jour_x000D_
Instantané]]*365</f>
        <v>10614.48467968467</v>
      </c>
      <c r="W475" s="79">
        <f>Tableau1[[#This Row],[Index HC_x000D_
kWh]]-$R$5</f>
        <v>6651</v>
      </c>
      <c r="X475" s="82">
        <f>Tableau1[[#This Row],[Différence HC
Cumul]]/(Tableau1[[#This Row],[Diff jour_x000D_
Cumul]]*24)</f>
        <v>0.38192311005196944</v>
      </c>
      <c r="Y475" s="82">
        <f>Tableau1[[#This Row],[Différence HC
Cumul]]/Tableau1[[#This Row],[Diff jour_x000D_
Cumul]]</f>
        <v>9.1661546412472674</v>
      </c>
      <c r="Z475" s="82">
        <f>Tableau1[[#This Row],[Conso HC / jour_x000D_
Cumul]]*365</f>
        <v>3345.6464440552527</v>
      </c>
      <c r="AA475" s="79">
        <f>Tableau1[[#This Row],[Différence HP
Instantané]]+Tableau1[[#This Row],[Différence_x000D_ HC
Instantané]]</f>
        <v>82</v>
      </c>
      <c r="AB475" s="80">
        <f>Tableau1[[#This Row],[Conso HP + HC
Instantané]]/(Tableau1[[#This Row],[Diff jour
Instantané]]*24)</f>
        <v>3.426183844017253</v>
      </c>
      <c r="AC475" s="80">
        <f>IF(ISERROR(Tableau1[[#This Row],[Date]]-A474),"",Tableau1[[#This Row],[Conso HP + HC
Instantané]]/Tableau1[[#This Row],[Diff jour
Instantané]])</f>
        <v>82.22841225641406</v>
      </c>
      <c r="AD475" s="80">
        <f>Tableau1[[#This Row],[Conso HP + HC / jour_x000D_
Instantané]]*365</f>
        <v>30013.370473591131</v>
      </c>
      <c r="AE475" s="79">
        <f>Tableau1[[#This Row],[Différence HP
Cumul]]+Tableau1[[#This Row],[Différence HC
Cumul]]</f>
        <v>22411</v>
      </c>
      <c r="AF475" s="77">
        <f>(Tableau1[[#This Row],[Conso HP + HC
Cumul]]-AE$6)/Tableau1[[#This Row],[Diff jour_x000D_
Cumul
depuis le 24/01]]</f>
        <v>28.857307354322494</v>
      </c>
      <c r="AG475" s="77">
        <f>(Tableau1[[#This Row],[Conso HP + HC
Cumul]]-AE$59)/Tableau1[[#This Row],[Diff jour_x000D_
Cumul
depuis
précédente facture
16/02/2021]]</f>
        <v>27.419491605071951</v>
      </c>
      <c r="AH475" s="80">
        <f>Tableau1[[#This Row],[Conso HP + HC
Cumul]]/(Tableau1[[#This Row],[Diff jour_x000D_
Cumul]]*24)</f>
        <v>1.2869160756840607</v>
      </c>
      <c r="AI475" s="80">
        <f>Tableau1[[#This Row],[Conso HP + HC
Cumul]]/Tableau1[[#This Row],[Diff jour_x000D_
Cumul]]</f>
        <v>30.885985816417456</v>
      </c>
      <c r="AJ475" s="80">
        <f>Tableau1[[#This Row],[Conso HP + HC / jour_x000D_
Cumul]]*365</f>
        <v>11273.384822992371</v>
      </c>
      <c r="AK475" s="83">
        <f>(Tableau1[[#This Row],[Différence HP
Cumul]]*0.1799)+(Tableau1[[#This Row],[Différence HC
Cumul]]*0.1346)</f>
        <v>3730.4486000000002</v>
      </c>
      <c r="AL475" s="83">
        <f>Tableau1[[#This Row],[Montant
Tarif HP/HC]]/Tableau1[[#This Row],[Diff jour_x000D_
Cumul]]</f>
        <v>5.1411620431249991</v>
      </c>
      <c r="AM475" s="83">
        <f>(Tableau1[[#This Row],[Montant
Tarif HP/HC]]-AK$6)/Tableau1[[#This Row],[Diff jour_x000D_
Cumul
depuis le 24/01]]</f>
        <v>4.808615011666296</v>
      </c>
      <c r="AN475" s="83">
        <f>(Tableau1[[#This Row],[Montant
Tarif HP/HC]]-AK$59)/Tableau1[[#This Row],[Diff jour_x000D_
Cumul
depuis
précédente facture
16/02/2021]]</f>
        <v>4.5691411337904668</v>
      </c>
      <c r="AO475" s="83">
        <f>Tableau1[[#This Row],[Conso HP + HC
Cumul]]*0.1599</f>
        <v>3583.5188999999996</v>
      </c>
      <c r="AP475" s="83">
        <f>Tableau1[[#This Row],[Montant
Tarif normal]]/Tableau1[[#This Row],[Diff jour_x000D_
Cumul]]</f>
        <v>4.9386691320451508</v>
      </c>
      <c r="AQ475" s="83">
        <f>(Tableau1[[#This Row],[Conso HP / an
Cumul]]*0.1799)+(Tableau1[[#This Row],[Conso HC / an_x000D_
Cumul]]*0.1346)</f>
        <v>1876.5241457406248</v>
      </c>
      <c r="AR475" s="83">
        <f>Tableau1[[#This Row],[Conso HP + HC / an_x000D_
Cumul]]*0.1599</f>
        <v>1802.61423319648</v>
      </c>
      <c r="AS475" s="79">
        <f>MONTH(Tableau1[[#This Row],[Date]])</f>
        <v>12</v>
      </c>
      <c r="AT475" s="79">
        <f>YEAR(Tableau1[[#This Row],[Date]])</f>
        <v>2022</v>
      </c>
    </row>
    <row r="476" spans="1:46" x14ac:dyDescent="0.2">
      <c r="A476" s="74">
        <v>44909.321527777778</v>
      </c>
      <c r="B476" s="75"/>
      <c r="C476" s="76">
        <f>IF(ISERROR(Tableau1[[#This Row],[Date]]-A475),"",Tableau1[[#This Row],[Date]]-A475)</f>
        <v>1.0090277777781012</v>
      </c>
      <c r="D476" s="77">
        <f>IF(ISERROR(Tableau1[[#This Row],[Date]]-A475),"",Tableau1[[#This Row],[Date]]-A475)</f>
        <v>1.0090277777781012</v>
      </c>
      <c r="E476" s="76">
        <f>Tableau1[[#This Row],[Date]]-$A$5</f>
        <v>726.61319444444234</v>
      </c>
      <c r="F476" s="77">
        <f>Tableau1[[#This Row],[Date]]-$A$5</f>
        <v>726.61319444444234</v>
      </c>
      <c r="G476" s="77">
        <f>Tableau1[[#This Row],[Diff jour_x000D_
Cumul]]-F$6</f>
        <v>688.52986111111386</v>
      </c>
      <c r="H476" s="77">
        <f>Tableau1[[#This Row],[Diff jour_x000D_
Cumul]]-F$59</f>
        <v>666.01041666666424</v>
      </c>
      <c r="I476" s="78">
        <v>195571</v>
      </c>
      <c r="J476" s="79">
        <f>IF(ISERROR(Tableau1[[#This Row],[Index HP
kWh]]-I475),"",Tableau1[[#This Row],[Index HP
kWh]]-I475)</f>
        <v>52</v>
      </c>
      <c r="K476" s="77">
        <f>IF(ISERROR(Tableau1[[#This Row],[Différence HP
Instantané]]/(Tableau1[[#This Row],[Diff jour
Instantané]]*24)),"",Tableau1[[#This Row],[Différence HP
Instantané]]/(Tableau1[[#This Row],[Diff jour
Instantané]]*24))</f>
        <v>2.1472814865788026</v>
      </c>
      <c r="L476" s="77">
        <f>Tableau1[[#This Row],[Différence HP
Instantané]]/Tableau1[[#This Row],[Diff jour
Instantané]]</f>
        <v>51.534755677891262</v>
      </c>
      <c r="M476" s="77">
        <f>Tableau1[[#This Row],[Conso HP / jour
Instantané]]*365</f>
        <v>18810.185822430311</v>
      </c>
      <c r="N476" s="79">
        <f>Tableau1[[#This Row],[Index HP
kWh]]-$I$5</f>
        <v>15812</v>
      </c>
      <c r="O476" s="80">
        <f>Tableau1[[#This Row],[Différence HP
Cumul]]/(Tableau1[[#This Row],[Diff jour_x000D_
Cumul]]*24)</f>
        <v>0.90671809756643285</v>
      </c>
      <c r="P476" s="80">
        <f>Tableau1[[#This Row],[Différence HP
Cumul]]/Tableau1[[#This Row],[Diff jour_x000D_
Cumul]]</f>
        <v>21.761234341594388</v>
      </c>
      <c r="Q476" s="80">
        <f>Tableau1[[#This Row],[Conso HP / jour
Cumul]]*365</f>
        <v>7942.850534681952</v>
      </c>
      <c r="R476" s="78">
        <v>126103</v>
      </c>
      <c r="S476" s="79">
        <f>Tableau1[[#This Row],[Index HC_x000D_
kWh]]-R475</f>
        <v>20</v>
      </c>
      <c r="T476" s="81">
        <f>Tableau1[[#This Row],[Différence_x000D_ HC
Instantané]]/(Tableau1[[#This Row],[Diff jour
Instantané]]*24)</f>
        <v>0.82587749483800099</v>
      </c>
      <c r="U476" s="81">
        <f>Tableau1[[#This Row],[Différence_x000D_ HC
Instantané]]/Tableau1[[#This Row],[Diff jour
Instantané]]</f>
        <v>19.821059876112024</v>
      </c>
      <c r="V476" s="81">
        <f>Tableau1[[#This Row],[Conso HC / jour_x000D_
Instantané]]*365</f>
        <v>7234.686854780889</v>
      </c>
      <c r="W476" s="79">
        <f>Tableau1[[#This Row],[Index HC_x000D_
kWh]]-$R$5</f>
        <v>6671</v>
      </c>
      <c r="X476" s="82">
        <f>Tableau1[[#This Row],[Différence HC
Cumul]]/(Tableau1[[#This Row],[Diff jour_x000D_
Cumul]]*24)</f>
        <v>0.38253961730746733</v>
      </c>
      <c r="Y476" s="82">
        <f>Tableau1[[#This Row],[Différence HC
Cumul]]/Tableau1[[#This Row],[Diff jour_x000D_
Cumul]]</f>
        <v>9.1809508153792159</v>
      </c>
      <c r="Z476" s="82">
        <f>Tableau1[[#This Row],[Conso HC / jour_x000D_
Cumul]]*365</f>
        <v>3351.0470476134137</v>
      </c>
      <c r="AA476" s="79">
        <f>Tableau1[[#This Row],[Différence HP
Instantané]]+Tableau1[[#This Row],[Différence_x000D_ HC
Instantané]]</f>
        <v>72</v>
      </c>
      <c r="AB476" s="80">
        <f>Tableau1[[#This Row],[Conso HP + HC
Instantané]]/(Tableau1[[#This Row],[Diff jour
Instantané]]*24)</f>
        <v>2.9731589814168036</v>
      </c>
      <c r="AC476" s="80">
        <f>IF(ISERROR(Tableau1[[#This Row],[Date]]-A475),"",Tableau1[[#This Row],[Conso HP + HC
Instantané]]/Tableau1[[#This Row],[Diff jour
Instantané]])</f>
        <v>71.355815554003286</v>
      </c>
      <c r="AD476" s="80">
        <f>Tableau1[[#This Row],[Conso HP + HC / jour_x000D_
Instantané]]*365</f>
        <v>26044.872677211199</v>
      </c>
      <c r="AE476" s="79">
        <f>Tableau1[[#This Row],[Différence HP
Cumul]]+Tableau1[[#This Row],[Différence HC
Cumul]]</f>
        <v>22483</v>
      </c>
      <c r="AF476" s="77">
        <f>(Tableau1[[#This Row],[Conso HP + HC
Cumul]]-AE$6)/Tableau1[[#This Row],[Diff jour_x000D_
Cumul
depuis le 24/01]]</f>
        <v>28.919588132121163</v>
      </c>
      <c r="AG476" s="77">
        <f>(Tableau1[[#This Row],[Conso HP + HC
Cumul]]-AE$59)/Tableau1[[#This Row],[Diff jour_x000D_
Cumul
depuis
précédente facture
16/02/2021]]</f>
        <v>27.486056586952881</v>
      </c>
      <c r="AH476" s="80">
        <f>Tableau1[[#This Row],[Conso HP + HC
Cumul]]/(Tableau1[[#This Row],[Diff jour_x000D_
Cumul]]*24)</f>
        <v>1.2892577148739002</v>
      </c>
      <c r="AI476" s="80">
        <f>Tableau1[[#This Row],[Conso HP + HC
Cumul]]/Tableau1[[#This Row],[Diff jour_x000D_
Cumul]]</f>
        <v>30.942185156973604</v>
      </c>
      <c r="AJ476" s="80">
        <f>Tableau1[[#This Row],[Conso HP + HC / jour_x000D_
Cumul]]*365</f>
        <v>11293.897582295365</v>
      </c>
      <c r="AK476" s="83">
        <f>(Tableau1[[#This Row],[Différence HP
Cumul]]*0.1799)+(Tableau1[[#This Row],[Différence HC
Cumul]]*0.1346)</f>
        <v>3742.4954000000002</v>
      </c>
      <c r="AL476" s="83">
        <f>Tableau1[[#This Row],[Montant
Tarif HP/HC]]/Tableau1[[#This Row],[Diff jour_x000D_
Cumul]]</f>
        <v>5.1506020378028738</v>
      </c>
      <c r="AM476" s="83">
        <f>(Tableau1[[#This Row],[Montant
Tarif HP/HC]]-AK$6)/Tableau1[[#This Row],[Diff jour_x000D_
Cumul
depuis le 24/01]]</f>
        <v>4.8190644842120154</v>
      </c>
      <c r="AN476" s="83">
        <f>(Tableau1[[#This Row],[Montant
Tarif HP/HC]]-AK$59)/Tableau1[[#This Row],[Diff jour_x000D_
Cumul
depuis
précédente facture
16/02/2021]]</f>
        <v>4.5803067394466597</v>
      </c>
      <c r="AO476" s="83">
        <f>Tableau1[[#This Row],[Conso HP + HC
Cumul]]*0.1599</f>
        <v>3595.0316999999995</v>
      </c>
      <c r="AP476" s="83">
        <f>Tableau1[[#This Row],[Montant
Tarif normal]]/Tableau1[[#This Row],[Diff jour_x000D_
Cumul]]</f>
        <v>4.9476554066000791</v>
      </c>
      <c r="AQ476" s="83">
        <f>(Tableau1[[#This Row],[Conso HP / an
Cumul]]*0.1799)+(Tableau1[[#This Row],[Conso HC / an_x000D_
Cumul]]*0.1346)</f>
        <v>1879.9697437980485</v>
      </c>
      <c r="AR476" s="83">
        <f>Tableau1[[#This Row],[Conso HP + HC / an_x000D_
Cumul]]*0.1599</f>
        <v>1805.8942234090287</v>
      </c>
      <c r="AS476" s="79">
        <f>MONTH(Tableau1[[#This Row],[Date]])</f>
        <v>12</v>
      </c>
      <c r="AT476" s="79">
        <f>YEAR(Tableau1[[#This Row],[Date]])</f>
        <v>2022</v>
      </c>
    </row>
    <row r="477" spans="1:46" x14ac:dyDescent="0.2">
      <c r="A477" s="74">
        <v>44910.34097222222</v>
      </c>
      <c r="B477" s="75"/>
      <c r="C477" s="76">
        <f>IF(ISERROR(Tableau1[[#This Row],[Date]]-A476),"",Tableau1[[#This Row],[Date]]-A476)</f>
        <v>1.0194444444423425</v>
      </c>
      <c r="D477" s="77">
        <f>IF(ISERROR(Tableau1[[#This Row],[Date]]-A476),"",Tableau1[[#This Row],[Date]]-A476)</f>
        <v>1.0194444444423425</v>
      </c>
      <c r="E477" s="76">
        <f>Tableau1[[#This Row],[Date]]-$A$5</f>
        <v>727.63263888888469</v>
      </c>
      <c r="F477" s="77">
        <f>Tableau1[[#This Row],[Date]]-$A$5</f>
        <v>727.63263888888469</v>
      </c>
      <c r="G477" s="77">
        <f>Tableau1[[#This Row],[Diff jour_x000D_
Cumul]]-F$6</f>
        <v>689.5493055555562</v>
      </c>
      <c r="H477" s="77">
        <f>Tableau1[[#This Row],[Diff jour_x000D_
Cumul]]-F$59</f>
        <v>667.02986111110658</v>
      </c>
      <c r="I477" s="78">
        <v>195613</v>
      </c>
      <c r="J477" s="79">
        <f>IF(ISERROR(Tableau1[[#This Row],[Index HP
kWh]]-I476),"",Tableau1[[#This Row],[Index HP
kWh]]-I476)</f>
        <v>42</v>
      </c>
      <c r="K477" s="77">
        <f>IF(ISERROR(Tableau1[[#This Row],[Différence HP
Instantané]]/(Tableau1[[#This Row],[Diff jour
Instantané]]*24)),"",Tableau1[[#This Row],[Différence HP
Instantané]]/(Tableau1[[#This Row],[Diff jour
Instantané]]*24))</f>
        <v>1.716621253409534</v>
      </c>
      <c r="L477" s="77">
        <f>Tableau1[[#This Row],[Différence HP
Instantané]]/Tableau1[[#This Row],[Diff jour
Instantané]]</f>
        <v>41.198910081828814</v>
      </c>
      <c r="M477" s="77">
        <f>Tableau1[[#This Row],[Conso HP / jour
Instantané]]*365</f>
        <v>15037.602179867517</v>
      </c>
      <c r="N477" s="79">
        <f>Tableau1[[#This Row],[Index HP
kWh]]-$I$5</f>
        <v>15854</v>
      </c>
      <c r="O477" s="80">
        <f>Tableau1[[#This Row],[Différence HP
Cumul]]/(Tableau1[[#This Row],[Diff jour_x000D_
Cumul]]*24)</f>
        <v>0.90785280652344358</v>
      </c>
      <c r="P477" s="80">
        <f>Tableau1[[#This Row],[Différence HP
Cumul]]/Tableau1[[#This Row],[Diff jour_x000D_
Cumul]]</f>
        <v>21.788467356562645</v>
      </c>
      <c r="Q477" s="80">
        <f>Tableau1[[#This Row],[Conso HP / jour
Cumul]]*365</f>
        <v>7952.7905851453652</v>
      </c>
      <c r="R477" s="78">
        <v>126128</v>
      </c>
      <c r="S477" s="79">
        <f>Tableau1[[#This Row],[Index HC_x000D_
kWh]]-R476</f>
        <v>25</v>
      </c>
      <c r="T477" s="81">
        <f>Tableau1[[#This Row],[Différence_x000D_ HC
Instantané]]/(Tableau1[[#This Row],[Diff jour
Instantané]]*24)</f>
        <v>1.0217983651247227</v>
      </c>
      <c r="U477" s="81">
        <f>Tableau1[[#This Row],[Différence_x000D_ HC
Instantané]]/Tableau1[[#This Row],[Diff jour
Instantané]]</f>
        <v>24.523160762993342</v>
      </c>
      <c r="V477" s="81">
        <f>Tableau1[[#This Row],[Conso HC / jour_x000D_
Instantané]]*365</f>
        <v>8950.9536784925695</v>
      </c>
      <c r="W477" s="79">
        <f>Tableau1[[#This Row],[Index HC_x000D_
kWh]]-$R$5</f>
        <v>6696</v>
      </c>
      <c r="X477" s="82">
        <f>Tableau1[[#This Row],[Différence HC
Cumul]]/(Tableau1[[#This Row],[Diff jour_x000D_
Cumul]]*24)</f>
        <v>0.38343524615119079</v>
      </c>
      <c r="Y477" s="82">
        <f>Tableau1[[#This Row],[Différence HC
Cumul]]/Tableau1[[#This Row],[Diff jour_x000D_
Cumul]]</f>
        <v>9.2024459076285776</v>
      </c>
      <c r="Z477" s="82">
        <f>Tableau1[[#This Row],[Conso HC / jour_x000D_
Cumul]]*365</f>
        <v>3358.892756284431</v>
      </c>
      <c r="AA477" s="79">
        <f>Tableau1[[#This Row],[Différence HP
Instantané]]+Tableau1[[#This Row],[Différence_x000D_ HC
Instantané]]</f>
        <v>67</v>
      </c>
      <c r="AB477" s="80">
        <f>Tableau1[[#This Row],[Conso HP + HC
Instantané]]/(Tableau1[[#This Row],[Diff jour
Instantané]]*24)</f>
        <v>2.7384196185342566</v>
      </c>
      <c r="AC477" s="80">
        <f>IF(ISERROR(Tableau1[[#This Row],[Date]]-A476),"",Tableau1[[#This Row],[Conso HP + HC
Instantané]]/Tableau1[[#This Row],[Diff jour
Instantané]])</f>
        <v>65.722070844822156</v>
      </c>
      <c r="AD477" s="80">
        <f>Tableau1[[#This Row],[Conso HP + HC / jour_x000D_
Instantané]]*365</f>
        <v>23988.555858360087</v>
      </c>
      <c r="AE477" s="79">
        <f>Tableau1[[#This Row],[Différence HP
Cumul]]+Tableau1[[#This Row],[Différence HC
Cumul]]</f>
        <v>22550</v>
      </c>
      <c r="AF477" s="77">
        <f>(Tableau1[[#This Row],[Conso HP + HC
Cumul]]-AE$6)/Tableau1[[#This Row],[Diff jour_x000D_
Cumul
depuis le 24/01]]</f>
        <v>28.973997709856754</v>
      </c>
      <c r="AG477" s="77">
        <f>(Tableau1[[#This Row],[Conso HP + HC
Cumul]]-AE$59)/Tableau1[[#This Row],[Diff jour_x000D_
Cumul
depuis
précédente facture
16/02/2021]]</f>
        <v>27.544493989212313</v>
      </c>
      <c r="AH477" s="80">
        <f>Tableau1[[#This Row],[Conso HP + HC
Cumul]]/(Tableau1[[#This Row],[Diff jour_x000D_
Cumul]]*24)</f>
        <v>1.2912880526746344</v>
      </c>
      <c r="AI477" s="80">
        <f>Tableau1[[#This Row],[Conso HP + HC
Cumul]]/Tableau1[[#This Row],[Diff jour_x000D_
Cumul]]</f>
        <v>30.990913264191224</v>
      </c>
      <c r="AJ477" s="80">
        <f>Tableau1[[#This Row],[Conso HP + HC / jour_x000D_
Cumul]]*365</f>
        <v>11311.683341429796</v>
      </c>
      <c r="AK477" s="83">
        <f>(Tableau1[[#This Row],[Différence HP
Cumul]]*0.1799)+(Tableau1[[#This Row],[Différence HC
Cumul]]*0.1346)</f>
        <v>3753.4161999999997</v>
      </c>
      <c r="AL477" s="83">
        <f>Tableau1[[#This Row],[Montant
Tarif HP/HC]]/Tableau1[[#This Row],[Diff jour_x000D_
Cumul]]</f>
        <v>5.1583944966124262</v>
      </c>
      <c r="AM477" s="83">
        <f>(Tableau1[[#This Row],[Montant
Tarif HP/HC]]-AK$6)/Tableau1[[#This Row],[Diff jour_x000D_
Cumul
depuis le 24/01]]</f>
        <v>4.8277774673674685</v>
      </c>
      <c r="AN477" s="83">
        <f>(Tableau1[[#This Row],[Montant
Tarif HP/HC]]-AK$59)/Tableau1[[#This Row],[Diff jour_x000D_
Cumul
depuis
précédente facture
16/02/2021]]</f>
        <v>4.5896787812473301</v>
      </c>
      <c r="AO477" s="83">
        <f>Tableau1[[#This Row],[Conso HP + HC
Cumul]]*0.1599</f>
        <v>3605.7449999999999</v>
      </c>
      <c r="AP477" s="83">
        <f>Tableau1[[#This Row],[Montant
Tarif normal]]/Tableau1[[#This Row],[Diff jour_x000D_
Cumul]]</f>
        <v>4.9554470309441765</v>
      </c>
      <c r="AQ477" s="83">
        <f>(Tableau1[[#This Row],[Conso HP / an
Cumul]]*0.1799)+(Tableau1[[#This Row],[Conso HC / an_x000D_
Cumul]]*0.1346)</f>
        <v>1882.8139912635356</v>
      </c>
      <c r="AR477" s="83">
        <f>Tableau1[[#This Row],[Conso HP + HC / an_x000D_
Cumul]]*0.1599</f>
        <v>1808.7381662946243</v>
      </c>
      <c r="AS477" s="79">
        <f>MONTH(Tableau1[[#This Row],[Date]])</f>
        <v>12</v>
      </c>
      <c r="AT477" s="79">
        <f>YEAR(Tableau1[[#This Row],[Date]])</f>
        <v>2022</v>
      </c>
    </row>
    <row r="478" spans="1:46" x14ac:dyDescent="0.2">
      <c r="A478" s="74">
        <v>44910.34097222222</v>
      </c>
      <c r="B478" s="75"/>
      <c r="C478" s="76">
        <f>IF(ISERROR(Tableau1[[#This Row],[Date]]-A477),"",Tableau1[[#This Row],[Date]]-A477)</f>
        <v>0</v>
      </c>
      <c r="D478" s="77">
        <f>IF(ISERROR(Tableau1[[#This Row],[Date]]-A477),"",Tableau1[[#This Row],[Date]]-A477)</f>
        <v>0</v>
      </c>
      <c r="E478" s="76">
        <f>Tableau1[[#This Row],[Date]]-$A$5</f>
        <v>727.63263888888469</v>
      </c>
      <c r="F478" s="77">
        <f>Tableau1[[#This Row],[Date]]-$A$5</f>
        <v>727.63263888888469</v>
      </c>
      <c r="G478" s="77">
        <f>Tableau1[[#This Row],[Diff jour_x000D_
Cumul]]-F$6</f>
        <v>689.5493055555562</v>
      </c>
      <c r="H478" s="77">
        <f>Tableau1[[#This Row],[Diff jour_x000D_
Cumul]]-F$59</f>
        <v>667.02986111110658</v>
      </c>
      <c r="I478" s="78">
        <v>0</v>
      </c>
      <c r="J478" s="79">
        <f>IF(ISERROR(Tableau1[[#This Row],[Index HP
kWh]]-I477),"",Tableau1[[#This Row],[Index HP
kWh]]-I477)</f>
        <v>-195613</v>
      </c>
      <c r="K478" s="77" t="str">
        <f>IF(ISERROR(Tableau1[[#This Row],[Différence HP
Instantané]]/(Tableau1[[#This Row],[Diff jour
Instantané]]*24)),"",Tableau1[[#This Row],[Différence HP
Instantané]]/(Tableau1[[#This Row],[Diff jour
Instantané]]*24))</f>
        <v/>
      </c>
      <c r="L478" s="77" t="e">
        <f>Tableau1[[#This Row],[Différence HP
Instantané]]/Tableau1[[#This Row],[Diff jour
Instantané]]</f>
        <v>#DIV/0!</v>
      </c>
      <c r="M478" s="77" t="e">
        <f>Tableau1[[#This Row],[Conso HP / jour
Instantané]]*365</f>
        <v>#DIV/0!</v>
      </c>
      <c r="N478" s="79">
        <f>Tableau1[[#This Row],[Index HP
kWh]]-$I$5</f>
        <v>-179759</v>
      </c>
      <c r="O478" s="80">
        <f>Tableau1[[#This Row],[Différence HP
Cumul]]/(Tableau1[[#This Row],[Diff jour_x000D_
Cumul]]*24)</f>
        <v>-10.293598627970715</v>
      </c>
      <c r="P478" s="80">
        <f>Tableau1[[#This Row],[Différence HP
Cumul]]/Tableau1[[#This Row],[Diff jour_x000D_
Cumul]]</f>
        <v>-247.04636707129714</v>
      </c>
      <c r="Q478" s="80">
        <f>Tableau1[[#This Row],[Conso HP / jour
Cumul]]*365</f>
        <v>-90171.923981023458</v>
      </c>
      <c r="R478" s="78">
        <v>0</v>
      </c>
      <c r="S478" s="79">
        <f>Tableau1[[#This Row],[Index HC_x000D_
kWh]]-R477</f>
        <v>-126128</v>
      </c>
      <c r="T478" s="81" t="e">
        <f>Tableau1[[#This Row],[Différence_x000D_ HC
Instantané]]/(Tableau1[[#This Row],[Diff jour
Instantané]]*24)</f>
        <v>#DIV/0!</v>
      </c>
      <c r="U478" s="81" t="e">
        <f>Tableau1[[#This Row],[Différence_x000D_ HC
Instantané]]/Tableau1[[#This Row],[Diff jour
Instantané]]</f>
        <v>#DIV/0!</v>
      </c>
      <c r="V478" s="81" t="e">
        <f>Tableau1[[#This Row],[Conso HC / jour_x000D_
Instantané]]*365</f>
        <v>#DIV/0!</v>
      </c>
      <c r="W478" s="79">
        <f>Tableau1[[#This Row],[Index HC_x000D_
kWh]]-$R$5</f>
        <v>-119432</v>
      </c>
      <c r="X478" s="82">
        <f>Tableau1[[#This Row],[Différence HC
Cumul]]/(Tableau1[[#This Row],[Diff jour_x000D_
Cumul]]*24)</f>
        <v>-6.8390738229284667</v>
      </c>
      <c r="Y478" s="82">
        <f>Tableau1[[#This Row],[Différence HC
Cumul]]/Tableau1[[#This Row],[Diff jour_x000D_
Cumul]]</f>
        <v>-164.13777175028321</v>
      </c>
      <c r="Z478" s="82">
        <f>Tableau1[[#This Row],[Conso HC / jour_x000D_
Cumul]]*365</f>
        <v>-59910.286688853368</v>
      </c>
      <c r="AA478" s="79">
        <f>Tableau1[[#This Row],[Différence HP
Instantané]]+Tableau1[[#This Row],[Différence_x000D_ HC
Instantané]]</f>
        <v>-321741</v>
      </c>
      <c r="AB478" s="80" t="e">
        <f>Tableau1[[#This Row],[Conso HP + HC
Instantané]]/(Tableau1[[#This Row],[Diff jour
Instantané]]*24)</f>
        <v>#DIV/0!</v>
      </c>
      <c r="AC478" s="80" t="e">
        <f>IF(ISERROR(Tableau1[[#This Row],[Date]]-A477),"",Tableau1[[#This Row],[Conso HP + HC
Instantané]]/Tableau1[[#This Row],[Diff jour
Instantané]])</f>
        <v>#DIV/0!</v>
      </c>
      <c r="AD478" s="80" t="e">
        <f>Tableau1[[#This Row],[Conso HP + HC / jour_x000D_
Instantané]]*365</f>
        <v>#DIV/0!</v>
      </c>
      <c r="AE478" s="79">
        <f>Tableau1[[#This Row],[Différence HP
Cumul]]+Tableau1[[#This Row],[Différence HC
Cumul]]</f>
        <v>-299191</v>
      </c>
      <c r="AF478" s="77">
        <f>(Tableau1[[#This Row],[Conso HP + HC
Cumul]]-AE$6)/Tableau1[[#This Row],[Diff jour_x000D_
Cumul
depuis le 24/01]]</f>
        <v>-437.62207802801908</v>
      </c>
      <c r="AG478" s="77">
        <f>(Tableau1[[#This Row],[Conso HP + HC
Cumul]]-AE$59)/Tableau1[[#This Row],[Diff jour_x000D_
Cumul
depuis
précédente facture
16/02/2021]]</f>
        <v>-454.80422644746972</v>
      </c>
      <c r="AH478" s="80">
        <f>Tableau1[[#This Row],[Conso HP + HC
Cumul]]/(Tableau1[[#This Row],[Diff jour_x000D_
Cumul]]*24)</f>
        <v>-17.132672450899182</v>
      </c>
      <c r="AI478" s="80">
        <f>Tableau1[[#This Row],[Conso HP + HC
Cumul]]/Tableau1[[#This Row],[Diff jour_x000D_
Cumul]]</f>
        <v>-411.18413882158035</v>
      </c>
      <c r="AJ478" s="80">
        <f>Tableau1[[#This Row],[Conso HP + HC / jour_x000D_
Cumul]]*365</f>
        <v>-150082.21066987683</v>
      </c>
      <c r="AK478" s="83">
        <f>(Tableau1[[#This Row],[Différence HP
Cumul]]*0.1799)+(Tableau1[[#This Row],[Différence HC
Cumul]]*0.1346)</f>
        <v>-48414.191299999999</v>
      </c>
      <c r="AL478" s="83">
        <f>Tableau1[[#This Row],[Montant
Tarif HP/HC]]/Tableau1[[#This Row],[Diff jour_x000D_
Cumul]]</f>
        <v>-66.536585513714471</v>
      </c>
      <c r="AM478" s="83">
        <f>(Tableau1[[#This Row],[Montant
Tarif HP/HC]]-AK$6)/Tableau1[[#This Row],[Diff jour_x000D_
Cumul
depuis le 24/01]]</f>
        <v>-70.826866920925539</v>
      </c>
      <c r="AN478" s="83">
        <f>(Tableau1[[#This Row],[Montant
Tarif HP/HC]]-AK$59)/Tableau1[[#This Row],[Diff jour_x000D_
Cumul
depuis
précédente facture
16/02/2021]]</f>
        <v>-73.619124964212702</v>
      </c>
      <c r="AO478" s="83">
        <f>Tableau1[[#This Row],[Conso HP + HC
Cumul]]*0.1599</f>
        <v>-47840.640899999999</v>
      </c>
      <c r="AP478" s="83">
        <f>Tableau1[[#This Row],[Montant
Tarif normal]]/Tableau1[[#This Row],[Diff jour_x000D_
Cumul]]</f>
        <v>-65.748343797570698</v>
      </c>
      <c r="AQ478" s="83">
        <f>(Tableau1[[#This Row],[Conso HP / an
Cumul]]*0.1799)+(Tableau1[[#This Row],[Conso HC / an_x000D_
Cumul]]*0.1346)</f>
        <v>-24285.853712505785</v>
      </c>
      <c r="AR478" s="83">
        <f>Tableau1[[#This Row],[Conso HP + HC / an_x000D_
Cumul]]*0.1599</f>
        <v>-23998.145486113302</v>
      </c>
      <c r="AS478" s="79">
        <f>MONTH(Tableau1[[#This Row],[Date]])</f>
        <v>12</v>
      </c>
      <c r="AT478" s="79">
        <f>YEAR(Tableau1[[#This Row],[Date]])</f>
        <v>2022</v>
      </c>
    </row>
    <row r="479" spans="1:46" x14ac:dyDescent="0.2">
      <c r="A479" s="74">
        <v>44911.337500000001</v>
      </c>
      <c r="B479" s="75"/>
      <c r="C479" s="76">
        <f>IF(ISERROR(Tableau1[[#This Row],[Date]]-A478),"",Tableau1[[#This Row],[Date]]-A478)</f>
        <v>0.99652777778101154</v>
      </c>
      <c r="D479" s="77">
        <f>IF(ISERROR(Tableau1[[#This Row],[Date]]-A478),"",Tableau1[[#This Row],[Date]]-A478)</f>
        <v>0.99652777778101154</v>
      </c>
      <c r="E479" s="76">
        <f>Tableau1[[#This Row],[Date]]-$A$5</f>
        <v>728.6291666666657</v>
      </c>
      <c r="F479" s="77">
        <f>Tableau1[[#This Row],[Date]]-$A$5</f>
        <v>728.6291666666657</v>
      </c>
      <c r="G479" s="77">
        <f>Tableau1[[#This Row],[Diff jour_x000D_
Cumul]]-F$6</f>
        <v>690.54583333333721</v>
      </c>
      <c r="H479" s="77">
        <f>Tableau1[[#This Row],[Diff jour_x000D_
Cumul]]-F$59</f>
        <v>668.0263888888876</v>
      </c>
      <c r="I479" s="78">
        <v>49</v>
      </c>
      <c r="J479" s="79">
        <f>IF(ISERROR(Tableau1[[#This Row],[Index HP
kWh]]-I478),"",Tableau1[[#This Row],[Index HP
kWh]]-I478)</f>
        <v>49</v>
      </c>
      <c r="K479" s="77">
        <f>IF(ISERROR(Tableau1[[#This Row],[Différence HP
Instantané]]/(Tableau1[[#This Row],[Diff jour
Instantané]]*24)),"",Tableau1[[#This Row],[Différence HP
Instantané]]/(Tableau1[[#This Row],[Diff jour
Instantané]]*24))</f>
        <v>2.0487804877982296</v>
      </c>
      <c r="L479" s="77">
        <f>Tableau1[[#This Row],[Différence HP
Instantané]]/Tableau1[[#This Row],[Diff jour
Instantané]]</f>
        <v>49.170731707157515</v>
      </c>
      <c r="M479" s="77">
        <f>Tableau1[[#This Row],[Conso HP / jour
Instantané]]*365</f>
        <v>17947.317073112492</v>
      </c>
      <c r="N479" s="79">
        <f>Tableau1[[#This Row],[Index HP
kWh]]-$I$5</f>
        <v>-179710</v>
      </c>
      <c r="O479" s="80">
        <f>Tableau1[[#This Row],[Différence HP
Cumul]]/(Tableau1[[#This Row],[Diff jour_x000D_
Cumul]]*24)</f>
        <v>-10.27671826660797</v>
      </c>
      <c r="P479" s="80">
        <f>Tableau1[[#This Row],[Différence HP
Cumul]]/Tableau1[[#This Row],[Diff jour_x000D_
Cumul]]</f>
        <v>-246.6412383985913</v>
      </c>
      <c r="Q479" s="80">
        <f>Tableau1[[#This Row],[Conso HP / jour
Cumul]]*365</f>
        <v>-90024.052015485824</v>
      </c>
      <c r="R479" s="78">
        <v>24</v>
      </c>
      <c r="S479" s="79">
        <f>Tableau1[[#This Row],[Index HC_x000D_
kWh]]-R478</f>
        <v>24</v>
      </c>
      <c r="T479" s="81">
        <f>Tableau1[[#This Row],[Différence_x000D_ HC
Instantané]]/(Tableau1[[#This Row],[Diff jour
Instantané]]*24)</f>
        <v>1.003484320554235</v>
      </c>
      <c r="U479" s="81">
        <f>Tableau1[[#This Row],[Différence_x000D_ HC
Instantané]]/Tableau1[[#This Row],[Diff jour
Instantané]]</f>
        <v>24.083623693301639</v>
      </c>
      <c r="V479" s="81">
        <f>Tableau1[[#This Row],[Conso HC / jour_x000D_
Instantané]]*365</f>
        <v>8790.5226480550991</v>
      </c>
      <c r="W479" s="79">
        <f>Tableau1[[#This Row],[Index HC_x000D_
kWh]]-$R$5</f>
        <v>-119408</v>
      </c>
      <c r="X479" s="82">
        <f>Tableau1[[#This Row],[Différence HC
Cumul]]/(Tableau1[[#This Row],[Diff jour_x000D_
Cumul]]*24)</f>
        <v>-6.8283477534868648</v>
      </c>
      <c r="Y479" s="82">
        <f>Tableau1[[#This Row],[Différence HC
Cumul]]/Tableau1[[#This Row],[Diff jour_x000D_
Cumul]]</f>
        <v>-163.88034608368477</v>
      </c>
      <c r="Z479" s="82">
        <f>Tableau1[[#This Row],[Conso HC / jour_x000D_
Cumul]]*365</f>
        <v>-59816.32632054494</v>
      </c>
      <c r="AA479" s="79">
        <f>Tableau1[[#This Row],[Différence HP
Instantané]]+Tableau1[[#This Row],[Différence_x000D_ HC
Instantané]]</f>
        <v>73</v>
      </c>
      <c r="AB479" s="80">
        <f>Tableau1[[#This Row],[Conso HP + HC
Instantané]]/(Tableau1[[#This Row],[Diff jour
Instantané]]*24)</f>
        <v>3.0522648083524646</v>
      </c>
      <c r="AC479" s="80">
        <f>IF(ISERROR(Tableau1[[#This Row],[Date]]-A478),"",Tableau1[[#This Row],[Conso HP + HC
Instantané]]/Tableau1[[#This Row],[Diff jour
Instantané]])</f>
        <v>73.254355400459147</v>
      </c>
      <c r="AD479" s="80">
        <f>Tableau1[[#This Row],[Conso HP + HC / jour_x000D_
Instantané]]*365</f>
        <v>26737.839721167587</v>
      </c>
      <c r="AE479" s="79">
        <f>Tableau1[[#This Row],[Différence HP
Cumul]]+Tableau1[[#This Row],[Différence HC
Cumul]]</f>
        <v>-299118</v>
      </c>
      <c r="AF479" s="77">
        <f>(Tableau1[[#This Row],[Conso HP + HC
Cumul]]-AE$6)/Tableau1[[#This Row],[Diff jour_x000D_
Cumul
depuis le 24/01]]</f>
        <v>-436.88483144372259</v>
      </c>
      <c r="AG479" s="77">
        <f>(Tableau1[[#This Row],[Conso HP + HC
Cumul]]-AE$59)/Tableau1[[#This Row],[Diff jour_x000D_
Cumul
depuis
précédente facture
16/02/2021]]</f>
        <v>-454.0164955226744</v>
      </c>
      <c r="AH479" s="80">
        <f>Tableau1[[#This Row],[Conso HP + HC
Cumul]]/(Tableau1[[#This Row],[Diff jour_x000D_
Cumul]]*24)</f>
        <v>-17.105066020094835</v>
      </c>
      <c r="AI479" s="80">
        <f>Tableau1[[#This Row],[Conso HP + HC
Cumul]]/Tableau1[[#This Row],[Diff jour_x000D_
Cumul]]</f>
        <v>-410.52158448227607</v>
      </c>
      <c r="AJ479" s="80">
        <f>Tableau1[[#This Row],[Conso HP + HC / jour_x000D_
Cumul]]*365</f>
        <v>-149840.37833603076</v>
      </c>
      <c r="AK479" s="83">
        <f>(Tableau1[[#This Row],[Différence HP
Cumul]]*0.1799)+(Tableau1[[#This Row],[Différence HC
Cumul]]*0.1346)</f>
        <v>-48402.145799999998</v>
      </c>
      <c r="AL479" s="83">
        <f>Tableau1[[#This Row],[Montant
Tarif HP/HC]]/Tableau1[[#This Row],[Diff jour_x000D_
Cumul]]</f>
        <v>-66.429053370770546</v>
      </c>
      <c r="AM479" s="83">
        <f>(Tableau1[[#This Row],[Montant
Tarif HP/HC]]-AK$6)/Tableau1[[#This Row],[Diff jour_x000D_
Cumul
depuis le 24/01]]</f>
        <v>-70.707213110401398</v>
      </c>
      <c r="AN479" s="83">
        <f>(Tableau1[[#This Row],[Montant
Tarif HP/HC]]-AK$59)/Tableau1[[#This Row],[Diff jour_x000D_
Cumul
depuis
précédente facture
16/02/2021]]</f>
        <v>-73.491272226022488</v>
      </c>
      <c r="AO479" s="83">
        <f>Tableau1[[#This Row],[Conso HP + HC
Cumul]]*0.1599</f>
        <v>-47828.968199999996</v>
      </c>
      <c r="AP479" s="83">
        <f>Tableau1[[#This Row],[Montant
Tarif normal]]/Tableau1[[#This Row],[Diff jour_x000D_
Cumul]]</f>
        <v>-65.642401358715929</v>
      </c>
      <c r="AQ479" s="83">
        <f>(Tableau1[[#This Row],[Conso HP / an
Cumul]]*0.1799)+(Tableau1[[#This Row],[Conso HC / an_x000D_
Cumul]]*0.1346)</f>
        <v>-24246.604480331247</v>
      </c>
      <c r="AR479" s="83">
        <f>Tableau1[[#This Row],[Conso HP + HC / an_x000D_
Cumul]]*0.1599</f>
        <v>-23959.476495931314</v>
      </c>
      <c r="AS479" s="79">
        <f>MONTH(Tableau1[[#This Row],[Date]])</f>
        <v>12</v>
      </c>
      <c r="AT479" s="79">
        <f>YEAR(Tableau1[[#This Row],[Date]])</f>
        <v>2022</v>
      </c>
    </row>
    <row r="480" spans="1:46" x14ac:dyDescent="0.2">
      <c r="A480" s="74">
        <v>44912.443749999999</v>
      </c>
      <c r="B480" s="75"/>
      <c r="C480" s="76">
        <f>IF(ISERROR(Tableau1[[#This Row],[Date]]-A479),"",Tableau1[[#This Row],[Date]]-A479)</f>
        <v>1.1062499999970896</v>
      </c>
      <c r="D480" s="77">
        <f>IF(ISERROR(Tableau1[[#This Row],[Date]]-A479),"",Tableau1[[#This Row],[Date]]-A479)</f>
        <v>1.1062499999970896</v>
      </c>
      <c r="E480" s="76">
        <f>Tableau1[[#This Row],[Date]]-$A$5</f>
        <v>729.73541666666279</v>
      </c>
      <c r="F480" s="77">
        <f>Tableau1[[#This Row],[Date]]-$A$5</f>
        <v>729.73541666666279</v>
      </c>
      <c r="G480" s="77">
        <f>Tableau1[[#This Row],[Diff jour_x000D_
Cumul]]-F$6</f>
        <v>691.6520833333343</v>
      </c>
      <c r="H480" s="77">
        <f>Tableau1[[#This Row],[Diff jour_x000D_
Cumul]]-F$59</f>
        <v>669.13263888888469</v>
      </c>
      <c r="I480" s="78">
        <v>114</v>
      </c>
      <c r="J480" s="79">
        <f>IF(ISERROR(Tableau1[[#This Row],[Index HP
kWh]]-I479),"",Tableau1[[#This Row],[Index HP
kWh]]-I479)</f>
        <v>65</v>
      </c>
      <c r="K480" s="77">
        <f>IF(ISERROR(Tableau1[[#This Row],[Différence HP
Instantané]]/(Tableau1[[#This Row],[Diff jour
Instantané]]*24)),"",Tableau1[[#This Row],[Différence HP
Instantané]]/(Tableau1[[#This Row],[Diff jour
Instantané]]*24))</f>
        <v>2.4482109227936348</v>
      </c>
      <c r="L480" s="77">
        <f>Tableau1[[#This Row],[Différence HP
Instantané]]/Tableau1[[#This Row],[Diff jour
Instantané]]</f>
        <v>58.757062147047236</v>
      </c>
      <c r="M480" s="77">
        <f>Tableau1[[#This Row],[Conso HP / jour
Instantané]]*365</f>
        <v>21446.32768367224</v>
      </c>
      <c r="N480" s="79">
        <f>Tableau1[[#This Row],[Index HP
kWh]]-$I$5</f>
        <v>-179645</v>
      </c>
      <c r="O480" s="80">
        <f>Tableau1[[#This Row],[Différence HP
Cumul]]/(Tableau1[[#This Row],[Diff jour_x000D_
Cumul]]*24)</f>
        <v>-10.257427777761972</v>
      </c>
      <c r="P480" s="80">
        <f>Tableau1[[#This Row],[Différence HP
Cumul]]/Tableau1[[#This Row],[Diff jour_x000D_
Cumul]]</f>
        <v>-246.17826666628733</v>
      </c>
      <c r="Q480" s="80">
        <f>Tableau1[[#This Row],[Conso HP / jour
Cumul]]*365</f>
        <v>-89855.067333194878</v>
      </c>
      <c r="R480" s="78">
        <v>53</v>
      </c>
      <c r="S480" s="79">
        <f>Tableau1[[#This Row],[Index HC_x000D_
kWh]]-R479</f>
        <v>29</v>
      </c>
      <c r="T480" s="81">
        <f>Tableau1[[#This Row],[Différence_x000D_ HC
Instantané]]/(Tableau1[[#This Row],[Diff jour
Instantané]]*24)</f>
        <v>1.092278719400237</v>
      </c>
      <c r="U480" s="81">
        <f>Tableau1[[#This Row],[Différence_x000D_ HC
Instantané]]/Tableau1[[#This Row],[Diff jour
Instantané]]</f>
        <v>26.214689265605688</v>
      </c>
      <c r="V480" s="81">
        <f>Tableau1[[#This Row],[Conso HC / jour_x000D_
Instantané]]*365</f>
        <v>9568.3615819460756</v>
      </c>
      <c r="W480" s="79">
        <f>Tableau1[[#This Row],[Index HC_x000D_
kWh]]-$R$5</f>
        <v>-119379</v>
      </c>
      <c r="X480" s="82">
        <f>Tableau1[[#This Row],[Différence HC
Cumul]]/(Tableau1[[#This Row],[Diff jour_x000D_
Cumul]]*24)</f>
        <v>-6.8163403973472478</v>
      </c>
      <c r="Y480" s="82">
        <f>Tableau1[[#This Row],[Différence HC
Cumul]]/Tableau1[[#This Row],[Diff jour_x000D_
Cumul]]</f>
        <v>-163.59216953633396</v>
      </c>
      <c r="Z480" s="82">
        <f>Tableau1[[#This Row],[Conso HC / jour_x000D_
Cumul]]*365</f>
        <v>-59711.14188076189</v>
      </c>
      <c r="AA480" s="79">
        <f>Tableau1[[#This Row],[Différence HP
Instantané]]+Tableau1[[#This Row],[Différence_x000D_ HC
Instantané]]</f>
        <v>94</v>
      </c>
      <c r="AB480" s="80">
        <f>Tableau1[[#This Row],[Conso HP + HC
Instantané]]/(Tableau1[[#This Row],[Diff jour
Instantané]]*24)</f>
        <v>3.5404896421938719</v>
      </c>
      <c r="AC480" s="80">
        <f>IF(ISERROR(Tableau1[[#This Row],[Date]]-A479),"",Tableau1[[#This Row],[Conso HP + HC
Instantané]]/Tableau1[[#This Row],[Diff jour
Instantané]])</f>
        <v>84.971751412652921</v>
      </c>
      <c r="AD480" s="80">
        <f>Tableau1[[#This Row],[Conso HP + HC / jour_x000D_
Instantané]]*365</f>
        <v>31014.689265618315</v>
      </c>
      <c r="AE480" s="79">
        <f>Tableau1[[#This Row],[Différence HP
Cumul]]+Tableau1[[#This Row],[Différence HC
Cumul]]</f>
        <v>-299024</v>
      </c>
      <c r="AF480" s="77">
        <f>(Tableau1[[#This Row],[Conso HP + HC
Cumul]]-AE$6)/Tableau1[[#This Row],[Diff jour_x000D_
Cumul
depuis le 24/01]]</f>
        <v>-436.05015768404695</v>
      </c>
      <c r="AG480" s="77">
        <f>(Tableau1[[#This Row],[Conso HP + HC
Cumul]]-AE$59)/Tableau1[[#This Row],[Diff jour_x000D_
Cumul
depuis
précédente facture
16/02/2021]]</f>
        <v>-453.1254079960508</v>
      </c>
      <c r="AH480" s="80">
        <f>Tableau1[[#This Row],[Conso HP + HC
Cumul]]/(Tableau1[[#This Row],[Diff jour_x000D_
Cumul]]*24)</f>
        <v>-17.073768175109219</v>
      </c>
      <c r="AI480" s="80">
        <f>Tableau1[[#This Row],[Conso HP + HC
Cumul]]/Tableau1[[#This Row],[Diff jour_x000D_
Cumul]]</f>
        <v>-409.77043620262128</v>
      </c>
      <c r="AJ480" s="80">
        <f>Tableau1[[#This Row],[Conso HP + HC / jour_x000D_
Cumul]]*365</f>
        <v>-149566.20921395675</v>
      </c>
      <c r="AK480" s="83">
        <f>(Tableau1[[#This Row],[Différence HP
Cumul]]*0.1799)+(Tableau1[[#This Row],[Différence HC
Cumul]]*0.1346)</f>
        <v>-48386.548900000002</v>
      </c>
      <c r="AL480" s="83">
        <f>Tableau1[[#This Row],[Montant
Tarif HP/HC]]/Tableau1[[#This Row],[Diff jour_x000D_
Cumul]]</f>
        <v>-66.306976192855643</v>
      </c>
      <c r="AM480" s="83">
        <f>(Tableau1[[#This Row],[Montant
Tarif HP/HC]]-AK$6)/Tableau1[[#This Row],[Diff jour_x000D_
Cumul
depuis le 24/01]]</f>
        <v>-70.571571569279982</v>
      </c>
      <c r="AN480" s="83">
        <f>(Tableau1[[#This Row],[Montant
Tarif HP/HC]]-AK$59)/Tableau1[[#This Row],[Diff jour_x000D_
Cumul
depuis
précédente facture
16/02/2021]]</f>
        <v>-73.346462939689175</v>
      </c>
      <c r="AO480" s="83">
        <f>Tableau1[[#This Row],[Conso HP + HC
Cumul]]*0.1599</f>
        <v>-47813.937599999997</v>
      </c>
      <c r="AP480" s="83">
        <f>Tableau1[[#This Row],[Montant
Tarif normal]]/Tableau1[[#This Row],[Diff jour_x000D_
Cumul]]</f>
        <v>-65.522292748799146</v>
      </c>
      <c r="AQ480" s="83">
        <f>(Tableau1[[#This Row],[Conso HP / an
Cumul]]*0.1799)+(Tableau1[[#This Row],[Conso HC / an_x000D_
Cumul]]*0.1346)</f>
        <v>-24202.04631039231</v>
      </c>
      <c r="AR480" s="83">
        <f>Tableau1[[#This Row],[Conso HP + HC / an_x000D_
Cumul]]*0.1599</f>
        <v>-23915.636853311684</v>
      </c>
      <c r="AS480" s="79">
        <f>MONTH(Tableau1[[#This Row],[Date]])</f>
        <v>12</v>
      </c>
      <c r="AT480" s="79">
        <f>YEAR(Tableau1[[#This Row],[Date]])</f>
        <v>2022</v>
      </c>
    </row>
    <row r="481" spans="1:46" x14ac:dyDescent="0.2">
      <c r="A481" s="74">
        <v>44913.431944444441</v>
      </c>
      <c r="B481" s="75"/>
      <c r="C481" s="76">
        <f>IF(ISERROR(Tableau1[[#This Row],[Date]]-A480),"",Tableau1[[#This Row],[Date]]-A480)</f>
        <v>0.9881944444423425</v>
      </c>
      <c r="D481" s="77">
        <f>IF(ISERROR(Tableau1[[#This Row],[Date]]-A480),"",Tableau1[[#This Row],[Date]]-A480)</f>
        <v>0.9881944444423425</v>
      </c>
      <c r="E481" s="76">
        <f>Tableau1[[#This Row],[Date]]-$A$5</f>
        <v>730.72361111110513</v>
      </c>
      <c r="F481" s="77">
        <f>Tableau1[[#This Row],[Date]]-$A$5</f>
        <v>730.72361111110513</v>
      </c>
      <c r="G481" s="77">
        <f>Tableau1[[#This Row],[Diff jour_x000D_
Cumul]]-F$6</f>
        <v>692.64027777777665</v>
      </c>
      <c r="H481" s="77">
        <f>Tableau1[[#This Row],[Diff jour_x000D_
Cumul]]-F$59</f>
        <v>670.12083333332703</v>
      </c>
      <c r="I481" s="78">
        <v>169</v>
      </c>
      <c r="J481" s="79">
        <f>IF(ISERROR(Tableau1[[#This Row],[Index HP
kWh]]-I480),"",Tableau1[[#This Row],[Index HP
kWh]]-I480)</f>
        <v>55</v>
      </c>
      <c r="K481" s="77">
        <f>IF(ISERROR(Tableau1[[#This Row],[Différence HP
Instantané]]/(Tableau1[[#This Row],[Diff jour
Instantané]]*24)),"",Tableau1[[#This Row],[Différence HP
Instantané]]/(Tableau1[[#This Row],[Diff jour
Instantané]]*24))</f>
        <v>2.3190442726683198</v>
      </c>
      <c r="L481" s="77">
        <f>Tableau1[[#This Row],[Différence HP
Instantané]]/Tableau1[[#This Row],[Diff jour
Instantané]]</f>
        <v>55.657062544039675</v>
      </c>
      <c r="M481" s="77">
        <f>Tableau1[[#This Row],[Conso HP / jour
Instantané]]*365</f>
        <v>20314.827828574482</v>
      </c>
      <c r="N481" s="79">
        <f>Tableau1[[#This Row],[Index HP
kWh]]-$I$5</f>
        <v>-179590</v>
      </c>
      <c r="O481" s="80">
        <f>Tableau1[[#This Row],[Différence HP
Cumul]]/(Tableau1[[#This Row],[Diff jour_x000D_
Cumul]]*24)</f>
        <v>-10.240419979434472</v>
      </c>
      <c r="P481" s="80">
        <f>Tableau1[[#This Row],[Différence HP
Cumul]]/Tableau1[[#This Row],[Diff jour_x000D_
Cumul]]</f>
        <v>-245.77007950642735</v>
      </c>
      <c r="Q481" s="80">
        <f>Tableau1[[#This Row],[Conso HP / jour
Cumul]]*365</f>
        <v>-89706.079019845987</v>
      </c>
      <c r="R481" s="78">
        <v>84</v>
      </c>
      <c r="S481" s="79">
        <f>Tableau1[[#This Row],[Index HC_x000D_
kWh]]-R480</f>
        <v>31</v>
      </c>
      <c r="T481" s="81">
        <f>Tableau1[[#This Row],[Différence_x000D_ HC
Instantané]]/(Tableau1[[#This Row],[Diff jour
Instantané]]*24)</f>
        <v>1.3070976809585075</v>
      </c>
      <c r="U481" s="81">
        <f>Tableau1[[#This Row],[Différence_x000D_ HC
Instantané]]/Tableau1[[#This Row],[Diff jour
Instantané]]</f>
        <v>31.370344343004181</v>
      </c>
      <c r="V481" s="81">
        <f>Tableau1[[#This Row],[Conso HC / jour_x000D_
Instantané]]*365</f>
        <v>11450.175685196526</v>
      </c>
      <c r="W481" s="79">
        <f>Tableau1[[#This Row],[Index HC_x000D_
kWh]]-$R$5</f>
        <v>-119348</v>
      </c>
      <c r="X481" s="82">
        <f>Tableau1[[#This Row],[Différence HC
Cumul]]/(Tableau1[[#This Row],[Diff jour_x000D_
Cumul]]*24)</f>
        <v>-6.8053546617603731</v>
      </c>
      <c r="Y481" s="82">
        <f>Tableau1[[#This Row],[Différence HC
Cumul]]/Tableau1[[#This Row],[Diff jour_x000D_
Cumul]]</f>
        <v>-163.32851188224896</v>
      </c>
      <c r="Z481" s="82">
        <f>Tableau1[[#This Row],[Conso HC / jour_x000D_
Cumul]]*365</f>
        <v>-59614.90683702087</v>
      </c>
      <c r="AA481" s="79">
        <f>Tableau1[[#This Row],[Différence HP
Instantané]]+Tableau1[[#This Row],[Différence_x000D_ HC
Instantané]]</f>
        <v>86</v>
      </c>
      <c r="AB481" s="80">
        <f>Tableau1[[#This Row],[Conso HP + HC
Instantané]]/(Tableau1[[#This Row],[Diff jour
Instantané]]*24)</f>
        <v>3.6261419536268273</v>
      </c>
      <c r="AC481" s="80">
        <f>IF(ISERROR(Tableau1[[#This Row],[Date]]-A480),"",Tableau1[[#This Row],[Conso HP + HC
Instantané]]/Tableau1[[#This Row],[Diff jour
Instantané]])</f>
        <v>87.027406887043867</v>
      </c>
      <c r="AD481" s="80">
        <f>Tableau1[[#This Row],[Conso HP + HC / jour_x000D_
Instantané]]*365</f>
        <v>31765.003513771011</v>
      </c>
      <c r="AE481" s="79">
        <f>Tableau1[[#This Row],[Différence HP
Cumul]]+Tableau1[[#This Row],[Différence HC
Cumul]]</f>
        <v>-298938</v>
      </c>
      <c r="AF481" s="77">
        <f>(Tableau1[[#This Row],[Conso HP + HC
Cumul]]-AE$6)/Tableau1[[#This Row],[Diff jour_x000D_
Cumul
depuis le 24/01]]</f>
        <v>-435.30387947888687</v>
      </c>
      <c r="AG481" s="77">
        <f>(Tableau1[[#This Row],[Conso HP + HC
Cumul]]-AE$59)/Tableau1[[#This Row],[Diff jour_x000D_
Cumul
depuis
précédente facture
16/02/2021]]</f>
        <v>-452.32887103694412</v>
      </c>
      <c r="AH481" s="80">
        <f>Tableau1[[#This Row],[Conso HP + HC
Cumul]]/(Tableau1[[#This Row],[Diff jour_x000D_
Cumul]]*24)</f>
        <v>-17.045774641194846</v>
      </c>
      <c r="AI481" s="80">
        <f>Tableau1[[#This Row],[Conso HP + HC
Cumul]]/Tableau1[[#This Row],[Diff jour_x000D_
Cumul]]</f>
        <v>-409.09859138867631</v>
      </c>
      <c r="AJ481" s="80">
        <f>Tableau1[[#This Row],[Conso HP + HC / jour_x000D_
Cumul]]*365</f>
        <v>-149320.98585686684</v>
      </c>
      <c r="AK481" s="83">
        <f>(Tableau1[[#This Row],[Différence HP
Cumul]]*0.1799)+(Tableau1[[#This Row],[Différence HC
Cumul]]*0.1346)</f>
        <v>-48372.481800000001</v>
      </c>
      <c r="AL481" s="83">
        <f>Tableau1[[#This Row],[Montant
Tarif HP/HC]]/Tableau1[[#This Row],[Diff jour_x000D_
Cumul]]</f>
        <v>-66.198055002556984</v>
      </c>
      <c r="AM481" s="83">
        <f>(Tableau1[[#This Row],[Montant
Tarif HP/HC]]-AK$6)/Tableau1[[#This Row],[Diff jour_x000D_
Cumul
depuis le 24/01]]</f>
        <v>-70.450577255710456</v>
      </c>
      <c r="AN481" s="83">
        <f>(Tableau1[[#This Row],[Montant
Tarif HP/HC]]-AK$59)/Tableau1[[#This Row],[Diff jour_x000D_
Cumul
depuis
précédente facture
16/02/2021]]</f>
        <v>-73.217310609405715</v>
      </c>
      <c r="AO481" s="83">
        <f>Tableau1[[#This Row],[Conso HP + HC
Cumul]]*0.1599</f>
        <v>-47800.186199999996</v>
      </c>
      <c r="AP481" s="83">
        <f>Tableau1[[#This Row],[Montant
Tarif normal]]/Tableau1[[#This Row],[Diff jour_x000D_
Cumul]]</f>
        <v>-65.414864763049337</v>
      </c>
      <c r="AQ481" s="83">
        <f>(Tableau1[[#This Row],[Conso HP / an
Cumul]]*0.1799)+(Tableau1[[#This Row],[Conso HC / an_x000D_
Cumul]]*0.1346)</f>
        <v>-24162.290075933302</v>
      </c>
      <c r="AR481" s="83">
        <f>Tableau1[[#This Row],[Conso HP + HC / an_x000D_
Cumul]]*0.1599</f>
        <v>-23876.425638513007</v>
      </c>
      <c r="AS481" s="79">
        <f>MONTH(Tableau1[[#This Row],[Date]])</f>
        <v>12</v>
      </c>
      <c r="AT481" s="79">
        <f>YEAR(Tableau1[[#This Row],[Date]])</f>
        <v>2022</v>
      </c>
    </row>
    <row r="482" spans="1:46" x14ac:dyDescent="0.2">
      <c r="A482" s="74">
        <v>44914.414583333331</v>
      </c>
      <c r="B482" s="75"/>
      <c r="C482" s="76">
        <f>IF(ISERROR(Tableau1[[#This Row],[Date]]-A481),"",Tableau1[[#This Row],[Date]]-A481)</f>
        <v>0.98263888889050577</v>
      </c>
      <c r="D482" s="77">
        <f>IF(ISERROR(Tableau1[[#This Row],[Date]]-A481),"",Tableau1[[#This Row],[Date]]-A481)</f>
        <v>0.98263888889050577</v>
      </c>
      <c r="E482" s="76">
        <f>Tableau1[[#This Row],[Date]]-$A$5</f>
        <v>731.70624999999563</v>
      </c>
      <c r="F482" s="77">
        <f>Tableau1[[#This Row],[Date]]-$A$5</f>
        <v>731.70624999999563</v>
      </c>
      <c r="G482" s="77">
        <f>Tableau1[[#This Row],[Diff jour_x000D_
Cumul]]-F$6</f>
        <v>693.62291666666715</v>
      </c>
      <c r="H482" s="77">
        <f>Tableau1[[#This Row],[Diff jour_x000D_
Cumul]]-F$59</f>
        <v>671.10347222221753</v>
      </c>
      <c r="I482" s="78">
        <v>210</v>
      </c>
      <c r="J482" s="79">
        <f>IF(ISERROR(Tableau1[[#This Row],[Index HP
kWh]]-I481),"",Tableau1[[#This Row],[Index HP
kWh]]-I481)</f>
        <v>41</v>
      </c>
      <c r="K482" s="77">
        <f>IF(ISERROR(Tableau1[[#This Row],[Différence HP
Instantané]]/(Tableau1[[#This Row],[Diff jour
Instantané]]*24)),"",Tableau1[[#This Row],[Différence HP
Instantané]]/(Tableau1[[#This Row],[Diff jour
Instantané]]*24))</f>
        <v>1.73851590105721</v>
      </c>
      <c r="L482" s="77">
        <f>Tableau1[[#This Row],[Différence HP
Instantané]]/Tableau1[[#This Row],[Diff jour
Instantané]]</f>
        <v>41.724381625373042</v>
      </c>
      <c r="M482" s="77">
        <f>Tableau1[[#This Row],[Conso HP / jour
Instantané]]*365</f>
        <v>15229.39929326116</v>
      </c>
      <c r="N482" s="79">
        <f>Tableau1[[#This Row],[Index HP
kWh]]-$I$5</f>
        <v>-179549</v>
      </c>
      <c r="O482" s="80">
        <f>Tableau1[[#This Row],[Différence HP
Cumul]]/(Tableau1[[#This Row],[Diff jour_x000D_
Cumul]]*24)</f>
        <v>-10.224332966041192</v>
      </c>
      <c r="P482" s="80">
        <f>Tableau1[[#This Row],[Différence HP
Cumul]]/Tableau1[[#This Row],[Diff jour_x000D_
Cumul]]</f>
        <v>-245.38399118498862</v>
      </c>
      <c r="Q482" s="80">
        <f>Tableau1[[#This Row],[Conso HP / jour
Cumul]]*365</f>
        <v>-89565.156782520848</v>
      </c>
      <c r="R482" s="78">
        <v>99</v>
      </c>
      <c r="S482" s="79">
        <f>Tableau1[[#This Row],[Index HC_x000D_
kWh]]-R481</f>
        <v>15</v>
      </c>
      <c r="T482" s="81">
        <f>Tableau1[[#This Row],[Différence_x000D_ HC
Instantané]]/(Tableau1[[#This Row],[Diff jour
Instantané]]*24)</f>
        <v>0.63604240282580859</v>
      </c>
      <c r="U482" s="81">
        <f>Tableau1[[#This Row],[Différence_x000D_ HC
Instantané]]/Tableau1[[#This Row],[Diff jour
Instantané]]</f>
        <v>15.265017667819405</v>
      </c>
      <c r="V482" s="81">
        <f>Tableau1[[#This Row],[Conso HC / jour_x000D_
Instantané]]*365</f>
        <v>5571.7314487540825</v>
      </c>
      <c r="W482" s="79">
        <f>Tableau1[[#This Row],[Index HC_x000D_
kWh]]-$R$5</f>
        <v>-119333</v>
      </c>
      <c r="X482" s="82">
        <f>Tableau1[[#This Row],[Différence HC
Cumul]]/(Tableau1[[#This Row],[Diff jour_x000D_
Cumul]]*24)</f>
        <v>-6.7953612987908238</v>
      </c>
      <c r="Y482" s="82">
        <f>Tableau1[[#This Row],[Différence HC
Cumul]]/Tableau1[[#This Row],[Diff jour_x000D_
Cumul]]</f>
        <v>-163.08867117097975</v>
      </c>
      <c r="Z482" s="82">
        <f>Tableau1[[#This Row],[Conso HC / jour_x000D_
Cumul]]*365</f>
        <v>-59527.364977407611</v>
      </c>
      <c r="AA482" s="79">
        <f>Tableau1[[#This Row],[Différence HP
Instantané]]+Tableau1[[#This Row],[Différence_x000D_ HC
Instantané]]</f>
        <v>56</v>
      </c>
      <c r="AB482" s="80">
        <f>Tableau1[[#This Row],[Conso HP + HC
Instantané]]/(Tableau1[[#This Row],[Diff jour
Instantané]]*24)</f>
        <v>2.3745583038830187</v>
      </c>
      <c r="AC482" s="80">
        <f>IF(ISERROR(Tableau1[[#This Row],[Date]]-A481),"",Tableau1[[#This Row],[Conso HP + HC
Instantané]]/Tableau1[[#This Row],[Diff jour
Instantané]])</f>
        <v>56.989399293192449</v>
      </c>
      <c r="AD482" s="80">
        <f>Tableau1[[#This Row],[Conso HP + HC / jour_x000D_
Instantané]]*365</f>
        <v>20801.130742015244</v>
      </c>
      <c r="AE482" s="79">
        <f>Tableau1[[#This Row],[Différence HP
Cumul]]+Tableau1[[#This Row],[Différence HC
Cumul]]</f>
        <v>-298882</v>
      </c>
      <c r="AF482" s="77">
        <f>(Tableau1[[#This Row],[Conso HP + HC
Cumul]]-AE$6)/Tableau1[[#This Row],[Diff jour_x000D_
Cumul
depuis le 24/01]]</f>
        <v>-434.60645944151901</v>
      </c>
      <c r="AG482" s="77">
        <f>(Tableau1[[#This Row],[Conso HP + HC
Cumul]]-AE$59)/Tableau1[[#This Row],[Diff jour_x000D_
Cumul
depuis
précédente facture
16/02/2021]]</f>
        <v>-451.58312025489016</v>
      </c>
      <c r="AH482" s="80">
        <f>Tableau1[[#This Row],[Conso HP + HC
Cumul]]/(Tableau1[[#This Row],[Diff jour_x000D_
Cumul]]*24)</f>
        <v>-17.019694264832015</v>
      </c>
      <c r="AI482" s="80">
        <f>Tableau1[[#This Row],[Conso HP + HC
Cumul]]/Tableau1[[#This Row],[Diff jour_x000D_
Cumul]]</f>
        <v>-408.4726623559684</v>
      </c>
      <c r="AJ482" s="80">
        <f>Tableau1[[#This Row],[Conso HP + HC / jour_x000D_
Cumul]]*365</f>
        <v>-149092.52175992847</v>
      </c>
      <c r="AK482" s="83">
        <f>(Tableau1[[#This Row],[Différence HP
Cumul]]*0.1799)+(Tableau1[[#This Row],[Différence HC
Cumul]]*0.1346)</f>
        <v>-48363.086899999995</v>
      </c>
      <c r="AL482" s="83">
        <f>Tableau1[[#This Row],[Montant
Tarif HP/HC]]/Tableau1[[#This Row],[Diff jour_x000D_
Cumul]]</f>
        <v>-66.096315153793313</v>
      </c>
      <c r="AM482" s="83">
        <f>(Tableau1[[#This Row],[Montant
Tarif HP/HC]]-AK$6)/Tableau1[[#This Row],[Diff jour_x000D_
Cumul
depuis le 24/01]]</f>
        <v>-70.337226939469332</v>
      </c>
      <c r="AN482" s="83">
        <f>(Tableau1[[#This Row],[Montant
Tarif HP/HC]]-AK$59)/Tableau1[[#This Row],[Diff jour_x000D_
Cumul
depuis
précédente facture
16/02/2021]]</f>
        <v>-73.096105638620145</v>
      </c>
      <c r="AO482" s="83">
        <f>Tableau1[[#This Row],[Conso HP + HC
Cumul]]*0.1599</f>
        <v>-47791.231799999994</v>
      </c>
      <c r="AP482" s="83">
        <f>Tableau1[[#This Row],[Montant
Tarif normal]]/Tableau1[[#This Row],[Diff jour_x000D_
Cumul]]</f>
        <v>-65.314778710719338</v>
      </c>
      <c r="AQ482" s="83">
        <f>(Tableau1[[#This Row],[Conso HP / an
Cumul]]*0.1799)+(Tableau1[[#This Row],[Conso HC / an_x000D_
Cumul]]*0.1346)</f>
        <v>-24125.155031134564</v>
      </c>
      <c r="AR482" s="83">
        <f>Tableau1[[#This Row],[Conso HP + HC / an_x000D_
Cumul]]*0.1599</f>
        <v>-23839.894229412559</v>
      </c>
      <c r="AS482" s="79">
        <f>MONTH(Tableau1[[#This Row],[Date]])</f>
        <v>12</v>
      </c>
      <c r="AT482" s="79">
        <f>YEAR(Tableau1[[#This Row],[Date]])</f>
        <v>2022</v>
      </c>
    </row>
    <row r="483" spans="1:46" x14ac:dyDescent="0.2">
      <c r="A483" s="74">
        <v>44917.402083333334</v>
      </c>
      <c r="B483" s="75"/>
      <c r="C483" s="76">
        <f>IF(ISERROR(Tableau1[[#This Row],[Date]]-A482),"",Tableau1[[#This Row],[Date]]-A482)</f>
        <v>2.9875000000029104</v>
      </c>
      <c r="D483" s="77">
        <f>IF(ISERROR(Tableau1[[#This Row],[Date]]-A482),"",Tableau1[[#This Row],[Date]]-A482)</f>
        <v>2.9875000000029104</v>
      </c>
      <c r="E483" s="76">
        <f>Tableau1[[#This Row],[Date]]-$A$5</f>
        <v>734.69374999999854</v>
      </c>
      <c r="F483" s="77">
        <f>Tableau1[[#This Row],[Date]]-$A$5</f>
        <v>734.69374999999854</v>
      </c>
      <c r="G483" s="77">
        <f>Tableau1[[#This Row],[Diff jour_x000D_
Cumul]]-F$6</f>
        <v>696.61041666667006</v>
      </c>
      <c r="H483" s="77">
        <f>Tableau1[[#This Row],[Diff jour_x000D_
Cumul]]-F$59</f>
        <v>674.09097222222044</v>
      </c>
      <c r="I483" s="78">
        <v>291</v>
      </c>
      <c r="J483" s="79">
        <f>IF(ISERROR(Tableau1[[#This Row],[Index HP
kWh]]-I482),"",Tableau1[[#This Row],[Index HP
kWh]]-I482)</f>
        <v>81</v>
      </c>
      <c r="K483" s="77">
        <f>IF(ISERROR(Tableau1[[#This Row],[Différence HP
Instantané]]/(Tableau1[[#This Row],[Diff jour
Instantané]]*24)),"",Tableau1[[#This Row],[Différence HP
Instantané]]/(Tableau1[[#This Row],[Diff jour
Instantané]]*24))</f>
        <v>1.1297071129696108</v>
      </c>
      <c r="L483" s="77">
        <f>Tableau1[[#This Row],[Différence HP
Instantané]]/Tableau1[[#This Row],[Diff jour
Instantané]]</f>
        <v>27.112970711270659</v>
      </c>
      <c r="M483" s="77">
        <f>Tableau1[[#This Row],[Conso HP / jour
Instantané]]*365</f>
        <v>9896.2343096137902</v>
      </c>
      <c r="N483" s="79">
        <f>Tableau1[[#This Row],[Index HP
kWh]]-$I$5</f>
        <v>-179468</v>
      </c>
      <c r="O483" s="80">
        <f>Tableau1[[#This Row],[Différence HP
Cumul]]/(Tableau1[[#This Row],[Diff jour_x000D_
Cumul]]*24)</f>
        <v>-10.178163804079384</v>
      </c>
      <c r="P483" s="80">
        <f>Tableau1[[#This Row],[Différence HP
Cumul]]/Tableau1[[#This Row],[Diff jour_x000D_
Cumul]]</f>
        <v>-244.27593129790523</v>
      </c>
      <c r="Q483" s="80">
        <f>Tableau1[[#This Row],[Conso HP / jour
Cumul]]*365</f>
        <v>-89160.714923735402</v>
      </c>
      <c r="R483" s="78">
        <v>127</v>
      </c>
      <c r="S483" s="79">
        <f>Tableau1[[#This Row],[Index HC_x000D_
kWh]]-R482</f>
        <v>28</v>
      </c>
      <c r="T483" s="81">
        <f>Tableau1[[#This Row],[Différence_x000D_ HC
Instantané]]/(Tableau1[[#This Row],[Diff jour
Instantané]]*24)</f>
        <v>0.39051603905122345</v>
      </c>
      <c r="U483" s="81">
        <f>Tableau1[[#This Row],[Différence_x000D_ HC
Instantané]]/Tableau1[[#This Row],[Diff jour
Instantané]]</f>
        <v>9.3723849372293628</v>
      </c>
      <c r="V483" s="81">
        <f>Tableau1[[#This Row],[Conso HC / jour_x000D_
Instantané]]*365</f>
        <v>3420.9205020887175</v>
      </c>
      <c r="W483" s="79">
        <f>Tableau1[[#This Row],[Index HC_x000D_
kWh]]-$R$5</f>
        <v>-119305</v>
      </c>
      <c r="X483" s="82">
        <f>Tableau1[[#This Row],[Différence HC
Cumul]]/(Tableau1[[#This Row],[Diff jour_x000D_
Cumul]]*24)</f>
        <v>-6.7661412209736049</v>
      </c>
      <c r="Y483" s="82">
        <f>Tableau1[[#This Row],[Différence HC
Cumul]]/Tableau1[[#This Row],[Diff jour_x000D_
Cumul]]</f>
        <v>-162.38738930336652</v>
      </c>
      <c r="Z483" s="82">
        <f>Tableau1[[#This Row],[Conso HC / jour_x000D_
Cumul]]*365</f>
        <v>-59271.397095728782</v>
      </c>
      <c r="AA483" s="79">
        <f>Tableau1[[#This Row],[Différence HP
Instantané]]+Tableau1[[#This Row],[Différence_x000D_ HC
Instantané]]</f>
        <v>109</v>
      </c>
      <c r="AB483" s="80">
        <f>Tableau1[[#This Row],[Conso HP + HC
Instantané]]/(Tableau1[[#This Row],[Diff jour
Instantané]]*24)</f>
        <v>1.5202231520208342</v>
      </c>
      <c r="AC483" s="80">
        <f>IF(ISERROR(Tableau1[[#This Row],[Date]]-A482),"",Tableau1[[#This Row],[Conso HP + HC
Instantané]]/Tableau1[[#This Row],[Diff jour
Instantané]])</f>
        <v>36.485355648500018</v>
      </c>
      <c r="AD483" s="80">
        <f>Tableau1[[#This Row],[Conso HP + HC / jour_x000D_
Instantané]]*365</f>
        <v>13317.154811702507</v>
      </c>
      <c r="AE483" s="79">
        <f>Tableau1[[#This Row],[Différence HP
Cumul]]+Tableau1[[#This Row],[Différence HC
Cumul]]</f>
        <v>-298773</v>
      </c>
      <c r="AF483" s="77">
        <f>(Tableau1[[#This Row],[Conso HP + HC
Cumul]]-AE$6)/Tableau1[[#This Row],[Diff jour_x000D_
Cumul
depuis le 24/01]]</f>
        <v>-432.58612387961733</v>
      </c>
      <c r="AG483" s="77">
        <f>(Tableau1[[#This Row],[Conso HP + HC
Cumul]]-AE$59)/Tableau1[[#This Row],[Diff jour_x000D_
Cumul
depuis
précédente facture
16/02/2021]]</f>
        <v>-449.42005231325021</v>
      </c>
      <c r="AH483" s="80">
        <f>Tableau1[[#This Row],[Conso HP + HC
Cumul]]/(Tableau1[[#This Row],[Diff jour_x000D_
Cumul]]*24)</f>
        <v>-16.944305025052991</v>
      </c>
      <c r="AI483" s="80">
        <f>Tableau1[[#This Row],[Conso HP + HC
Cumul]]/Tableau1[[#This Row],[Diff jour_x000D_
Cumul]]</f>
        <v>-406.66332060127172</v>
      </c>
      <c r="AJ483" s="80">
        <f>Tableau1[[#This Row],[Conso HP + HC / jour_x000D_
Cumul]]*365</f>
        <v>-148432.11201946417</v>
      </c>
      <c r="AK483" s="83">
        <f>(Tableau1[[#This Row],[Différence HP
Cumul]]*0.1799)+(Tableau1[[#This Row],[Différence HC
Cumul]]*0.1346)</f>
        <v>-48344.746200000001</v>
      </c>
      <c r="AL483" s="83">
        <f>Tableau1[[#This Row],[Montant
Tarif HP/HC]]/Tableau1[[#This Row],[Diff jour_x000D_
Cumul]]</f>
        <v>-65.802582640726285</v>
      </c>
      <c r="AM483" s="83">
        <f>(Tableau1[[#This Row],[Montant
Tarif HP/HC]]-AK$6)/Tableau1[[#This Row],[Diff jour_x000D_
Cumul
depuis le 24/01]]</f>
        <v>-70.009248545785354</v>
      </c>
      <c r="AN483" s="83">
        <f>(Tableau1[[#This Row],[Montant
Tarif HP/HC]]-AK$59)/Tableau1[[#This Row],[Diff jour_x000D_
Cumul
depuis
précédente facture
16/02/2021]]</f>
        <v>-72.744943369208315</v>
      </c>
      <c r="AO483" s="83">
        <f>Tableau1[[#This Row],[Conso HP + HC
Cumul]]*0.1599</f>
        <v>-47773.802699999993</v>
      </c>
      <c r="AP483" s="83">
        <f>Tableau1[[#This Row],[Montant
Tarif normal]]/Tableau1[[#This Row],[Diff jour_x000D_
Cumul]]</f>
        <v>-65.025464964143339</v>
      </c>
      <c r="AQ483" s="83">
        <f>(Tableau1[[#This Row],[Conso HP / an
Cumul]]*0.1799)+(Tableau1[[#This Row],[Conso HC / an_x000D_
Cumul]]*0.1346)</f>
        <v>-24017.942663865095</v>
      </c>
      <c r="AR483" s="83">
        <f>Tableau1[[#This Row],[Conso HP + HC / an_x000D_
Cumul]]*0.1599</f>
        <v>-23734.29471191232</v>
      </c>
      <c r="AS483" s="79">
        <f>MONTH(Tableau1[[#This Row],[Date]])</f>
        <v>12</v>
      </c>
      <c r="AT483" s="79">
        <f>YEAR(Tableau1[[#This Row],[Date]])</f>
        <v>2022</v>
      </c>
    </row>
    <row r="484" spans="1:46" x14ac:dyDescent="0.2">
      <c r="A484" s="74">
        <v>44918.303472222222</v>
      </c>
      <c r="B484" s="75"/>
      <c r="C484" s="76">
        <f>IF(ISERROR(Tableau1[[#This Row],[Date]]-A483),"",Tableau1[[#This Row],[Date]]-A483)</f>
        <v>0.90138888888759539</v>
      </c>
      <c r="D484" s="77">
        <f>IF(ISERROR(Tableau1[[#This Row],[Date]]-A483),"",Tableau1[[#This Row],[Date]]-A483)</f>
        <v>0.90138888888759539</v>
      </c>
      <c r="E484" s="76">
        <f>Tableau1[[#This Row],[Date]]-$A$5</f>
        <v>735.59513888888614</v>
      </c>
      <c r="F484" s="77">
        <f>Tableau1[[#This Row],[Date]]-$A$5</f>
        <v>735.59513888888614</v>
      </c>
      <c r="G484" s="77">
        <f>Tableau1[[#This Row],[Diff jour_x000D_
Cumul]]-F$6</f>
        <v>697.51180555555766</v>
      </c>
      <c r="H484" s="77">
        <f>Tableau1[[#This Row],[Diff jour_x000D_
Cumul]]-F$59</f>
        <v>674.99236111110804</v>
      </c>
      <c r="I484" s="78">
        <v>313</v>
      </c>
      <c r="J484" s="79">
        <f>IF(ISERROR(Tableau1[[#This Row],[Index HP
kWh]]-I483),"",Tableau1[[#This Row],[Index HP
kWh]]-I483)</f>
        <v>22</v>
      </c>
      <c r="K484" s="77">
        <f>IF(ISERROR(Tableau1[[#This Row],[Différence HP
Instantané]]/(Tableau1[[#This Row],[Diff jour
Instantané]]*24)),"",Tableau1[[#This Row],[Différence HP
Instantané]]/(Tableau1[[#This Row],[Diff jour
Instantané]]*24))</f>
        <v>1.0169491525438321</v>
      </c>
      <c r="L484" s="77">
        <f>Tableau1[[#This Row],[Différence HP
Instantané]]/Tableau1[[#This Row],[Diff jour
Instantané]]</f>
        <v>24.406779661051974</v>
      </c>
      <c r="M484" s="77">
        <f>Tableau1[[#This Row],[Conso HP / jour
Instantané]]*365</f>
        <v>8908.4745762839702</v>
      </c>
      <c r="N484" s="79">
        <f>Tableau1[[#This Row],[Index HP
kWh]]-$I$5</f>
        <v>-179446</v>
      </c>
      <c r="O484" s="80">
        <f>Tableau1[[#This Row],[Différence HP
Cumul]]/(Tableau1[[#This Row],[Diff jour_x000D_
Cumul]]*24)</f>
        <v>-10.16444545563545</v>
      </c>
      <c r="P484" s="80">
        <f>Tableau1[[#This Row],[Différence HP
Cumul]]/Tableau1[[#This Row],[Diff jour_x000D_
Cumul]]</f>
        <v>-243.94669093525081</v>
      </c>
      <c r="Q484" s="80">
        <f>Tableau1[[#This Row],[Conso HP / jour
Cumul]]*365</f>
        <v>-89040.542191366549</v>
      </c>
      <c r="R484" s="78">
        <v>130</v>
      </c>
      <c r="S484" s="79">
        <f>Tableau1[[#This Row],[Index HC_x000D_
kWh]]-R483</f>
        <v>3</v>
      </c>
      <c r="T484" s="81">
        <f>Tableau1[[#This Row],[Différence_x000D_ HC
Instantané]]/(Tableau1[[#This Row],[Diff jour
Instantané]]*24)</f>
        <v>0.1386748844377953</v>
      </c>
      <c r="U484" s="81">
        <f>Tableau1[[#This Row],[Différence_x000D_ HC
Instantané]]/Tableau1[[#This Row],[Diff jour
Instantané]]</f>
        <v>3.3281972265070872</v>
      </c>
      <c r="V484" s="81">
        <f>Tableau1[[#This Row],[Conso HC / jour_x000D_
Instantané]]*365</f>
        <v>1214.7919876750868</v>
      </c>
      <c r="W484" s="79">
        <f>Tableau1[[#This Row],[Index HC_x000D_
kWh]]-$R$5</f>
        <v>-119302</v>
      </c>
      <c r="X484" s="82">
        <f>Tableau1[[#This Row],[Différence HC
Cumul]]/(Tableau1[[#This Row],[Diff jour_x000D_
Cumul]]*24)</f>
        <v>-6.7576801474996406</v>
      </c>
      <c r="Y484" s="82">
        <f>Tableau1[[#This Row],[Différence HC
Cumul]]/Tableau1[[#This Row],[Diff jour_x000D_
Cumul]]</f>
        <v>-162.18432353999137</v>
      </c>
      <c r="Z484" s="82">
        <f>Tableau1[[#This Row],[Conso HC / jour_x000D_
Cumul]]*365</f>
        <v>-59197.278092096851</v>
      </c>
      <c r="AA484" s="79">
        <f>Tableau1[[#This Row],[Différence HP
Instantané]]+Tableau1[[#This Row],[Différence_x000D_ HC
Instantané]]</f>
        <v>25</v>
      </c>
      <c r="AB484" s="80">
        <f>Tableau1[[#This Row],[Conso HP + HC
Instantané]]/(Tableau1[[#This Row],[Diff jour
Instantané]]*24)</f>
        <v>1.1556240369816275</v>
      </c>
      <c r="AC484" s="80">
        <f>IF(ISERROR(Tableau1[[#This Row],[Date]]-A483),"",Tableau1[[#This Row],[Conso HP + HC
Instantané]]/Tableau1[[#This Row],[Diff jour
Instantané]])</f>
        <v>27.734976887559061</v>
      </c>
      <c r="AD484" s="80">
        <f>Tableau1[[#This Row],[Conso HP + HC / jour_x000D_
Instantané]]*365</f>
        <v>10123.266563959058</v>
      </c>
      <c r="AE484" s="79">
        <f>Tableau1[[#This Row],[Différence HP
Cumul]]+Tableau1[[#This Row],[Différence HC
Cumul]]</f>
        <v>-298748</v>
      </c>
      <c r="AF484" s="77">
        <f>(Tableau1[[#This Row],[Conso HP + HC
Cumul]]-AE$6)/Tableau1[[#This Row],[Diff jour_x000D_
Cumul
depuis le 24/01]]</f>
        <v>-431.99125462830546</v>
      </c>
      <c r="AG484" s="77">
        <f>(Tableau1[[#This Row],[Conso HP + HC
Cumul]]-AE$59)/Tableau1[[#This Row],[Diff jour_x000D_
Cumul
depuis
précédente facture
16/02/2021]]</f>
        <v>-448.78285659611578</v>
      </c>
      <c r="AH484" s="80">
        <f>Tableau1[[#This Row],[Conso HP + HC
Cumul]]/(Tableau1[[#This Row],[Diff jour_x000D_
Cumul]]*24)</f>
        <v>-16.92212560313509</v>
      </c>
      <c r="AI484" s="80">
        <f>Tableau1[[#This Row],[Conso HP + HC
Cumul]]/Tableau1[[#This Row],[Diff jour_x000D_
Cumul]]</f>
        <v>-406.13101447524218</v>
      </c>
      <c r="AJ484" s="80">
        <f>Tableau1[[#This Row],[Conso HP + HC / jour_x000D_
Cumul]]*365</f>
        <v>-148237.8202834634</v>
      </c>
      <c r="AK484" s="83">
        <f>(Tableau1[[#This Row],[Différence HP
Cumul]]*0.1799)+(Tableau1[[#This Row],[Différence HC
Cumul]]*0.1346)</f>
        <v>-48340.384599999998</v>
      </c>
      <c r="AL484" s="83">
        <f>Tableau1[[#This Row],[Montant
Tarif HP/HC]]/Tableau1[[#This Row],[Diff jour_x000D_
Cumul]]</f>
        <v>-65.716019647734456</v>
      </c>
      <c r="AM484" s="83">
        <f>(Tableau1[[#This Row],[Montant
Tarif HP/HC]]-AK$6)/Tableau1[[#This Row],[Diff jour_x000D_
Cumul
depuis le 24/01]]</f>
        <v>-69.91252307358377</v>
      </c>
      <c r="AN484" s="83">
        <f>(Tableau1[[#This Row],[Montant
Tarif HP/HC]]-AK$59)/Tableau1[[#This Row],[Diff jour_x000D_
Cumul
depuis
précédente facture
16/02/2021]]</f>
        <v>-72.641337628306815</v>
      </c>
      <c r="AO484" s="83">
        <f>Tableau1[[#This Row],[Conso HP + HC
Cumul]]*0.1599</f>
        <v>-47769.805199999995</v>
      </c>
      <c r="AP484" s="83">
        <f>Tableau1[[#This Row],[Montant
Tarif normal]]/Tableau1[[#This Row],[Diff jour_x000D_
Cumul]]</f>
        <v>-64.940349214591222</v>
      </c>
      <c r="AQ484" s="83">
        <f>(Tableau1[[#This Row],[Conso HP / an
Cumul]]*0.1799)+(Tableau1[[#This Row],[Conso HC / an_x000D_
Cumul]]*0.1346)</f>
        <v>-23986.347171423076</v>
      </c>
      <c r="AR484" s="83">
        <f>Tableau1[[#This Row],[Conso HP + HC / an_x000D_
Cumul]]*0.1599</f>
        <v>-23703.227463325795</v>
      </c>
      <c r="AS484" s="79">
        <f>MONTH(Tableau1[[#This Row],[Date]])</f>
        <v>12</v>
      </c>
      <c r="AT484" s="79">
        <f>YEAR(Tableau1[[#This Row],[Date]])</f>
        <v>2022</v>
      </c>
    </row>
    <row r="485" spans="1:46" x14ac:dyDescent="0.2">
      <c r="A485" s="74">
        <v>44919.39166666667</v>
      </c>
      <c r="B485" s="75"/>
      <c r="C485" s="76">
        <f>IF(ISERROR(Tableau1[[#This Row],[Date]]-A484),"",Tableau1[[#This Row],[Date]]-A484)</f>
        <v>1.0881944444481633</v>
      </c>
      <c r="D485" s="77">
        <f>IF(ISERROR(Tableau1[[#This Row],[Date]]-A484),"",Tableau1[[#This Row],[Date]]-A484)</f>
        <v>1.0881944444481633</v>
      </c>
      <c r="E485" s="76">
        <f>Tableau1[[#This Row],[Date]]-$A$5</f>
        <v>736.6833333333343</v>
      </c>
      <c r="F485" s="77">
        <f>Tableau1[[#This Row],[Date]]-$A$5</f>
        <v>736.6833333333343</v>
      </c>
      <c r="G485" s="77">
        <f>Tableau1[[#This Row],[Diff jour_x000D_
Cumul]]-F$6</f>
        <v>698.60000000000582</v>
      </c>
      <c r="H485" s="77">
        <f>Tableau1[[#This Row],[Diff jour_x000D_
Cumul]]-F$59</f>
        <v>676.0805555555562</v>
      </c>
      <c r="I485" s="78">
        <v>330</v>
      </c>
      <c r="J485" s="79">
        <f>IF(ISERROR(Tableau1[[#This Row],[Index HP
kWh]]-I484),"",Tableau1[[#This Row],[Index HP
kWh]]-I484)</f>
        <v>17</v>
      </c>
      <c r="K485" s="77">
        <f>IF(ISERROR(Tableau1[[#This Row],[Différence HP
Instantané]]/(Tableau1[[#This Row],[Diff jour
Instantané]]*24)),"",Tableau1[[#This Row],[Différence HP
Instantané]]/(Tableau1[[#This Row],[Diff jour
Instantané]]*24))</f>
        <v>0.65092533503287442</v>
      </c>
      <c r="L485" s="77">
        <f>Tableau1[[#This Row],[Différence HP
Instantané]]/Tableau1[[#This Row],[Diff jour
Instantané]]</f>
        <v>15.622208040788987</v>
      </c>
      <c r="M485" s="77">
        <f>Tableau1[[#This Row],[Conso HP / jour
Instantané]]*365</f>
        <v>5702.1059348879799</v>
      </c>
      <c r="N485" s="79">
        <f>Tableau1[[#This Row],[Index HP
kWh]]-$I$5</f>
        <v>-179429</v>
      </c>
      <c r="O485" s="80">
        <f>Tableau1[[#This Row],[Différence HP
Cumul]]/(Tableau1[[#This Row],[Diff jour_x000D_
Cumul]]*24)</f>
        <v>-10.148469491640448</v>
      </c>
      <c r="P485" s="80">
        <f>Tableau1[[#This Row],[Différence HP
Cumul]]/Tableau1[[#This Row],[Diff jour_x000D_
Cumul]]</f>
        <v>-243.56326779937072</v>
      </c>
      <c r="Q485" s="80">
        <f>Tableau1[[#This Row],[Conso HP / jour
Cumul]]*365</f>
        <v>-88900.592746770315</v>
      </c>
      <c r="R485" s="78">
        <v>132</v>
      </c>
      <c r="S485" s="79">
        <f>Tableau1[[#This Row],[Index HC_x000D_
kWh]]-R484</f>
        <v>2</v>
      </c>
      <c r="T485" s="81">
        <f>Tableau1[[#This Row],[Différence_x000D_ HC
Instantané]]/(Tableau1[[#This Row],[Diff jour
Instantané]]*24)</f>
        <v>7.6579451180338168E-2</v>
      </c>
      <c r="U485" s="81">
        <f>Tableau1[[#This Row],[Différence_x000D_ HC
Instantané]]/Tableau1[[#This Row],[Diff jour
Instantané]]</f>
        <v>1.8379068283281161</v>
      </c>
      <c r="V485" s="81">
        <f>Tableau1[[#This Row],[Conso HC / jour_x000D_
Instantané]]*365</f>
        <v>670.83599233976236</v>
      </c>
      <c r="W485" s="79">
        <f>Tableau1[[#This Row],[Index HC_x000D_
kWh]]-$R$5</f>
        <v>-119300</v>
      </c>
      <c r="X485" s="82">
        <f>Tableau1[[#This Row],[Différence HC
Cumul]]/(Tableau1[[#This Row],[Diff jour_x000D_
Cumul]]*24)</f>
        <v>-6.7475848962693066</v>
      </c>
      <c r="Y485" s="82">
        <f>Tableau1[[#This Row],[Différence HC
Cumul]]/Tableau1[[#This Row],[Diff jour_x000D_
Cumul]]</f>
        <v>-161.94203751046336</v>
      </c>
      <c r="Z485" s="82">
        <f>Tableau1[[#This Row],[Conso HC / jour_x000D_
Cumul]]*365</f>
        <v>-59108.843691319125</v>
      </c>
      <c r="AA485" s="79">
        <f>Tableau1[[#This Row],[Différence HP
Instantané]]+Tableau1[[#This Row],[Différence_x000D_ HC
Instantané]]</f>
        <v>19</v>
      </c>
      <c r="AB485" s="80">
        <f>Tableau1[[#This Row],[Conso HP + HC
Instantané]]/(Tableau1[[#This Row],[Diff jour
Instantané]]*24)</f>
        <v>0.72750478621321257</v>
      </c>
      <c r="AC485" s="80">
        <f>IF(ISERROR(Tableau1[[#This Row],[Date]]-A484),"",Tableau1[[#This Row],[Conso HP + HC
Instantané]]/Tableau1[[#This Row],[Diff jour
Instantané]])</f>
        <v>17.460114869117103</v>
      </c>
      <c r="AD485" s="80">
        <f>Tableau1[[#This Row],[Conso HP + HC / jour_x000D_
Instantané]]*365</f>
        <v>6372.9419272277428</v>
      </c>
      <c r="AE485" s="79">
        <f>Tableau1[[#This Row],[Différence HP
Cumul]]+Tableau1[[#This Row],[Différence HC
Cumul]]</f>
        <v>-298729</v>
      </c>
      <c r="AF485" s="77">
        <f>(Tableau1[[#This Row],[Conso HP + HC
Cumul]]-AE$6)/Tableau1[[#This Row],[Diff jour_x000D_
Cumul
depuis le 24/01]]</f>
        <v>-431.29115373603992</v>
      </c>
      <c r="AG485" s="77">
        <f>(Tableau1[[#This Row],[Conso HP + HC
Cumul]]-AE$59)/Tableau1[[#This Row],[Diff jour_x000D_
Cumul
depuis
précédente facture
16/02/2021]]</f>
        <v>-448.03240902423647</v>
      </c>
      <c r="AH485" s="80">
        <f>Tableau1[[#This Row],[Conso HP + HC
Cumul]]/(Tableau1[[#This Row],[Diff jour_x000D_
Cumul]]*24)</f>
        <v>-16.896054387909754</v>
      </c>
      <c r="AI485" s="80">
        <f>Tableau1[[#This Row],[Conso HP + HC
Cumul]]/Tableau1[[#This Row],[Diff jour_x000D_
Cumul]]</f>
        <v>-405.50530530983406</v>
      </c>
      <c r="AJ485" s="80">
        <f>Tableau1[[#This Row],[Conso HP + HC / jour_x000D_
Cumul]]*365</f>
        <v>-148009.43643808944</v>
      </c>
      <c r="AK485" s="83">
        <f>(Tableau1[[#This Row],[Différence HP
Cumul]]*0.1799)+(Tableau1[[#This Row],[Différence HC
Cumul]]*0.1346)</f>
        <v>-48337.057099999998</v>
      </c>
      <c r="AL485" s="83">
        <f>Tableau1[[#This Row],[Montant
Tarif HP/HC]]/Tableau1[[#This Row],[Diff jour_x000D_
Cumul]]</f>
        <v>-65.614430126015165</v>
      </c>
      <c r="AM485" s="83">
        <f>(Tableau1[[#This Row],[Montant
Tarif HP/HC]]-AK$6)/Tableau1[[#This Row],[Diff jour_x000D_
Cumul
depuis le 24/01]]</f>
        <v>-69.798858717434285</v>
      </c>
      <c r="AN485" s="83">
        <f>(Tableau1[[#This Row],[Montant
Tarif HP/HC]]-AK$59)/Tableau1[[#This Row],[Diff jour_x000D_
Cumul
depuis
précédente facture
16/02/2021]]</f>
        <v>-72.519495047023412</v>
      </c>
      <c r="AO485" s="83">
        <f>Tableau1[[#This Row],[Conso HP + HC
Cumul]]*0.1599</f>
        <v>-47766.767099999997</v>
      </c>
      <c r="AP485" s="83">
        <f>Tableau1[[#This Row],[Montant
Tarif normal]]/Tableau1[[#This Row],[Diff jour_x000D_
Cumul]]</f>
        <v>-64.840298319042461</v>
      </c>
      <c r="AQ485" s="83">
        <f>(Tableau1[[#This Row],[Conso HP / an
Cumul]]*0.1799)+(Tableau1[[#This Row],[Conso HC / an_x000D_
Cumul]]*0.1346)</f>
        <v>-23949.266995995531</v>
      </c>
      <c r="AR485" s="83">
        <f>Tableau1[[#This Row],[Conso HP + HC / an_x000D_
Cumul]]*0.1599</f>
        <v>-23666.708886450499</v>
      </c>
      <c r="AS485" s="79">
        <f>MONTH(Tableau1[[#This Row],[Date]])</f>
        <v>12</v>
      </c>
      <c r="AT485" s="79">
        <f>YEAR(Tableau1[[#This Row],[Date]])</f>
        <v>2022</v>
      </c>
    </row>
    <row r="486" spans="1:46" x14ac:dyDescent="0.2">
      <c r="A486" s="74">
        <v>44921.321527777778</v>
      </c>
      <c r="B486" s="75"/>
      <c r="C486" s="76">
        <f>IF(ISERROR(Tableau1[[#This Row],[Date]]-A485),"",Tableau1[[#This Row],[Date]]-A485)</f>
        <v>1.929861111108039</v>
      </c>
      <c r="D486" s="77">
        <f>IF(ISERROR(Tableau1[[#This Row],[Date]]-A485),"",Tableau1[[#This Row],[Date]]-A485)</f>
        <v>1.929861111108039</v>
      </c>
      <c r="E486" s="76">
        <f>Tableau1[[#This Row],[Date]]-$A$5</f>
        <v>738.61319444444234</v>
      </c>
      <c r="F486" s="77">
        <f>Tableau1[[#This Row],[Date]]-$A$5</f>
        <v>738.61319444444234</v>
      </c>
      <c r="G486" s="77">
        <f>Tableau1[[#This Row],[Diff jour_x000D_
Cumul]]-F$6</f>
        <v>700.52986111111386</v>
      </c>
      <c r="H486" s="77">
        <f>Tableau1[[#This Row],[Diff jour_x000D_
Cumul]]-F$59</f>
        <v>678.01041666666424</v>
      </c>
      <c r="I486" s="78">
        <v>364</v>
      </c>
      <c r="J486" s="79">
        <f>IF(ISERROR(Tableau1[[#This Row],[Index HP
kWh]]-I485),"",Tableau1[[#This Row],[Index HP
kWh]]-I485)</f>
        <v>34</v>
      </c>
      <c r="K486" s="77">
        <f>IF(ISERROR(Tableau1[[#This Row],[Différence HP
Instantané]]/(Tableau1[[#This Row],[Diff jour
Instantané]]*24)),"",Tableau1[[#This Row],[Différence HP
Instantané]]/(Tableau1[[#This Row],[Diff jour
Instantané]]*24))</f>
        <v>0.73407700611847693</v>
      </c>
      <c r="L486" s="77">
        <f>Tableau1[[#This Row],[Différence HP
Instantané]]/Tableau1[[#This Row],[Diff jour
Instantané]]</f>
        <v>17.617848146843446</v>
      </c>
      <c r="M486" s="77">
        <f>Tableau1[[#This Row],[Conso HP / jour
Instantané]]*365</f>
        <v>6430.5145735978576</v>
      </c>
      <c r="N486" s="79">
        <f>Tableau1[[#This Row],[Index HP
kWh]]-$I$5</f>
        <v>-179395</v>
      </c>
      <c r="O486" s="80">
        <f>Tableau1[[#This Row],[Différence HP
Cumul]]/(Tableau1[[#This Row],[Diff jour_x000D_
Cumul]]*24)</f>
        <v>-10.120035389144286</v>
      </c>
      <c r="P486" s="80">
        <f>Tableau1[[#This Row],[Différence HP
Cumul]]/Tableau1[[#This Row],[Diff jour_x000D_
Cumul]]</f>
        <v>-242.88084933946288</v>
      </c>
      <c r="Q486" s="80">
        <f>Tableau1[[#This Row],[Conso HP / jour
Cumul]]*365</f>
        <v>-88651.510008903948</v>
      </c>
      <c r="R486" s="78">
        <v>137</v>
      </c>
      <c r="S486" s="79">
        <f>Tableau1[[#This Row],[Index HC_x000D_
kWh]]-R485</f>
        <v>5</v>
      </c>
      <c r="T486" s="81">
        <f>Tableau1[[#This Row],[Différence_x000D_ HC
Instantané]]/(Tableau1[[#This Row],[Diff jour
Instantané]]*24)</f>
        <v>0.10795250089977602</v>
      </c>
      <c r="U486" s="81">
        <f>Tableau1[[#This Row],[Différence_x000D_ HC
Instantané]]/Tableau1[[#This Row],[Diff jour
Instantané]]</f>
        <v>2.5908600215946245</v>
      </c>
      <c r="V486" s="81">
        <f>Tableau1[[#This Row],[Conso HC / jour_x000D_
Instantané]]*365</f>
        <v>945.66390788203796</v>
      </c>
      <c r="W486" s="79">
        <f>Tableau1[[#This Row],[Index HC_x000D_
kWh]]-$R$5</f>
        <v>-119295</v>
      </c>
      <c r="X486" s="82">
        <f>Tableau1[[#This Row],[Différence HC
Cumul]]/(Tableau1[[#This Row],[Diff jour_x000D_
Cumul]]*24)</f>
        <v>-6.729672631611626</v>
      </c>
      <c r="Y486" s="82">
        <f>Tableau1[[#This Row],[Différence HC
Cumul]]/Tableau1[[#This Row],[Diff jour_x000D_
Cumul]]</f>
        <v>-161.51214315867904</v>
      </c>
      <c r="Z486" s="82">
        <f>Tableau1[[#This Row],[Conso HC / jour_x000D_
Cumul]]*365</f>
        <v>-58951.932252917846</v>
      </c>
      <c r="AA486" s="79">
        <f>Tableau1[[#This Row],[Différence HP
Instantané]]+Tableau1[[#This Row],[Différence_x000D_ HC
Instantané]]</f>
        <v>39</v>
      </c>
      <c r="AB486" s="80">
        <f>Tableau1[[#This Row],[Conso HP + HC
Instantané]]/(Tableau1[[#This Row],[Diff jour
Instantané]]*24)</f>
        <v>0.84202950701825297</v>
      </c>
      <c r="AC486" s="80">
        <f>IF(ISERROR(Tableau1[[#This Row],[Date]]-A485),"",Tableau1[[#This Row],[Conso HP + HC
Instantané]]/Tableau1[[#This Row],[Diff jour
Instantané]])</f>
        <v>20.208708168438072</v>
      </c>
      <c r="AD486" s="80">
        <f>Tableau1[[#This Row],[Conso HP + HC / jour_x000D_
Instantané]]*365</f>
        <v>7376.1784814798966</v>
      </c>
      <c r="AE486" s="79">
        <f>Tableau1[[#This Row],[Différence HP
Cumul]]+Tableau1[[#This Row],[Différence HC
Cumul]]</f>
        <v>-298690</v>
      </c>
      <c r="AF486" s="77">
        <f>(Tableau1[[#This Row],[Conso HP + HC
Cumul]]-AE$6)/Tableau1[[#This Row],[Diff jour_x000D_
Cumul
depuis le 24/01]]</f>
        <v>-430.04733520162642</v>
      </c>
      <c r="AG486" s="77">
        <f>(Tableau1[[#This Row],[Conso HP + HC
Cumul]]-AE$59)/Tableau1[[#This Row],[Diff jour_x000D_
Cumul
depuis
précédente facture
16/02/2021]]</f>
        <v>-446.69962666502948</v>
      </c>
      <c r="AH486" s="80">
        <f>Tableau1[[#This Row],[Conso HP + HC
Cumul]]/(Tableau1[[#This Row],[Diff jour_x000D_
Cumul]]*24)</f>
        <v>-16.849708020755912</v>
      </c>
      <c r="AI486" s="80">
        <f>Tableau1[[#This Row],[Conso HP + HC
Cumul]]/Tableau1[[#This Row],[Diff jour_x000D_
Cumul]]</f>
        <v>-404.39299249814189</v>
      </c>
      <c r="AJ486" s="80">
        <f>Tableau1[[#This Row],[Conso HP + HC / jour_x000D_
Cumul]]*365</f>
        <v>-147603.44226182179</v>
      </c>
      <c r="AK486" s="83">
        <f>(Tableau1[[#This Row],[Différence HP
Cumul]]*0.1799)+(Tableau1[[#This Row],[Différence HC
Cumul]]*0.1346)</f>
        <v>-48330.267500000002</v>
      </c>
      <c r="AL486" s="83">
        <f>Tableau1[[#This Row],[Montant
Tarif HP/HC]]/Tableau1[[#This Row],[Diff jour_x000D_
Cumul]]</f>
        <v>-65.433799265327565</v>
      </c>
      <c r="AM486" s="83">
        <f>(Tableau1[[#This Row],[Montant
Tarif HP/HC]]-AK$6)/Tableau1[[#This Row],[Diff jour_x000D_
Cumul
depuis le 24/01]]</f>
        <v>-69.596880599307994</v>
      </c>
      <c r="AN486" s="83">
        <f>(Tableau1[[#This Row],[Montant
Tarif HP/HC]]-AK$59)/Tableau1[[#This Row],[Diff jour_x000D_
Cumul
depuis
précédente facture
16/02/2021]]</f>
        <v>-72.303064517814335</v>
      </c>
      <c r="AO486" s="83">
        <f>Tableau1[[#This Row],[Conso HP + HC
Cumul]]*0.1599</f>
        <v>-47760.530999999995</v>
      </c>
      <c r="AP486" s="83">
        <f>Tableau1[[#This Row],[Montant
Tarif normal]]/Tableau1[[#This Row],[Diff jour_x000D_
Cumul]]</f>
        <v>-64.662439500452891</v>
      </c>
      <c r="AQ486" s="83">
        <f>(Tableau1[[#This Row],[Conso HP / an
Cumul]]*0.1799)+(Tableau1[[#This Row],[Conso HC / an_x000D_
Cumul]]*0.1346)</f>
        <v>-23883.336731844563</v>
      </c>
      <c r="AR486" s="83">
        <f>Tableau1[[#This Row],[Conso HP + HC / an_x000D_
Cumul]]*0.1599</f>
        <v>-23601.790417665303</v>
      </c>
      <c r="AS486" s="79">
        <f>MONTH(Tableau1[[#This Row],[Date]])</f>
        <v>12</v>
      </c>
      <c r="AT486" s="79">
        <f>YEAR(Tableau1[[#This Row],[Date]])</f>
        <v>2022</v>
      </c>
    </row>
    <row r="487" spans="1:46" x14ac:dyDescent="0.2">
      <c r="A487" s="74">
        <v>44922.320833333331</v>
      </c>
      <c r="B487" s="75"/>
      <c r="C487" s="76">
        <f>IF(ISERROR(Tableau1[[#This Row],[Date]]-A486),"",Tableau1[[#This Row],[Date]]-A486)</f>
        <v>0.99930555555329192</v>
      </c>
      <c r="D487" s="77">
        <f>IF(ISERROR(Tableau1[[#This Row],[Date]]-A486),"",Tableau1[[#This Row],[Date]]-A486)</f>
        <v>0.99930555555329192</v>
      </c>
      <c r="E487" s="76">
        <f>Tableau1[[#This Row],[Date]]-$A$5</f>
        <v>739.61249999999563</v>
      </c>
      <c r="F487" s="77">
        <f>Tableau1[[#This Row],[Date]]-$A$5</f>
        <v>739.61249999999563</v>
      </c>
      <c r="G487" s="77">
        <f>Tableau1[[#This Row],[Diff jour_x000D_
Cumul]]-F$6</f>
        <v>701.52916666666715</v>
      </c>
      <c r="H487" s="77">
        <f>Tableau1[[#This Row],[Diff jour_x000D_
Cumul]]-F$59</f>
        <v>679.00972222221753</v>
      </c>
      <c r="I487" s="78">
        <v>396</v>
      </c>
      <c r="J487" s="79">
        <f>IF(ISERROR(Tableau1[[#This Row],[Index HP
kWh]]-I486),"",Tableau1[[#This Row],[Index HP
kWh]]-I486)</f>
        <v>32</v>
      </c>
      <c r="K487" s="77">
        <f>IF(ISERROR(Tableau1[[#This Row],[Différence HP
Instantané]]/(Tableau1[[#This Row],[Diff jour
Instantané]]*24)),"",Tableau1[[#This Row],[Différence HP
Instantané]]/(Tableau1[[#This Row],[Diff jour
Instantané]]*24))</f>
        <v>1.3342599027132378</v>
      </c>
      <c r="L487" s="77">
        <f>Tableau1[[#This Row],[Différence HP
Instantané]]/Tableau1[[#This Row],[Diff jour
Instantané]]</f>
        <v>32.022237665117707</v>
      </c>
      <c r="M487" s="77">
        <f>Tableau1[[#This Row],[Conso HP / jour
Instantané]]*365</f>
        <v>11688.116747767963</v>
      </c>
      <c r="N487" s="79">
        <f>Tableau1[[#This Row],[Index HP
kWh]]-$I$5</f>
        <v>-179363</v>
      </c>
      <c r="O487" s="80">
        <f>Tableau1[[#This Row],[Différence HP
Cumul]]/(Tableau1[[#This Row],[Diff jour_x000D_
Cumul]]*24)</f>
        <v>-10.104559256818101</v>
      </c>
      <c r="P487" s="80">
        <f>Tableau1[[#This Row],[Différence HP
Cumul]]/Tableau1[[#This Row],[Diff jour_x000D_
Cumul]]</f>
        <v>-242.50942216363441</v>
      </c>
      <c r="Q487" s="80">
        <f>Tableau1[[#This Row],[Conso HP / jour
Cumul]]*365</f>
        <v>-88515.939089726555</v>
      </c>
      <c r="R487" s="78">
        <v>157</v>
      </c>
      <c r="S487" s="79">
        <f>Tableau1[[#This Row],[Index HC_x000D_
kWh]]-R486</f>
        <v>20</v>
      </c>
      <c r="T487" s="81">
        <f>Tableau1[[#This Row],[Différence_x000D_ HC
Instantané]]/(Tableau1[[#This Row],[Diff jour
Instantané]]*24)</f>
        <v>0.83391243919577362</v>
      </c>
      <c r="U487" s="81">
        <f>Tableau1[[#This Row],[Différence_x000D_ HC
Instantané]]/Tableau1[[#This Row],[Diff jour
Instantané]]</f>
        <v>20.013898540698566</v>
      </c>
      <c r="V487" s="81">
        <f>Tableau1[[#This Row],[Conso HC / jour_x000D_
Instantané]]*365</f>
        <v>7305.0729673549768</v>
      </c>
      <c r="W487" s="79">
        <f>Tableau1[[#This Row],[Index HC_x000D_
kWh]]-$R$5</f>
        <v>-119275</v>
      </c>
      <c r="X487" s="82">
        <f>Tableau1[[#This Row],[Différence HC
Cumul]]/(Tableau1[[#This Row],[Diff jour_x000D_
Cumul]]*24)</f>
        <v>-6.7194533173340041</v>
      </c>
      <c r="Y487" s="82">
        <f>Tableau1[[#This Row],[Différence HC
Cumul]]/Tableau1[[#This Row],[Diff jour_x000D_
Cumul]]</f>
        <v>-161.2668796160161</v>
      </c>
      <c r="Z487" s="82">
        <f>Tableau1[[#This Row],[Conso HC / jour_x000D_
Cumul]]*365</f>
        <v>-58862.411059845879</v>
      </c>
      <c r="AA487" s="79">
        <f>Tableau1[[#This Row],[Différence HP
Instantané]]+Tableau1[[#This Row],[Différence_x000D_ HC
Instantané]]</f>
        <v>52</v>
      </c>
      <c r="AB487" s="80">
        <f>Tableau1[[#This Row],[Conso HP + HC
Instantané]]/(Tableau1[[#This Row],[Diff jour
Instantané]]*24)</f>
        <v>2.1681723419090115</v>
      </c>
      <c r="AC487" s="80">
        <f>IF(ISERROR(Tableau1[[#This Row],[Date]]-A486),"",Tableau1[[#This Row],[Conso HP + HC
Instantané]]/Tableau1[[#This Row],[Diff jour
Instantané]])</f>
        <v>52.036136205816277</v>
      </c>
      <c r="AD487" s="80">
        <f>Tableau1[[#This Row],[Conso HP + HC / jour_x000D_
Instantané]]*365</f>
        <v>18993.189715122942</v>
      </c>
      <c r="AE487" s="79">
        <f>Tableau1[[#This Row],[Différence HP
Cumul]]+Tableau1[[#This Row],[Différence HC
Cumul]]</f>
        <v>-298638</v>
      </c>
      <c r="AF487" s="77">
        <f>(Tableau1[[#This Row],[Conso HP + HC
Cumul]]-AE$6)/Tableau1[[#This Row],[Diff jour_x000D_
Cumul
depuis le 24/01]]</f>
        <v>-429.36062292491965</v>
      </c>
      <c r="AG487" s="77">
        <f>(Tableau1[[#This Row],[Conso HP + HC
Cumul]]-AE$59)/Tableau1[[#This Row],[Diff jour_x000D_
Cumul
depuis
précédente facture
16/02/2021]]</f>
        <v>-445.96563213994546</v>
      </c>
      <c r="AH487" s="80">
        <f>Tableau1[[#This Row],[Conso HP + HC
Cumul]]/(Tableau1[[#This Row],[Diff jour_x000D_
Cumul]]*24)</f>
        <v>-16.824012574152103</v>
      </c>
      <c r="AI487" s="80">
        <f>Tableau1[[#This Row],[Conso HP + HC
Cumul]]/Tableau1[[#This Row],[Diff jour_x000D_
Cumul]]</f>
        <v>-403.77630177965051</v>
      </c>
      <c r="AJ487" s="80">
        <f>Tableau1[[#This Row],[Conso HP + HC / jour_x000D_
Cumul]]*365</f>
        <v>-147378.35014957245</v>
      </c>
      <c r="AK487" s="83">
        <f>(Tableau1[[#This Row],[Différence HP
Cumul]]*0.1799)+(Tableau1[[#This Row],[Différence HC
Cumul]]*0.1346)</f>
        <v>-48321.818700000003</v>
      </c>
      <c r="AL487" s="83">
        <f>Tableau1[[#This Row],[Montant
Tarif HP/HC]]/Tableau1[[#This Row],[Diff jour_x000D_
Cumul]]</f>
        <v>-65.333967043553599</v>
      </c>
      <c r="AM487" s="83">
        <f>(Tableau1[[#This Row],[Montant
Tarif HP/HC]]-AK$6)/Tableau1[[#This Row],[Diff jour_x000D_
Cumul
depuis le 24/01]]</f>
        <v>-69.485698693924547</v>
      </c>
      <c r="AN487" s="83">
        <f>(Tableau1[[#This Row],[Montant
Tarif HP/HC]]-AK$59)/Tableau1[[#This Row],[Diff jour_x000D_
Cumul
depuis
précédente facture
16/02/2021]]</f>
        <v>-72.184212531730736</v>
      </c>
      <c r="AO487" s="83">
        <f>Tableau1[[#This Row],[Conso HP + HC
Cumul]]*0.1599</f>
        <v>-47752.216199999995</v>
      </c>
      <c r="AP487" s="83">
        <f>Tableau1[[#This Row],[Montant
Tarif normal]]/Tableau1[[#This Row],[Diff jour_x000D_
Cumul]]</f>
        <v>-64.563830654566104</v>
      </c>
      <c r="AQ487" s="83">
        <f>(Tableau1[[#This Row],[Conso HP / an
Cumul]]*0.1799)+(Tableau1[[#This Row],[Conso HC / an_x000D_
Cumul]]*0.1346)</f>
        <v>-23846.897970897062</v>
      </c>
      <c r="AR487" s="83">
        <f>Tableau1[[#This Row],[Conso HP + HC / an_x000D_
Cumul]]*0.1599</f>
        <v>-23565.798188916633</v>
      </c>
      <c r="AS487" s="79">
        <f>MONTH(Tableau1[[#This Row],[Date]])</f>
        <v>12</v>
      </c>
      <c r="AT487" s="79">
        <f>YEAR(Tableau1[[#This Row],[Date]])</f>
        <v>2022</v>
      </c>
    </row>
    <row r="488" spans="1:46" x14ac:dyDescent="0.2">
      <c r="A488" s="74">
        <v>44923.329861111109</v>
      </c>
      <c r="B488" s="75"/>
      <c r="C488" s="76">
        <f>IF(ISERROR(Tableau1[[#This Row],[Date]]-A487),"",Tableau1[[#This Row],[Date]]-A487)</f>
        <v>1.0090277777781012</v>
      </c>
      <c r="D488" s="77">
        <f>IF(ISERROR(Tableau1[[#This Row],[Date]]-A487),"",Tableau1[[#This Row],[Date]]-A487)</f>
        <v>1.0090277777781012</v>
      </c>
      <c r="E488" s="76">
        <f>Tableau1[[#This Row],[Date]]-$A$5</f>
        <v>740.62152777777374</v>
      </c>
      <c r="F488" s="77">
        <f>Tableau1[[#This Row],[Date]]-$A$5</f>
        <v>740.62152777777374</v>
      </c>
      <c r="G488" s="77">
        <f>Tableau1[[#This Row],[Diff jour_x000D_
Cumul]]-F$6</f>
        <v>702.53819444444525</v>
      </c>
      <c r="H488" s="77">
        <f>Tableau1[[#This Row],[Diff jour_x000D_
Cumul]]-F$59</f>
        <v>680.01874999999563</v>
      </c>
      <c r="I488" s="78">
        <v>430</v>
      </c>
      <c r="J488" s="79">
        <f>IF(ISERROR(Tableau1[[#This Row],[Index HP
kWh]]-I487),"",Tableau1[[#This Row],[Index HP
kWh]]-I487)</f>
        <v>34</v>
      </c>
      <c r="K488" s="77">
        <f>IF(ISERROR(Tableau1[[#This Row],[Différence HP
Instantané]]/(Tableau1[[#This Row],[Diff jour
Instantané]]*24)),"",Tableau1[[#This Row],[Différence HP
Instantané]]/(Tableau1[[#This Row],[Diff jour
Instantané]]*24))</f>
        <v>1.4039917412246017</v>
      </c>
      <c r="L488" s="77">
        <f>Tableau1[[#This Row],[Différence HP
Instantané]]/Tableau1[[#This Row],[Diff jour
Instantané]]</f>
        <v>33.695801789390437</v>
      </c>
      <c r="M488" s="77">
        <f>Tableau1[[#This Row],[Conso HP / jour
Instantané]]*365</f>
        <v>12298.967653127509</v>
      </c>
      <c r="N488" s="79">
        <f>Tableau1[[#This Row],[Index HP
kWh]]-$I$5</f>
        <v>-179329</v>
      </c>
      <c r="O488" s="80">
        <f>Tableau1[[#This Row],[Différence HP
Cumul]]/(Tableau1[[#This Row],[Diff jour_x000D_
Cumul]]*24)</f>
        <v>-10.088879929113647</v>
      </c>
      <c r="P488" s="80">
        <f>Tableau1[[#This Row],[Différence HP
Cumul]]/Tableau1[[#This Row],[Diff jour_x000D_
Cumul]]</f>
        <v>-242.13311829872751</v>
      </c>
      <c r="Q488" s="80">
        <f>Tableau1[[#This Row],[Conso HP / jour
Cumul]]*365</f>
        <v>-88378.588179035534</v>
      </c>
      <c r="R488" s="78">
        <v>161</v>
      </c>
      <c r="S488" s="79">
        <f>Tableau1[[#This Row],[Index HC_x000D_
kWh]]-R487</f>
        <v>4</v>
      </c>
      <c r="T488" s="81">
        <f>Tableau1[[#This Row],[Différence_x000D_ HC
Instantané]]/(Tableau1[[#This Row],[Diff jour
Instantané]]*24)</f>
        <v>0.1651754989676002</v>
      </c>
      <c r="U488" s="81">
        <f>Tableau1[[#This Row],[Différence_x000D_ HC
Instantané]]/Tableau1[[#This Row],[Diff jour
Instantané]]</f>
        <v>3.9642119752224048</v>
      </c>
      <c r="V488" s="81">
        <f>Tableau1[[#This Row],[Conso HC / jour_x000D_
Instantané]]*365</f>
        <v>1446.9373709561778</v>
      </c>
      <c r="W488" s="79">
        <f>Tableau1[[#This Row],[Index HC_x000D_
kWh]]-$R$5</f>
        <v>-119271</v>
      </c>
      <c r="X488" s="82">
        <f>Tableau1[[#This Row],[Différence HC
Cumul]]/(Tableau1[[#This Row],[Diff jour_x000D_
Cumul]]*24)</f>
        <v>-6.7100736524784823</v>
      </c>
      <c r="Y488" s="82">
        <f>Tableau1[[#This Row],[Différence HC
Cumul]]/Tableau1[[#This Row],[Diff jour_x000D_
Cumul]]</f>
        <v>-161.04176765948358</v>
      </c>
      <c r="Z488" s="82">
        <f>Tableau1[[#This Row],[Conso HC / jour_x000D_
Cumul]]*365</f>
        <v>-58780.245195711504</v>
      </c>
      <c r="AA488" s="79">
        <f>Tableau1[[#This Row],[Différence HP
Instantané]]+Tableau1[[#This Row],[Différence_x000D_ HC
Instantané]]</f>
        <v>38</v>
      </c>
      <c r="AB488" s="80">
        <f>Tableau1[[#This Row],[Conso HP + HC
Instantané]]/(Tableau1[[#This Row],[Diff jour
Instantané]]*24)</f>
        <v>1.5691672401922019</v>
      </c>
      <c r="AC488" s="80">
        <f>IF(ISERROR(Tableau1[[#This Row],[Date]]-A487),"",Tableau1[[#This Row],[Conso HP + HC
Instantané]]/Tableau1[[#This Row],[Diff jour
Instantané]])</f>
        <v>37.660013764612842</v>
      </c>
      <c r="AD488" s="80">
        <f>Tableau1[[#This Row],[Conso HP + HC / jour_x000D_
Instantané]]*365</f>
        <v>13745.905024083688</v>
      </c>
      <c r="AE488" s="79">
        <f>Tableau1[[#This Row],[Différence HP
Cumul]]+Tableau1[[#This Row],[Différence HC
Cumul]]</f>
        <v>-298600</v>
      </c>
      <c r="AF488" s="77">
        <f>(Tableau1[[#This Row],[Conso HP + HC
Cumul]]-AE$6)/Tableau1[[#This Row],[Diff jour_x000D_
Cumul
depuis le 24/01]]</f>
        <v>-428.68985968536657</v>
      </c>
      <c r="AG488" s="77">
        <f>(Tableau1[[#This Row],[Conso HP + HC
Cumul]]-AE$59)/Tableau1[[#This Row],[Diff jour_x000D_
Cumul
depuis
précédente facture
16/02/2021]]</f>
        <v>-445.24801705835603</v>
      </c>
      <c r="AH488" s="80">
        <f>Tableau1[[#This Row],[Conso HP + HC
Cumul]]/(Tableau1[[#This Row],[Diff jour_x000D_
Cumul]]*24)</f>
        <v>-16.79895358159213</v>
      </c>
      <c r="AI488" s="80">
        <f>Tableau1[[#This Row],[Conso HP + HC
Cumul]]/Tableau1[[#This Row],[Diff jour_x000D_
Cumul]]</f>
        <v>-403.17488595821112</v>
      </c>
      <c r="AJ488" s="80">
        <f>Tableau1[[#This Row],[Conso HP + HC / jour_x000D_
Cumul]]*365</f>
        <v>-147158.83337474705</v>
      </c>
      <c r="AK488" s="83">
        <f>(Tableau1[[#This Row],[Différence HP
Cumul]]*0.1799)+(Tableau1[[#This Row],[Différence HC
Cumul]]*0.1346)</f>
        <v>-48315.163700000005</v>
      </c>
      <c r="AL488" s="83">
        <f>Tableau1[[#This Row],[Montant
Tarif HP/HC]]/Tableau1[[#This Row],[Diff jour_x000D_
Cumul]]</f>
        <v>-65.235969908907578</v>
      </c>
      <c r="AM488" s="83">
        <f>(Tableau1[[#This Row],[Montant
Tarif HP/HC]]-AK$6)/Tableau1[[#This Row],[Diff jour_x000D_
Cumul
depuis le 24/01]]</f>
        <v>-69.376426342972579</v>
      </c>
      <c r="AN488" s="83">
        <f>(Tableau1[[#This Row],[Montant
Tarif HP/HC]]-AK$59)/Tableau1[[#This Row],[Diff jour_x000D_
Cumul
depuis
précédente facture
16/02/2021]]</f>
        <v>-72.067317408527813</v>
      </c>
      <c r="AO488" s="83">
        <f>Tableau1[[#This Row],[Conso HP + HC
Cumul]]*0.1599</f>
        <v>-47746.14</v>
      </c>
      <c r="AP488" s="83">
        <f>Tableau1[[#This Row],[Montant
Tarif normal]]/Tableau1[[#This Row],[Diff jour_x000D_
Cumul]]</f>
        <v>-64.467664264717953</v>
      </c>
      <c r="AQ488" s="83">
        <f>(Tableau1[[#This Row],[Conso HP / an
Cumul]]*0.1799)+(Tableau1[[#This Row],[Conso HC / an_x000D_
Cumul]]*0.1346)</f>
        <v>-23811.12901675126</v>
      </c>
      <c r="AR488" s="83">
        <f>Tableau1[[#This Row],[Conso HP + HC / an_x000D_
Cumul]]*0.1599</f>
        <v>-23530.697456622052</v>
      </c>
      <c r="AS488" s="79">
        <f>MONTH(Tableau1[[#This Row],[Date]])</f>
        <v>12</v>
      </c>
      <c r="AT488" s="79">
        <f>YEAR(Tableau1[[#This Row],[Date]])</f>
        <v>2022</v>
      </c>
    </row>
    <row r="489" spans="1:46" x14ac:dyDescent="0.2">
      <c r="A489" s="74">
        <v>44924.330555555556</v>
      </c>
      <c r="B489" s="75"/>
      <c r="C489" s="76">
        <f>IF(ISERROR(Tableau1[[#This Row],[Date]]-A488),"",Tableau1[[#This Row],[Date]]-A488)</f>
        <v>1.0006944444467081</v>
      </c>
      <c r="D489" s="77">
        <f>IF(ISERROR(Tableau1[[#This Row],[Date]]-A488),"",Tableau1[[#This Row],[Date]]-A488)</f>
        <v>1.0006944444467081</v>
      </c>
      <c r="E489" s="76">
        <f>Tableau1[[#This Row],[Date]]-$A$5</f>
        <v>741.62222222222044</v>
      </c>
      <c r="F489" s="77">
        <f>Tableau1[[#This Row],[Date]]-$A$5</f>
        <v>741.62222222222044</v>
      </c>
      <c r="G489" s="77">
        <f>Tableau1[[#This Row],[Diff jour_x000D_
Cumul]]-F$6</f>
        <v>703.53888888889196</v>
      </c>
      <c r="H489" s="77">
        <f>Tableau1[[#This Row],[Diff jour_x000D_
Cumul]]-F$59</f>
        <v>681.01944444444234</v>
      </c>
      <c r="I489" s="78">
        <v>462</v>
      </c>
      <c r="J489" s="79">
        <f>IF(ISERROR(Tableau1[[#This Row],[Index HP
kWh]]-I488),"",Tableau1[[#This Row],[Index HP
kWh]]-I488)</f>
        <v>32</v>
      </c>
      <c r="K489" s="77">
        <f>IF(ISERROR(Tableau1[[#This Row],[Différence HP
Instantané]]/(Tableau1[[#This Row],[Diff jour
Instantané]]*24)),"",Tableau1[[#This Row],[Différence HP
Instantané]]/(Tableau1[[#This Row],[Diff jour
Instantané]]*24))</f>
        <v>1.3324080499622879</v>
      </c>
      <c r="L489" s="77">
        <f>Tableau1[[#This Row],[Différence HP
Instantané]]/Tableau1[[#This Row],[Diff jour
Instantané]]</f>
        <v>31.977793199094908</v>
      </c>
      <c r="M489" s="77">
        <f>Tableau1[[#This Row],[Conso HP / jour
Instantané]]*365</f>
        <v>11671.894517669642</v>
      </c>
      <c r="N489" s="79">
        <f>Tableau1[[#This Row],[Index HP
kWh]]-$I$5</f>
        <v>-179297</v>
      </c>
      <c r="O489" s="80">
        <f>Tableau1[[#This Row],[Différence HP
Cumul]]/(Tableau1[[#This Row],[Diff jour_x000D_
Cumul]]*24)</f>
        <v>-10.073468822101724</v>
      </c>
      <c r="P489" s="80">
        <f>Tableau1[[#This Row],[Différence HP
Cumul]]/Tableau1[[#This Row],[Diff jour_x000D_
Cumul]]</f>
        <v>-241.76325173044137</v>
      </c>
      <c r="Q489" s="80">
        <f>Tableau1[[#This Row],[Conso HP / jour
Cumul]]*365</f>
        <v>-88243.586881611103</v>
      </c>
      <c r="R489" s="78">
        <v>163</v>
      </c>
      <c r="S489" s="79">
        <f>Tableau1[[#This Row],[Index HC_x000D_
kWh]]-R488</f>
        <v>2</v>
      </c>
      <c r="T489" s="81">
        <f>Tableau1[[#This Row],[Différence_x000D_ HC
Instantané]]/(Tableau1[[#This Row],[Diff jour
Instantané]]*24)</f>
        <v>8.3275503122642994E-2</v>
      </c>
      <c r="U489" s="81">
        <f>Tableau1[[#This Row],[Différence_x000D_ HC
Instantané]]/Tableau1[[#This Row],[Diff jour
Instantané]]</f>
        <v>1.9986120749434317</v>
      </c>
      <c r="V489" s="81">
        <f>Tableau1[[#This Row],[Conso HC / jour_x000D_
Instantané]]*365</f>
        <v>729.4934073543526</v>
      </c>
      <c r="W489" s="79">
        <f>Tableau1[[#This Row],[Index HC_x000D_
kWh]]-$R$5</f>
        <v>-119269</v>
      </c>
      <c r="X489" s="82">
        <f>Tableau1[[#This Row],[Différence HC
Cumul]]/(Tableau1[[#This Row],[Diff jour_x000D_
Cumul]]*24)</f>
        <v>-6.7009071704671603</v>
      </c>
      <c r="Y489" s="82">
        <f>Tableau1[[#This Row],[Différence HC
Cumul]]/Tableau1[[#This Row],[Diff jour_x000D_
Cumul]]</f>
        <v>-160.82177209121184</v>
      </c>
      <c r="Z489" s="82">
        <f>Tableau1[[#This Row],[Conso HC / jour_x000D_
Cumul]]*365</f>
        <v>-58699.946813292321</v>
      </c>
      <c r="AA489" s="79">
        <f>Tableau1[[#This Row],[Différence HP
Instantané]]+Tableau1[[#This Row],[Différence_x000D_ HC
Instantané]]</f>
        <v>34</v>
      </c>
      <c r="AB489" s="80">
        <f>Tableau1[[#This Row],[Conso HP + HC
Instantané]]/(Tableau1[[#This Row],[Diff jour
Instantané]]*24)</f>
        <v>1.4156835530849308</v>
      </c>
      <c r="AC489" s="80">
        <f>IF(ISERROR(Tableau1[[#This Row],[Date]]-A488),"",Tableau1[[#This Row],[Conso HP + HC
Instantané]]/Tableau1[[#This Row],[Diff jour
Instantané]])</f>
        <v>33.976405274038342</v>
      </c>
      <c r="AD489" s="80">
        <f>Tableau1[[#This Row],[Conso HP + HC / jour_x000D_
Instantané]]*365</f>
        <v>12401.387925023995</v>
      </c>
      <c r="AE489" s="79">
        <f>Tableau1[[#This Row],[Différence HP
Cumul]]+Tableau1[[#This Row],[Différence HC
Cumul]]</f>
        <v>-298566</v>
      </c>
      <c r="AF489" s="77">
        <f>(Tableau1[[#This Row],[Conso HP + HC
Cumul]]-AE$6)/Tableau1[[#This Row],[Diff jour_x000D_
Cumul
depuis le 24/01]]</f>
        <v>-428.03177586329241</v>
      </c>
      <c r="AG489" s="77">
        <f>(Tableau1[[#This Row],[Conso HP + HC
Cumul]]-AE$59)/Tableau1[[#This Row],[Diff jour_x000D_
Cumul
depuis
précédente facture
16/02/2021]]</f>
        <v>-444.54384154474434</v>
      </c>
      <c r="AH489" s="80">
        <f>Tableau1[[#This Row],[Conso HP + HC
Cumul]]/(Tableau1[[#This Row],[Diff jour_x000D_
Cumul]]*24)</f>
        <v>-16.774375992568885</v>
      </c>
      <c r="AI489" s="80">
        <f>Tableau1[[#This Row],[Conso HP + HC
Cumul]]/Tableau1[[#This Row],[Diff jour_x000D_
Cumul]]</f>
        <v>-402.58502382165318</v>
      </c>
      <c r="AJ489" s="80">
        <f>Tableau1[[#This Row],[Conso HP + HC / jour_x000D_
Cumul]]*365</f>
        <v>-146943.53369490342</v>
      </c>
      <c r="AK489" s="83">
        <f>(Tableau1[[#This Row],[Différence HP
Cumul]]*0.1799)+(Tableau1[[#This Row],[Différence HC
Cumul]]*0.1346)</f>
        <v>-48309.137699999999</v>
      </c>
      <c r="AL489" s="83">
        <f>Tableau1[[#This Row],[Montant
Tarif HP/HC]]/Tableau1[[#This Row],[Diff jour_x000D_
Cumul]]</f>
        <v>-65.139819509783507</v>
      </c>
      <c r="AM489" s="83">
        <f>(Tableau1[[#This Row],[Montant
Tarif HP/HC]]-AK$6)/Tableau1[[#This Row],[Diff jour_x000D_
Cumul
depuis le 24/01]]</f>
        <v>-69.269181945244767</v>
      </c>
      <c r="AN489" s="83">
        <f>(Tableau1[[#This Row],[Montant
Tarif HP/HC]]-AK$59)/Tableau1[[#This Row],[Diff jour_x000D_
Cumul
depuis
précédente facture
16/02/2021]]</f>
        <v>-71.95257271981977</v>
      </c>
      <c r="AO489" s="83">
        <f>Tableau1[[#This Row],[Conso HP + HC
Cumul]]*0.1599</f>
        <v>-47740.703399999999</v>
      </c>
      <c r="AP489" s="83">
        <f>Tableau1[[#This Row],[Montant
Tarif normal]]/Tableau1[[#This Row],[Diff jour_x000D_
Cumul]]</f>
        <v>-64.373345309082339</v>
      </c>
      <c r="AQ489" s="83">
        <f>(Tableau1[[#This Row],[Conso HP / an
Cumul]]*0.1799)+(Tableau1[[#This Row],[Conso HC / an_x000D_
Cumul]]*0.1346)</f>
        <v>-23776.034121070985</v>
      </c>
      <c r="AR489" s="83">
        <f>Tableau1[[#This Row],[Conso HP + HC / an_x000D_
Cumul]]*0.1599</f>
        <v>-23496.271037815055</v>
      </c>
      <c r="AS489" s="79">
        <f>MONTH(Tableau1[[#This Row],[Date]])</f>
        <v>12</v>
      </c>
      <c r="AT489" s="79">
        <f>YEAR(Tableau1[[#This Row],[Date]])</f>
        <v>2022</v>
      </c>
    </row>
    <row r="490" spans="1:46" x14ac:dyDescent="0.2">
      <c r="A490" s="74">
        <v>44925.321527777778</v>
      </c>
      <c r="B490" s="75"/>
      <c r="C490" s="76">
        <f>IF(ISERROR(Tableau1[[#This Row],[Date]]-A489),"",Tableau1[[#This Row],[Date]]-A489)</f>
        <v>0.99097222222189885</v>
      </c>
      <c r="D490" s="77">
        <f>IF(ISERROR(Tableau1[[#This Row],[Date]]-A489),"",Tableau1[[#This Row],[Date]]-A489)</f>
        <v>0.99097222222189885</v>
      </c>
      <c r="E490" s="76">
        <f>Tableau1[[#This Row],[Date]]-$A$5</f>
        <v>742.61319444444234</v>
      </c>
      <c r="F490" s="77">
        <f>Tableau1[[#This Row],[Date]]-$A$5</f>
        <v>742.61319444444234</v>
      </c>
      <c r="G490" s="77">
        <f>Tableau1[[#This Row],[Diff jour_x000D_
Cumul]]-F$6</f>
        <v>704.52986111111386</v>
      </c>
      <c r="H490" s="77">
        <f>Tableau1[[#This Row],[Diff jour_x000D_
Cumul]]-F$59</f>
        <v>682.01041666666424</v>
      </c>
      <c r="I490" s="78">
        <v>490</v>
      </c>
      <c r="J490" s="79">
        <f>IF(ISERROR(Tableau1[[#This Row],[Index HP
kWh]]-I489),"",Tableau1[[#This Row],[Index HP
kWh]]-I489)</f>
        <v>28</v>
      </c>
      <c r="K490" s="77">
        <f>IF(ISERROR(Tableau1[[#This Row],[Différence HP
Instantané]]/(Tableau1[[#This Row],[Diff jour
Instantané]]*24)),"",Tableau1[[#This Row],[Différence HP
Instantané]]/(Tableau1[[#This Row],[Diff jour
Instantané]]*24))</f>
        <v>1.1772950245273639</v>
      </c>
      <c r="L490" s="77">
        <f>Tableau1[[#This Row],[Différence HP
Instantané]]/Tableau1[[#This Row],[Diff jour
Instantané]]</f>
        <v>28.255080588656732</v>
      </c>
      <c r="M490" s="77">
        <f>Tableau1[[#This Row],[Conso HP / jour
Instantané]]*365</f>
        <v>10313.104414859707</v>
      </c>
      <c r="N490" s="79">
        <f>Tableau1[[#This Row],[Index HP
kWh]]-$I$5</f>
        <v>-179269</v>
      </c>
      <c r="O490" s="80">
        <f>Tableau1[[#This Row],[Différence HP
Cumul]]/(Tableau1[[#This Row],[Diff jour_x000D_
Cumul]]*24)</f>
        <v>-10.058455360808285</v>
      </c>
      <c r="P490" s="80">
        <f>Tableau1[[#This Row],[Différence HP
Cumul]]/Tableau1[[#This Row],[Diff jour_x000D_
Cumul]]</f>
        <v>-241.40292865939884</v>
      </c>
      <c r="Q490" s="80">
        <f>Tableau1[[#This Row],[Conso HP / jour
Cumul]]*365</f>
        <v>-88112.068960680583</v>
      </c>
      <c r="R490" s="78">
        <v>167</v>
      </c>
      <c r="S490" s="79">
        <f>Tableau1[[#This Row],[Index HC_x000D_
kWh]]-R489</f>
        <v>4</v>
      </c>
      <c r="T490" s="81">
        <f>Tableau1[[#This Row],[Différence_x000D_ HC
Instantané]]/(Tableau1[[#This Row],[Diff jour
Instantané]]*24)</f>
        <v>0.16818500350390911</v>
      </c>
      <c r="U490" s="81">
        <f>Tableau1[[#This Row],[Différence_x000D_ HC
Instantané]]/Tableau1[[#This Row],[Diff jour
Instantané]]</f>
        <v>4.0364400840938188</v>
      </c>
      <c r="V490" s="81">
        <f>Tableau1[[#This Row],[Conso HC / jour_x000D_
Instantané]]*365</f>
        <v>1473.3006306942439</v>
      </c>
      <c r="W490" s="79">
        <f>Tableau1[[#This Row],[Index HC_x000D_
kWh]]-$R$5</f>
        <v>-119265</v>
      </c>
      <c r="X490" s="82">
        <f>Tableau1[[#This Row],[Différence HC
Cumul]]/(Tableau1[[#This Row],[Diff jour_x000D_
Cumul]]*24)</f>
        <v>-6.6917407839994656</v>
      </c>
      <c r="Y490" s="82">
        <f>Tableau1[[#This Row],[Différence HC
Cumul]]/Tableau1[[#This Row],[Diff jour_x000D_
Cumul]]</f>
        <v>-160.60177881598716</v>
      </c>
      <c r="Z490" s="82">
        <f>Tableau1[[#This Row],[Conso HC / jour_x000D_
Cumul]]*365</f>
        <v>-58619.649267835317</v>
      </c>
      <c r="AA490" s="79">
        <f>Tableau1[[#This Row],[Différence HP
Instantané]]+Tableau1[[#This Row],[Différence_x000D_ HC
Instantané]]</f>
        <v>32</v>
      </c>
      <c r="AB490" s="80">
        <f>Tableau1[[#This Row],[Conso HP + HC
Instantané]]/(Tableau1[[#This Row],[Diff jour
Instantané]]*24)</f>
        <v>1.3454800280312729</v>
      </c>
      <c r="AC490" s="80">
        <f>IF(ISERROR(Tableau1[[#This Row],[Date]]-A489),"",Tableau1[[#This Row],[Conso HP + HC
Instantané]]/Tableau1[[#This Row],[Diff jour
Instantané]])</f>
        <v>32.291520672750551</v>
      </c>
      <c r="AD490" s="80">
        <f>Tableau1[[#This Row],[Conso HP + HC / jour_x000D_
Instantané]]*365</f>
        <v>11786.405045553951</v>
      </c>
      <c r="AE490" s="79">
        <f>Tableau1[[#This Row],[Différence HP
Cumul]]+Tableau1[[#This Row],[Différence HC
Cumul]]</f>
        <v>-298534</v>
      </c>
      <c r="AF490" s="77">
        <f>(Tableau1[[#This Row],[Conso HP + HC
Cumul]]-AE$6)/Tableau1[[#This Row],[Diff jour_x000D_
Cumul
depuis le 24/01]]</f>
        <v>-427.38429784243266</v>
      </c>
      <c r="AG490" s="77">
        <f>(Tableau1[[#This Row],[Conso HP + HC
Cumul]]-AE$59)/Tableau1[[#This Row],[Diff jour_x000D_
Cumul
depuis
précédente facture
16/02/2021]]</f>
        <v>-443.85099201197596</v>
      </c>
      <c r="AH490" s="80">
        <f>Tableau1[[#This Row],[Conso HP + HC
Cumul]]/(Tableau1[[#This Row],[Diff jour_x000D_
Cumul]]*24)</f>
        <v>-16.750196144807752</v>
      </c>
      <c r="AI490" s="80">
        <f>Tableau1[[#This Row],[Conso HP + HC
Cumul]]/Tableau1[[#This Row],[Diff jour_x000D_
Cumul]]</f>
        <v>-402.004707475386</v>
      </c>
      <c r="AJ490" s="80">
        <f>Tableau1[[#This Row],[Conso HP + HC / jour_x000D_
Cumul]]*365</f>
        <v>-146731.71822851588</v>
      </c>
      <c r="AK490" s="83">
        <f>(Tableau1[[#This Row],[Différence HP
Cumul]]*0.1799)+(Tableau1[[#This Row],[Différence HC
Cumul]]*0.1346)</f>
        <v>-48303.562099999996</v>
      </c>
      <c r="AL490" s="83">
        <f>Tableau1[[#This Row],[Montant
Tarif HP/HC]]/Tableau1[[#This Row],[Diff jour_x000D_
Cumul]]</f>
        <v>-65.045386294457714</v>
      </c>
      <c r="AM490" s="83">
        <f>(Tableau1[[#This Row],[Montant
Tarif HP/HC]]-AK$6)/Tableau1[[#This Row],[Diff jour_x000D_
Cumul
depuis le 24/01]]</f>
        <v>-69.163835899235124</v>
      </c>
      <c r="AN490" s="83">
        <f>(Tableau1[[#This Row],[Montant
Tarif HP/HC]]-AK$59)/Tableau1[[#This Row],[Diff jour_x000D_
Cumul
depuis
précédente facture
16/02/2021]]</f>
        <v>-71.839849220289523</v>
      </c>
      <c r="AO490" s="83">
        <f>Tableau1[[#This Row],[Conso HP + HC
Cumul]]*0.1599</f>
        <v>-47735.586599999995</v>
      </c>
      <c r="AP490" s="83">
        <f>Tableau1[[#This Row],[Montant
Tarif normal]]/Tableau1[[#This Row],[Diff jour_x000D_
Cumul]]</f>
        <v>-64.280552725314223</v>
      </c>
      <c r="AQ490" s="83">
        <f>(Tableau1[[#This Row],[Conso HP / an
Cumul]]*0.1799)+(Tableau1[[#This Row],[Conso HC / an_x000D_
Cumul]]*0.1346)</f>
        <v>-23741.565997477072</v>
      </c>
      <c r="AR490" s="83">
        <f>Tableau1[[#This Row],[Conso HP + HC / an_x000D_
Cumul]]*0.1599</f>
        <v>-23462.401744739687</v>
      </c>
      <c r="AS490" s="79">
        <f>MONTH(Tableau1[[#This Row],[Date]])</f>
        <v>12</v>
      </c>
      <c r="AT490" s="79">
        <f>YEAR(Tableau1[[#This Row],[Date]])</f>
        <v>2022</v>
      </c>
    </row>
    <row r="491" spans="1:46" x14ac:dyDescent="0.2">
      <c r="A491" s="74">
        <v>44926.378472222219</v>
      </c>
      <c r="B491" s="75"/>
      <c r="C491" s="76">
        <f>IF(ISERROR(Tableau1[[#This Row],[Date]]-A490),"",Tableau1[[#This Row],[Date]]-A490)</f>
        <v>1.0569444444408873</v>
      </c>
      <c r="D491" s="77">
        <f>IF(ISERROR(Tableau1[[#This Row],[Date]]-A490),"",Tableau1[[#This Row],[Date]]-A490)</f>
        <v>1.0569444444408873</v>
      </c>
      <c r="E491" s="76">
        <f>Tableau1[[#This Row],[Date]]-$A$5</f>
        <v>743.67013888888323</v>
      </c>
      <c r="F491" s="77">
        <f>Tableau1[[#This Row],[Date]]-$A$5</f>
        <v>743.67013888888323</v>
      </c>
      <c r="G491" s="77">
        <f>Tableau1[[#This Row],[Diff jour_x000D_
Cumul]]-F$6</f>
        <v>705.58680555555475</v>
      </c>
      <c r="H491" s="77">
        <f>Tableau1[[#This Row],[Diff jour_x000D_
Cumul]]-F$59</f>
        <v>683.06736111110513</v>
      </c>
      <c r="I491" s="78">
        <v>511</v>
      </c>
      <c r="J491" s="79">
        <f>IF(ISERROR(Tableau1[[#This Row],[Index HP
kWh]]-I490),"",Tableau1[[#This Row],[Index HP
kWh]]-I490)</f>
        <v>21</v>
      </c>
      <c r="K491" s="77">
        <f>IF(ISERROR(Tableau1[[#This Row],[Différence HP
Instantané]]/(Tableau1[[#This Row],[Diff jour
Instantané]]*24)),"",Tableau1[[#This Row],[Différence HP
Instantané]]/(Tableau1[[#This Row],[Diff jour
Instantané]]*24))</f>
        <v>0.82785808147453388</v>
      </c>
      <c r="L491" s="77">
        <f>Tableau1[[#This Row],[Différence HP
Instantané]]/Tableau1[[#This Row],[Diff jour
Instantané]]</f>
        <v>19.868593955388814</v>
      </c>
      <c r="M491" s="77">
        <f>Tableau1[[#This Row],[Conso HP / jour
Instantané]]*365</f>
        <v>7252.0367937169167</v>
      </c>
      <c r="N491" s="79">
        <f>Tableau1[[#This Row],[Index HP
kWh]]-$I$5</f>
        <v>-179248</v>
      </c>
      <c r="O491" s="80">
        <f>Tableau1[[#This Row],[Différence HP
Cumul]]/(Tableau1[[#This Row],[Diff jour_x000D_
Cumul]]*24)</f>
        <v>-10.04298314011316</v>
      </c>
      <c r="P491" s="80">
        <f>Tableau1[[#This Row],[Différence HP
Cumul]]/Tableau1[[#This Row],[Diff jour_x000D_
Cumul]]</f>
        <v>-241.03159536271585</v>
      </c>
      <c r="Q491" s="80">
        <f>Tableau1[[#This Row],[Conso HP / jour
Cumul]]*365</f>
        <v>-87976.532307391288</v>
      </c>
      <c r="R491" s="78">
        <v>169</v>
      </c>
      <c r="S491" s="79">
        <f>Tableau1[[#This Row],[Index HC_x000D_
kWh]]-R490</f>
        <v>2</v>
      </c>
      <c r="T491" s="81">
        <f>Tableau1[[#This Row],[Différence_x000D_ HC
Instantané]]/(Tableau1[[#This Row],[Diff jour
Instantané]]*24)</f>
        <v>7.8843626807098457E-2</v>
      </c>
      <c r="U491" s="81">
        <f>Tableau1[[#This Row],[Différence_x000D_ HC
Instantané]]/Tableau1[[#This Row],[Diff jour
Instantané]]</f>
        <v>1.8922470433703631</v>
      </c>
      <c r="V491" s="81">
        <f>Tableau1[[#This Row],[Conso HC / jour_x000D_
Instantané]]*365</f>
        <v>690.67017083018254</v>
      </c>
      <c r="W491" s="79">
        <f>Tableau1[[#This Row],[Index HC_x000D_
kWh]]-$R$5</f>
        <v>-119263</v>
      </c>
      <c r="X491" s="82">
        <f>Tableau1[[#This Row],[Différence HC
Cumul]]/(Tableau1[[#This Row],[Diff jour_x000D_
Cumul]]*24)</f>
        <v>-6.6821180612297812</v>
      </c>
      <c r="Y491" s="82">
        <f>Tableau1[[#This Row],[Différence HC
Cumul]]/Tableau1[[#This Row],[Diff jour_x000D_
Cumul]]</f>
        <v>-160.37083346951476</v>
      </c>
      <c r="Z491" s="82">
        <f>Tableau1[[#This Row],[Conso HC / jour_x000D_
Cumul]]*365</f>
        <v>-58535.354216372885</v>
      </c>
      <c r="AA491" s="79">
        <f>Tableau1[[#This Row],[Différence HP
Instantané]]+Tableau1[[#This Row],[Différence_x000D_ HC
Instantané]]</f>
        <v>23</v>
      </c>
      <c r="AB491" s="80">
        <f>Tableau1[[#This Row],[Conso HP + HC
Instantané]]/(Tableau1[[#This Row],[Diff jour
Instantané]]*24)</f>
        <v>0.90670170828163232</v>
      </c>
      <c r="AC491" s="80">
        <f>IF(ISERROR(Tableau1[[#This Row],[Date]]-A490),"",Tableau1[[#This Row],[Conso HP + HC
Instantané]]/Tableau1[[#This Row],[Diff jour
Instantané]])</f>
        <v>21.760840998759175</v>
      </c>
      <c r="AD491" s="80">
        <f>Tableau1[[#This Row],[Conso HP + HC / jour_x000D_
Instantané]]*365</f>
        <v>7942.7069645470992</v>
      </c>
      <c r="AE491" s="79">
        <f>Tableau1[[#This Row],[Différence HP
Cumul]]+Tableau1[[#This Row],[Différence HC
Cumul]]</f>
        <v>-298511</v>
      </c>
      <c r="AF491" s="77">
        <f>(Tableau1[[#This Row],[Conso HP + HC
Cumul]]-AE$6)/Tableau1[[#This Row],[Diff jour_x000D_
Cumul
depuis le 24/01]]</f>
        <v>-426.71149407752659</v>
      </c>
      <c r="AG491" s="77">
        <f>(Tableau1[[#This Row],[Conso HP + HC
Cumul]]-AE$59)/Tableau1[[#This Row],[Diff jour_x000D_
Cumul
depuis
précédente facture
16/02/2021]]</f>
        <v>-443.13052743090435</v>
      </c>
      <c r="AH491" s="80">
        <f>Tableau1[[#This Row],[Conso HP + HC
Cumul]]/(Tableau1[[#This Row],[Diff jour_x000D_
Cumul]]*24)</f>
        <v>-16.725101201342941</v>
      </c>
      <c r="AI491" s="80">
        <f>Tableau1[[#This Row],[Conso HP + HC
Cumul]]/Tableau1[[#This Row],[Diff jour_x000D_
Cumul]]</f>
        <v>-401.40242883223061</v>
      </c>
      <c r="AJ491" s="80">
        <f>Tableau1[[#This Row],[Conso HP + HC / jour_x000D_
Cumul]]*365</f>
        <v>-146511.88652376417</v>
      </c>
      <c r="AK491" s="83">
        <f>(Tableau1[[#This Row],[Différence HP
Cumul]]*0.1799)+(Tableau1[[#This Row],[Différence HC
Cumul]]*0.1346)</f>
        <v>-48299.514999999999</v>
      </c>
      <c r="AL491" s="83">
        <f>Tableau1[[#This Row],[Montant
Tarif HP/HC]]/Tableau1[[#This Row],[Diff jour_x000D_
Cumul]]</f>
        <v>-64.947498190749272</v>
      </c>
      <c r="AM491" s="83">
        <f>(Tableau1[[#This Row],[Montant
Tarif HP/HC]]-AK$6)/Tableau1[[#This Row],[Diff jour_x000D_
Cumul
depuis le 24/01]]</f>
        <v>-69.054495090276589</v>
      </c>
      <c r="AN491" s="83">
        <f>(Tableau1[[#This Row],[Montant
Tarif HP/HC]]-AK$59)/Tableau1[[#This Row],[Diff jour_x000D_
Cumul
depuis
précédente facture
16/02/2021]]</f>
        <v>-71.722762920934287</v>
      </c>
      <c r="AO491" s="83">
        <f>Tableau1[[#This Row],[Conso HP + HC
Cumul]]*0.1599</f>
        <v>-47731.908899999995</v>
      </c>
      <c r="AP491" s="83">
        <f>Tableau1[[#This Row],[Montant
Tarif normal]]/Tableau1[[#This Row],[Diff jour_x000D_
Cumul]]</f>
        <v>-64.184248370273664</v>
      </c>
      <c r="AQ491" s="83">
        <f>(Tableau1[[#This Row],[Conso HP / an
Cumul]]*0.1799)+(Tableau1[[#This Row],[Conso HC / an_x000D_
Cumul]]*0.1346)</f>
        <v>-23705.836839623484</v>
      </c>
      <c r="AR491" s="83">
        <f>Tableau1[[#This Row],[Conso HP + HC / an_x000D_
Cumul]]*0.1599</f>
        <v>-23427.250655149888</v>
      </c>
      <c r="AS491" s="79">
        <f>MONTH(Tableau1[[#This Row],[Date]])</f>
        <v>12</v>
      </c>
      <c r="AT491" s="79">
        <f>YEAR(Tableau1[[#This Row],[Date]])</f>
        <v>2022</v>
      </c>
    </row>
    <row r="492" spans="1:46" x14ac:dyDescent="0.2">
      <c r="A492" s="74">
        <v>44927.606944444444</v>
      </c>
      <c r="B492" s="75"/>
      <c r="C492" s="76">
        <f>IF(ISERROR(Tableau1[[#This Row],[Date]]-A491),"",Tableau1[[#This Row],[Date]]-A491)</f>
        <v>1.2284722222248092</v>
      </c>
      <c r="D492" s="77">
        <f>IF(ISERROR(Tableau1[[#This Row],[Date]]-A491),"",Tableau1[[#This Row],[Date]]-A491)</f>
        <v>1.2284722222248092</v>
      </c>
      <c r="E492" s="76">
        <f>Tableau1[[#This Row],[Date]]-$A$5</f>
        <v>744.89861111110804</v>
      </c>
      <c r="F492" s="77">
        <f>Tableau1[[#This Row],[Date]]-$A$5</f>
        <v>744.89861111110804</v>
      </c>
      <c r="G492" s="77">
        <f>Tableau1[[#This Row],[Diff jour_x000D_
Cumul]]-F$6</f>
        <v>706.81527777777956</v>
      </c>
      <c r="H492" s="77">
        <f>Tableau1[[#This Row],[Diff jour_x000D_
Cumul]]-F$59</f>
        <v>684.29583333332994</v>
      </c>
      <c r="I492" s="78">
        <v>523</v>
      </c>
      <c r="J492" s="79">
        <f>IF(ISERROR(Tableau1[[#This Row],[Index HP
kWh]]-I491),"",Tableau1[[#This Row],[Index HP
kWh]]-I491)</f>
        <v>12</v>
      </c>
      <c r="K492" s="77">
        <f>IF(ISERROR(Tableau1[[#This Row],[Différence HP
Instantané]]/(Tableau1[[#This Row],[Diff jour
Instantané]]*24)),"",Tableau1[[#This Row],[Différence HP
Instantané]]/(Tableau1[[#This Row],[Diff jour
Instantané]]*24))</f>
        <v>0.40700960994826668</v>
      </c>
      <c r="L492" s="77">
        <f>Tableau1[[#This Row],[Différence HP
Instantané]]/Tableau1[[#This Row],[Diff jour
Instantané]]</f>
        <v>9.7682306387583999</v>
      </c>
      <c r="M492" s="77">
        <f>Tableau1[[#This Row],[Conso HP / jour
Instantané]]*365</f>
        <v>3565.4041831468162</v>
      </c>
      <c r="N492" s="79">
        <f>Tableau1[[#This Row],[Index HP
kWh]]-$I$5</f>
        <v>-179236</v>
      </c>
      <c r="O492" s="80">
        <f>Tableau1[[#This Row],[Différence HP
Cumul]]/(Tableau1[[#This Row],[Diff jour_x000D_
Cumul]]*24)</f>
        <v>-10.025749216429571</v>
      </c>
      <c r="P492" s="80">
        <f>Tableau1[[#This Row],[Différence HP
Cumul]]/Tableau1[[#This Row],[Diff jour_x000D_
Cumul]]</f>
        <v>-240.61798119430969</v>
      </c>
      <c r="Q492" s="80">
        <f>Tableau1[[#This Row],[Conso HP / jour
Cumul]]*365</f>
        <v>-87825.563135923032</v>
      </c>
      <c r="R492" s="78">
        <v>171</v>
      </c>
      <c r="S492" s="79">
        <f>Tableau1[[#This Row],[Index HC_x000D_
kWh]]-R491</f>
        <v>2</v>
      </c>
      <c r="T492" s="81">
        <f>Tableau1[[#This Row],[Différence_x000D_ HC
Instantané]]/(Tableau1[[#This Row],[Diff jour
Instantané]]*24)</f>
        <v>6.7834934991377785E-2</v>
      </c>
      <c r="U492" s="81">
        <f>Tableau1[[#This Row],[Différence_x000D_ HC
Instantané]]/Tableau1[[#This Row],[Diff jour
Instantané]]</f>
        <v>1.6280384397930667</v>
      </c>
      <c r="V492" s="81">
        <f>Tableau1[[#This Row],[Conso HC / jour_x000D_
Instantané]]*365</f>
        <v>594.2340305244694</v>
      </c>
      <c r="W492" s="79">
        <f>Tableau1[[#This Row],[Index HC_x000D_
kWh]]-$R$5</f>
        <v>-119261</v>
      </c>
      <c r="X492" s="82">
        <f>Tableau1[[#This Row],[Différence HC
Cumul]]/(Tableau1[[#This Row],[Diff jour_x000D_
Cumul]]*24)</f>
        <v>-6.6709861707503348</v>
      </c>
      <c r="Y492" s="82">
        <f>Tableau1[[#This Row],[Différence HC
Cumul]]/Tableau1[[#This Row],[Diff jour_x000D_
Cumul]]</f>
        <v>-160.10366809800803</v>
      </c>
      <c r="Z492" s="82">
        <f>Tableau1[[#This Row],[Conso HC / jour_x000D_
Cumul]]*365</f>
        <v>-58437.838855772934</v>
      </c>
      <c r="AA492" s="79">
        <f>Tableau1[[#This Row],[Différence HP
Instantané]]+Tableau1[[#This Row],[Différence_x000D_ HC
Instantané]]</f>
        <v>14</v>
      </c>
      <c r="AB492" s="80">
        <f>Tableau1[[#This Row],[Conso HP + HC
Instantané]]/(Tableau1[[#This Row],[Diff jour
Instantané]]*24)</f>
        <v>0.47484454493964445</v>
      </c>
      <c r="AC492" s="80">
        <f>IF(ISERROR(Tableau1[[#This Row],[Date]]-A491),"",Tableau1[[#This Row],[Conso HP + HC
Instantané]]/Tableau1[[#This Row],[Diff jour
Instantané]])</f>
        <v>11.396269078551468</v>
      </c>
      <c r="AD492" s="80">
        <f>Tableau1[[#This Row],[Conso HP + HC / jour_x000D_
Instantané]]*365</f>
        <v>4159.6382136712855</v>
      </c>
      <c r="AE492" s="79">
        <f>Tableau1[[#This Row],[Différence HP
Cumul]]+Tableau1[[#This Row],[Différence HC
Cumul]]</f>
        <v>-298497</v>
      </c>
      <c r="AF492" s="77">
        <f>(Tableau1[[#This Row],[Conso HP + HC
Cumul]]-AE$6)/Tableau1[[#This Row],[Diff jour_x000D_
Cumul
depuis le 24/01]]</f>
        <v>-425.95004588264544</v>
      </c>
      <c r="AG492" s="77">
        <f>(Tableau1[[#This Row],[Conso HP + HC
Cumul]]-AE$59)/Tableau1[[#This Row],[Diff jour_x000D_
Cumul
depuis
précédente facture
16/02/2021]]</f>
        <v>-442.31454475708216</v>
      </c>
      <c r="AH492" s="80">
        <f>Tableau1[[#This Row],[Conso HP + HC
Cumul]]/(Tableau1[[#This Row],[Diff jour_x000D_
Cumul]]*24)</f>
        <v>-16.696735387179906</v>
      </c>
      <c r="AI492" s="80">
        <f>Tableau1[[#This Row],[Conso HP + HC
Cumul]]/Tableau1[[#This Row],[Diff jour_x000D_
Cumul]]</f>
        <v>-400.72164929231769</v>
      </c>
      <c r="AJ492" s="80">
        <f>Tableau1[[#This Row],[Conso HP + HC / jour_x000D_
Cumul]]*365</f>
        <v>-146263.40199169595</v>
      </c>
      <c r="AK492" s="83">
        <f>(Tableau1[[#This Row],[Différence HP
Cumul]]*0.1799)+(Tableau1[[#This Row],[Différence HC
Cumul]]*0.1346)</f>
        <v>-48297.087</v>
      </c>
      <c r="AL492" s="83">
        <f>Tableau1[[#This Row],[Montant
Tarif HP/HC]]/Tableau1[[#This Row],[Diff jour_x000D_
Cumul]]</f>
        <v>-64.837128542848191</v>
      </c>
      <c r="AM492" s="83">
        <f>(Tableau1[[#This Row],[Montant
Tarif HP/HC]]-AK$6)/Tableau1[[#This Row],[Diff jour_x000D_
Cumul
depuis le 24/01]]</f>
        <v>-68.9310405869833</v>
      </c>
      <c r="AN492" s="83">
        <f>(Tableau1[[#This Row],[Montant
Tarif HP/HC]]-AK$59)/Tableau1[[#This Row],[Diff jour_x000D_
Cumul
depuis
précédente facture
16/02/2021]]</f>
        <v>-71.590455492568751</v>
      </c>
      <c r="AO492" s="83">
        <f>Tableau1[[#This Row],[Conso HP + HC
Cumul]]*0.1599</f>
        <v>-47729.670299999998</v>
      </c>
      <c r="AP492" s="83">
        <f>Tableau1[[#This Row],[Montant
Tarif normal]]/Tableau1[[#This Row],[Diff jour_x000D_
Cumul]]</f>
        <v>-64.075391721841598</v>
      </c>
      <c r="AQ492" s="83">
        <f>(Tableau1[[#This Row],[Conso HP / an
Cumul]]*0.1799)+(Tableau1[[#This Row],[Conso HC / an_x000D_
Cumul]]*0.1346)</f>
        <v>-23665.55191813959</v>
      </c>
      <c r="AR492" s="83">
        <f>Tableau1[[#This Row],[Conso HP + HC / an_x000D_
Cumul]]*0.1599</f>
        <v>-23387.51797847218</v>
      </c>
      <c r="AS492" s="79">
        <f>MONTH(Tableau1[[#This Row],[Date]])</f>
        <v>1</v>
      </c>
      <c r="AT492" s="79">
        <f>YEAR(Tableau1[[#This Row],[Date]])</f>
        <v>2023</v>
      </c>
    </row>
    <row r="493" spans="1:46" x14ac:dyDescent="0.2">
      <c r="A493" s="74">
        <v>44928.325694444444</v>
      </c>
      <c r="B493" s="75"/>
      <c r="C493" s="76">
        <f>IF(ISERROR(Tableau1[[#This Row],[Date]]-A492),"",Tableau1[[#This Row],[Date]]-A492)</f>
        <v>0.71875</v>
      </c>
      <c r="D493" s="77">
        <f>IF(ISERROR(Tableau1[[#This Row],[Date]]-A492),"",Tableau1[[#This Row],[Date]]-A492)</f>
        <v>0.71875</v>
      </c>
      <c r="E493" s="76">
        <f>Tableau1[[#This Row],[Date]]-$A$5</f>
        <v>745.61736111110804</v>
      </c>
      <c r="F493" s="77">
        <f>Tableau1[[#This Row],[Date]]-$A$5</f>
        <v>745.61736111110804</v>
      </c>
      <c r="G493" s="77">
        <f>Tableau1[[#This Row],[Diff jour_x000D_
Cumul]]-F$6</f>
        <v>707.53402777777956</v>
      </c>
      <c r="H493" s="77">
        <f>Tableau1[[#This Row],[Diff jour_x000D_
Cumul]]-F$59</f>
        <v>685.01458333332994</v>
      </c>
      <c r="I493" s="78">
        <v>543</v>
      </c>
      <c r="J493" s="79">
        <f>IF(ISERROR(Tableau1[[#This Row],[Index HP
kWh]]-I492),"",Tableau1[[#This Row],[Index HP
kWh]]-I492)</f>
        <v>20</v>
      </c>
      <c r="K493" s="77">
        <f>IF(ISERROR(Tableau1[[#This Row],[Différence HP
Instantané]]/(Tableau1[[#This Row],[Diff jour
Instantané]]*24)),"",Tableau1[[#This Row],[Différence HP
Instantané]]/(Tableau1[[#This Row],[Diff jour
Instantané]]*24))</f>
        <v>1.1594202898550725</v>
      </c>
      <c r="L493" s="77">
        <f>Tableau1[[#This Row],[Différence HP
Instantané]]/Tableau1[[#This Row],[Diff jour
Instantané]]</f>
        <v>27.826086956521738</v>
      </c>
      <c r="M493" s="77">
        <f>Tableau1[[#This Row],[Conso HP / jour
Instantané]]*365</f>
        <v>10156.521739130434</v>
      </c>
      <c r="N493" s="79">
        <f>Tableau1[[#This Row],[Index HP
kWh]]-$I$5</f>
        <v>-179216</v>
      </c>
      <c r="O493" s="80">
        <f>Tableau1[[#This Row],[Différence HP
Cumul]]/(Tableau1[[#This Row],[Diff jour_x000D_
Cumul]]*24)</f>
        <v>-10.014967090097826</v>
      </c>
      <c r="P493" s="80">
        <f>Tableau1[[#This Row],[Différence HP
Cumul]]/Tableau1[[#This Row],[Diff jour_x000D_
Cumul]]</f>
        <v>-240.35921016234781</v>
      </c>
      <c r="Q493" s="80">
        <f>Tableau1[[#This Row],[Conso HP / jour
Cumul]]*365</f>
        <v>-87731.111709256948</v>
      </c>
      <c r="R493" s="78">
        <v>174</v>
      </c>
      <c r="S493" s="79">
        <f>Tableau1[[#This Row],[Index HC_x000D_
kWh]]-R492</f>
        <v>3</v>
      </c>
      <c r="T493" s="81">
        <f>Tableau1[[#This Row],[Différence_x000D_ HC
Instantané]]/(Tableau1[[#This Row],[Diff jour
Instantané]]*24)</f>
        <v>0.17391304347826086</v>
      </c>
      <c r="U493" s="81">
        <f>Tableau1[[#This Row],[Différence_x000D_ HC
Instantané]]/Tableau1[[#This Row],[Diff jour
Instantané]]</f>
        <v>4.1739130434782608</v>
      </c>
      <c r="V493" s="81">
        <f>Tableau1[[#This Row],[Conso HC / jour_x000D_
Instantané]]*365</f>
        <v>1523.4782608695652</v>
      </c>
      <c r="W493" s="79">
        <f>Tableau1[[#This Row],[Index HC_x000D_
kWh]]-$R$5</f>
        <v>-119258</v>
      </c>
      <c r="X493" s="82">
        <f>Tableau1[[#This Row],[Différence HC
Cumul]]/(Tableau1[[#This Row],[Diff jour_x000D_
Cumul]]*24)</f>
        <v>-6.6643879186617632</v>
      </c>
      <c r="Y493" s="82">
        <f>Tableau1[[#This Row],[Différence HC
Cumul]]/Tableau1[[#This Row],[Diff jour_x000D_
Cumul]]</f>
        <v>-159.94531004788232</v>
      </c>
      <c r="Z493" s="82">
        <f>Tableau1[[#This Row],[Conso HC / jour_x000D_
Cumul]]*365</f>
        <v>-58380.038167477047</v>
      </c>
      <c r="AA493" s="79">
        <f>Tableau1[[#This Row],[Différence HP
Instantané]]+Tableau1[[#This Row],[Différence_x000D_ HC
Instantané]]</f>
        <v>23</v>
      </c>
      <c r="AB493" s="80">
        <f>Tableau1[[#This Row],[Conso HP + HC
Instantané]]/(Tableau1[[#This Row],[Diff jour
Instantané]]*24)</f>
        <v>1.3333333333333333</v>
      </c>
      <c r="AC493" s="80">
        <f>IF(ISERROR(Tableau1[[#This Row],[Date]]-A492),"",Tableau1[[#This Row],[Conso HP + HC
Instantané]]/Tableau1[[#This Row],[Diff jour
Instantané]])</f>
        <v>32</v>
      </c>
      <c r="AD493" s="80">
        <f>Tableau1[[#This Row],[Conso HP + HC / jour_x000D_
Instantané]]*365</f>
        <v>11680</v>
      </c>
      <c r="AE493" s="79">
        <f>Tableau1[[#This Row],[Différence HP
Cumul]]+Tableau1[[#This Row],[Différence HC
Cumul]]</f>
        <v>-298474</v>
      </c>
      <c r="AF493" s="77">
        <f>(Tableau1[[#This Row],[Conso HP + HC
Cumul]]-AE$6)/Tableau1[[#This Row],[Diff jour_x000D_
Cumul
depuis le 24/01]]</f>
        <v>-425.48483632019946</v>
      </c>
      <c r="AG493" s="77">
        <f>(Tableau1[[#This Row],[Conso HP + HC
Cumul]]-AE$59)/Tableau1[[#This Row],[Diff jour_x000D_
Cumul
depuis
précédente facture
16/02/2021]]</f>
        <v>-441.81687129532133</v>
      </c>
      <c r="AH493" s="80">
        <f>Tableau1[[#This Row],[Conso HP + HC
Cumul]]/(Tableau1[[#This Row],[Diff jour_x000D_
Cumul]]*24)</f>
        <v>-16.67935500875959</v>
      </c>
      <c r="AI493" s="80">
        <f>Tableau1[[#This Row],[Conso HP + HC
Cumul]]/Tableau1[[#This Row],[Diff jour_x000D_
Cumul]]</f>
        <v>-400.30452021023012</v>
      </c>
      <c r="AJ493" s="80">
        <f>Tableau1[[#This Row],[Conso HP + HC / jour_x000D_
Cumul]]*365</f>
        <v>-146111.14987673401</v>
      </c>
      <c r="AK493" s="83">
        <f>(Tableau1[[#This Row],[Différence HP
Cumul]]*0.1799)+(Tableau1[[#This Row],[Différence HC
Cumul]]*0.1346)</f>
        <v>-48293.085200000001</v>
      </c>
      <c r="AL493" s="83">
        <f>Tableau1[[#This Row],[Montant
Tarif HP/HC]]/Tableau1[[#This Row],[Diff jour_x000D_
Cumul]]</f>
        <v>-64.769260640651339</v>
      </c>
      <c r="AM493" s="83">
        <f>(Tableau1[[#This Row],[Montant
Tarif HP/HC]]-AK$6)/Tableau1[[#This Row],[Diff jour_x000D_
Cumul
depuis le 24/01]]</f>
        <v>-68.855360855239425</v>
      </c>
      <c r="AN493" s="83">
        <f>(Tableau1[[#This Row],[Montant
Tarif HP/HC]]-AK$59)/Tableau1[[#This Row],[Diff jour_x000D_
Cumul
depuis
précédente facture
16/02/2021]]</f>
        <v>-71.509497449872171</v>
      </c>
      <c r="AO493" s="83">
        <f>Tableau1[[#This Row],[Conso HP + HC
Cumul]]*0.1599</f>
        <v>-47725.992599999998</v>
      </c>
      <c r="AP493" s="83">
        <f>Tableau1[[#This Row],[Montant
Tarif normal]]/Tableau1[[#This Row],[Diff jour_x000D_
Cumul]]</f>
        <v>-64.008692781615792</v>
      </c>
      <c r="AQ493" s="83">
        <f>(Tableau1[[#This Row],[Conso HP / an
Cumul]]*0.1799)+(Tableau1[[#This Row],[Conso HC / an_x000D_
Cumul]]*0.1346)</f>
        <v>-23640.780133837736</v>
      </c>
      <c r="AR493" s="83">
        <f>Tableau1[[#This Row],[Conso HP + HC / an_x000D_
Cumul]]*0.1599</f>
        <v>-23363.172865289765</v>
      </c>
      <c r="AS493" s="79">
        <f>MONTH(Tableau1[[#This Row],[Date]])</f>
        <v>1</v>
      </c>
      <c r="AT493" s="79">
        <f>YEAR(Tableau1[[#This Row],[Date]])</f>
        <v>2023</v>
      </c>
    </row>
    <row r="494" spans="1:46" x14ac:dyDescent="0.2">
      <c r="A494" s="74">
        <v>44929.318055555559</v>
      </c>
      <c r="B494" s="75"/>
      <c r="C494" s="76">
        <f>IF(ISERROR(Tableau1[[#This Row],[Date]]-A493),"",Tableau1[[#This Row],[Date]]-A493)</f>
        <v>0.992361111115315</v>
      </c>
      <c r="D494" s="77">
        <f>IF(ISERROR(Tableau1[[#This Row],[Date]]-A493),"",Tableau1[[#This Row],[Date]]-A493)</f>
        <v>0.992361111115315</v>
      </c>
      <c r="E494" s="76">
        <f>Tableau1[[#This Row],[Date]]-$A$5</f>
        <v>746.60972222222335</v>
      </c>
      <c r="F494" s="77">
        <f>Tableau1[[#This Row],[Date]]-$A$5</f>
        <v>746.60972222222335</v>
      </c>
      <c r="G494" s="77">
        <f>Tableau1[[#This Row],[Diff jour_x000D_
Cumul]]-F$6</f>
        <v>708.52638888889487</v>
      </c>
      <c r="H494" s="77">
        <f>Tableau1[[#This Row],[Diff jour_x000D_
Cumul]]-F$59</f>
        <v>686.00694444444525</v>
      </c>
      <c r="I494" s="78">
        <v>574</v>
      </c>
      <c r="J494" s="79">
        <f>IF(ISERROR(Tableau1[[#This Row],[Index HP
kWh]]-I493),"",Tableau1[[#This Row],[Index HP
kWh]]-I493)</f>
        <v>31</v>
      </c>
      <c r="K494" s="77">
        <f>IF(ISERROR(Tableau1[[#This Row],[Différence HP
Instantané]]/(Tableau1[[#This Row],[Diff jour
Instantané]]*24)),"",Tableau1[[#This Row],[Différence HP
Instantané]]/(Tableau1[[#This Row],[Diff jour
Instantané]]*24))</f>
        <v>1.3016095171393427</v>
      </c>
      <c r="L494" s="77">
        <f>Tableau1[[#This Row],[Différence HP
Instantané]]/Tableau1[[#This Row],[Diff jour
Instantané]]</f>
        <v>31.238628411344223</v>
      </c>
      <c r="M494" s="77">
        <f>Tableau1[[#This Row],[Conso HP / jour
Instantané]]*365</f>
        <v>11402.099370140641</v>
      </c>
      <c r="N494" s="79">
        <f>Tableau1[[#This Row],[Index HP
kWh]]-$I$5</f>
        <v>-179185</v>
      </c>
      <c r="O494" s="80">
        <f>Tableau1[[#This Row],[Différence HP
Cumul]]/(Tableau1[[#This Row],[Diff jour_x000D_
Cumul]]*24)</f>
        <v>-9.9999255895631762</v>
      </c>
      <c r="P494" s="80">
        <f>Tableau1[[#This Row],[Différence HP
Cumul]]/Tableau1[[#This Row],[Diff jour_x000D_
Cumul]]</f>
        <v>-239.99821414951626</v>
      </c>
      <c r="Q494" s="80">
        <f>Tableau1[[#This Row],[Conso HP / jour
Cumul]]*365</f>
        <v>-87599.348164573428</v>
      </c>
      <c r="R494" s="78">
        <v>188</v>
      </c>
      <c r="S494" s="79">
        <f>Tableau1[[#This Row],[Index HC_x000D_
kWh]]-R493</f>
        <v>14</v>
      </c>
      <c r="T494" s="81">
        <f>Tableau1[[#This Row],[Différence_x000D_ HC
Instantané]]/(Tableau1[[#This Row],[Diff jour
Instantané]]*24)</f>
        <v>0.58782365290163863</v>
      </c>
      <c r="U494" s="81">
        <f>Tableau1[[#This Row],[Différence_x000D_ HC
Instantané]]/Tableau1[[#This Row],[Diff jour
Instantané]]</f>
        <v>14.107767669639326</v>
      </c>
      <c r="V494" s="81">
        <f>Tableau1[[#This Row],[Conso HC / jour_x000D_
Instantané]]*365</f>
        <v>5149.335199418354</v>
      </c>
      <c r="W494" s="79">
        <f>Tableau1[[#This Row],[Index HC_x000D_
kWh]]-$R$5</f>
        <v>-119244</v>
      </c>
      <c r="X494" s="82">
        <f>Tableau1[[#This Row],[Différence HC
Cumul]]/(Tableau1[[#This Row],[Diff jour_x000D_
Cumul]]*24)</f>
        <v>-6.6547485950379297</v>
      </c>
      <c r="Y494" s="82">
        <f>Tableau1[[#This Row],[Différence HC
Cumul]]/Tableau1[[#This Row],[Diff jour_x000D_
Cumul]]</f>
        <v>-159.71396628091031</v>
      </c>
      <c r="Z494" s="82">
        <f>Tableau1[[#This Row],[Conso HC / jour_x000D_
Cumul]]*365</f>
        <v>-58295.597692532261</v>
      </c>
      <c r="AA494" s="79">
        <f>Tableau1[[#This Row],[Différence HP
Instantané]]+Tableau1[[#This Row],[Différence_x000D_ HC
Instantané]]</f>
        <v>45</v>
      </c>
      <c r="AB494" s="80">
        <f>Tableau1[[#This Row],[Conso HP + HC
Instantané]]/(Tableau1[[#This Row],[Diff jour
Instantané]]*24)</f>
        <v>1.8894331700409812</v>
      </c>
      <c r="AC494" s="80">
        <f>IF(ISERROR(Tableau1[[#This Row],[Date]]-A493),"",Tableau1[[#This Row],[Conso HP + HC
Instantané]]/Tableau1[[#This Row],[Diff jour
Instantané]])</f>
        <v>45.346396080983546</v>
      </c>
      <c r="AD494" s="80">
        <f>Tableau1[[#This Row],[Conso HP + HC / jour_x000D_
Instantané]]*365</f>
        <v>16551.434569558995</v>
      </c>
      <c r="AE494" s="79">
        <f>Tableau1[[#This Row],[Différence HP
Cumul]]+Tableau1[[#This Row],[Différence HC
Cumul]]</f>
        <v>-298429</v>
      </c>
      <c r="AF494" s="77">
        <f>(Tableau1[[#This Row],[Conso HP + HC
Cumul]]-AE$6)/Tableau1[[#This Row],[Diff jour_x000D_
Cumul
depuis le 24/01]]</f>
        <v>-424.82539072683755</v>
      </c>
      <c r="AG494" s="77">
        <f>(Tableau1[[#This Row],[Conso HP + HC
Cumul]]-AE$59)/Tableau1[[#This Row],[Diff jour_x000D_
Cumul
depuis
précédente facture
16/02/2021]]</f>
        <v>-441.11215265475477</v>
      </c>
      <c r="AH494" s="80">
        <f>Tableau1[[#This Row],[Conso HP + HC
Cumul]]/(Tableau1[[#This Row],[Diff jour_x000D_
Cumul]]*24)</f>
        <v>-16.654674184601106</v>
      </c>
      <c r="AI494" s="80">
        <f>Tableau1[[#This Row],[Conso HP + HC
Cumul]]/Tableau1[[#This Row],[Diff jour_x000D_
Cumul]]</f>
        <v>-399.71218043042654</v>
      </c>
      <c r="AJ494" s="80">
        <f>Tableau1[[#This Row],[Conso HP + HC / jour_x000D_
Cumul]]*365</f>
        <v>-145894.94585710569</v>
      </c>
      <c r="AK494" s="83">
        <f>(Tableau1[[#This Row],[Différence HP
Cumul]]*0.1799)+(Tableau1[[#This Row],[Différence HC
Cumul]]*0.1346)</f>
        <v>-48285.623899999999</v>
      </c>
      <c r="AL494" s="83">
        <f>Tableau1[[#This Row],[Montant
Tarif HP/HC]]/Tableau1[[#This Row],[Diff jour_x000D_
Cumul]]</f>
        <v>-64.673178586908506</v>
      </c>
      <c r="AM494" s="83">
        <f>(Tableau1[[#This Row],[Montant
Tarif HP/HC]]-AK$6)/Tableau1[[#This Row],[Diff jour_x000D_
Cumul
depuis le 24/01]]</f>
        <v>-68.748391399206298</v>
      </c>
      <c r="AN494" s="83">
        <f>(Tableau1[[#This Row],[Montant
Tarif HP/HC]]-AK$59)/Tableau1[[#This Row],[Diff jour_x000D_
Cumul
depuis
précédente facture
16/02/2021]]</f>
        <v>-71.39517711393421</v>
      </c>
      <c r="AO494" s="83">
        <f>Tableau1[[#This Row],[Conso HP + HC
Cumul]]*0.1599</f>
        <v>-47718.797099999996</v>
      </c>
      <c r="AP494" s="83">
        <f>Tableau1[[#This Row],[Montant
Tarif normal]]/Tableau1[[#This Row],[Diff jour_x000D_
Cumul]]</f>
        <v>-63.913977650825203</v>
      </c>
      <c r="AQ494" s="83">
        <f>(Tableau1[[#This Row],[Conso HP / an
Cumul]]*0.1799)+(Tableau1[[#This Row],[Conso HC / an_x000D_
Cumul]]*0.1346)</f>
        <v>-23605.710184221603</v>
      </c>
      <c r="AR494" s="83">
        <f>Tableau1[[#This Row],[Conso HP + HC / an_x000D_
Cumul]]*0.1599</f>
        <v>-23328.601842551197</v>
      </c>
      <c r="AS494" s="79">
        <f>MONTH(Tableau1[[#This Row],[Date]])</f>
        <v>1</v>
      </c>
      <c r="AT494" s="79">
        <f>YEAR(Tableau1[[#This Row],[Date]])</f>
        <v>2023</v>
      </c>
    </row>
    <row r="495" spans="1:46" x14ac:dyDescent="0.2">
      <c r="A495" s="74">
        <v>44930.318749999999</v>
      </c>
      <c r="B495" s="75"/>
      <c r="C495" s="76">
        <f>IF(ISERROR(Tableau1[[#This Row],[Date]]-A494),"",Tableau1[[#This Row],[Date]]-A494)</f>
        <v>1.0006944444394321</v>
      </c>
      <c r="D495" s="77">
        <f>IF(ISERROR(Tableau1[[#This Row],[Date]]-A494),"",Tableau1[[#This Row],[Date]]-A494)</f>
        <v>1.0006944444394321</v>
      </c>
      <c r="E495" s="76">
        <f>Tableau1[[#This Row],[Date]]-$A$5</f>
        <v>747.61041666666279</v>
      </c>
      <c r="F495" s="77">
        <f>Tableau1[[#This Row],[Date]]-$A$5</f>
        <v>747.61041666666279</v>
      </c>
      <c r="G495" s="77">
        <f>Tableau1[[#This Row],[Diff jour_x000D_
Cumul]]-F$6</f>
        <v>709.5270833333343</v>
      </c>
      <c r="H495" s="77">
        <f>Tableau1[[#This Row],[Diff jour_x000D_
Cumul]]-F$59</f>
        <v>687.00763888888469</v>
      </c>
      <c r="I495" s="78">
        <v>593</v>
      </c>
      <c r="J495" s="79">
        <f>IF(ISERROR(Tableau1[[#This Row],[Index HP
kWh]]-I494),"",Tableau1[[#This Row],[Index HP
kWh]]-I494)</f>
        <v>19</v>
      </c>
      <c r="K495" s="77">
        <f>IF(ISERROR(Tableau1[[#This Row],[Différence HP
Instantané]]/(Tableau1[[#This Row],[Diff jour
Instantané]]*24)),"",Tableau1[[#This Row],[Différence HP
Instantané]]/(Tableau1[[#This Row],[Diff jour
Instantané]]*24))</f>
        <v>0.79111727967086054</v>
      </c>
      <c r="L495" s="77">
        <f>Tableau1[[#This Row],[Différence HP
Instantané]]/Tableau1[[#This Row],[Diff jour
Instantané]]</f>
        <v>18.986814712100653</v>
      </c>
      <c r="M495" s="77">
        <f>Tableau1[[#This Row],[Conso HP / jour
Instantané]]*365</f>
        <v>6930.1873699167381</v>
      </c>
      <c r="N495" s="79">
        <f>Tableau1[[#This Row],[Index HP
kWh]]-$I$5</f>
        <v>-179166</v>
      </c>
      <c r="O495" s="80">
        <f>Tableau1[[#This Row],[Différence HP
Cumul]]/(Tableau1[[#This Row],[Diff jour_x000D_
Cumul]]*24)</f>
        <v>-9.9854815202883032</v>
      </c>
      <c r="P495" s="80">
        <f>Tableau1[[#This Row],[Différence HP
Cumul]]/Tableau1[[#This Row],[Diff jour_x000D_
Cumul]]</f>
        <v>-239.65155648691928</v>
      </c>
      <c r="Q495" s="80">
        <f>Tableau1[[#This Row],[Conso HP / jour
Cumul]]*365</f>
        <v>-87472.818117725532</v>
      </c>
      <c r="R495" s="78">
        <v>206</v>
      </c>
      <c r="S495" s="79">
        <f>Tableau1[[#This Row],[Index HC_x000D_
kWh]]-R494</f>
        <v>18</v>
      </c>
      <c r="T495" s="81">
        <f>Tableau1[[#This Row],[Différence_x000D_ HC
Instantané]]/(Tableau1[[#This Row],[Diff jour
Instantané]]*24)</f>
        <v>0.74947952810923635</v>
      </c>
      <c r="U495" s="81">
        <f>Tableau1[[#This Row],[Différence_x000D_ HC
Instantané]]/Tableau1[[#This Row],[Diff jour
Instantané]]</f>
        <v>17.987508674621672</v>
      </c>
      <c r="V495" s="81">
        <f>Tableau1[[#This Row],[Conso HC / jour_x000D_
Instantané]]*365</f>
        <v>6565.4406662369101</v>
      </c>
      <c r="W495" s="79">
        <f>Tableau1[[#This Row],[Index HC_x000D_
kWh]]-$R$5</f>
        <v>-119226</v>
      </c>
      <c r="X495" s="82">
        <f>Tableau1[[#This Row],[Différence HC
Cumul]]/(Tableau1[[#This Row],[Diff jour_x000D_
Cumul]]*24)</f>
        <v>-6.6448378583988772</v>
      </c>
      <c r="Y495" s="82">
        <f>Tableau1[[#This Row],[Différence HC
Cumul]]/Tableau1[[#This Row],[Diff jour_x000D_
Cumul]]</f>
        <v>-159.47610860157306</v>
      </c>
      <c r="Z495" s="82">
        <f>Tableau1[[#This Row],[Conso HC / jour_x000D_
Cumul]]*365</f>
        <v>-58208.779639574168</v>
      </c>
      <c r="AA495" s="79">
        <f>Tableau1[[#This Row],[Différence HP
Instantané]]+Tableau1[[#This Row],[Différence_x000D_ HC
Instantané]]</f>
        <v>37</v>
      </c>
      <c r="AB495" s="80">
        <f>Tableau1[[#This Row],[Conso HP + HC
Instantané]]/(Tableau1[[#This Row],[Diff jour
Instantané]]*24)</f>
        <v>1.5405968077800969</v>
      </c>
      <c r="AC495" s="80">
        <f>IF(ISERROR(Tableau1[[#This Row],[Date]]-A494),"",Tableau1[[#This Row],[Conso HP + HC
Instantané]]/Tableau1[[#This Row],[Diff jour
Instantané]])</f>
        <v>36.974323386722325</v>
      </c>
      <c r="AD495" s="80">
        <f>Tableau1[[#This Row],[Conso HP + HC / jour_x000D_
Instantané]]*365</f>
        <v>13495.628036153648</v>
      </c>
      <c r="AE495" s="79">
        <f>Tableau1[[#This Row],[Différence HP
Cumul]]+Tableau1[[#This Row],[Différence HC
Cumul]]</f>
        <v>-298392</v>
      </c>
      <c r="AF495" s="77">
        <f>(Tableau1[[#This Row],[Conso HP + HC
Cumul]]-AE$6)/Tableau1[[#This Row],[Diff jour_x000D_
Cumul
depuis le 24/01]]</f>
        <v>-424.17408308938116</v>
      </c>
      <c r="AG495" s="77">
        <f>(Tableau1[[#This Row],[Conso HP + HC
Cumul]]-AE$59)/Tableau1[[#This Row],[Diff jour_x000D_
Cumul
depuis
précédente facture
16/02/2021]]</f>
        <v>-440.41577250778857</v>
      </c>
      <c r="AH495" s="80">
        <f>Tableau1[[#This Row],[Conso HP + HC
Cumul]]/(Tableau1[[#This Row],[Diff jour_x000D_
Cumul]]*24)</f>
        <v>-16.630319378687179</v>
      </c>
      <c r="AI495" s="80">
        <f>Tableau1[[#This Row],[Conso HP + HC
Cumul]]/Tableau1[[#This Row],[Diff jour_x000D_
Cumul]]</f>
        <v>-399.12766508849234</v>
      </c>
      <c r="AJ495" s="80">
        <f>Tableau1[[#This Row],[Conso HP + HC / jour_x000D_
Cumul]]*365</f>
        <v>-145681.59775729969</v>
      </c>
      <c r="AK495" s="83">
        <f>(Tableau1[[#This Row],[Différence HP
Cumul]]*0.1799)+(Tableau1[[#This Row],[Différence HC
Cumul]]*0.1346)</f>
        <v>-48279.782999999996</v>
      </c>
      <c r="AL495" s="83">
        <f>Tableau1[[#This Row],[Montant
Tarif HP/HC]]/Tableau1[[#This Row],[Diff jour_x000D_
Cumul]]</f>
        <v>-64.578799229768507</v>
      </c>
      <c r="AM495" s="83">
        <f>(Tableau1[[#This Row],[Montant
Tarif HP/HC]]-AK$6)/Tableau1[[#This Row],[Diff jour_x000D_
Cumul
depuis le 24/01]]</f>
        <v>-68.643198750341242</v>
      </c>
      <c r="AN495" s="83">
        <f>(Tableau1[[#This Row],[Montant
Tarif HP/HC]]-AK$59)/Tableau1[[#This Row],[Diff jour_x000D_
Cumul
depuis
précédente facture
16/02/2021]]</f>
        <v>-71.282681047336354</v>
      </c>
      <c r="AO495" s="83">
        <f>Tableau1[[#This Row],[Conso HP + HC
Cumul]]*0.1599</f>
        <v>-47712.880799999999</v>
      </c>
      <c r="AP495" s="83">
        <f>Tableau1[[#This Row],[Montant
Tarif normal]]/Tableau1[[#This Row],[Diff jour_x000D_
Cumul]]</f>
        <v>-63.820513647649925</v>
      </c>
      <c r="AQ495" s="83">
        <f>(Tableau1[[#This Row],[Conso HP / an
Cumul]]*0.1799)+(Tableau1[[#This Row],[Conso HC / an_x000D_
Cumul]]*0.1346)</f>
        <v>-23571.261718865506</v>
      </c>
      <c r="AR495" s="83">
        <f>Tableau1[[#This Row],[Conso HP + HC / an_x000D_
Cumul]]*0.1599</f>
        <v>-23294.487481392218</v>
      </c>
      <c r="AS495" s="79">
        <f>MONTH(Tableau1[[#This Row],[Date]])</f>
        <v>1</v>
      </c>
      <c r="AT495" s="79">
        <f>YEAR(Tableau1[[#This Row],[Date]])</f>
        <v>2023</v>
      </c>
    </row>
    <row r="496" spans="1:46" x14ac:dyDescent="0.2">
      <c r="A496" s="74">
        <v>44931.341666666667</v>
      </c>
      <c r="B496" s="75"/>
      <c r="C496" s="76">
        <f>IF(ISERROR(Tableau1[[#This Row],[Date]]-A495),"",Tableau1[[#This Row],[Date]]-A495)</f>
        <v>1.0229166666686069</v>
      </c>
      <c r="D496" s="77">
        <f>IF(ISERROR(Tableau1[[#This Row],[Date]]-A495),"",Tableau1[[#This Row],[Date]]-A495)</f>
        <v>1.0229166666686069</v>
      </c>
      <c r="E496" s="76">
        <f>Tableau1[[#This Row],[Date]]-$A$5</f>
        <v>748.63333333333139</v>
      </c>
      <c r="F496" s="77">
        <f>Tableau1[[#This Row],[Date]]-$A$5</f>
        <v>748.63333333333139</v>
      </c>
      <c r="G496" s="77">
        <f>Tableau1[[#This Row],[Diff jour_x000D_
Cumul]]-F$6</f>
        <v>710.55000000000291</v>
      </c>
      <c r="H496" s="77">
        <f>Tableau1[[#This Row],[Diff jour_x000D_
Cumul]]-F$59</f>
        <v>688.03055555555329</v>
      </c>
      <c r="I496" s="78">
        <v>623</v>
      </c>
      <c r="J496" s="79">
        <f>IF(ISERROR(Tableau1[[#This Row],[Index HP
kWh]]-I495),"",Tableau1[[#This Row],[Index HP
kWh]]-I495)</f>
        <v>30</v>
      </c>
      <c r="K496" s="77">
        <f>IF(ISERROR(Tableau1[[#This Row],[Différence HP
Instantané]]/(Tableau1[[#This Row],[Diff jour
Instantané]]*24)),"",Tableau1[[#This Row],[Différence HP
Instantané]]/(Tableau1[[#This Row],[Diff jour
Instantané]]*24))</f>
        <v>1.2219959266779266</v>
      </c>
      <c r="L496" s="77">
        <f>Tableau1[[#This Row],[Différence HP
Instantané]]/Tableau1[[#This Row],[Diff jour
Instantané]]</f>
        <v>29.327902240270237</v>
      </c>
      <c r="M496" s="77">
        <f>Tableau1[[#This Row],[Conso HP / jour
Instantané]]*365</f>
        <v>10704.684317698637</v>
      </c>
      <c r="N496" s="79">
        <f>Tableau1[[#This Row],[Index HP
kWh]]-$I$5</f>
        <v>-179136</v>
      </c>
      <c r="O496" s="80">
        <f>Tableau1[[#This Row],[Différence HP
Cumul]]/(Tableau1[[#This Row],[Diff jour_x000D_
Cumul]]*24)</f>
        <v>-9.9701678614364209</v>
      </c>
      <c r="P496" s="80">
        <f>Tableau1[[#This Row],[Différence HP
Cumul]]/Tableau1[[#This Row],[Diff jour_x000D_
Cumul]]</f>
        <v>-239.28402867447411</v>
      </c>
      <c r="Q496" s="80">
        <f>Tableau1[[#This Row],[Conso HP / jour
Cumul]]*365</f>
        <v>-87338.670466183059</v>
      </c>
      <c r="R496" s="78">
        <v>216</v>
      </c>
      <c r="S496" s="79">
        <f>Tableau1[[#This Row],[Index HC_x000D_
kWh]]-R495</f>
        <v>10</v>
      </c>
      <c r="T496" s="81">
        <f>Tableau1[[#This Row],[Différence_x000D_ HC
Instantané]]/(Tableau1[[#This Row],[Diff jour
Instantané]]*24)</f>
        <v>0.40733197555930883</v>
      </c>
      <c r="U496" s="81">
        <f>Tableau1[[#This Row],[Différence_x000D_ HC
Instantané]]/Tableau1[[#This Row],[Diff jour
Instantané]]</f>
        <v>9.7759674134234125</v>
      </c>
      <c r="V496" s="81">
        <f>Tableau1[[#This Row],[Conso HC / jour_x000D_
Instantané]]*365</f>
        <v>3568.2281058995454</v>
      </c>
      <c r="W496" s="79">
        <f>Tableau1[[#This Row],[Index HC_x000D_
kWh]]-$R$5</f>
        <v>-119216</v>
      </c>
      <c r="X496" s="82">
        <f>Tableau1[[#This Row],[Différence HC
Cumul]]/(Tableau1[[#This Row],[Diff jour_x000D_
Cumul]]*24)</f>
        <v>-6.635201923505071</v>
      </c>
      <c r="Y496" s="82">
        <f>Tableau1[[#This Row],[Différence HC
Cumul]]/Tableau1[[#This Row],[Diff jour_x000D_
Cumul]]</f>
        <v>-159.2448461641217</v>
      </c>
      <c r="Z496" s="82">
        <f>Tableau1[[#This Row],[Conso HC / jour_x000D_
Cumul]]*365</f>
        <v>-58124.368849904422</v>
      </c>
      <c r="AA496" s="79">
        <f>Tableau1[[#This Row],[Différence HP
Instantané]]+Tableau1[[#This Row],[Différence_x000D_ HC
Instantané]]</f>
        <v>40</v>
      </c>
      <c r="AB496" s="80">
        <f>Tableau1[[#This Row],[Conso HP + HC
Instantané]]/(Tableau1[[#This Row],[Diff jour
Instantané]]*24)</f>
        <v>1.6293279022372353</v>
      </c>
      <c r="AC496" s="80">
        <f>IF(ISERROR(Tableau1[[#This Row],[Date]]-A495),"",Tableau1[[#This Row],[Conso HP + HC
Instantané]]/Tableau1[[#This Row],[Diff jour
Instantané]])</f>
        <v>39.10386965369365</v>
      </c>
      <c r="AD496" s="80">
        <f>Tableau1[[#This Row],[Conso HP + HC / jour_x000D_
Instantané]]*365</f>
        <v>14272.912423598182</v>
      </c>
      <c r="AE496" s="79">
        <f>Tableau1[[#This Row],[Différence HP
Cumul]]+Tableau1[[#This Row],[Différence HC
Cumul]]</f>
        <v>-298352</v>
      </c>
      <c r="AF496" s="77">
        <f>(Tableau1[[#This Row],[Conso HP + HC
Cumul]]-AE$6)/Tableau1[[#This Row],[Diff jour_x000D_
Cumul
depuis le 24/01]]</f>
        <v>-423.50714235451238</v>
      </c>
      <c r="AG496" s="77">
        <f>(Tableau1[[#This Row],[Conso HP + HC
Cumul]]-AE$59)/Tableau1[[#This Row],[Diff jour_x000D_
Cumul
depuis
précédente facture
16/02/2021]]</f>
        <v>-439.70285557408369</v>
      </c>
      <c r="AH496" s="80">
        <f>Tableau1[[#This Row],[Conso HP + HC
Cumul]]/(Tableau1[[#This Row],[Diff jour_x000D_
Cumul]]*24)</f>
        <v>-16.605369784941491</v>
      </c>
      <c r="AI496" s="80">
        <f>Tableau1[[#This Row],[Conso HP + HC
Cumul]]/Tableau1[[#This Row],[Diff jour_x000D_
Cumul]]</f>
        <v>-398.52887483859581</v>
      </c>
      <c r="AJ496" s="80">
        <f>Tableau1[[#This Row],[Conso HP + HC / jour_x000D_
Cumul]]*365</f>
        <v>-145463.03931608747</v>
      </c>
      <c r="AK496" s="83">
        <f>(Tableau1[[#This Row],[Différence HP
Cumul]]*0.1799)+(Tableau1[[#This Row],[Différence HC
Cumul]]*0.1346)</f>
        <v>-48273.04</v>
      </c>
      <c r="AL496" s="83">
        <f>Tableau1[[#This Row],[Montant
Tarif HP/HC]]/Tableau1[[#This Row],[Diff jour_x000D_
Cumul]]</f>
        <v>-64.481553052228676</v>
      </c>
      <c r="AM496" s="83">
        <f>(Tableau1[[#This Row],[Montant
Tarif HP/HC]]-AK$6)/Tableau1[[#This Row],[Diff jour_x000D_
Cumul
depuis le 24/01]]</f>
        <v>-68.534889311096762</v>
      </c>
      <c r="AN496" s="83">
        <f>(Tableau1[[#This Row],[Montant
Tarif HP/HC]]-AK$59)/Tableau1[[#This Row],[Diff jour_x000D_
Cumul
depuis
précédente facture
16/02/2021]]</f>
        <v>-71.166902406627855</v>
      </c>
      <c r="AO496" s="83">
        <f>Tableau1[[#This Row],[Conso HP + HC
Cumul]]*0.1599</f>
        <v>-47706.484799999998</v>
      </c>
      <c r="AP496" s="83">
        <f>Tableau1[[#This Row],[Montant
Tarif normal]]/Tableau1[[#This Row],[Diff jour_x000D_
Cumul]]</f>
        <v>-63.724767086691465</v>
      </c>
      <c r="AQ496" s="83">
        <f>(Tableau1[[#This Row],[Conso HP / an
Cumul]]*0.1799)+(Tableau1[[#This Row],[Conso HC / an_x000D_
Cumul]]*0.1346)</f>
        <v>-23535.766864063466</v>
      </c>
      <c r="AR496" s="83">
        <f>Tableau1[[#This Row],[Conso HP + HC / an_x000D_
Cumul]]*0.1599</f>
        <v>-23259.539986642383</v>
      </c>
      <c r="AS496" s="79">
        <f>MONTH(Tableau1[[#This Row],[Date]])</f>
        <v>1</v>
      </c>
      <c r="AT496" s="79">
        <f>YEAR(Tableau1[[#This Row],[Date]])</f>
        <v>2023</v>
      </c>
    </row>
    <row r="497" spans="1:46" x14ac:dyDescent="0.2">
      <c r="A497" s="74">
        <v>44932.331944444442</v>
      </c>
      <c r="B497" s="75"/>
      <c r="C497" s="76">
        <f>IF(ISERROR(Tableau1[[#This Row],[Date]]-A496),"",Tableau1[[#This Row],[Date]]-A496)</f>
        <v>0.99027777777519077</v>
      </c>
      <c r="D497" s="77">
        <f>IF(ISERROR(Tableau1[[#This Row],[Date]]-A496),"",Tableau1[[#This Row],[Date]]-A496)</f>
        <v>0.99027777777519077</v>
      </c>
      <c r="E497" s="76">
        <f>Tableau1[[#This Row],[Date]]-$A$5</f>
        <v>749.62361111110658</v>
      </c>
      <c r="F497" s="77">
        <f>Tableau1[[#This Row],[Date]]-$A$5</f>
        <v>749.62361111110658</v>
      </c>
      <c r="G497" s="77">
        <f>Tableau1[[#This Row],[Diff jour_x000D_
Cumul]]-F$6</f>
        <v>711.5402777777781</v>
      </c>
      <c r="H497" s="77">
        <f>Tableau1[[#This Row],[Diff jour_x000D_
Cumul]]-F$59</f>
        <v>689.02083333332848</v>
      </c>
      <c r="I497" s="78">
        <v>641</v>
      </c>
      <c r="J497" s="79">
        <f>IF(ISERROR(Tableau1[[#This Row],[Index HP
kWh]]-I496),"",Tableau1[[#This Row],[Index HP
kWh]]-I496)</f>
        <v>18</v>
      </c>
      <c r="K497" s="77">
        <f>IF(ISERROR(Tableau1[[#This Row],[Différence HP
Instantané]]/(Tableau1[[#This Row],[Diff jour
Instantané]]*24)),"",Tableau1[[#This Row],[Différence HP
Instantané]]/(Tableau1[[#This Row],[Diff jour
Instantané]]*24))</f>
        <v>0.757363253858921</v>
      </c>
      <c r="L497" s="77">
        <f>Tableau1[[#This Row],[Différence HP
Instantané]]/Tableau1[[#This Row],[Diff jour
Instantané]]</f>
        <v>18.176718092614106</v>
      </c>
      <c r="M497" s="77">
        <f>Tableau1[[#This Row],[Conso HP / jour
Instantané]]*365</f>
        <v>6634.5021038041486</v>
      </c>
      <c r="N497" s="79">
        <f>Tableau1[[#This Row],[Index HP
kWh]]-$I$5</f>
        <v>-179118</v>
      </c>
      <c r="O497" s="80">
        <f>Tableau1[[#This Row],[Différence HP
Cumul]]/(Tableau1[[#This Row],[Diff jour_x000D_
Cumul]]*24)</f>
        <v>-9.9559964352481192</v>
      </c>
      <c r="P497" s="80">
        <f>Tableau1[[#This Row],[Différence HP
Cumul]]/Tableau1[[#This Row],[Diff jour_x000D_
Cumul]]</f>
        <v>-238.94391444595487</v>
      </c>
      <c r="Q497" s="80">
        <f>Tableau1[[#This Row],[Conso HP / jour
Cumul]]*365</f>
        <v>-87214.528772773527</v>
      </c>
      <c r="R497" s="78">
        <v>228</v>
      </c>
      <c r="S497" s="79">
        <f>Tableau1[[#This Row],[Index HC_x000D_
kWh]]-R496</f>
        <v>12</v>
      </c>
      <c r="T497" s="81">
        <f>Tableau1[[#This Row],[Différence_x000D_ HC
Instantané]]/(Tableau1[[#This Row],[Diff jour
Instantané]]*24)</f>
        <v>0.50490883590594737</v>
      </c>
      <c r="U497" s="81">
        <f>Tableau1[[#This Row],[Différence_x000D_ HC
Instantané]]/Tableau1[[#This Row],[Diff jour
Instantané]]</f>
        <v>12.117812061742736</v>
      </c>
      <c r="V497" s="81">
        <f>Tableau1[[#This Row],[Conso HC / jour_x000D_
Instantané]]*365</f>
        <v>4423.0014025360988</v>
      </c>
      <c r="W497" s="79">
        <f>Tableau1[[#This Row],[Index HC_x000D_
kWh]]-$R$5</f>
        <v>-119204</v>
      </c>
      <c r="X497" s="82">
        <f>Tableau1[[#This Row],[Différence HC
Cumul]]/(Tableau1[[#This Row],[Diff jour_x000D_
Cumul]]*24)</f>
        <v>-6.6257695991877803</v>
      </c>
      <c r="Y497" s="82">
        <f>Tableau1[[#This Row],[Différence HC
Cumul]]/Tableau1[[#This Row],[Diff jour_x000D_
Cumul]]</f>
        <v>-159.01847038050673</v>
      </c>
      <c r="Z497" s="82">
        <f>Tableau1[[#This Row],[Conso HC / jour_x000D_
Cumul]]*365</f>
        <v>-58041.741688884955</v>
      </c>
      <c r="AA497" s="79">
        <f>Tableau1[[#This Row],[Différence HP
Instantané]]+Tableau1[[#This Row],[Différence_x000D_ HC
Instantané]]</f>
        <v>30</v>
      </c>
      <c r="AB497" s="80">
        <f>Tableau1[[#This Row],[Conso HP + HC
Instantané]]/(Tableau1[[#This Row],[Diff jour
Instantané]]*24)</f>
        <v>1.2622720897648685</v>
      </c>
      <c r="AC497" s="80">
        <f>IF(ISERROR(Tableau1[[#This Row],[Date]]-A496),"",Tableau1[[#This Row],[Conso HP + HC
Instantané]]/Tableau1[[#This Row],[Diff jour
Instantané]])</f>
        <v>30.294530154356842</v>
      </c>
      <c r="AD497" s="80">
        <f>Tableau1[[#This Row],[Conso HP + HC / jour_x000D_
Instantané]]*365</f>
        <v>11057.503506340247</v>
      </c>
      <c r="AE497" s="79">
        <f>Tableau1[[#This Row],[Différence HP
Cumul]]+Tableau1[[#This Row],[Différence HC
Cumul]]</f>
        <v>-298322</v>
      </c>
      <c r="AF497" s="77">
        <f>(Tableau1[[#This Row],[Conso HP + HC
Cumul]]-AE$6)/Tableau1[[#This Row],[Diff jour_x000D_
Cumul
depuis le 24/01]]</f>
        <v>-422.87556923653477</v>
      </c>
      <c r="AG497" s="77">
        <f>(Tableau1[[#This Row],[Conso HP + HC
Cumul]]-AE$59)/Tableau1[[#This Row],[Diff jour_x000D_
Cumul
depuis
précédente facture
16/02/2021]]</f>
        <v>-439.02736371058273</v>
      </c>
      <c r="AH497" s="80">
        <f>Tableau1[[#This Row],[Conso HP + HC
Cumul]]/(Tableau1[[#This Row],[Diff jour_x000D_
Cumul]]*24)</f>
        <v>-16.581766034435901</v>
      </c>
      <c r="AI497" s="80">
        <f>Tableau1[[#This Row],[Conso HP + HC
Cumul]]/Tableau1[[#This Row],[Diff jour_x000D_
Cumul]]</f>
        <v>-397.96238482646163</v>
      </c>
      <c r="AJ497" s="80">
        <f>Tableau1[[#This Row],[Conso HP + HC / jour_x000D_
Cumul]]*365</f>
        <v>-145256.27046165848</v>
      </c>
      <c r="AK497" s="83">
        <f>(Tableau1[[#This Row],[Différence HP
Cumul]]*0.1799)+(Tableau1[[#This Row],[Différence HC
Cumul]]*0.1346)</f>
        <v>-48268.186600000001</v>
      </c>
      <c r="AL497" s="83">
        <f>Tableau1[[#This Row],[Montant
Tarif HP/HC]]/Tableau1[[#This Row],[Diff jour_x000D_
Cumul]]</f>
        <v>-64.389896322043484</v>
      </c>
      <c r="AM497" s="83">
        <f>(Tableau1[[#This Row],[Montant
Tarif HP/HC]]-AK$6)/Tableau1[[#This Row],[Diff jour_x000D_
Cumul
depuis le 24/01]]</f>
        <v>-68.432685711162577</v>
      </c>
      <c r="AN497" s="83">
        <f>(Tableau1[[#This Row],[Montant
Tarif HP/HC]]-AK$59)/Tableau1[[#This Row],[Diff jour_x000D_
Cumul
depuis
précédente facture
16/02/2021]]</f>
        <v>-71.057575665951575</v>
      </c>
      <c r="AO497" s="83">
        <f>Tableau1[[#This Row],[Conso HP + HC
Cumul]]*0.1599</f>
        <v>-47701.687799999992</v>
      </c>
      <c r="AP497" s="83">
        <f>Tableau1[[#This Row],[Montant
Tarif normal]]/Tableau1[[#This Row],[Diff jour_x000D_
Cumul]]</f>
        <v>-63.634185333751198</v>
      </c>
      <c r="AQ497" s="83">
        <f>(Tableau1[[#This Row],[Conso HP / an
Cumul]]*0.1799)+(Tableau1[[#This Row],[Conso HC / an_x000D_
Cumul]]*0.1346)</f>
        <v>-23502.312157545872</v>
      </c>
      <c r="AR497" s="83">
        <f>Tableau1[[#This Row],[Conso HP + HC / an_x000D_
Cumul]]*0.1599</f>
        <v>-23226.477646819189</v>
      </c>
      <c r="AS497" s="79">
        <f>MONTH(Tableau1[[#This Row],[Date]])</f>
        <v>1</v>
      </c>
      <c r="AT497" s="79">
        <f>YEAR(Tableau1[[#This Row],[Date]])</f>
        <v>2023</v>
      </c>
    </row>
    <row r="498" spans="1:46" x14ac:dyDescent="0.2">
      <c r="A498" s="74">
        <v>44933.365277777775</v>
      </c>
      <c r="B498" s="75"/>
      <c r="C498" s="76">
        <f>IF(ISERROR(Tableau1[[#This Row],[Date]]-A497),"",Tableau1[[#This Row],[Date]]-A497)</f>
        <v>1.0333333333328483</v>
      </c>
      <c r="D498" s="77">
        <f>IF(ISERROR(Tableau1[[#This Row],[Date]]-A497),"",Tableau1[[#This Row],[Date]]-A497)</f>
        <v>1.0333333333328483</v>
      </c>
      <c r="E498" s="76">
        <f>Tableau1[[#This Row],[Date]]-$A$5</f>
        <v>750.65694444443943</v>
      </c>
      <c r="F498" s="77">
        <f>Tableau1[[#This Row],[Date]]-$A$5</f>
        <v>750.65694444443943</v>
      </c>
      <c r="G498" s="77">
        <f>Tableau1[[#This Row],[Diff jour_x000D_
Cumul]]-F$6</f>
        <v>712.57361111111095</v>
      </c>
      <c r="H498" s="77">
        <f>Tableau1[[#This Row],[Diff jour_x000D_
Cumul]]-F$59</f>
        <v>690.05416666666133</v>
      </c>
      <c r="I498" s="78">
        <v>671</v>
      </c>
      <c r="J498" s="79">
        <f>IF(ISERROR(Tableau1[[#This Row],[Index HP
kWh]]-I497),"",Tableau1[[#This Row],[Index HP
kWh]]-I497)</f>
        <v>30</v>
      </c>
      <c r="K498" s="77">
        <f>IF(ISERROR(Tableau1[[#This Row],[Différence HP
Instantané]]/(Tableau1[[#This Row],[Diff jour
Instantané]]*24)),"",Tableau1[[#This Row],[Différence HP
Instantané]]/(Tableau1[[#This Row],[Diff jour
Instantané]]*24))</f>
        <v>1.2096774193554065</v>
      </c>
      <c r="L498" s="77">
        <f>Tableau1[[#This Row],[Différence HP
Instantané]]/Tableau1[[#This Row],[Diff jour
Instantané]]</f>
        <v>29.032258064529756</v>
      </c>
      <c r="M498" s="77">
        <f>Tableau1[[#This Row],[Conso HP / jour
Instantané]]*365</f>
        <v>10596.774193553361</v>
      </c>
      <c r="N498" s="79">
        <f>Tableau1[[#This Row],[Index HP
kWh]]-$I$5</f>
        <v>-179088</v>
      </c>
      <c r="O498" s="80">
        <f>Tableau1[[#This Row],[Différence HP
Cumul]]/(Tableau1[[#This Row],[Diff jour_x000D_
Cumul]]*24)</f>
        <v>-9.9406260812289151</v>
      </c>
      <c r="P498" s="80">
        <f>Tableau1[[#This Row],[Différence HP
Cumul]]/Tableau1[[#This Row],[Diff jour_x000D_
Cumul]]</f>
        <v>-238.57502594949398</v>
      </c>
      <c r="Q498" s="80">
        <f>Tableau1[[#This Row],[Conso HP / jour
Cumul]]*365</f>
        <v>-87079.884471565296</v>
      </c>
      <c r="R498" s="78">
        <v>232</v>
      </c>
      <c r="S498" s="79">
        <f>Tableau1[[#This Row],[Index HC_x000D_
kWh]]-R497</f>
        <v>4</v>
      </c>
      <c r="T498" s="81">
        <f>Tableau1[[#This Row],[Différence_x000D_ HC
Instantané]]/(Tableau1[[#This Row],[Diff jour
Instantané]]*24)</f>
        <v>0.16129032258072087</v>
      </c>
      <c r="U498" s="81">
        <f>Tableau1[[#This Row],[Différence_x000D_ HC
Instantané]]/Tableau1[[#This Row],[Diff jour
Instantané]]</f>
        <v>3.8709677419373008</v>
      </c>
      <c r="V498" s="81">
        <f>Tableau1[[#This Row],[Conso HC / jour_x000D_
Instantané]]*365</f>
        <v>1412.9032258071147</v>
      </c>
      <c r="W498" s="79">
        <f>Tableau1[[#This Row],[Index HC_x000D_
kWh]]-$R$5</f>
        <v>-119200</v>
      </c>
      <c r="X498" s="82">
        <f>Tableau1[[#This Row],[Différence HC
Cumul]]/(Tableau1[[#This Row],[Diff jour_x000D_
Cumul]]*24)</f>
        <v>-6.616426722519023</v>
      </c>
      <c r="Y498" s="82">
        <f>Tableau1[[#This Row],[Différence HC
Cumul]]/Tableau1[[#This Row],[Diff jour_x000D_
Cumul]]</f>
        <v>-158.79424134045655</v>
      </c>
      <c r="Z498" s="82">
        <f>Tableau1[[#This Row],[Conso HC / jour_x000D_
Cumul]]*365</f>
        <v>-57959.898089266644</v>
      </c>
      <c r="AA498" s="79">
        <f>Tableau1[[#This Row],[Différence HP
Instantané]]+Tableau1[[#This Row],[Différence_x000D_ HC
Instantané]]</f>
        <v>34</v>
      </c>
      <c r="AB498" s="80">
        <f>Tableau1[[#This Row],[Conso HP + HC
Instantané]]/(Tableau1[[#This Row],[Diff jour
Instantané]]*24)</f>
        <v>1.3709677419361275</v>
      </c>
      <c r="AC498" s="80">
        <f>IF(ISERROR(Tableau1[[#This Row],[Date]]-A497),"",Tableau1[[#This Row],[Conso HP + HC
Instantané]]/Tableau1[[#This Row],[Diff jour
Instantané]])</f>
        <v>32.903225806467056</v>
      </c>
      <c r="AD498" s="80">
        <f>Tableau1[[#This Row],[Conso HP + HC / jour_x000D_
Instantané]]*365</f>
        <v>12009.677419360476</v>
      </c>
      <c r="AE498" s="79">
        <f>Tableau1[[#This Row],[Différence HP
Cumul]]+Tableau1[[#This Row],[Différence HC
Cumul]]</f>
        <v>-298288</v>
      </c>
      <c r="AF498" s="77">
        <f>(Tableau1[[#This Row],[Conso HP + HC
Cumul]]-AE$6)/Tableau1[[#This Row],[Diff jour_x000D_
Cumul
depuis le 24/01]]</f>
        <v>-422.21462499975644</v>
      </c>
      <c r="AG498" s="77">
        <f>(Tableau1[[#This Row],[Conso HP + HC
Cumul]]-AE$59)/Tableau1[[#This Row],[Diff jour_x000D_
Cumul
depuis
précédente facture
16/02/2021]]</f>
        <v>-438.32066323296215</v>
      </c>
      <c r="AH498" s="80">
        <f>Tableau1[[#This Row],[Conso HP + HC
Cumul]]/(Tableau1[[#This Row],[Diff jour_x000D_
Cumul]]*24)</f>
        <v>-16.55705280374794</v>
      </c>
      <c r="AI498" s="80">
        <f>Tableau1[[#This Row],[Conso HP + HC
Cumul]]/Tableau1[[#This Row],[Diff jour_x000D_
Cumul]]</f>
        <v>-397.36926728995053</v>
      </c>
      <c r="AJ498" s="80">
        <f>Tableau1[[#This Row],[Conso HP + HC / jour_x000D_
Cumul]]*365</f>
        <v>-145039.78256083195</v>
      </c>
      <c r="AK498" s="83">
        <f>(Tableau1[[#This Row],[Différence HP
Cumul]]*0.1799)+(Tableau1[[#This Row],[Différence HC
Cumul]]*0.1346)</f>
        <v>-48262.251199999999</v>
      </c>
      <c r="AL498" s="83">
        <f>Tableau1[[#This Row],[Montant
Tarif HP/HC]]/Tableau1[[#This Row],[Diff jour_x000D_
Cumul]]</f>
        <v>-64.293352052739422</v>
      </c>
      <c r="AM498" s="83">
        <f>(Tableau1[[#This Row],[Montant
Tarif HP/HC]]-AK$6)/Tableau1[[#This Row],[Diff jour_x000D_
Cumul
depuis le 24/01]]</f>
        <v>-68.325119034485738</v>
      </c>
      <c r="AN498" s="83">
        <f>(Tableau1[[#This Row],[Montant
Tarif HP/HC]]-AK$59)/Tableau1[[#This Row],[Diff jour_x000D_
Cumul
depuis
précédente facture
16/02/2021]]</f>
        <v>-70.942567938507793</v>
      </c>
      <c r="AO498" s="83">
        <f>Tableau1[[#This Row],[Conso HP + HC
Cumul]]*0.1599</f>
        <v>-47696.251199999999</v>
      </c>
      <c r="AP498" s="83">
        <f>Tableau1[[#This Row],[Montant
Tarif normal]]/Tableau1[[#This Row],[Diff jour_x000D_
Cumul]]</f>
        <v>-63.539345839663092</v>
      </c>
      <c r="AQ498" s="83">
        <f>(Tableau1[[#This Row],[Conso HP / an
Cumul]]*0.1799)+(Tableau1[[#This Row],[Conso HC / an_x000D_
Cumul]]*0.1346)</f>
        <v>-23467.073499249887</v>
      </c>
      <c r="AR498" s="83">
        <f>Tableau1[[#This Row],[Conso HP + HC / an_x000D_
Cumul]]*0.1599</f>
        <v>-23191.861231477029</v>
      </c>
      <c r="AS498" s="79">
        <f>MONTH(Tableau1[[#This Row],[Date]])</f>
        <v>1</v>
      </c>
      <c r="AT498" s="79">
        <f>YEAR(Tableau1[[#This Row],[Date]])</f>
        <v>2023</v>
      </c>
    </row>
    <row r="499" spans="1:46" x14ac:dyDescent="0.2">
      <c r="A499" s="74">
        <v>44934.39166666667</v>
      </c>
      <c r="B499" s="75"/>
      <c r="C499" s="76">
        <f>IF(ISERROR(Tableau1[[#This Row],[Date]]-A498),"",Tableau1[[#This Row],[Date]]-A498)</f>
        <v>1.0263888888948713</v>
      </c>
      <c r="D499" s="77">
        <f>IF(ISERROR(Tableau1[[#This Row],[Date]]-A498),"",Tableau1[[#This Row],[Date]]-A498)</f>
        <v>1.0263888888948713</v>
      </c>
      <c r="E499" s="76">
        <f>Tableau1[[#This Row],[Date]]-$A$5</f>
        <v>751.6833333333343</v>
      </c>
      <c r="F499" s="77">
        <f>Tableau1[[#This Row],[Date]]-$A$5</f>
        <v>751.6833333333343</v>
      </c>
      <c r="G499" s="77">
        <f>Tableau1[[#This Row],[Diff jour_x000D_
Cumul]]-F$6</f>
        <v>713.60000000000582</v>
      </c>
      <c r="H499" s="77">
        <f>Tableau1[[#This Row],[Diff jour_x000D_
Cumul]]-F$59</f>
        <v>691.0805555555562</v>
      </c>
      <c r="I499" s="78">
        <v>707</v>
      </c>
      <c r="J499" s="79">
        <f>IF(ISERROR(Tableau1[[#This Row],[Index HP
kWh]]-I498),"",Tableau1[[#This Row],[Index HP
kWh]]-I498)</f>
        <v>36</v>
      </c>
      <c r="K499" s="77">
        <f>IF(ISERROR(Tableau1[[#This Row],[Différence HP
Instantané]]/(Tableau1[[#This Row],[Diff jour
Instantané]]*24)),"",Tableau1[[#This Row],[Différence HP
Instantané]]/(Tableau1[[#This Row],[Diff jour
Instantané]]*24))</f>
        <v>1.4614343707627944</v>
      </c>
      <c r="L499" s="77">
        <f>Tableau1[[#This Row],[Différence HP
Instantané]]/Tableau1[[#This Row],[Diff jour
Instantané]]</f>
        <v>35.074424898307065</v>
      </c>
      <c r="M499" s="77">
        <f>Tableau1[[#This Row],[Conso HP / jour
Instantané]]*365</f>
        <v>12802.165087882078</v>
      </c>
      <c r="N499" s="79">
        <f>Tableau1[[#This Row],[Index HP
kWh]]-$I$5</f>
        <v>-179052</v>
      </c>
      <c r="O499" s="80">
        <f>Tableau1[[#This Row],[Différence HP
Cumul]]/(Tableau1[[#This Row],[Diff jour_x000D_
Cumul]]*24)</f>
        <v>-9.9250570940777241</v>
      </c>
      <c r="P499" s="80">
        <f>Tableau1[[#This Row],[Différence HP
Cumul]]/Tableau1[[#This Row],[Diff jour_x000D_
Cumul]]</f>
        <v>-238.20137025786536</v>
      </c>
      <c r="Q499" s="80">
        <f>Tableau1[[#This Row],[Conso HP / jour
Cumul]]*365</f>
        <v>-86943.500144120859</v>
      </c>
      <c r="R499" s="78">
        <v>246</v>
      </c>
      <c r="S499" s="79">
        <f>Tableau1[[#This Row],[Index HC_x000D_
kWh]]-R498</f>
        <v>14</v>
      </c>
      <c r="T499" s="81">
        <f>Tableau1[[#This Row],[Différence_x000D_ HC
Instantané]]/(Tableau1[[#This Row],[Diff jour
Instantané]]*24)</f>
        <v>0.56833558862997557</v>
      </c>
      <c r="U499" s="81">
        <f>Tableau1[[#This Row],[Différence_x000D_ HC
Instantané]]/Tableau1[[#This Row],[Diff jour
Instantané]]</f>
        <v>13.640054127119415</v>
      </c>
      <c r="V499" s="81">
        <f>Tableau1[[#This Row],[Conso HC / jour_x000D_
Instantané]]*365</f>
        <v>4978.6197563985861</v>
      </c>
      <c r="W499" s="79">
        <f>Tableau1[[#This Row],[Index HC_x000D_
kWh]]-$R$5</f>
        <v>-119186</v>
      </c>
      <c r="X499" s="82">
        <f>Tableau1[[#This Row],[Différence HC
Cumul]]/(Tableau1[[#This Row],[Diff jour_x000D_
Cumul]]*24)</f>
        <v>-6.6066162612802293</v>
      </c>
      <c r="Y499" s="82">
        <f>Tableau1[[#This Row],[Différence HC
Cumul]]/Tableau1[[#This Row],[Diff jour_x000D_
Cumul]]</f>
        <v>-158.5587902707255</v>
      </c>
      <c r="Z499" s="82">
        <f>Tableau1[[#This Row],[Conso HC / jour_x000D_
Cumul]]*365</f>
        <v>-57873.958448814803</v>
      </c>
      <c r="AA499" s="79">
        <f>Tableau1[[#This Row],[Différence HP
Instantané]]+Tableau1[[#This Row],[Différence_x000D_ HC
Instantané]]</f>
        <v>50</v>
      </c>
      <c r="AB499" s="80">
        <f>Tableau1[[#This Row],[Conso HP + HC
Instantané]]/(Tableau1[[#This Row],[Diff jour
Instantané]]*24)</f>
        <v>2.0297699593927701</v>
      </c>
      <c r="AC499" s="80">
        <f>IF(ISERROR(Tableau1[[#This Row],[Date]]-A498),"",Tableau1[[#This Row],[Conso HP + HC
Instantané]]/Tableau1[[#This Row],[Diff jour
Instantané]])</f>
        <v>48.714479025426478</v>
      </c>
      <c r="AD499" s="80">
        <f>Tableau1[[#This Row],[Conso HP + HC / jour_x000D_
Instantané]]*365</f>
        <v>17780.784844280664</v>
      </c>
      <c r="AE499" s="79">
        <f>Tableau1[[#This Row],[Différence HP
Cumul]]+Tableau1[[#This Row],[Différence HC
Cumul]]</f>
        <v>-298238</v>
      </c>
      <c r="AF499" s="77">
        <f>(Tableau1[[#This Row],[Conso HP + HC
Cumul]]-AE$6)/Tableau1[[#This Row],[Diff jour_x000D_
Cumul
depuis le 24/01]]</f>
        <v>-421.53727578474991</v>
      </c>
      <c r="AG499" s="77">
        <f>(Tableau1[[#This Row],[Conso HP + HC
Cumul]]-AE$59)/Tableau1[[#This Row],[Diff jour_x000D_
Cumul
depuis
précédente facture
16/02/2021]]</f>
        <v>-437.59732142498223</v>
      </c>
      <c r="AH499" s="80">
        <f>Tableau1[[#This Row],[Conso HP + HC
Cumul]]/(Tableau1[[#This Row],[Diff jour_x000D_
Cumul]]*24)</f>
        <v>-16.531673355357952</v>
      </c>
      <c r="AI499" s="80">
        <f>Tableau1[[#This Row],[Conso HP + HC
Cumul]]/Tableau1[[#This Row],[Diff jour_x000D_
Cumul]]</f>
        <v>-396.76016052859086</v>
      </c>
      <c r="AJ499" s="80">
        <f>Tableau1[[#This Row],[Conso HP + HC / jour_x000D_
Cumul]]*365</f>
        <v>-144817.45859293567</v>
      </c>
      <c r="AK499" s="83">
        <f>(Tableau1[[#This Row],[Différence HP
Cumul]]*0.1799)+(Tableau1[[#This Row],[Différence HC
Cumul]]*0.1346)</f>
        <v>-48253.890399999997</v>
      </c>
      <c r="AL499" s="83">
        <f>Tableau1[[#This Row],[Montant
Tarif HP/HC]]/Tableau1[[#This Row],[Diff jour_x000D_
Cumul]]</f>
        <v>-64.194439679829628</v>
      </c>
      <c r="AM499" s="83">
        <f>(Tableau1[[#This Row],[Montant
Tarif HP/HC]]-AK$6)/Tableau1[[#This Row],[Diff jour_x000D_
Cumul
depuis le 24/01]]</f>
        <v>-68.215128923766258</v>
      </c>
      <c r="AN499" s="83">
        <f>(Tableau1[[#This Row],[Montant
Tarif HP/HC]]-AK$59)/Tableau1[[#This Row],[Diff jour_x000D_
Cumul
depuis
précédente facture
16/02/2021]]</f>
        <v>-70.825106286853455</v>
      </c>
      <c r="AO499" s="83">
        <f>Tableau1[[#This Row],[Conso HP + HC
Cumul]]*0.1599</f>
        <v>-47688.256199999996</v>
      </c>
      <c r="AP499" s="83">
        <f>Tableau1[[#This Row],[Montant
Tarif normal]]/Tableau1[[#This Row],[Diff jour_x000D_
Cumul]]</f>
        <v>-63.441949668521673</v>
      </c>
      <c r="AQ499" s="83">
        <f>(Tableau1[[#This Row],[Conso HP / an
Cumul]]*0.1799)+(Tableau1[[#This Row],[Conso HC / an_x000D_
Cumul]]*0.1346)</f>
        <v>-23430.970483137815</v>
      </c>
      <c r="AR499" s="83">
        <f>Tableau1[[#This Row],[Conso HP + HC / an_x000D_
Cumul]]*0.1599</f>
        <v>-23156.311629010412</v>
      </c>
      <c r="AS499" s="79">
        <f>MONTH(Tableau1[[#This Row],[Date]])</f>
        <v>1</v>
      </c>
      <c r="AT499" s="79">
        <f>YEAR(Tableau1[[#This Row],[Date]])</f>
        <v>2023</v>
      </c>
    </row>
    <row r="500" spans="1:46" x14ac:dyDescent="0.2">
      <c r="A500" s="74">
        <v>44935.334722222222</v>
      </c>
      <c r="B500" s="75"/>
      <c r="C500" s="76">
        <f>IF(ISERROR(Tableau1[[#This Row],[Date]]-A499),"",Tableau1[[#This Row],[Date]]-A499)</f>
        <v>0.94305555555183673</v>
      </c>
      <c r="D500" s="77">
        <f>IF(ISERROR(Tableau1[[#This Row],[Date]]-A499),"",Tableau1[[#This Row],[Date]]-A499)</f>
        <v>0.94305555555183673</v>
      </c>
      <c r="E500" s="76">
        <f>Tableau1[[#This Row],[Date]]-$A$5</f>
        <v>752.62638888888614</v>
      </c>
      <c r="F500" s="77">
        <f>Tableau1[[#This Row],[Date]]-$A$5</f>
        <v>752.62638888888614</v>
      </c>
      <c r="G500" s="77">
        <f>Tableau1[[#This Row],[Diff jour_x000D_
Cumul]]-F$6</f>
        <v>714.54305555555766</v>
      </c>
      <c r="H500" s="77">
        <f>Tableau1[[#This Row],[Diff jour_x000D_
Cumul]]-F$59</f>
        <v>692.02361111110804</v>
      </c>
      <c r="I500" s="78">
        <v>739</v>
      </c>
      <c r="J500" s="79">
        <f>IF(ISERROR(Tableau1[[#This Row],[Index HP
kWh]]-I499),"",Tableau1[[#This Row],[Index HP
kWh]]-I499)</f>
        <v>32</v>
      </c>
      <c r="K500" s="77">
        <f>IF(ISERROR(Tableau1[[#This Row],[Différence HP
Instantané]]/(Tableau1[[#This Row],[Diff jour
Instantané]]*24)),"",Tableau1[[#This Row],[Différence HP
Instantané]]/(Tableau1[[#This Row],[Diff jour
Instantané]]*24))</f>
        <v>1.4138438880762676</v>
      </c>
      <c r="L500" s="77">
        <f>Tableau1[[#This Row],[Différence HP
Instantané]]/Tableau1[[#This Row],[Diff jour
Instantané]]</f>
        <v>33.932253313830422</v>
      </c>
      <c r="M500" s="77">
        <f>Tableau1[[#This Row],[Conso HP / jour
Instantané]]*365</f>
        <v>12385.272459548105</v>
      </c>
      <c r="N500" s="79">
        <f>Tableau1[[#This Row],[Index HP
kWh]]-$I$5</f>
        <v>-179020</v>
      </c>
      <c r="O500" s="80">
        <f>Tableau1[[#This Row],[Différence HP
Cumul]]/(Tableau1[[#This Row],[Diff jour_x000D_
Cumul]]*24)</f>
        <v>-9.9108492298266988</v>
      </c>
      <c r="P500" s="80">
        <f>Tableau1[[#This Row],[Différence HP
Cumul]]/Tableau1[[#This Row],[Diff jour_x000D_
Cumul]]</f>
        <v>-237.86038151584077</v>
      </c>
      <c r="Q500" s="80">
        <f>Tableau1[[#This Row],[Conso HP / jour
Cumul]]*365</f>
        <v>-86819.039253281881</v>
      </c>
      <c r="R500" s="78">
        <v>264</v>
      </c>
      <c r="S500" s="79">
        <f>Tableau1[[#This Row],[Index HC_x000D_
kWh]]-R499</f>
        <v>18</v>
      </c>
      <c r="T500" s="81">
        <f>Tableau1[[#This Row],[Différence_x000D_ HC
Instantané]]/(Tableau1[[#This Row],[Diff jour
Instantané]]*24)</f>
        <v>0.79528718704290047</v>
      </c>
      <c r="U500" s="81">
        <f>Tableau1[[#This Row],[Différence_x000D_ HC
Instantané]]/Tableau1[[#This Row],[Diff jour
Instantané]]</f>
        <v>19.086892489029612</v>
      </c>
      <c r="V500" s="81">
        <f>Tableau1[[#This Row],[Conso HC / jour_x000D_
Instantané]]*365</f>
        <v>6966.7157584958086</v>
      </c>
      <c r="W500" s="79">
        <f>Tableau1[[#This Row],[Index HC_x000D_
kWh]]-$R$5</f>
        <v>-119168</v>
      </c>
      <c r="X500" s="82">
        <f>Tableau1[[#This Row],[Différence HC
Cumul]]/(Tableau1[[#This Row],[Diff jour_x000D_
Cumul]]*24)</f>
        <v>-6.5973415317840916</v>
      </c>
      <c r="Y500" s="82">
        <f>Tableau1[[#This Row],[Différence HC
Cumul]]/Tableau1[[#This Row],[Diff jour_x000D_
Cumul]]</f>
        <v>-158.33619676281819</v>
      </c>
      <c r="Z500" s="82">
        <f>Tableau1[[#This Row],[Conso HC / jour_x000D_
Cumul]]*365</f>
        <v>-57792.711818428637</v>
      </c>
      <c r="AA500" s="79">
        <f>Tableau1[[#This Row],[Différence HP
Instantané]]+Tableau1[[#This Row],[Différence_x000D_ HC
Instantané]]</f>
        <v>50</v>
      </c>
      <c r="AB500" s="80">
        <f>Tableau1[[#This Row],[Conso HP + HC
Instantané]]/(Tableau1[[#This Row],[Diff jour
Instantané]]*24)</f>
        <v>2.209131075119168</v>
      </c>
      <c r="AC500" s="80">
        <f>IF(ISERROR(Tableau1[[#This Row],[Date]]-A499),"",Tableau1[[#This Row],[Conso HP + HC
Instantané]]/Tableau1[[#This Row],[Diff jour
Instantané]])</f>
        <v>53.019145802860031</v>
      </c>
      <c r="AD500" s="80">
        <f>Tableau1[[#This Row],[Conso HP + HC / jour_x000D_
Instantané]]*365</f>
        <v>19351.988218043913</v>
      </c>
      <c r="AE500" s="79">
        <f>Tableau1[[#This Row],[Différence HP
Cumul]]+Tableau1[[#This Row],[Différence HC
Cumul]]</f>
        <v>-298188</v>
      </c>
      <c r="AF500" s="77">
        <f>(Tableau1[[#This Row],[Conso HP + HC
Cumul]]-AE$6)/Tableau1[[#This Row],[Diff jour_x000D_
Cumul
depuis le 24/01]]</f>
        <v>-420.9109551364399</v>
      </c>
      <c r="AG500" s="77">
        <f>(Tableau1[[#This Row],[Conso HP + HC
Cumul]]-AE$59)/Tableau1[[#This Row],[Diff jour_x000D_
Cumul
depuis
précédente facture
16/02/2021]]</f>
        <v>-436.92873356521028</v>
      </c>
      <c r="AH500" s="80">
        <f>Tableau1[[#This Row],[Conso HP + HC
Cumul]]/(Tableau1[[#This Row],[Diff jour_x000D_
Cumul]]*24)</f>
        <v>-16.508190761610791</v>
      </c>
      <c r="AI500" s="80">
        <f>Tableau1[[#This Row],[Conso HP + HC
Cumul]]/Tableau1[[#This Row],[Diff jour_x000D_
Cumul]]</f>
        <v>-396.19657827865899</v>
      </c>
      <c r="AJ500" s="80">
        <f>Tableau1[[#This Row],[Conso HP + HC / jour_x000D_
Cumul]]*365</f>
        <v>-144611.75107171052</v>
      </c>
      <c r="AK500" s="83">
        <f>(Tableau1[[#This Row],[Différence HP
Cumul]]*0.1799)+(Tableau1[[#This Row],[Différence HC
Cumul]]*0.1346)</f>
        <v>-48245.710800000001</v>
      </c>
      <c r="AL500" s="83">
        <f>Tableau1[[#This Row],[Montant
Tarif HP/HC]]/Tableau1[[#This Row],[Diff jour_x000D_
Cumul]]</f>
        <v>-64.103134718975085</v>
      </c>
      <c r="AM500" s="83">
        <f>(Tableau1[[#This Row],[Montant
Tarif HP/HC]]-AK$6)/Tableau1[[#This Row],[Diff jour_x000D_
Cumul
depuis le 24/01]]</f>
        <v>-68.113651125136116</v>
      </c>
      <c r="AN500" s="83">
        <f>(Tableau1[[#This Row],[Montant
Tarif HP/HC]]-AK$59)/Tableau1[[#This Row],[Diff jour_x000D_
Cumul
depuis
précédente facture
16/02/2021]]</f>
        <v>-70.716769506499972</v>
      </c>
      <c r="AO500" s="83">
        <f>Tableau1[[#This Row],[Conso HP + HC
Cumul]]*0.1599</f>
        <v>-47680.261199999994</v>
      </c>
      <c r="AP500" s="83">
        <f>Tableau1[[#This Row],[Montant
Tarif normal]]/Tableau1[[#This Row],[Diff jour_x000D_
Cumul]]</f>
        <v>-63.351832866757562</v>
      </c>
      <c r="AQ500" s="83">
        <f>(Tableau1[[#This Row],[Conso HP / an
Cumul]]*0.1799)+(Tableau1[[#This Row],[Conso HC / an_x000D_
Cumul]]*0.1346)</f>
        <v>-23397.644172425906</v>
      </c>
      <c r="AR500" s="83">
        <f>Tableau1[[#This Row],[Conso HP + HC / an_x000D_
Cumul]]*0.1599</f>
        <v>-23123.418996366509</v>
      </c>
      <c r="AS500" s="79">
        <f>MONTH(Tableau1[[#This Row],[Date]])</f>
        <v>1</v>
      </c>
      <c r="AT500" s="79">
        <f>YEAR(Tableau1[[#This Row],[Date]])</f>
        <v>2023</v>
      </c>
    </row>
    <row r="501" spans="1:46" x14ac:dyDescent="0.2">
      <c r="A501" s="74">
        <v>44936.306944444441</v>
      </c>
      <c r="B501" s="75"/>
      <c r="C501" s="76">
        <f>IF(ISERROR(Tableau1[[#This Row],[Date]]-A500),"",Tableau1[[#This Row],[Date]]-A500)</f>
        <v>0.97222222221898846</v>
      </c>
      <c r="D501" s="77">
        <f>IF(ISERROR(Tableau1[[#This Row],[Date]]-A500),"",Tableau1[[#This Row],[Date]]-A500)</f>
        <v>0.97222222221898846</v>
      </c>
      <c r="E501" s="76">
        <f>Tableau1[[#This Row],[Date]]-$A$5</f>
        <v>753.59861111110513</v>
      </c>
      <c r="F501" s="77">
        <f>Tableau1[[#This Row],[Date]]-$A$5</f>
        <v>753.59861111110513</v>
      </c>
      <c r="G501" s="77">
        <f>Tableau1[[#This Row],[Diff jour_x000D_
Cumul]]-F$6</f>
        <v>715.51527777777665</v>
      </c>
      <c r="H501" s="77">
        <f>Tableau1[[#This Row],[Diff jour_x000D_
Cumul]]-F$59</f>
        <v>692.99583333332703</v>
      </c>
      <c r="I501" s="78">
        <v>773</v>
      </c>
      <c r="J501" s="79">
        <f>IF(ISERROR(Tableau1[[#This Row],[Index HP
kWh]]-I500),"",Tableau1[[#This Row],[Index HP
kWh]]-I500)</f>
        <v>34</v>
      </c>
      <c r="K501" s="77">
        <f>IF(ISERROR(Tableau1[[#This Row],[Différence HP
Instantané]]/(Tableau1[[#This Row],[Diff jour
Instantané]]*24)),"",Tableau1[[#This Row],[Différence HP
Instantané]]/(Tableau1[[#This Row],[Diff jour
Instantané]]*24))</f>
        <v>1.4571428571477039</v>
      </c>
      <c r="L501" s="77">
        <f>Tableau1[[#This Row],[Différence HP
Instantané]]/Tableau1[[#This Row],[Diff jour
Instantané]]</f>
        <v>34.971428571544891</v>
      </c>
      <c r="M501" s="77">
        <f>Tableau1[[#This Row],[Conso HP / jour
Instantané]]*365</f>
        <v>12764.571428613885</v>
      </c>
      <c r="N501" s="79">
        <f>Tableau1[[#This Row],[Index HP
kWh]]-$I$5</f>
        <v>-178986</v>
      </c>
      <c r="O501" s="80">
        <f>Tableau1[[#This Row],[Différence HP
Cumul]]/(Tableau1[[#This Row],[Diff jour_x000D_
Cumul]]*24)</f>
        <v>-9.8961833130295975</v>
      </c>
      <c r="P501" s="80">
        <f>Tableau1[[#This Row],[Différence HP
Cumul]]/Tableau1[[#This Row],[Diff jour_x000D_
Cumul]]</f>
        <v>-237.50839951271035</v>
      </c>
      <c r="Q501" s="80">
        <f>Tableau1[[#This Row],[Conso HP / jour
Cumul]]*365</f>
        <v>-86690.56582213928</v>
      </c>
      <c r="R501" s="78">
        <v>284</v>
      </c>
      <c r="S501" s="79">
        <f>Tableau1[[#This Row],[Index HC_x000D_
kWh]]-R500</f>
        <v>20</v>
      </c>
      <c r="T501" s="81">
        <f>Tableau1[[#This Row],[Différence_x000D_ HC
Instantané]]/(Tableau1[[#This Row],[Diff jour
Instantané]]*24)</f>
        <v>0.85714285714570815</v>
      </c>
      <c r="U501" s="81">
        <f>Tableau1[[#This Row],[Différence_x000D_ HC
Instantané]]/Tableau1[[#This Row],[Diff jour
Instantané]]</f>
        <v>20.571428571496995</v>
      </c>
      <c r="V501" s="81">
        <f>Tableau1[[#This Row],[Conso HC / jour_x000D_
Instantané]]*365</f>
        <v>7508.5714285964032</v>
      </c>
      <c r="W501" s="79">
        <f>Tableau1[[#This Row],[Index HC_x000D_
kWh]]-$R$5</f>
        <v>-119148</v>
      </c>
      <c r="X501" s="82">
        <f>Tableau1[[#This Row],[Différence HC
Cumul]]/(Tableau1[[#This Row],[Diff jour_x000D_
Cumul]]*24)</f>
        <v>-6.5877244554370202</v>
      </c>
      <c r="Y501" s="82">
        <f>Tableau1[[#This Row],[Différence HC
Cumul]]/Tableau1[[#This Row],[Diff jour_x000D_
Cumul]]</f>
        <v>-158.10538693048849</v>
      </c>
      <c r="Z501" s="82">
        <f>Tableau1[[#This Row],[Conso HC / jour_x000D_
Cumul]]*365</f>
        <v>-57708.466229628299</v>
      </c>
      <c r="AA501" s="79">
        <f>Tableau1[[#This Row],[Différence HP
Instantané]]+Tableau1[[#This Row],[Différence_x000D_ HC
Instantané]]</f>
        <v>54</v>
      </c>
      <c r="AB501" s="80">
        <f>Tableau1[[#This Row],[Conso HP + HC
Instantané]]/(Tableau1[[#This Row],[Diff jour
Instantané]]*24)</f>
        <v>2.3142857142934119</v>
      </c>
      <c r="AC501" s="80">
        <f>IF(ISERROR(Tableau1[[#This Row],[Date]]-A500),"",Tableau1[[#This Row],[Conso HP + HC
Instantané]]/Tableau1[[#This Row],[Diff jour
Instantané]])</f>
        <v>55.542857143041886</v>
      </c>
      <c r="AD501" s="80">
        <f>Tableau1[[#This Row],[Conso HP + HC / jour_x000D_
Instantané]]*365</f>
        <v>20273.142857210289</v>
      </c>
      <c r="AE501" s="79">
        <f>Tableau1[[#This Row],[Différence HP
Cumul]]+Tableau1[[#This Row],[Différence HC
Cumul]]</f>
        <v>-298134</v>
      </c>
      <c r="AF501" s="77">
        <f>(Tableau1[[#This Row],[Conso HP + HC
Cumul]]-AE$6)/Tableau1[[#This Row],[Diff jour_x000D_
Cumul
depuis le 24/01]]</f>
        <v>-420.26356297229529</v>
      </c>
      <c r="AG501" s="77">
        <f>(Tableau1[[#This Row],[Conso HP + HC
Cumul]]-AE$59)/Tableau1[[#This Row],[Diff jour_x000D_
Cumul
depuis
précédente facture
16/02/2021]]</f>
        <v>-436.2378321178017</v>
      </c>
      <c r="AH501" s="80">
        <f>Tableau1[[#This Row],[Conso HP + HC
Cumul]]/(Tableau1[[#This Row],[Diff jour_x000D_
Cumul]]*24)</f>
        <v>-16.483907768466619</v>
      </c>
      <c r="AI501" s="80">
        <f>Tableau1[[#This Row],[Conso HP + HC
Cumul]]/Tableau1[[#This Row],[Diff jour_x000D_
Cumul]]</f>
        <v>-395.61378644319882</v>
      </c>
      <c r="AJ501" s="80">
        <f>Tableau1[[#This Row],[Conso HP + HC / jour_x000D_
Cumul]]*365</f>
        <v>-144399.03205176757</v>
      </c>
      <c r="AK501" s="83">
        <f>(Tableau1[[#This Row],[Différence HP
Cumul]]*0.1799)+(Tableau1[[#This Row],[Différence HC
Cumul]]*0.1346)</f>
        <v>-48236.902199999997</v>
      </c>
      <c r="AL501" s="83">
        <f>Tableau1[[#This Row],[Montant
Tarif HP/HC]]/Tableau1[[#This Row],[Diff jour_x000D_
Cumul]]</f>
        <v>-64.00874615318034</v>
      </c>
      <c r="AM501" s="83">
        <f>(Tableau1[[#This Row],[Montant
Tarif HP/HC]]-AK$6)/Tableau1[[#This Row],[Diff jour_x000D_
Cumul
depuis le 24/01]]</f>
        <v>-68.008789345673677</v>
      </c>
      <c r="AN501" s="83">
        <f>(Tableau1[[#This Row],[Montant
Tarif HP/HC]]-AK$59)/Tableau1[[#This Row],[Diff jour_x000D_
Cumul
depuis
précédente facture
16/02/2021]]</f>
        <v>-70.604848177298479</v>
      </c>
      <c r="AO501" s="83">
        <f>Tableau1[[#This Row],[Conso HP + HC
Cumul]]*0.1599</f>
        <v>-47671.626599999996</v>
      </c>
      <c r="AP501" s="83">
        <f>Tableau1[[#This Row],[Montant
Tarif normal]]/Tableau1[[#This Row],[Diff jour_x000D_
Cumul]]</f>
        <v>-63.25864445226749</v>
      </c>
      <c r="AQ501" s="83">
        <f>(Tableau1[[#This Row],[Conso HP / an
Cumul]]*0.1799)+(Tableau1[[#This Row],[Conso HC / an_x000D_
Cumul]]*0.1346)</f>
        <v>-23363.192345910826</v>
      </c>
      <c r="AR501" s="83">
        <f>Tableau1[[#This Row],[Conso HP + HC / an_x000D_
Cumul]]*0.1599</f>
        <v>-23089.405225077633</v>
      </c>
      <c r="AS501" s="79">
        <f>MONTH(Tableau1[[#This Row],[Date]])</f>
        <v>1</v>
      </c>
      <c r="AT501" s="79">
        <f>YEAR(Tableau1[[#This Row],[Date]])</f>
        <v>2023</v>
      </c>
    </row>
    <row r="502" spans="1:46" x14ac:dyDescent="0.2">
      <c r="A502" s="74">
        <v>44937.377083333333</v>
      </c>
      <c r="B502" s="75"/>
      <c r="C502" s="76">
        <f>IF(ISERROR(Tableau1[[#This Row],[Date]]-A501),"",Tableau1[[#This Row],[Date]]-A501)</f>
        <v>1.070138888891961</v>
      </c>
      <c r="D502" s="77">
        <f>IF(ISERROR(Tableau1[[#This Row],[Date]]-A501),"",Tableau1[[#This Row],[Date]]-A501)</f>
        <v>1.070138888891961</v>
      </c>
      <c r="E502" s="76">
        <f>Tableau1[[#This Row],[Date]]-$A$5</f>
        <v>754.66874999999709</v>
      </c>
      <c r="F502" s="77">
        <f>Tableau1[[#This Row],[Date]]-$A$5</f>
        <v>754.66874999999709</v>
      </c>
      <c r="G502" s="77">
        <f>Tableau1[[#This Row],[Diff jour_x000D_
Cumul]]-F$6</f>
        <v>716.58541666666861</v>
      </c>
      <c r="H502" s="77">
        <f>Tableau1[[#This Row],[Diff jour_x000D_
Cumul]]-F$59</f>
        <v>694.06597222221899</v>
      </c>
      <c r="I502" s="78">
        <v>805</v>
      </c>
      <c r="J502" s="79">
        <f>IF(ISERROR(Tableau1[[#This Row],[Index HP
kWh]]-I501),"",Tableau1[[#This Row],[Index HP
kWh]]-I501)</f>
        <v>32</v>
      </c>
      <c r="K502" s="77">
        <f>IF(ISERROR(Tableau1[[#This Row],[Différence HP
Instantané]]/(Tableau1[[#This Row],[Diff jour
Instantané]]*24)),"",Tableau1[[#This Row],[Différence HP
Instantané]]/(Tableau1[[#This Row],[Diff jour
Instantané]]*24))</f>
        <v>1.2459441920794863</v>
      </c>
      <c r="L502" s="77">
        <f>Tableau1[[#This Row],[Différence HP
Instantané]]/Tableau1[[#This Row],[Diff jour
Instantané]]</f>
        <v>29.90266060990767</v>
      </c>
      <c r="M502" s="77">
        <f>Tableau1[[#This Row],[Conso HP / jour
Instantané]]*365</f>
        <v>10914.4711226163</v>
      </c>
      <c r="N502" s="79">
        <f>Tableau1[[#This Row],[Index HP
kWh]]-$I$5</f>
        <v>-178954</v>
      </c>
      <c r="O502" s="80">
        <f>Tableau1[[#This Row],[Différence HP
Cumul]]/(Tableau1[[#This Row],[Diff jour_x000D_
Cumul]]*24)</f>
        <v>-9.8803835015915205</v>
      </c>
      <c r="P502" s="80">
        <f>Tableau1[[#This Row],[Différence HP
Cumul]]/Tableau1[[#This Row],[Diff jour_x000D_
Cumul]]</f>
        <v>-237.12920403819649</v>
      </c>
      <c r="Q502" s="80">
        <f>Tableau1[[#This Row],[Conso HP / jour
Cumul]]*365</f>
        <v>-86552.15947394172</v>
      </c>
      <c r="R502" s="78">
        <v>297</v>
      </c>
      <c r="S502" s="79">
        <f>Tableau1[[#This Row],[Index HC_x000D_
kWh]]-R501</f>
        <v>13</v>
      </c>
      <c r="T502" s="81">
        <f>Tableau1[[#This Row],[Différence_x000D_ HC
Instantané]]/(Tableau1[[#This Row],[Diff jour
Instantané]]*24)</f>
        <v>0.50616482803229124</v>
      </c>
      <c r="U502" s="81">
        <f>Tableau1[[#This Row],[Différence_x000D_ HC
Instantané]]/Tableau1[[#This Row],[Diff jour
Instantané]]</f>
        <v>12.14795587277499</v>
      </c>
      <c r="V502" s="81">
        <f>Tableau1[[#This Row],[Conso HC / jour_x000D_
Instantané]]*365</f>
        <v>4434.0038935628709</v>
      </c>
      <c r="W502" s="79">
        <f>Tableau1[[#This Row],[Index HC_x000D_
kWh]]-$R$5</f>
        <v>-119135</v>
      </c>
      <c r="X502" s="82">
        <f>Tableau1[[#This Row],[Différence HC
Cumul]]/(Tableau1[[#This Row],[Diff jour_x000D_
Cumul]]*24)</f>
        <v>-6.5776651455799016</v>
      </c>
      <c r="Y502" s="82">
        <f>Tableau1[[#This Row],[Différence HC
Cumul]]/Tableau1[[#This Row],[Diff jour_x000D_
Cumul]]</f>
        <v>-157.86396349391765</v>
      </c>
      <c r="Z502" s="82">
        <f>Tableau1[[#This Row],[Conso HC / jour_x000D_
Cumul]]*365</f>
        <v>-57620.346675279943</v>
      </c>
      <c r="AA502" s="79">
        <f>Tableau1[[#This Row],[Différence HP
Instantané]]+Tableau1[[#This Row],[Différence_x000D_ HC
Instantané]]</f>
        <v>45</v>
      </c>
      <c r="AB502" s="80">
        <f>Tableau1[[#This Row],[Conso HP + HC
Instantané]]/(Tableau1[[#This Row],[Diff jour
Instantané]]*24)</f>
        <v>1.7521090201117775</v>
      </c>
      <c r="AC502" s="80">
        <f>IF(ISERROR(Tableau1[[#This Row],[Date]]-A501),"",Tableau1[[#This Row],[Conso HP + HC
Instantané]]/Tableau1[[#This Row],[Diff jour
Instantané]])</f>
        <v>42.050616482682656</v>
      </c>
      <c r="AD502" s="80">
        <f>Tableau1[[#This Row],[Conso HP + HC / jour_x000D_
Instantané]]*365</f>
        <v>15348.475016179169</v>
      </c>
      <c r="AE502" s="79">
        <f>Tableau1[[#This Row],[Différence HP
Cumul]]+Tableau1[[#This Row],[Différence HC
Cumul]]</f>
        <v>-298089</v>
      </c>
      <c r="AF502" s="77">
        <f>(Tableau1[[#This Row],[Conso HP + HC
Cumul]]-AE$6)/Tableau1[[#This Row],[Diff jour_x000D_
Cumul
depuis le 24/01]]</f>
        <v>-419.57314928145809</v>
      </c>
      <c r="AG502" s="77">
        <f>(Tableau1[[#This Row],[Conso HP + HC
Cumul]]-AE$59)/Tableau1[[#This Row],[Diff jour_x000D_
Cumul
depuis
précédente facture
16/02/2021]]</f>
        <v>-435.50038771130471</v>
      </c>
      <c r="AH502" s="80">
        <f>Tableau1[[#This Row],[Conso HP + HC
Cumul]]/(Tableau1[[#This Row],[Diff jour_x000D_
Cumul]]*24)</f>
        <v>-16.45804864717142</v>
      </c>
      <c r="AI502" s="80">
        <f>Tableau1[[#This Row],[Conso HP + HC
Cumul]]/Tableau1[[#This Row],[Diff jour_x000D_
Cumul]]</f>
        <v>-394.99316753211411</v>
      </c>
      <c r="AJ502" s="80">
        <f>Tableau1[[#This Row],[Conso HP + HC / jour_x000D_
Cumul]]*365</f>
        <v>-144172.50614922165</v>
      </c>
      <c r="AK502" s="83">
        <f>(Tableau1[[#This Row],[Différence HP
Cumul]]*0.1799)+(Tableau1[[#This Row],[Différence HC
Cumul]]*0.1346)</f>
        <v>-48229.395600000003</v>
      </c>
      <c r="AL502" s="83">
        <f>Tableau1[[#This Row],[Montant
Tarif HP/HC]]/Tableau1[[#This Row],[Diff jour_x000D_
Cumul]]</f>
        <v>-63.908033292752869</v>
      </c>
      <c r="AM502" s="83">
        <f>(Tableau1[[#This Row],[Montant
Tarif HP/HC]]-AK$6)/Tableau1[[#This Row],[Diff jour_x000D_
Cumul
depuis le 24/01]]</f>
        <v>-67.896750433915301</v>
      </c>
      <c r="AN502" s="83">
        <f>(Tableau1[[#This Row],[Montant
Tarif HP/HC]]-AK$59)/Tableau1[[#This Row],[Diff jour_x000D_
Cumul
depuis
précédente facture
16/02/2021]]</f>
        <v>-70.48517137840156</v>
      </c>
      <c r="AO502" s="83">
        <f>Tableau1[[#This Row],[Conso HP + HC
Cumul]]*0.1599</f>
        <v>-47664.431099999994</v>
      </c>
      <c r="AP502" s="83">
        <f>Tableau1[[#This Row],[Montant
Tarif normal]]/Tableau1[[#This Row],[Diff jour_x000D_
Cumul]]</f>
        <v>-63.159407488385042</v>
      </c>
      <c r="AQ502" s="83">
        <f>(Tableau1[[#This Row],[Conso HP / an
Cumul]]*0.1799)+(Tableau1[[#This Row],[Conso HC / an_x000D_
Cumul]]*0.1346)</f>
        <v>-23326.432151854795</v>
      </c>
      <c r="AR502" s="83">
        <f>Tableau1[[#This Row],[Conso HP + HC / an_x000D_
Cumul]]*0.1599</f>
        <v>-23053.183733260539</v>
      </c>
      <c r="AS502" s="79">
        <f>MONTH(Tableau1[[#This Row],[Date]])</f>
        <v>1</v>
      </c>
      <c r="AT502" s="79">
        <f>YEAR(Tableau1[[#This Row],[Date]])</f>
        <v>2023</v>
      </c>
    </row>
    <row r="503" spans="1:46" x14ac:dyDescent="0.2">
      <c r="A503" s="74">
        <v>44938.397222222222</v>
      </c>
      <c r="B503" s="75"/>
      <c r="C503" s="76">
        <f>IF(ISERROR(Tableau1[[#This Row],[Date]]-A502),"",Tableau1[[#This Row],[Date]]-A502)</f>
        <v>1.0201388888890506</v>
      </c>
      <c r="D503" s="77">
        <f>IF(ISERROR(Tableau1[[#This Row],[Date]]-A502),"",Tableau1[[#This Row],[Date]]-A502)</f>
        <v>1.0201388888890506</v>
      </c>
      <c r="E503" s="76">
        <f>Tableau1[[#This Row],[Date]]-$A$5</f>
        <v>755.68888888888614</v>
      </c>
      <c r="F503" s="77">
        <f>Tableau1[[#This Row],[Date]]-$A$5</f>
        <v>755.68888888888614</v>
      </c>
      <c r="G503" s="77">
        <f>Tableau1[[#This Row],[Diff jour_x000D_
Cumul]]-F$6</f>
        <v>717.60555555555766</v>
      </c>
      <c r="H503" s="77">
        <f>Tableau1[[#This Row],[Diff jour_x000D_
Cumul]]-F$59</f>
        <v>695.08611111110804</v>
      </c>
      <c r="I503" s="78">
        <v>835</v>
      </c>
      <c r="J503" s="79">
        <f>IF(ISERROR(Tableau1[[#This Row],[Index HP
kWh]]-I502),"",Tableau1[[#This Row],[Index HP
kWh]]-I502)</f>
        <v>30</v>
      </c>
      <c r="K503" s="77">
        <f>IF(ISERROR(Tableau1[[#This Row],[Différence HP
Instantané]]/(Tableau1[[#This Row],[Diff jour
Instantané]]*24)),"",Tableau1[[#This Row],[Différence HP
Instantané]]/(Tableau1[[#This Row],[Diff jour
Instantané]]*24))</f>
        <v>1.2253233492169604</v>
      </c>
      <c r="L503" s="77">
        <f>Tableau1[[#This Row],[Différence HP
Instantané]]/Tableau1[[#This Row],[Diff jour
Instantané]]</f>
        <v>29.407760381207048</v>
      </c>
      <c r="M503" s="77">
        <f>Tableau1[[#This Row],[Conso HP / jour
Instantané]]*365</f>
        <v>10733.832539140572</v>
      </c>
      <c r="N503" s="79">
        <f>Tableau1[[#This Row],[Index HP
kWh]]-$I$5</f>
        <v>-178924</v>
      </c>
      <c r="O503" s="80">
        <f>Tableau1[[#This Row],[Différence HP
Cumul]]/(Tableau1[[#This Row],[Diff jour_x000D_
Cumul]]*24)</f>
        <v>-9.8653914015174156</v>
      </c>
      <c r="P503" s="80">
        <f>Tableau1[[#This Row],[Différence HP
Cumul]]/Tableau1[[#This Row],[Diff jour_x000D_
Cumul]]</f>
        <v>-236.76939363641796</v>
      </c>
      <c r="Q503" s="80">
        <f>Tableau1[[#This Row],[Conso HP / jour
Cumul]]*365</f>
        <v>-86420.828677292549</v>
      </c>
      <c r="R503" s="78">
        <v>312</v>
      </c>
      <c r="S503" s="79">
        <f>Tableau1[[#This Row],[Index HC_x000D_
kWh]]-R502</f>
        <v>15</v>
      </c>
      <c r="T503" s="81">
        <f>Tableau1[[#This Row],[Différence_x000D_ HC
Instantané]]/(Tableau1[[#This Row],[Diff jour
Instantané]]*24)</f>
        <v>0.6126616746084802</v>
      </c>
      <c r="U503" s="81">
        <f>Tableau1[[#This Row],[Différence_x000D_ HC
Instantané]]/Tableau1[[#This Row],[Diff jour
Instantané]]</f>
        <v>14.703880190603524</v>
      </c>
      <c r="V503" s="81">
        <f>Tableau1[[#This Row],[Conso HC / jour_x000D_
Instantané]]*365</f>
        <v>5366.9162695702862</v>
      </c>
      <c r="W503" s="79">
        <f>Tableau1[[#This Row],[Index HC_x000D_
kWh]]-$R$5</f>
        <v>-119120</v>
      </c>
      <c r="X503" s="82">
        <f>Tableau1[[#This Row],[Différence HC
Cumul]]/(Tableau1[[#This Row],[Diff jour_x000D_
Cumul]]*24)</f>
        <v>-6.5679585955419872</v>
      </c>
      <c r="Y503" s="82">
        <f>Tableau1[[#This Row],[Différence HC
Cumul]]/Tableau1[[#This Row],[Diff jour_x000D_
Cumul]]</f>
        <v>-157.63100629300769</v>
      </c>
      <c r="Z503" s="82">
        <f>Tableau1[[#This Row],[Conso HC / jour_x000D_
Cumul]]*365</f>
        <v>-57535.317296947804</v>
      </c>
      <c r="AA503" s="79">
        <f>Tableau1[[#This Row],[Différence HP
Instantané]]+Tableau1[[#This Row],[Différence_x000D_ HC
Instantané]]</f>
        <v>45</v>
      </c>
      <c r="AB503" s="80">
        <f>Tableau1[[#This Row],[Conso HP + HC
Instantané]]/(Tableau1[[#This Row],[Diff jour
Instantané]]*24)</f>
        <v>1.8379850238254405</v>
      </c>
      <c r="AC503" s="80">
        <f>IF(ISERROR(Tableau1[[#This Row],[Date]]-A502),"",Tableau1[[#This Row],[Conso HP + HC
Instantané]]/Tableau1[[#This Row],[Diff jour
Instantané]])</f>
        <v>44.111640571810568</v>
      </c>
      <c r="AD503" s="80">
        <f>Tableau1[[#This Row],[Conso HP + HC / jour_x000D_
Instantané]]*365</f>
        <v>16100.748808710858</v>
      </c>
      <c r="AE503" s="79">
        <f>Tableau1[[#This Row],[Différence HP
Cumul]]+Tableau1[[#This Row],[Différence HC
Cumul]]</f>
        <v>-298044</v>
      </c>
      <c r="AF503" s="77">
        <f>(Tableau1[[#This Row],[Conso HP + HC
Cumul]]-AE$6)/Tableau1[[#This Row],[Diff jour_x000D_
Cumul
depuis le 24/01]]</f>
        <v>-418.91398090873076</v>
      </c>
      <c r="AG503" s="77">
        <f>(Tableau1[[#This Row],[Conso HP + HC
Cumul]]-AE$59)/Tableau1[[#This Row],[Diff jour_x000D_
Cumul
depuis
précédente facture
16/02/2021]]</f>
        <v>-434.79648804504831</v>
      </c>
      <c r="AH503" s="80">
        <f>Tableau1[[#This Row],[Conso HP + HC
Cumul]]/(Tableau1[[#This Row],[Diff jour_x000D_
Cumul]]*24)</f>
        <v>-16.433349997059402</v>
      </c>
      <c r="AI503" s="80">
        <f>Tableau1[[#This Row],[Conso HP + HC
Cumul]]/Tableau1[[#This Row],[Diff jour_x000D_
Cumul]]</f>
        <v>-394.40039992942565</v>
      </c>
      <c r="AJ503" s="80">
        <f>Tableau1[[#This Row],[Conso HP + HC / jour_x000D_
Cumul]]*365</f>
        <v>-143956.14597424035</v>
      </c>
      <c r="AK503" s="83">
        <f>(Tableau1[[#This Row],[Différence HP
Cumul]]*0.1799)+(Tableau1[[#This Row],[Différence HC
Cumul]]*0.1346)</f>
        <v>-48221.979599999999</v>
      </c>
      <c r="AL503" s="83">
        <f>Tableau1[[#This Row],[Montant
Tarif HP/HC]]/Tableau1[[#This Row],[Diff jour_x000D_
Cumul]]</f>
        <v>-63.811947362230427</v>
      </c>
      <c r="AM503" s="83">
        <f>(Tableau1[[#This Row],[Montant
Tarif HP/HC]]-AK$6)/Tableau1[[#This Row],[Diff jour_x000D_
Cumul
depuis le 24/01]]</f>
        <v>-67.78989491286589</v>
      </c>
      <c r="AN503" s="83">
        <f>(Tableau1[[#This Row],[Montant
Tarif HP/HC]]-AK$59)/Tableau1[[#This Row],[Diff jour_x000D_
Cumul
depuis
précédente facture
16/02/2021]]</f>
        <v>-70.371055065120146</v>
      </c>
      <c r="AO503" s="83">
        <f>Tableau1[[#This Row],[Conso HP + HC
Cumul]]*0.1599</f>
        <v>-47657.235599999993</v>
      </c>
      <c r="AP503" s="83">
        <f>Tableau1[[#This Row],[Montant
Tarif normal]]/Tableau1[[#This Row],[Diff jour_x000D_
Cumul]]</f>
        <v>-63.064623948715152</v>
      </c>
      <c r="AQ503" s="83">
        <f>(Tableau1[[#This Row],[Conso HP / an
Cumul]]*0.1799)+(Tableau1[[#This Row],[Conso HC / an_x000D_
Cumul]]*0.1346)</f>
        <v>-23291.360787214104</v>
      </c>
      <c r="AR503" s="83">
        <f>Tableau1[[#This Row],[Conso HP + HC / an_x000D_
Cumul]]*0.1599</f>
        <v>-23018.58774128103</v>
      </c>
      <c r="AS503" s="79">
        <f>MONTH(Tableau1[[#This Row],[Date]])</f>
        <v>1</v>
      </c>
      <c r="AT503" s="79">
        <f>YEAR(Tableau1[[#This Row],[Date]])</f>
        <v>2023</v>
      </c>
    </row>
    <row r="504" spans="1:46" x14ac:dyDescent="0.2">
      <c r="A504" s="74">
        <v>44939.352777777778</v>
      </c>
      <c r="B504" s="75"/>
      <c r="C504" s="76">
        <f>IF(ISERROR(Tableau1[[#This Row],[Date]]-A503),"",Tableau1[[#This Row],[Date]]-A503)</f>
        <v>0.95555555555620231</v>
      </c>
      <c r="D504" s="77">
        <f>IF(ISERROR(Tableau1[[#This Row],[Date]]-A503),"",Tableau1[[#This Row],[Date]]-A503)</f>
        <v>0.95555555555620231</v>
      </c>
      <c r="E504" s="76">
        <f>Tableau1[[#This Row],[Date]]-$A$5</f>
        <v>756.64444444444234</v>
      </c>
      <c r="F504" s="77">
        <f>Tableau1[[#This Row],[Date]]-$A$5</f>
        <v>756.64444444444234</v>
      </c>
      <c r="G504" s="77">
        <f>Tableau1[[#This Row],[Diff jour_x000D_
Cumul]]-F$6</f>
        <v>718.56111111111386</v>
      </c>
      <c r="H504" s="77">
        <f>Tableau1[[#This Row],[Diff jour_x000D_
Cumul]]-F$59</f>
        <v>696.04166666666424</v>
      </c>
      <c r="I504" s="78">
        <v>863</v>
      </c>
      <c r="J504" s="79">
        <f>IF(ISERROR(Tableau1[[#This Row],[Index HP
kWh]]-I503),"",Tableau1[[#This Row],[Index HP
kWh]]-I503)</f>
        <v>28</v>
      </c>
      <c r="K504" s="77">
        <f>IF(ISERROR(Tableau1[[#This Row],[Différence HP
Instantané]]/(Tableau1[[#This Row],[Diff jour
Instantané]]*24)),"",Tableau1[[#This Row],[Différence HP
Instantané]]/(Tableau1[[#This Row],[Diff jour
Instantané]]*24))</f>
        <v>1.2209302325573133</v>
      </c>
      <c r="L504" s="77">
        <f>Tableau1[[#This Row],[Différence HP
Instantané]]/Tableau1[[#This Row],[Diff jour
Instantané]]</f>
        <v>29.302325581375516</v>
      </c>
      <c r="M504" s="77">
        <f>Tableau1[[#This Row],[Conso HP / jour
Instantané]]*365</f>
        <v>10695.348837202064</v>
      </c>
      <c r="N504" s="79">
        <f>Tableau1[[#This Row],[Index HP
kWh]]-$I$5</f>
        <v>-178896</v>
      </c>
      <c r="O504" s="80">
        <f>Tableau1[[#This Row],[Différence HP
Cumul]]/(Tableau1[[#This Row],[Diff jour_x000D_
Cumul]]*24)</f>
        <v>-9.8513906428970284</v>
      </c>
      <c r="P504" s="80">
        <f>Tableau1[[#This Row],[Différence HP
Cumul]]/Tableau1[[#This Row],[Diff jour_x000D_
Cumul]]</f>
        <v>-236.4333754295287</v>
      </c>
      <c r="Q504" s="80">
        <f>Tableau1[[#This Row],[Conso HP / jour
Cumul]]*365</f>
        <v>-86298.182031777978</v>
      </c>
      <c r="R504" s="78">
        <v>326</v>
      </c>
      <c r="S504" s="79">
        <f>Tableau1[[#This Row],[Index HC_x000D_
kWh]]-R503</f>
        <v>14</v>
      </c>
      <c r="T504" s="81">
        <f>Tableau1[[#This Row],[Différence_x000D_ HC
Instantané]]/(Tableau1[[#This Row],[Diff jour
Instantané]]*24)</f>
        <v>0.61046511627865663</v>
      </c>
      <c r="U504" s="81">
        <f>Tableau1[[#This Row],[Différence_x000D_ HC
Instantané]]/Tableau1[[#This Row],[Diff jour
Instantané]]</f>
        <v>14.651162790687758</v>
      </c>
      <c r="V504" s="81">
        <f>Tableau1[[#This Row],[Conso HC / jour_x000D_
Instantané]]*365</f>
        <v>5347.6744186010319</v>
      </c>
      <c r="W504" s="79">
        <f>Tableau1[[#This Row],[Index HC_x000D_
kWh]]-$R$5</f>
        <v>-119106</v>
      </c>
      <c r="X504" s="82">
        <f>Tableau1[[#This Row],[Différence HC
Cumul]]/(Tableau1[[#This Row],[Diff jour_x000D_
Cumul]]*24)</f>
        <v>-6.5588930658756679</v>
      </c>
      <c r="Y504" s="82">
        <f>Tableau1[[#This Row],[Différence HC
Cumul]]/Tableau1[[#This Row],[Diff jour_x000D_
Cumul]]</f>
        <v>-157.41343358101602</v>
      </c>
      <c r="Z504" s="82">
        <f>Tableau1[[#This Row],[Conso HC / jour_x000D_
Cumul]]*365</f>
        <v>-57455.903257070851</v>
      </c>
      <c r="AA504" s="79">
        <f>Tableau1[[#This Row],[Différence HP
Instantané]]+Tableau1[[#This Row],[Différence_x000D_ HC
Instantané]]</f>
        <v>42</v>
      </c>
      <c r="AB504" s="80">
        <f>Tableau1[[#This Row],[Conso HP + HC
Instantané]]/(Tableau1[[#This Row],[Diff jour
Instantané]]*24)</f>
        <v>1.8313953488359698</v>
      </c>
      <c r="AC504" s="80">
        <f>IF(ISERROR(Tableau1[[#This Row],[Date]]-A503),"",Tableau1[[#This Row],[Conso HP + HC
Instantané]]/Tableau1[[#This Row],[Diff jour
Instantané]])</f>
        <v>43.953488372063276</v>
      </c>
      <c r="AD504" s="80">
        <f>Tableau1[[#This Row],[Conso HP + HC / jour_x000D_
Instantané]]*365</f>
        <v>16043.023255803097</v>
      </c>
      <c r="AE504" s="79">
        <f>Tableau1[[#This Row],[Différence HP
Cumul]]+Tableau1[[#This Row],[Différence HC
Cumul]]</f>
        <v>-298002</v>
      </c>
      <c r="AF504" s="77">
        <f>(Tableau1[[#This Row],[Conso HP + HC
Cumul]]-AE$6)/Tableau1[[#This Row],[Diff jour_x000D_
Cumul
depuis le 24/01]]</f>
        <v>-418.29845138045778</v>
      </c>
      <c r="AG504" s="77">
        <f>(Tableau1[[#This Row],[Conso HP + HC
Cumul]]-AE$59)/Tableau1[[#This Row],[Diff jour_x000D_
Cumul
depuis
précédente facture
16/02/2021]]</f>
        <v>-434.13923974857977</v>
      </c>
      <c r="AH504" s="80">
        <f>Tableau1[[#This Row],[Conso HP + HC
Cumul]]/(Tableau1[[#This Row],[Diff jour_x000D_
Cumul]]*24)</f>
        <v>-16.410283708772695</v>
      </c>
      <c r="AI504" s="80">
        <f>Tableau1[[#This Row],[Conso HP + HC
Cumul]]/Tableau1[[#This Row],[Diff jour_x000D_
Cumul]]</f>
        <v>-393.84680901054475</v>
      </c>
      <c r="AJ504" s="80">
        <f>Tableau1[[#This Row],[Conso HP + HC / jour_x000D_
Cumul]]*365</f>
        <v>-143754.08528884884</v>
      </c>
      <c r="AK504" s="83">
        <f>(Tableau1[[#This Row],[Différence HP
Cumul]]*0.1799)+(Tableau1[[#This Row],[Différence HC
Cumul]]*0.1346)</f>
        <v>-48215.057999999997</v>
      </c>
      <c r="AL504" s="83">
        <f>Tableau1[[#This Row],[Montant
Tarif HP/HC]]/Tableau1[[#This Row],[Diff jour_x000D_
Cumul]]</f>
        <v>-63.722212399776964</v>
      </c>
      <c r="AM504" s="83">
        <f>(Tableau1[[#This Row],[Montant
Tarif HP/HC]]-AK$6)/Tableau1[[#This Row],[Diff jour_x000D_
Cumul
depuis le 24/01]]</f>
        <v>-67.690114101483417</v>
      </c>
      <c r="AN504" s="83">
        <f>(Tableau1[[#This Row],[Montant
Tarif HP/HC]]-AK$59)/Tableau1[[#This Row],[Diff jour_x000D_
Cumul
depuis
précédente facture
16/02/2021]]</f>
        <v>-70.264502460341461</v>
      </c>
      <c r="AO504" s="83">
        <f>Tableau1[[#This Row],[Conso HP + HC
Cumul]]*0.1599</f>
        <v>-47650.519799999995</v>
      </c>
      <c r="AP504" s="83">
        <f>Tableau1[[#This Row],[Montant
Tarif normal]]/Tableau1[[#This Row],[Diff jour_x000D_
Cumul]]</f>
        <v>-62.976104760786093</v>
      </c>
      <c r="AQ504" s="83">
        <f>(Tableau1[[#This Row],[Conso HP / an
Cumul]]*0.1799)+(Tableau1[[#This Row],[Conso HC / an_x000D_
Cumul]]*0.1346)</f>
        <v>-23258.607525918596</v>
      </c>
      <c r="AR504" s="83">
        <f>Tableau1[[#This Row],[Conso HP + HC / an_x000D_
Cumul]]*0.1599</f>
        <v>-22986.278237686929</v>
      </c>
      <c r="AS504" s="79">
        <f>MONTH(Tableau1[[#This Row],[Date]])</f>
        <v>1</v>
      </c>
      <c r="AT504" s="79">
        <f>YEAR(Tableau1[[#This Row],[Date]])</f>
        <v>2023</v>
      </c>
    </row>
    <row r="505" spans="1:46" x14ac:dyDescent="0.2">
      <c r="A505" s="74">
        <v>44940.367361111108</v>
      </c>
      <c r="B505" s="75"/>
      <c r="C505" s="76">
        <f>IF(ISERROR(Tableau1[[#This Row],[Date]]-A504),"",Tableau1[[#This Row],[Date]]-A504)</f>
        <v>1.0145833333299379</v>
      </c>
      <c r="D505" s="77">
        <f>IF(ISERROR(Tableau1[[#This Row],[Date]]-A504),"",Tableau1[[#This Row],[Date]]-A504)</f>
        <v>1.0145833333299379</v>
      </c>
      <c r="E505" s="76">
        <f>Tableau1[[#This Row],[Date]]-$A$5</f>
        <v>757.65902777777228</v>
      </c>
      <c r="F505" s="77">
        <f>Tableau1[[#This Row],[Date]]-$A$5</f>
        <v>757.65902777777228</v>
      </c>
      <c r="G505" s="77">
        <f>Tableau1[[#This Row],[Diff jour_x000D_
Cumul]]-F$6</f>
        <v>719.5756944444438</v>
      </c>
      <c r="H505" s="77">
        <f>Tableau1[[#This Row],[Diff jour_x000D_
Cumul]]-F$59</f>
        <v>697.05624999999418</v>
      </c>
      <c r="I505" s="78">
        <v>890</v>
      </c>
      <c r="J505" s="79">
        <f>IF(ISERROR(Tableau1[[#This Row],[Index HP
kWh]]-I504),"",Tableau1[[#This Row],[Index HP
kWh]]-I504)</f>
        <v>27</v>
      </c>
      <c r="K505" s="77">
        <f>IF(ISERROR(Tableau1[[#This Row],[Différence HP
Instantané]]/(Tableau1[[#This Row],[Diff jour
Instantané]]*24)),"",Tableau1[[#This Row],[Différence HP
Instantané]]/(Tableau1[[#This Row],[Diff jour
Instantané]]*24))</f>
        <v>1.1088295687922118</v>
      </c>
      <c r="L505" s="77">
        <f>Tableau1[[#This Row],[Différence HP
Instantané]]/Tableau1[[#This Row],[Diff jour
Instantané]]</f>
        <v>26.611909651013086</v>
      </c>
      <c r="M505" s="77">
        <f>Tableau1[[#This Row],[Conso HP / jour
Instantané]]*365</f>
        <v>9713.3470226197769</v>
      </c>
      <c r="N505" s="79">
        <f>Tableau1[[#This Row],[Index HP
kWh]]-$I$5</f>
        <v>-178869</v>
      </c>
      <c r="O505" s="80">
        <f>Tableau1[[#This Row],[Différence HP
Cumul]]/(Tableau1[[#This Row],[Diff jour_x000D_
Cumul]]*24)</f>
        <v>-9.8367137812102872</v>
      </c>
      <c r="P505" s="80">
        <f>Tableau1[[#This Row],[Différence HP
Cumul]]/Tableau1[[#This Row],[Diff jour_x000D_
Cumul]]</f>
        <v>-236.08113074904688</v>
      </c>
      <c r="Q505" s="80">
        <f>Tableau1[[#This Row],[Conso HP / jour
Cumul]]*365</f>
        <v>-86169.612723402111</v>
      </c>
      <c r="R505" s="78">
        <v>341</v>
      </c>
      <c r="S505" s="79">
        <f>Tableau1[[#This Row],[Index HC_x000D_
kWh]]-R504</f>
        <v>15</v>
      </c>
      <c r="T505" s="81">
        <f>Tableau1[[#This Row],[Différence_x000D_ HC
Instantané]]/(Tableau1[[#This Row],[Diff jour
Instantané]]*24)</f>
        <v>0.61601642710678439</v>
      </c>
      <c r="U505" s="81">
        <f>Tableau1[[#This Row],[Différence_x000D_ HC
Instantané]]/Tableau1[[#This Row],[Diff jour
Instantané]]</f>
        <v>14.784394250562825</v>
      </c>
      <c r="V505" s="81">
        <f>Tableau1[[#This Row],[Conso HC / jour_x000D_
Instantané]]*365</f>
        <v>5396.3039014554306</v>
      </c>
      <c r="W505" s="79">
        <f>Tableau1[[#This Row],[Index HC_x000D_
kWh]]-$R$5</f>
        <v>-119091</v>
      </c>
      <c r="X505" s="82">
        <f>Tableau1[[#This Row],[Différence HC
Cumul]]/(Tableau1[[#This Row],[Diff jour_x000D_
Cumul]]*24)</f>
        <v>-6.5492851244101224</v>
      </c>
      <c r="Y505" s="82">
        <f>Tableau1[[#This Row],[Différence HC
Cumul]]/Tableau1[[#This Row],[Diff jour_x000D_
Cumul]]</f>
        <v>-157.18284298584294</v>
      </c>
      <c r="Z505" s="82">
        <f>Tableau1[[#This Row],[Conso HC / jour_x000D_
Cumul]]*365</f>
        <v>-57371.737689832669</v>
      </c>
      <c r="AA505" s="79">
        <f>Tableau1[[#This Row],[Différence HP
Instantané]]+Tableau1[[#This Row],[Différence_x000D_ HC
Instantané]]</f>
        <v>42</v>
      </c>
      <c r="AB505" s="80">
        <f>Tableau1[[#This Row],[Conso HP + HC
Instantané]]/(Tableau1[[#This Row],[Diff jour
Instantané]]*24)</f>
        <v>1.7248459958989963</v>
      </c>
      <c r="AC505" s="80">
        <f>IF(ISERROR(Tableau1[[#This Row],[Date]]-A504),"",Tableau1[[#This Row],[Conso HP + HC
Instantané]]/Tableau1[[#This Row],[Diff jour
Instantané]])</f>
        <v>41.396303901575912</v>
      </c>
      <c r="AD505" s="80">
        <f>Tableau1[[#This Row],[Conso HP + HC / jour_x000D_
Instantané]]*365</f>
        <v>15109.650924075208</v>
      </c>
      <c r="AE505" s="79">
        <f>Tableau1[[#This Row],[Différence HP
Cumul]]+Tableau1[[#This Row],[Différence HC
Cumul]]</f>
        <v>-297960</v>
      </c>
      <c r="AF505" s="77">
        <f>(Tableau1[[#This Row],[Conso HP + HC
Cumul]]-AE$6)/Tableau1[[#This Row],[Diff jour_x000D_
Cumul
depuis le 24/01]]</f>
        <v>-417.65029352753254</v>
      </c>
      <c r="AG505" s="77">
        <f>(Tableau1[[#This Row],[Conso HP + HC
Cumul]]-AE$59)/Tableau1[[#This Row],[Diff jour_x000D_
Cumul
depuis
précédente facture
16/02/2021]]</f>
        <v>-433.4470855113953</v>
      </c>
      <c r="AH505" s="80">
        <f>Tableau1[[#This Row],[Conso HP + HC
Cumul]]/(Tableau1[[#This Row],[Diff jour_x000D_
Cumul]]*24)</f>
        <v>-16.385998905620408</v>
      </c>
      <c r="AI505" s="80">
        <f>Tableau1[[#This Row],[Conso HP + HC
Cumul]]/Tableau1[[#This Row],[Diff jour_x000D_
Cumul]]</f>
        <v>-393.26397373488982</v>
      </c>
      <c r="AJ505" s="80">
        <f>Tableau1[[#This Row],[Conso HP + HC / jour_x000D_
Cumul]]*365</f>
        <v>-143541.35041323479</v>
      </c>
      <c r="AK505" s="83">
        <f>(Tableau1[[#This Row],[Différence HP
Cumul]]*0.1799)+(Tableau1[[#This Row],[Différence HC
Cumul]]*0.1346)</f>
        <v>-48208.181700000001</v>
      </c>
      <c r="AL505" s="83">
        <f>Tableau1[[#This Row],[Montant
Tarif HP/HC]]/Tableau1[[#This Row],[Diff jour_x000D_
Cumul]]</f>
        <v>-63.627806087647997</v>
      </c>
      <c r="AM505" s="83">
        <f>(Tableau1[[#This Row],[Montant
Tarif HP/HC]]-AK$6)/Tableau1[[#This Row],[Diff jour_x000D_
Cumul
depuis le 24/01]]</f>
        <v>-67.58511672291452</v>
      </c>
      <c r="AN505" s="83">
        <f>(Tableau1[[#This Row],[Montant
Tarif HP/HC]]-AK$59)/Tableau1[[#This Row],[Diff jour_x000D_
Cumul
depuis
précédente facture
16/02/2021]]</f>
        <v>-70.152365895866239</v>
      </c>
      <c r="AO505" s="83">
        <f>Tableau1[[#This Row],[Conso HP + HC
Cumul]]*0.1599</f>
        <v>-47643.803999999996</v>
      </c>
      <c r="AP505" s="83">
        <f>Tableau1[[#This Row],[Montant
Tarif normal]]/Tableau1[[#This Row],[Diff jour_x000D_
Cumul]]</f>
        <v>-62.882909400208881</v>
      </c>
      <c r="AQ505" s="83">
        <f>(Tableau1[[#This Row],[Conso HP / an
Cumul]]*0.1799)+(Tableau1[[#This Row],[Conso HC / an_x000D_
Cumul]]*0.1346)</f>
        <v>-23224.149221991516</v>
      </c>
      <c r="AR505" s="83">
        <f>Tableau1[[#This Row],[Conso HP + HC / an_x000D_
Cumul]]*0.1599</f>
        <v>-22952.261931076242</v>
      </c>
      <c r="AS505" s="79">
        <f>MONTH(Tableau1[[#This Row],[Date]])</f>
        <v>1</v>
      </c>
      <c r="AT505" s="79">
        <f>YEAR(Tableau1[[#This Row],[Date]])</f>
        <v>2023</v>
      </c>
    </row>
    <row r="506" spans="1:46" x14ac:dyDescent="0.2">
      <c r="A506" s="74">
        <v>44941.769444444442</v>
      </c>
      <c r="B506" s="75"/>
      <c r="C506" s="76">
        <f>IF(ISERROR(Tableau1[[#This Row],[Date]]-A505),"",Tableau1[[#This Row],[Date]]-A505)</f>
        <v>1.4020833333343035</v>
      </c>
      <c r="D506" s="77">
        <f>IF(ISERROR(Tableau1[[#This Row],[Date]]-A505),"",Tableau1[[#This Row],[Date]]-A505)</f>
        <v>1.4020833333343035</v>
      </c>
      <c r="E506" s="76">
        <f>Tableau1[[#This Row],[Date]]-$A$5</f>
        <v>759.06111111110658</v>
      </c>
      <c r="F506" s="77">
        <f>Tableau1[[#This Row],[Date]]-$A$5</f>
        <v>759.06111111110658</v>
      </c>
      <c r="G506" s="77">
        <f>Tableau1[[#This Row],[Diff jour_x000D_
Cumul]]-F$6</f>
        <v>720.9777777777781</v>
      </c>
      <c r="H506" s="77">
        <f>Tableau1[[#This Row],[Diff jour_x000D_
Cumul]]-F$59</f>
        <v>698.45833333332848</v>
      </c>
      <c r="I506" s="78">
        <v>942</v>
      </c>
      <c r="J506" s="79">
        <f>IF(ISERROR(Tableau1[[#This Row],[Index HP
kWh]]-I505),"",Tableau1[[#This Row],[Index HP
kWh]]-I505)</f>
        <v>52</v>
      </c>
      <c r="K506" s="77">
        <f>IF(ISERROR(Tableau1[[#This Row],[Différence HP
Instantané]]/(Tableau1[[#This Row],[Diff jour
Instantané]]*24)),"",Tableau1[[#This Row],[Différence HP
Instantané]]/(Tableau1[[#This Row],[Diff jour
Instantané]]*24))</f>
        <v>1.5453194650806543</v>
      </c>
      <c r="L506" s="77">
        <f>Tableau1[[#This Row],[Différence HP
Instantané]]/Tableau1[[#This Row],[Diff jour
Instantané]]</f>
        <v>37.087667161935705</v>
      </c>
      <c r="M506" s="77">
        <f>Tableau1[[#This Row],[Conso HP / jour
Instantané]]*365</f>
        <v>13536.998514106532</v>
      </c>
      <c r="N506" s="79">
        <f>Tableau1[[#This Row],[Index HP
kWh]]-$I$5</f>
        <v>-178817</v>
      </c>
      <c r="O506" s="80">
        <f>Tableau1[[#This Row],[Différence HP
Cumul]]/(Tableau1[[#This Row],[Diff jour_x000D_
Cumul]]*24)</f>
        <v>-9.815689704386326</v>
      </c>
      <c r="P506" s="80">
        <f>Tableau1[[#This Row],[Différence HP
Cumul]]/Tableau1[[#This Row],[Diff jour_x000D_
Cumul]]</f>
        <v>-235.5765529052718</v>
      </c>
      <c r="Q506" s="80">
        <f>Tableau1[[#This Row],[Conso HP / jour
Cumul]]*365</f>
        <v>-85985.441810424207</v>
      </c>
      <c r="R506" s="78">
        <v>355</v>
      </c>
      <c r="S506" s="79">
        <f>Tableau1[[#This Row],[Index HC_x000D_
kWh]]-R505</f>
        <v>14</v>
      </c>
      <c r="T506" s="81">
        <f>Tableau1[[#This Row],[Différence_x000D_ HC
Instantané]]/(Tableau1[[#This Row],[Diff jour
Instantané]]*24)</f>
        <v>0.41604754829094542</v>
      </c>
      <c r="U506" s="81">
        <f>Tableau1[[#This Row],[Différence_x000D_ HC
Instantané]]/Tableau1[[#This Row],[Diff jour
Instantané]]</f>
        <v>9.9851411589826906</v>
      </c>
      <c r="V506" s="81">
        <f>Tableau1[[#This Row],[Conso HC / jour_x000D_
Instantané]]*365</f>
        <v>3644.576523028682</v>
      </c>
      <c r="W506" s="79">
        <f>Tableau1[[#This Row],[Index HC_x000D_
kWh]]-$R$5</f>
        <v>-119077</v>
      </c>
      <c r="X506" s="82">
        <f>Tableau1[[#This Row],[Différence HC
Cumul]]/(Tableau1[[#This Row],[Diff jour_x000D_
Cumul]]*24)</f>
        <v>-6.5364192606363511</v>
      </c>
      <c r="Y506" s="82">
        <f>Tableau1[[#This Row],[Différence HC
Cumul]]/Tableau1[[#This Row],[Diff jour_x000D_
Cumul]]</f>
        <v>-156.87406225527243</v>
      </c>
      <c r="Z506" s="82">
        <f>Tableau1[[#This Row],[Conso HC / jour_x000D_
Cumul]]*365</f>
        <v>-57259.032723174438</v>
      </c>
      <c r="AA506" s="79">
        <f>Tableau1[[#This Row],[Différence HP
Instantané]]+Tableau1[[#This Row],[Différence_x000D_ HC
Instantané]]</f>
        <v>66</v>
      </c>
      <c r="AB506" s="80">
        <f>Tableau1[[#This Row],[Conso HP + HC
Instantané]]/(Tableau1[[#This Row],[Diff jour
Instantané]]*24)</f>
        <v>1.9613670133715999</v>
      </c>
      <c r="AC506" s="80">
        <f>IF(ISERROR(Tableau1[[#This Row],[Date]]-A505),"",Tableau1[[#This Row],[Conso HP + HC
Instantané]]/Tableau1[[#This Row],[Diff jour
Instantané]])</f>
        <v>47.072808320918398</v>
      </c>
      <c r="AD506" s="80">
        <f>Tableau1[[#This Row],[Conso HP + HC / jour_x000D_
Instantané]]*365</f>
        <v>17181.575037135215</v>
      </c>
      <c r="AE506" s="79">
        <f>Tableau1[[#This Row],[Différence HP
Cumul]]+Tableau1[[#This Row],[Différence HC
Cumul]]</f>
        <v>-297894</v>
      </c>
      <c r="AF506" s="77">
        <f>(Tableau1[[#This Row],[Conso HP + HC
Cumul]]-AE$6)/Tableau1[[#This Row],[Diff jour_x000D_
Cumul
depuis le 24/01]]</f>
        <v>-416.74654789791623</v>
      </c>
      <c r="AG506" s="77">
        <f>(Tableau1[[#This Row],[Conso HP + HC
Cumul]]-AE$59)/Tableau1[[#This Row],[Diff jour_x000D_
Cumul
depuis
précédente facture
16/02/2021]]</f>
        <v>-432.48249120086206</v>
      </c>
      <c r="AH506" s="80">
        <f>Tableau1[[#This Row],[Conso HP + HC
Cumul]]/(Tableau1[[#This Row],[Diff jour_x000D_
Cumul]]*24)</f>
        <v>-16.352108965022676</v>
      </c>
      <c r="AI506" s="80">
        <f>Tableau1[[#This Row],[Conso HP + HC
Cumul]]/Tableau1[[#This Row],[Diff jour_x000D_
Cumul]]</f>
        <v>-392.45061516054426</v>
      </c>
      <c r="AJ506" s="80">
        <f>Tableau1[[#This Row],[Conso HP + HC / jour_x000D_
Cumul]]*365</f>
        <v>-143244.47453359867</v>
      </c>
      <c r="AK506" s="83">
        <f>(Tableau1[[#This Row],[Différence HP
Cumul]]*0.1799)+(Tableau1[[#This Row],[Différence HC
Cumul]]*0.1346)</f>
        <v>-48196.942499999997</v>
      </c>
      <c r="AL506" s="83">
        <f>Tableau1[[#This Row],[Montant
Tarif HP/HC]]/Tableau1[[#This Row],[Diff jour_x000D_
Cumul]]</f>
        <v>-63.495470647218063</v>
      </c>
      <c r="AM506" s="83">
        <f>(Tableau1[[#This Row],[Montant
Tarif HP/HC]]-AK$6)/Tableau1[[#This Row],[Diff jour_x000D_
Cumul
depuis le 24/01]]</f>
        <v>-67.438095318086525</v>
      </c>
      <c r="AN506" s="83">
        <f>(Tableau1[[#This Row],[Montant
Tarif HP/HC]]-AK$59)/Tableau1[[#This Row],[Diff jour_x000D_
Cumul
depuis
précédente facture
16/02/2021]]</f>
        <v>-69.995450790431789</v>
      </c>
      <c r="AO506" s="83">
        <f>Tableau1[[#This Row],[Conso HP + HC
Cumul]]*0.1599</f>
        <v>-47633.250599999999</v>
      </c>
      <c r="AP506" s="83">
        <f>Tableau1[[#This Row],[Montant
Tarif normal]]/Tableau1[[#This Row],[Diff jour_x000D_
Cumul]]</f>
        <v>-62.752853364171024</v>
      </c>
      <c r="AQ506" s="83">
        <f>(Tableau1[[#This Row],[Conso HP / an
Cumul]]*0.1799)+(Tableau1[[#This Row],[Conso HC / an_x000D_
Cumul]]*0.1346)</f>
        <v>-23175.846786234593</v>
      </c>
      <c r="AR506" s="83">
        <f>Tableau1[[#This Row],[Conso HP + HC / an_x000D_
Cumul]]*0.1599</f>
        <v>-22904.791477922427</v>
      </c>
      <c r="AS506" s="79">
        <f>MONTH(Tableau1[[#This Row],[Date]])</f>
        <v>1</v>
      </c>
      <c r="AT506" s="79">
        <f>YEAR(Tableau1[[#This Row],[Date]])</f>
        <v>2023</v>
      </c>
    </row>
    <row r="507" spans="1:46" x14ac:dyDescent="0.2">
      <c r="A507" s="74">
        <v>44942.332638888889</v>
      </c>
      <c r="B507" s="75"/>
      <c r="C507" s="76">
        <f>IF(ISERROR(Tableau1[[#This Row],[Date]]-A506),"",Tableau1[[#This Row],[Date]]-A506)</f>
        <v>0.56319444444670808</v>
      </c>
      <c r="D507" s="77">
        <f>IF(ISERROR(Tableau1[[#This Row],[Date]]-A506),"",Tableau1[[#This Row],[Date]]-A506)</f>
        <v>0.56319444444670808</v>
      </c>
      <c r="E507" s="76">
        <f>Tableau1[[#This Row],[Date]]-$A$5</f>
        <v>759.62430555555329</v>
      </c>
      <c r="F507" s="77">
        <f>Tableau1[[#This Row],[Date]]-$A$5</f>
        <v>759.62430555555329</v>
      </c>
      <c r="G507" s="77">
        <f>Tableau1[[#This Row],[Diff jour_x000D_
Cumul]]-F$6</f>
        <v>721.54097222222481</v>
      </c>
      <c r="H507" s="77">
        <f>Tableau1[[#This Row],[Diff jour_x000D_
Cumul]]-F$59</f>
        <v>699.02152777777519</v>
      </c>
      <c r="I507" s="78">
        <v>956</v>
      </c>
      <c r="J507" s="79">
        <f>IF(ISERROR(Tableau1[[#This Row],[Index HP
kWh]]-I506),"",Tableau1[[#This Row],[Index HP
kWh]]-I506)</f>
        <v>14</v>
      </c>
      <c r="K507" s="77">
        <f>IF(ISERROR(Tableau1[[#This Row],[Différence HP
Instantané]]/(Tableau1[[#This Row],[Diff jour
Instantané]]*24)),"",Tableau1[[#This Row],[Différence HP
Instantané]]/(Tableau1[[#This Row],[Diff jour
Instantané]]*24))</f>
        <v>1.0357583230537901</v>
      </c>
      <c r="L507" s="77">
        <f>Tableau1[[#This Row],[Différence HP
Instantané]]/Tableau1[[#This Row],[Diff jour
Instantané]]</f>
        <v>24.858199753290965</v>
      </c>
      <c r="M507" s="77">
        <f>Tableau1[[#This Row],[Conso HP / jour
Instantané]]*365</f>
        <v>9073.2429099512028</v>
      </c>
      <c r="N507" s="79">
        <f>Tableau1[[#This Row],[Index HP
kWh]]-$I$5</f>
        <v>-178803</v>
      </c>
      <c r="O507" s="80">
        <f>Tableau1[[#This Row],[Différence HP
Cumul]]/(Tableau1[[#This Row],[Diff jour_x000D_
Cumul]]*24)</f>
        <v>-9.8076443124754036</v>
      </c>
      <c r="P507" s="80">
        <f>Tableau1[[#This Row],[Différence HP
Cumul]]/Tableau1[[#This Row],[Diff jour_x000D_
Cumul]]</f>
        <v>-235.38346349940969</v>
      </c>
      <c r="Q507" s="80">
        <f>Tableau1[[#This Row],[Conso HP / jour
Cumul]]*365</f>
        <v>-85914.964177284535</v>
      </c>
      <c r="R507" s="78">
        <v>373</v>
      </c>
      <c r="S507" s="79">
        <f>Tableau1[[#This Row],[Index HC_x000D_
kWh]]-R506</f>
        <v>18</v>
      </c>
      <c r="T507" s="81">
        <f>Tableau1[[#This Row],[Différence_x000D_ HC
Instantané]]/(Tableau1[[#This Row],[Diff jour
Instantané]]*24)</f>
        <v>1.3316892724977303</v>
      </c>
      <c r="U507" s="81">
        <f>Tableau1[[#This Row],[Différence_x000D_ HC
Instantané]]/Tableau1[[#This Row],[Diff jour
Instantané]]</f>
        <v>31.960542539945525</v>
      </c>
      <c r="V507" s="81">
        <f>Tableau1[[#This Row],[Conso HC / jour_x000D_
Instantané]]*365</f>
        <v>11665.598027080117</v>
      </c>
      <c r="W507" s="79">
        <f>Tableau1[[#This Row],[Index HC_x000D_
kWh]]-$R$5</f>
        <v>-119059</v>
      </c>
      <c r="X507" s="82">
        <f>Tableau1[[#This Row],[Différence HC
Cumul]]/(Tableau1[[#This Row],[Diff jour_x000D_
Cumul]]*24)</f>
        <v>-6.5305857519113717</v>
      </c>
      <c r="Y507" s="82">
        <f>Tableau1[[#This Row],[Différence HC
Cumul]]/Tableau1[[#This Row],[Diff jour_x000D_
Cumul]]</f>
        <v>-156.73405804587293</v>
      </c>
      <c r="Z507" s="82">
        <f>Tableau1[[#This Row],[Conso HC / jour_x000D_
Cumul]]*365</f>
        <v>-57207.931186743619</v>
      </c>
      <c r="AA507" s="79">
        <f>Tableau1[[#This Row],[Différence HP
Instantané]]+Tableau1[[#This Row],[Différence_x000D_ HC
Instantané]]</f>
        <v>32</v>
      </c>
      <c r="AB507" s="80">
        <f>Tableau1[[#This Row],[Conso HP + HC
Instantané]]/(Tableau1[[#This Row],[Diff jour
Instantané]]*24)</f>
        <v>2.3674475955515204</v>
      </c>
      <c r="AC507" s="80">
        <f>IF(ISERROR(Tableau1[[#This Row],[Date]]-A506),"",Tableau1[[#This Row],[Conso HP + HC
Instantané]]/Tableau1[[#This Row],[Diff jour
Instantané]])</f>
        <v>56.81874229323649</v>
      </c>
      <c r="AD507" s="80">
        <f>Tableau1[[#This Row],[Conso HP + HC / jour_x000D_
Instantané]]*365</f>
        <v>20738.84093703132</v>
      </c>
      <c r="AE507" s="79">
        <f>Tableau1[[#This Row],[Différence HP
Cumul]]+Tableau1[[#This Row],[Différence HC
Cumul]]</f>
        <v>-297862</v>
      </c>
      <c r="AF507" s="77">
        <f>(Tableau1[[#This Row],[Conso HP + HC
Cumul]]-AE$6)/Tableau1[[#This Row],[Diff jour_x000D_
Cumul
depuis le 24/01]]</f>
        <v>-416.37690937316682</v>
      </c>
      <c r="AG507" s="77">
        <f>(Tableau1[[#This Row],[Conso HP + HC
Cumul]]-AE$59)/Tableau1[[#This Row],[Diff jour_x000D_
Cumul
depuis
précédente facture
16/02/2021]]</f>
        <v>-432.08826623723201</v>
      </c>
      <c r="AH507" s="80">
        <f>Tableau1[[#This Row],[Conso HP + HC
Cumul]]/(Tableau1[[#This Row],[Diff jour_x000D_
Cumul]]*24)</f>
        <v>-16.338230064386774</v>
      </c>
      <c r="AI507" s="80">
        <f>Tableau1[[#This Row],[Conso HP + HC
Cumul]]/Tableau1[[#This Row],[Diff jour_x000D_
Cumul]]</f>
        <v>-392.11752154528261</v>
      </c>
      <c r="AJ507" s="80">
        <f>Tableau1[[#This Row],[Conso HP + HC / jour_x000D_
Cumul]]*365</f>
        <v>-143122.89536402814</v>
      </c>
      <c r="AK507" s="83">
        <f>(Tableau1[[#This Row],[Différence HP
Cumul]]*0.1799)+(Tableau1[[#This Row],[Différence HC
Cumul]]*0.1346)</f>
        <v>-48192.001100000001</v>
      </c>
      <c r="AL507" s="83">
        <f>Tableau1[[#This Row],[Montant
Tarif HP/HC]]/Tableau1[[#This Row],[Diff jour_x000D_
Cumul]]</f>
        <v>-63.441889296518298</v>
      </c>
      <c r="AM507" s="83">
        <f>(Tableau1[[#This Row],[Montant
Tarif HP/HC]]-AK$6)/Tableau1[[#This Row],[Diff jour_x000D_
Cumul
depuis le 24/01]]</f>
        <v>-67.378608522076831</v>
      </c>
      <c r="AN507" s="83">
        <f>(Tableau1[[#This Row],[Montant
Tarif HP/HC]]-AK$59)/Tableau1[[#This Row],[Diff jour_x000D_
Cumul
depuis
précédente facture
16/02/2021]]</f>
        <v>-69.931987152676967</v>
      </c>
      <c r="AO507" s="83">
        <f>Tableau1[[#This Row],[Conso HP + HC
Cumul]]*0.1599</f>
        <v>-47628.133799999996</v>
      </c>
      <c r="AP507" s="83">
        <f>Tableau1[[#This Row],[Montant
Tarif normal]]/Tableau1[[#This Row],[Diff jour_x000D_
Cumul]]</f>
        <v>-62.699591695090682</v>
      </c>
      <c r="AQ507" s="83">
        <f>(Tableau1[[#This Row],[Conso HP / an
Cumul]]*0.1799)+(Tableau1[[#This Row],[Conso HC / an_x000D_
Cumul]]*0.1346)</f>
        <v>-23156.289593229179</v>
      </c>
      <c r="AR507" s="83">
        <f>Tableau1[[#This Row],[Conso HP + HC / an_x000D_
Cumul]]*0.1599</f>
        <v>-22885.350968708099</v>
      </c>
      <c r="AS507" s="79">
        <f>MONTH(Tableau1[[#This Row],[Date]])</f>
        <v>1</v>
      </c>
      <c r="AT507" s="79">
        <f>YEAR(Tableau1[[#This Row],[Date]])</f>
        <v>2023</v>
      </c>
    </row>
    <row r="508" spans="1:46" x14ac:dyDescent="0.2">
      <c r="A508" s="74">
        <v>44943.319444444445</v>
      </c>
      <c r="B508" s="75"/>
      <c r="C508" s="76">
        <f>IF(ISERROR(Tableau1[[#This Row],[Date]]-A507),"",Tableau1[[#This Row],[Date]]-A507)</f>
        <v>0.98680555555620231</v>
      </c>
      <c r="D508" s="77">
        <f>IF(ISERROR(Tableau1[[#This Row],[Date]]-A507),"",Tableau1[[#This Row],[Date]]-A507)</f>
        <v>0.98680555555620231</v>
      </c>
      <c r="E508" s="76">
        <f>Tableau1[[#This Row],[Date]]-$A$5</f>
        <v>760.61111111110949</v>
      </c>
      <c r="F508" s="77">
        <f>Tableau1[[#This Row],[Date]]-$A$5</f>
        <v>760.61111111110949</v>
      </c>
      <c r="G508" s="77">
        <f>Tableau1[[#This Row],[Diff jour_x000D_
Cumul]]-F$6</f>
        <v>722.52777777778101</v>
      </c>
      <c r="H508" s="77">
        <f>Tableau1[[#This Row],[Diff jour_x000D_
Cumul]]-F$59</f>
        <v>700.00833333333139</v>
      </c>
      <c r="I508" s="78">
        <v>996</v>
      </c>
      <c r="J508" s="79">
        <f>IF(ISERROR(Tableau1[[#This Row],[Index HP
kWh]]-I507),"",Tableau1[[#This Row],[Index HP
kWh]]-I507)</f>
        <v>40</v>
      </c>
      <c r="K508" s="77">
        <f>IF(ISERROR(Tableau1[[#This Row],[Différence HP
Instantané]]/(Tableau1[[#This Row],[Diff jour
Instantané]]*24)),"",Tableau1[[#This Row],[Différence HP
Instantané]]/(Tableau1[[#This Row],[Diff jour
Instantané]]*24))</f>
        <v>1.688951442644917</v>
      </c>
      <c r="L508" s="77">
        <f>Tableau1[[#This Row],[Différence HP
Instantané]]/Tableau1[[#This Row],[Diff jour
Instantané]]</f>
        <v>40.534834623478005</v>
      </c>
      <c r="M508" s="77">
        <f>Tableau1[[#This Row],[Conso HP / jour
Instantané]]*365</f>
        <v>14795.214637569472</v>
      </c>
      <c r="N508" s="79">
        <f>Tableau1[[#This Row],[Index HP
kWh]]-$I$5</f>
        <v>-178763</v>
      </c>
      <c r="O508" s="80">
        <f>Tableau1[[#This Row],[Différence HP
Cumul]]/(Tableau1[[#This Row],[Diff jour_x000D_
Cumul]]*24)</f>
        <v>-9.7927287999415888</v>
      </c>
      <c r="P508" s="80">
        <f>Tableau1[[#This Row],[Différence HP
Cumul]]/Tableau1[[#This Row],[Diff jour_x000D_
Cumul]]</f>
        <v>-235.02549119859813</v>
      </c>
      <c r="Q508" s="80">
        <f>Tableau1[[#This Row],[Conso HP / jour
Cumul]]*365</f>
        <v>-85784.304287488325</v>
      </c>
      <c r="R508" s="78">
        <v>393</v>
      </c>
      <c r="S508" s="79">
        <f>Tableau1[[#This Row],[Index HC_x000D_
kWh]]-R507</f>
        <v>20</v>
      </c>
      <c r="T508" s="81">
        <f>Tableau1[[#This Row],[Différence_x000D_ HC
Instantané]]/(Tableau1[[#This Row],[Diff jour
Instantané]]*24)</f>
        <v>0.84447572132245852</v>
      </c>
      <c r="U508" s="81">
        <f>Tableau1[[#This Row],[Différence_x000D_ HC
Instantané]]/Tableau1[[#This Row],[Diff jour
Instantané]]</f>
        <v>20.267417311739003</v>
      </c>
      <c r="V508" s="81">
        <f>Tableau1[[#This Row],[Conso HC / jour_x000D_
Instantané]]*365</f>
        <v>7397.607318784736</v>
      </c>
      <c r="W508" s="79">
        <f>Tableau1[[#This Row],[Index HC_x000D_
kWh]]-$R$5</f>
        <v>-119039</v>
      </c>
      <c r="X508" s="82">
        <f>Tableau1[[#This Row],[Différence HC
Cumul]]/(Tableau1[[#This Row],[Diff jour_x000D_
Cumul]]*24)</f>
        <v>-6.5210174567234089</v>
      </c>
      <c r="Y508" s="82">
        <f>Tableau1[[#This Row],[Différence HC
Cumul]]/Tableau1[[#This Row],[Diff jour_x000D_
Cumul]]</f>
        <v>-156.50441896136181</v>
      </c>
      <c r="Z508" s="82">
        <f>Tableau1[[#This Row],[Conso HC / jour_x000D_
Cumul]]*365</f>
        <v>-57124.11292089706</v>
      </c>
      <c r="AA508" s="79">
        <f>Tableau1[[#This Row],[Différence HP
Instantané]]+Tableau1[[#This Row],[Différence_x000D_ HC
Instantané]]</f>
        <v>60</v>
      </c>
      <c r="AB508" s="80">
        <f>Tableau1[[#This Row],[Conso HP + HC
Instantané]]/(Tableau1[[#This Row],[Diff jour
Instantané]]*24)</f>
        <v>2.5334271639673753</v>
      </c>
      <c r="AC508" s="80">
        <f>IF(ISERROR(Tableau1[[#This Row],[Date]]-A507),"",Tableau1[[#This Row],[Conso HP + HC
Instantané]]/Tableau1[[#This Row],[Diff jour
Instantané]])</f>
        <v>60.802251935217015</v>
      </c>
      <c r="AD508" s="80">
        <f>Tableau1[[#This Row],[Conso HP + HC / jour_x000D_
Instantané]]*365</f>
        <v>22192.821956354212</v>
      </c>
      <c r="AE508" s="79">
        <f>Tableau1[[#This Row],[Différence HP
Cumul]]+Tableau1[[#This Row],[Différence HC
Cumul]]</f>
        <v>-297802</v>
      </c>
      <c r="AF508" s="77">
        <f>(Tableau1[[#This Row],[Conso HP + HC
Cumul]]-AE$6)/Tableau1[[#This Row],[Diff jour_x000D_
Cumul
depuis le 24/01]]</f>
        <v>-415.72519318749573</v>
      </c>
      <c r="AG508" s="77">
        <f>(Tableau1[[#This Row],[Conso HP + HC
Cumul]]-AE$59)/Tableau1[[#This Row],[Diff jour_x000D_
Cumul
depuis
précédente facture
16/02/2021]]</f>
        <v>-431.39343579243223</v>
      </c>
      <c r="AH508" s="80">
        <f>Tableau1[[#This Row],[Conso HP + HC
Cumul]]/(Tableau1[[#This Row],[Diff jour_x000D_
Cumul]]*24)</f>
        <v>-16.313746256664999</v>
      </c>
      <c r="AI508" s="80">
        <f>Tableau1[[#This Row],[Conso HP + HC
Cumul]]/Tableau1[[#This Row],[Diff jour_x000D_
Cumul]]</f>
        <v>-391.52991015995991</v>
      </c>
      <c r="AJ508" s="80">
        <f>Tableau1[[#This Row],[Conso HP + HC / jour_x000D_
Cumul]]*365</f>
        <v>-142908.41720838536</v>
      </c>
      <c r="AK508" s="83">
        <f>(Tableau1[[#This Row],[Différence HP
Cumul]]*0.1799)+(Tableau1[[#This Row],[Différence HC
Cumul]]*0.1346)</f>
        <v>-48182.113100000002</v>
      </c>
      <c r="AL508" s="83">
        <f>Tableau1[[#This Row],[Montant
Tarif HP/HC]]/Tableau1[[#This Row],[Diff jour_x000D_
Cumul]]</f>
        <v>-63.346580658827101</v>
      </c>
      <c r="AM508" s="83">
        <f>(Tableau1[[#This Row],[Montant
Tarif HP/HC]]-AK$6)/Tableau1[[#This Row],[Diff jour_x000D_
Cumul
depuis le 24/01]]</f>
        <v>-67.272899665525827</v>
      </c>
      <c r="AN508" s="83">
        <f>(Tableau1[[#This Row],[Montant
Tarif HP/HC]]-AK$59)/Tableau1[[#This Row],[Diff jour_x000D_
Cumul
depuis
précédente facture
16/02/2021]]</f>
        <v>-69.819278103832289</v>
      </c>
      <c r="AO508" s="83">
        <f>Tableau1[[#This Row],[Conso HP + HC
Cumul]]*0.1599</f>
        <v>-47618.539799999999</v>
      </c>
      <c r="AP508" s="83">
        <f>Tableau1[[#This Row],[Montant
Tarif normal]]/Tableau1[[#This Row],[Diff jour_x000D_
Cumul]]</f>
        <v>-62.605632634577589</v>
      </c>
      <c r="AQ508" s="83">
        <f>(Tableau1[[#This Row],[Conso HP / an
Cumul]]*0.1799)+(Tableau1[[#This Row],[Conso HC / an_x000D_
Cumul]]*0.1346)</f>
        <v>-23121.501940471891</v>
      </c>
      <c r="AR508" s="83">
        <f>Tableau1[[#This Row],[Conso HP + HC / an_x000D_
Cumul]]*0.1599</f>
        <v>-22851.055911620817</v>
      </c>
      <c r="AS508" s="79">
        <f>MONTH(Tableau1[[#This Row],[Date]])</f>
        <v>1</v>
      </c>
      <c r="AT508" s="79">
        <f>YEAR(Tableau1[[#This Row],[Date]])</f>
        <v>2023</v>
      </c>
    </row>
    <row r="509" spans="1:46" x14ac:dyDescent="0.2">
      <c r="A509" s="74">
        <v>44944.319444444445</v>
      </c>
      <c r="B509" s="75"/>
      <c r="C509" s="76">
        <f>IF(ISERROR(Tableau1[[#This Row],[Date]]-A508),"",Tableau1[[#This Row],[Date]]-A508)</f>
        <v>1</v>
      </c>
      <c r="D509" s="77">
        <f>IF(ISERROR(Tableau1[[#This Row],[Date]]-A508),"",Tableau1[[#This Row],[Date]]-A508)</f>
        <v>1</v>
      </c>
      <c r="E509" s="76">
        <f>Tableau1[[#This Row],[Date]]-$A$5</f>
        <v>761.61111111110949</v>
      </c>
      <c r="F509" s="77">
        <f>Tableau1[[#This Row],[Date]]-$A$5</f>
        <v>761.61111111110949</v>
      </c>
      <c r="G509" s="77">
        <f>Tableau1[[#This Row],[Diff jour_x000D_
Cumul]]-F$6</f>
        <v>723.52777777778101</v>
      </c>
      <c r="H509" s="77">
        <f>Tableau1[[#This Row],[Diff jour_x000D_
Cumul]]-F$59</f>
        <v>701.00833333333139</v>
      </c>
      <c r="I509" s="78">
        <v>1039</v>
      </c>
      <c r="J509" s="79">
        <f>IF(ISERROR(Tableau1[[#This Row],[Index HP
kWh]]-I508),"",Tableau1[[#This Row],[Index HP
kWh]]-I508)</f>
        <v>43</v>
      </c>
      <c r="K509" s="77">
        <f>IF(ISERROR(Tableau1[[#This Row],[Différence HP
Instantané]]/(Tableau1[[#This Row],[Diff jour
Instantané]]*24)),"",Tableau1[[#This Row],[Différence HP
Instantané]]/(Tableau1[[#This Row],[Diff jour
Instantané]]*24))</f>
        <v>1.7916666666666667</v>
      </c>
      <c r="L509" s="77">
        <f>Tableau1[[#This Row],[Différence HP
Instantané]]/Tableau1[[#This Row],[Diff jour
Instantané]]</f>
        <v>43</v>
      </c>
      <c r="M509" s="77">
        <f>Tableau1[[#This Row],[Conso HP / jour
Instantané]]*365</f>
        <v>15695</v>
      </c>
      <c r="N509" s="79">
        <f>Tableau1[[#This Row],[Index HP
kWh]]-$I$5</f>
        <v>-178720</v>
      </c>
      <c r="O509" s="80">
        <f>Tableau1[[#This Row],[Différence HP
Cumul]]/(Tableau1[[#This Row],[Diff jour_x000D_
Cumul]]*24)</f>
        <v>-9.7775184185571735</v>
      </c>
      <c r="P509" s="80">
        <f>Tableau1[[#This Row],[Différence HP
Cumul]]/Tableau1[[#This Row],[Diff jour_x000D_
Cumul]]</f>
        <v>-234.66044204537215</v>
      </c>
      <c r="Q509" s="80">
        <f>Tableau1[[#This Row],[Conso HP / jour
Cumul]]*365</f>
        <v>-85651.061346560833</v>
      </c>
      <c r="R509" s="78">
        <v>418</v>
      </c>
      <c r="S509" s="79">
        <f>Tableau1[[#This Row],[Index HC_x000D_
kWh]]-R508</f>
        <v>25</v>
      </c>
      <c r="T509" s="81">
        <f>Tableau1[[#This Row],[Différence_x000D_ HC
Instantané]]/(Tableau1[[#This Row],[Diff jour
Instantané]]*24)</f>
        <v>1.0416666666666667</v>
      </c>
      <c r="U509" s="81">
        <f>Tableau1[[#This Row],[Différence_x000D_ HC
Instantané]]/Tableau1[[#This Row],[Diff jour
Instantané]]</f>
        <v>25</v>
      </c>
      <c r="V509" s="81">
        <f>Tableau1[[#This Row],[Conso HC / jour_x000D_
Instantané]]*365</f>
        <v>9125</v>
      </c>
      <c r="W509" s="79">
        <f>Tableau1[[#This Row],[Index HC_x000D_
kWh]]-$R$5</f>
        <v>-119014</v>
      </c>
      <c r="X509" s="82">
        <f>Tableau1[[#This Row],[Différence HC
Cumul]]/(Tableau1[[#This Row],[Diff jour_x000D_
Cumul]]*24)</f>
        <v>-6.5110876066817553</v>
      </c>
      <c r="Y509" s="82">
        <f>Tableau1[[#This Row],[Différence HC
Cumul]]/Tableau1[[#This Row],[Diff jour_x000D_
Cumul]]</f>
        <v>-156.26610256036213</v>
      </c>
      <c r="Z509" s="82">
        <f>Tableau1[[#This Row],[Conso HC / jour_x000D_
Cumul]]*365</f>
        <v>-57037.12743453218</v>
      </c>
      <c r="AA509" s="79">
        <f>Tableau1[[#This Row],[Différence HP
Instantané]]+Tableau1[[#This Row],[Différence_x000D_ HC
Instantané]]</f>
        <v>68</v>
      </c>
      <c r="AB509" s="80">
        <f>Tableau1[[#This Row],[Conso HP + HC
Instantané]]/(Tableau1[[#This Row],[Diff jour
Instantané]]*24)</f>
        <v>2.8333333333333335</v>
      </c>
      <c r="AC509" s="80">
        <f>IF(ISERROR(Tableau1[[#This Row],[Date]]-A508),"",Tableau1[[#This Row],[Conso HP + HC
Instantané]]/Tableau1[[#This Row],[Diff jour
Instantané]])</f>
        <v>68</v>
      </c>
      <c r="AD509" s="80">
        <f>Tableau1[[#This Row],[Conso HP + HC / jour_x000D_
Instantané]]*365</f>
        <v>24820</v>
      </c>
      <c r="AE509" s="79">
        <f>Tableau1[[#This Row],[Différence HP
Cumul]]+Tableau1[[#This Row],[Différence HC
Cumul]]</f>
        <v>-297734</v>
      </c>
      <c r="AF509" s="77">
        <f>(Tableau1[[#This Row],[Conso HP + HC
Cumul]]-AE$6)/Tableau1[[#This Row],[Diff jour_x000D_
Cumul
depuis le 24/01]]</f>
        <v>-415.0566284025013</v>
      </c>
      <c r="AG509" s="77">
        <f>(Tableau1[[#This Row],[Conso HP + HC
Cumul]]-AE$59)/Tableau1[[#This Row],[Diff jour_x000D_
Cumul
depuis
précédente facture
16/02/2021]]</f>
        <v>-430.68104278361051</v>
      </c>
      <c r="AH509" s="80">
        <f>Tableau1[[#This Row],[Conso HP + HC
Cumul]]/(Tableau1[[#This Row],[Diff jour_x000D_
Cumul]]*24)</f>
        <v>-16.288606025238927</v>
      </c>
      <c r="AI509" s="80">
        <f>Tableau1[[#This Row],[Conso HP + HC
Cumul]]/Tableau1[[#This Row],[Diff jour_x000D_
Cumul]]</f>
        <v>-390.92654460573431</v>
      </c>
      <c r="AJ509" s="80">
        <f>Tableau1[[#This Row],[Conso HP + HC / jour_x000D_
Cumul]]*365</f>
        <v>-142688.18878109302</v>
      </c>
      <c r="AK509" s="83">
        <f>(Tableau1[[#This Row],[Différence HP
Cumul]]*0.1799)+(Tableau1[[#This Row],[Différence HC
Cumul]]*0.1346)</f>
        <v>-48171.0124</v>
      </c>
      <c r="AL509" s="83">
        <f>Tableau1[[#This Row],[Montant
Tarif HP/HC]]/Tableau1[[#This Row],[Diff jour_x000D_
Cumul]]</f>
        <v>-63.248830928587196</v>
      </c>
      <c r="AM509" s="83">
        <f>(Tableau1[[#This Row],[Montant
Tarif HP/HC]]-AK$6)/Tableau1[[#This Row],[Diff jour_x000D_
Cumul
depuis le 24/01]]</f>
        <v>-67.164578185587288</v>
      </c>
      <c r="AN509" s="83">
        <f>(Tableau1[[#This Row],[Montant
Tarif HP/HC]]-AK$59)/Tableau1[[#This Row],[Diff jour_x000D_
Cumul
depuis
précédente facture
16/02/2021]]</f>
        <v>-69.703844414593462</v>
      </c>
      <c r="AO509" s="83">
        <f>Tableau1[[#This Row],[Conso HP + HC
Cumul]]*0.1599</f>
        <v>-47607.666599999997</v>
      </c>
      <c r="AP509" s="83">
        <f>Tableau1[[#This Row],[Montant
Tarif normal]]/Tableau1[[#This Row],[Diff jour_x000D_
Cumul]]</f>
        <v>-62.509154482456907</v>
      </c>
      <c r="AQ509" s="83">
        <f>(Tableau1[[#This Row],[Conso HP / an
Cumul]]*0.1799)+(Tableau1[[#This Row],[Conso HC / an_x000D_
Cumul]]*0.1346)</f>
        <v>-23085.823288934324</v>
      </c>
      <c r="AR509" s="83">
        <f>Tableau1[[#This Row],[Conso HP + HC / an_x000D_
Cumul]]*0.1599</f>
        <v>-22815.84138609677</v>
      </c>
      <c r="AS509" s="79">
        <f>MONTH(Tableau1[[#This Row],[Date]])</f>
        <v>1</v>
      </c>
      <c r="AT509" s="79">
        <f>YEAR(Tableau1[[#This Row],[Date]])</f>
        <v>2023</v>
      </c>
    </row>
    <row r="510" spans="1:46" x14ac:dyDescent="0.2">
      <c r="A510" s="74">
        <v>44945.453472222223</v>
      </c>
      <c r="B510" s="75"/>
      <c r="C510" s="76">
        <f>IF(ISERROR(Tableau1[[#This Row],[Date]]-A509),"",Tableau1[[#This Row],[Date]]-A509)</f>
        <v>1.1340277777781012</v>
      </c>
      <c r="D510" s="77">
        <f>IF(ISERROR(Tableau1[[#This Row],[Date]]-A509),"",Tableau1[[#This Row],[Date]]-A509)</f>
        <v>1.1340277777781012</v>
      </c>
      <c r="E510" s="76">
        <f>Tableau1[[#This Row],[Date]]-$A$5</f>
        <v>762.7451388888876</v>
      </c>
      <c r="F510" s="77">
        <f>Tableau1[[#This Row],[Date]]-$A$5</f>
        <v>762.7451388888876</v>
      </c>
      <c r="G510" s="77">
        <f>Tableau1[[#This Row],[Diff jour_x000D_
Cumul]]-F$6</f>
        <v>724.66180555555911</v>
      </c>
      <c r="H510" s="77">
        <f>Tableau1[[#This Row],[Diff jour_x000D_
Cumul]]-F$59</f>
        <v>702.14236111110949</v>
      </c>
      <c r="I510" s="78">
        <v>1101</v>
      </c>
      <c r="J510" s="79">
        <f>IF(ISERROR(Tableau1[[#This Row],[Index HP
kWh]]-I509),"",Tableau1[[#This Row],[Index HP
kWh]]-I509)</f>
        <v>62</v>
      </c>
      <c r="K510" s="77">
        <f>IF(ISERROR(Tableau1[[#This Row],[Différence HP
Instantané]]/(Tableau1[[#This Row],[Diff jour
Instantané]]*24)),"",Tableau1[[#This Row],[Différence HP
Instantané]]/(Tableau1[[#This Row],[Diff jour
Instantané]]*24))</f>
        <v>2.278015921616007</v>
      </c>
      <c r="L510" s="77">
        <f>Tableau1[[#This Row],[Différence HP
Instantané]]/Tableau1[[#This Row],[Diff jour
Instantané]]</f>
        <v>54.672382118784164</v>
      </c>
      <c r="M510" s="77">
        <f>Tableau1[[#This Row],[Conso HP / jour
Instantané]]*365</f>
        <v>19955.419473356218</v>
      </c>
      <c r="N510" s="79">
        <f>Tableau1[[#This Row],[Index HP
kWh]]-$I$5</f>
        <v>-178658</v>
      </c>
      <c r="O510" s="80">
        <f>Tableau1[[#This Row],[Différence HP
Cumul]]/(Tableau1[[#This Row],[Diff jour_x000D_
Cumul]]*24)</f>
        <v>-9.759594592995164</v>
      </c>
      <c r="P510" s="80">
        <f>Tableau1[[#This Row],[Différence HP
Cumul]]/Tableau1[[#This Row],[Diff jour_x000D_
Cumul]]</f>
        <v>-234.23027023188396</v>
      </c>
      <c r="Q510" s="80">
        <f>Tableau1[[#This Row],[Conso HP / jour
Cumul]]*365</f>
        <v>-85494.048634637642</v>
      </c>
      <c r="R510" s="78">
        <v>444</v>
      </c>
      <c r="S510" s="79">
        <f>Tableau1[[#This Row],[Index HC_x000D_
kWh]]-R509</f>
        <v>26</v>
      </c>
      <c r="T510" s="81">
        <f>Tableau1[[#This Row],[Différence_x000D_ HC
Instantané]]/(Tableau1[[#This Row],[Diff jour
Instantané]]*24)</f>
        <v>0.95529699938735768</v>
      </c>
      <c r="U510" s="81">
        <f>Tableau1[[#This Row],[Différence_x000D_ HC
Instantané]]/Tableau1[[#This Row],[Diff jour
Instantané]]</f>
        <v>22.927127985296586</v>
      </c>
      <c r="V510" s="81">
        <f>Tableau1[[#This Row],[Conso HC / jour_x000D_
Instantané]]*365</f>
        <v>8368.4017146332535</v>
      </c>
      <c r="W510" s="79">
        <f>Tableau1[[#This Row],[Index HC_x000D_
kWh]]-$R$5</f>
        <v>-118988</v>
      </c>
      <c r="X510" s="82">
        <f>Tableau1[[#This Row],[Différence HC
Cumul]]/(Tableau1[[#This Row],[Diff jour_x000D_
Cumul]]*24)</f>
        <v>-6.4999867984154571</v>
      </c>
      <c r="Y510" s="82">
        <f>Tableau1[[#This Row],[Différence HC
Cumul]]/Tableau1[[#This Row],[Diff jour_x000D_
Cumul]]</f>
        <v>-155.99968316197095</v>
      </c>
      <c r="Z510" s="82">
        <f>Tableau1[[#This Row],[Conso HC / jour_x000D_
Cumul]]*365</f>
        <v>-56939.8843541194</v>
      </c>
      <c r="AA510" s="79">
        <f>Tableau1[[#This Row],[Différence HP
Instantané]]+Tableau1[[#This Row],[Différence_x000D_ HC
Instantané]]</f>
        <v>88</v>
      </c>
      <c r="AB510" s="80">
        <f>Tableau1[[#This Row],[Conso HP + HC
Instantané]]/(Tableau1[[#This Row],[Diff jour
Instantané]]*24)</f>
        <v>3.2333129210033644</v>
      </c>
      <c r="AC510" s="80">
        <f>IF(ISERROR(Tableau1[[#This Row],[Date]]-A509),"",Tableau1[[#This Row],[Conso HP + HC
Instantané]]/Tableau1[[#This Row],[Diff jour
Instantané]])</f>
        <v>77.59951010408075</v>
      </c>
      <c r="AD510" s="80">
        <f>Tableau1[[#This Row],[Conso HP + HC / jour_x000D_
Instantané]]*365</f>
        <v>28323.821187989473</v>
      </c>
      <c r="AE510" s="79">
        <f>Tableau1[[#This Row],[Différence HP
Cumul]]+Tableau1[[#This Row],[Différence HC
Cumul]]</f>
        <v>-297646</v>
      </c>
      <c r="AF510" s="77">
        <f>(Tableau1[[#This Row],[Conso HP + HC
Cumul]]-AE$6)/Tableau1[[#This Row],[Diff jour_x000D_
Cumul
depuis le 24/01]]</f>
        <v>-414.2856677396428</v>
      </c>
      <c r="AG510" s="77">
        <f>(Tableau1[[#This Row],[Conso HP + HC
Cumul]]-AE$59)/Tableau1[[#This Row],[Diff jour_x000D_
Cumul
depuis
précédente facture
16/02/2021]]</f>
        <v>-429.86012056355401</v>
      </c>
      <c r="AH510" s="80">
        <f>Tableau1[[#This Row],[Conso HP + HC
Cumul]]/(Tableau1[[#This Row],[Diff jour_x000D_
Cumul]]*24)</f>
        <v>-16.25958139141062</v>
      </c>
      <c r="AI510" s="80">
        <f>Tableau1[[#This Row],[Conso HP + HC
Cumul]]/Tableau1[[#This Row],[Diff jour_x000D_
Cumul]]</f>
        <v>-390.22995339385494</v>
      </c>
      <c r="AJ510" s="80">
        <f>Tableau1[[#This Row],[Conso HP + HC / jour_x000D_
Cumul]]*365</f>
        <v>-142433.93298875706</v>
      </c>
      <c r="AK510" s="83">
        <f>(Tableau1[[#This Row],[Différence HP
Cumul]]*0.1799)+(Tableau1[[#This Row],[Différence HC
Cumul]]*0.1346)</f>
        <v>-48156.358999999997</v>
      </c>
      <c r="AL510" s="83">
        <f>Tableau1[[#This Row],[Montant
Tarif HP/HC]]/Tableau1[[#This Row],[Diff jour_x000D_
Cumul]]</f>
        <v>-63.135582968317209</v>
      </c>
      <c r="AM510" s="83">
        <f>(Tableau1[[#This Row],[Montant
Tarif HP/HC]]-AK$6)/Tableau1[[#This Row],[Diff jour_x000D_
Cumul
depuis le 24/01]]</f>
        <v>-67.039250899605136</v>
      </c>
      <c r="AN510" s="83">
        <f>(Tableau1[[#This Row],[Montant
Tarif HP/HC]]-AK$59)/Tableau1[[#This Row],[Diff jour_x000D_
Cumul
depuis
précédente facture
16/02/2021]]</f>
        <v>-69.570396411775619</v>
      </c>
      <c r="AO510" s="83">
        <f>Tableau1[[#This Row],[Conso HP + HC
Cumul]]*0.1599</f>
        <v>-47593.595399999998</v>
      </c>
      <c r="AP510" s="83">
        <f>Tableau1[[#This Row],[Montant
Tarif normal]]/Tableau1[[#This Row],[Diff jour_x000D_
Cumul]]</f>
        <v>-62.397769547677399</v>
      </c>
      <c r="AQ510" s="83">
        <f>(Tableau1[[#This Row],[Conso HP / an
Cumul]]*0.1799)+(Tableau1[[#This Row],[Conso HC / an_x000D_
Cumul]]*0.1346)</f>
        <v>-23044.487783435783</v>
      </c>
      <c r="AR510" s="83">
        <f>Tableau1[[#This Row],[Conso HP + HC / an_x000D_
Cumul]]*0.1599</f>
        <v>-22775.185884902254</v>
      </c>
      <c r="AS510" s="79">
        <f>MONTH(Tableau1[[#This Row],[Date]])</f>
        <v>1</v>
      </c>
      <c r="AT510" s="79">
        <f>YEAR(Tableau1[[#This Row],[Date]])</f>
        <v>2023</v>
      </c>
    </row>
    <row r="511" spans="1:46" x14ac:dyDescent="0.2">
      <c r="A511" s="74">
        <v>44946.381944444445</v>
      </c>
      <c r="B511" s="75"/>
      <c r="C511" s="76">
        <f>IF(ISERROR(Tableau1[[#This Row],[Date]]-A510),"",Tableau1[[#This Row],[Date]]-A510)</f>
        <v>0.92847222222189885</v>
      </c>
      <c r="D511" s="77">
        <f>IF(ISERROR(Tableau1[[#This Row],[Date]]-A510),"",Tableau1[[#This Row],[Date]]-A510)</f>
        <v>0.92847222222189885</v>
      </c>
      <c r="E511" s="76">
        <f>Tableau1[[#This Row],[Date]]-$A$5</f>
        <v>763.67361111110949</v>
      </c>
      <c r="F511" s="77">
        <f>Tableau1[[#This Row],[Date]]-$A$5</f>
        <v>763.67361111110949</v>
      </c>
      <c r="G511" s="77">
        <f>Tableau1[[#This Row],[Diff jour_x000D_
Cumul]]-F$6</f>
        <v>725.59027777778101</v>
      </c>
      <c r="H511" s="77">
        <f>Tableau1[[#This Row],[Diff jour_x000D_
Cumul]]-F$59</f>
        <v>703.07083333333139</v>
      </c>
      <c r="I511" s="78">
        <v>1147</v>
      </c>
      <c r="J511" s="79">
        <f>IF(ISERROR(Tableau1[[#This Row],[Index HP
kWh]]-I510),"",Tableau1[[#This Row],[Index HP
kWh]]-I510)</f>
        <v>46</v>
      </c>
      <c r="K511" s="77">
        <f>IF(ISERROR(Tableau1[[#This Row],[Différence HP
Instantané]]/(Tableau1[[#This Row],[Diff jour
Instantané]]*24)),"",Tableau1[[#This Row],[Différence HP
Instantané]]/(Tableau1[[#This Row],[Diff jour
Instantané]]*24))</f>
        <v>2.0643231114442493</v>
      </c>
      <c r="L511" s="77">
        <f>Tableau1[[#This Row],[Différence HP
Instantané]]/Tableau1[[#This Row],[Diff jour
Instantané]]</f>
        <v>49.543754674661983</v>
      </c>
      <c r="M511" s="77">
        <f>Tableau1[[#This Row],[Conso HP / jour
Instantané]]*365</f>
        <v>18083.470456251624</v>
      </c>
      <c r="N511" s="79">
        <f>Tableau1[[#This Row],[Index HP
kWh]]-$I$5</f>
        <v>-178612</v>
      </c>
      <c r="O511" s="80">
        <f>Tableau1[[#This Row],[Différence HP
Cumul]]/(Tableau1[[#This Row],[Diff jour_x000D_
Cumul]]*24)</f>
        <v>-9.7452191072029599</v>
      </c>
      <c r="P511" s="80">
        <f>Tableau1[[#This Row],[Différence HP
Cumul]]/Tableau1[[#This Row],[Diff jour_x000D_
Cumul]]</f>
        <v>-233.88525857287104</v>
      </c>
      <c r="Q511" s="80">
        <f>Tableau1[[#This Row],[Conso HP / jour
Cumul]]*365</f>
        <v>-85368.119379097931</v>
      </c>
      <c r="R511" s="78">
        <v>469</v>
      </c>
      <c r="S511" s="79">
        <f>Tableau1[[#This Row],[Index HC_x000D_
kWh]]-R510</f>
        <v>25</v>
      </c>
      <c r="T511" s="81">
        <f>Tableau1[[#This Row],[Différence_x000D_ HC
Instantané]]/(Tableau1[[#This Row],[Diff jour
Instantané]]*24)</f>
        <v>1.1219147344805702</v>
      </c>
      <c r="U511" s="81">
        <f>Tableau1[[#This Row],[Différence_x000D_ HC
Instantané]]/Tableau1[[#This Row],[Diff jour
Instantané]]</f>
        <v>26.925953627533687</v>
      </c>
      <c r="V511" s="81">
        <f>Tableau1[[#This Row],[Conso HC / jour_x000D_
Instantané]]*365</f>
        <v>9827.9730740497962</v>
      </c>
      <c r="W511" s="79">
        <f>Tableau1[[#This Row],[Index HC_x000D_
kWh]]-$R$5</f>
        <v>-118963</v>
      </c>
      <c r="X511" s="82">
        <f>Tableau1[[#This Row],[Différence HC
Cumul]]/(Tableau1[[#This Row],[Diff jour_x000D_
Cumul]]*24)</f>
        <v>-6.4907201120315863</v>
      </c>
      <c r="Y511" s="82">
        <f>Tableau1[[#This Row],[Différence HC
Cumul]]/Tableau1[[#This Row],[Diff jour_x000D_
Cumul]]</f>
        <v>-155.77728268875808</v>
      </c>
      <c r="Z511" s="82">
        <f>Tableau1[[#This Row],[Conso HC / jour_x000D_
Cumul]]*365</f>
        <v>-56858.708181396702</v>
      </c>
      <c r="AA511" s="79">
        <f>Tableau1[[#This Row],[Différence HP
Instantané]]+Tableau1[[#This Row],[Différence_x000D_ HC
Instantané]]</f>
        <v>71</v>
      </c>
      <c r="AB511" s="80">
        <f>Tableau1[[#This Row],[Conso HP + HC
Instantané]]/(Tableau1[[#This Row],[Diff jour
Instantané]]*24)</f>
        <v>3.1862378459248197</v>
      </c>
      <c r="AC511" s="80">
        <f>IF(ISERROR(Tableau1[[#This Row],[Date]]-A510),"",Tableau1[[#This Row],[Conso HP + HC
Instantané]]/Tableau1[[#This Row],[Diff jour
Instantané]])</f>
        <v>76.46970830219567</v>
      </c>
      <c r="AD511" s="80">
        <f>Tableau1[[#This Row],[Conso HP + HC / jour_x000D_
Instantané]]*365</f>
        <v>27911.443530301418</v>
      </c>
      <c r="AE511" s="79">
        <f>Tableau1[[#This Row],[Différence HP
Cumul]]+Tableau1[[#This Row],[Différence HC
Cumul]]</f>
        <v>-297575</v>
      </c>
      <c r="AF511" s="77">
        <f>(Tableau1[[#This Row],[Conso HP + HC
Cumul]]-AE$6)/Tableau1[[#This Row],[Diff jour_x000D_
Cumul
depuis le 24/01]]</f>
        <v>-413.65769249174338</v>
      </c>
      <c r="AG511" s="77">
        <f>(Tableau1[[#This Row],[Conso HP + HC
Cumul]]-AE$59)/Tableau1[[#This Row],[Diff jour_x000D_
Cumul
depuis
précédente facture
16/02/2021]]</f>
        <v>-429.19146363868151</v>
      </c>
      <c r="AH511" s="80">
        <f>Tableau1[[#This Row],[Conso HP + HC
Cumul]]/(Tableau1[[#This Row],[Diff jour_x000D_
Cumul]]*24)</f>
        <v>-16.235939219234545</v>
      </c>
      <c r="AI511" s="80">
        <f>Tableau1[[#This Row],[Conso HP + HC
Cumul]]/Tableau1[[#This Row],[Diff jour_x000D_
Cumul]]</f>
        <v>-389.66254126162909</v>
      </c>
      <c r="AJ511" s="80">
        <f>Tableau1[[#This Row],[Conso HP + HC / jour_x000D_
Cumul]]*365</f>
        <v>-142226.82756049462</v>
      </c>
      <c r="AK511" s="83">
        <f>(Tableau1[[#This Row],[Différence HP
Cumul]]*0.1799)+(Tableau1[[#This Row],[Différence HC
Cumul]]*0.1346)</f>
        <v>-48144.7186</v>
      </c>
      <c r="AL511" s="83">
        <f>Tableau1[[#This Row],[Montant
Tarif HP/HC]]/Tableau1[[#This Row],[Diff jour_x000D_
Cumul]]</f>
        <v>-63.043580267166334</v>
      </c>
      <c r="AM511" s="83">
        <f>(Tableau1[[#This Row],[Montant
Tarif HP/HC]]-AK$6)/Tableau1[[#This Row],[Diff jour_x000D_
Cumul
depuis le 24/01]]</f>
        <v>-66.937424173804558</v>
      </c>
      <c r="AN511" s="83">
        <f>(Tableau1[[#This Row],[Montant
Tarif HP/HC]]-AK$59)/Tableau1[[#This Row],[Diff jour_x000D_
Cumul
depuis
précédente facture
16/02/2021]]</f>
        <v>-69.461965544012472</v>
      </c>
      <c r="AO511" s="83">
        <f>Tableau1[[#This Row],[Conso HP + HC
Cumul]]*0.1599</f>
        <v>-47582.242499999993</v>
      </c>
      <c r="AP511" s="83">
        <f>Tableau1[[#This Row],[Montant
Tarif normal]]/Tableau1[[#This Row],[Diff jour_x000D_
Cumul]]</f>
        <v>-62.307040347734485</v>
      </c>
      <c r="AQ511" s="83">
        <f>(Tableau1[[#This Row],[Conso HP / an
Cumul]]*0.1799)+(Tableau1[[#This Row],[Conso HC / an_x000D_
Cumul]]*0.1346)</f>
        <v>-23010.906797515716</v>
      </c>
      <c r="AR511" s="83">
        <f>Tableau1[[#This Row],[Conso HP + HC / an_x000D_
Cumul]]*0.1599</f>
        <v>-22742.069726923088</v>
      </c>
      <c r="AS511" s="79">
        <f>MONTH(Tableau1[[#This Row],[Date]])</f>
        <v>1</v>
      </c>
      <c r="AT511" s="79">
        <f>YEAR(Tableau1[[#This Row],[Date]])</f>
        <v>2023</v>
      </c>
    </row>
    <row r="512" spans="1:46" x14ac:dyDescent="0.2">
      <c r="A512" s="74">
        <v>44947.398611111108</v>
      </c>
      <c r="B512" s="75"/>
      <c r="C512" s="76">
        <f>IF(ISERROR(Tableau1[[#This Row],[Date]]-A511),"",Tableau1[[#This Row],[Date]]-A511)</f>
        <v>1.0166666666627862</v>
      </c>
      <c r="D512" s="77">
        <f>IF(ISERROR(Tableau1[[#This Row],[Date]]-A511),"",Tableau1[[#This Row],[Date]]-A511)</f>
        <v>1.0166666666627862</v>
      </c>
      <c r="E512" s="76">
        <f>Tableau1[[#This Row],[Date]]-$A$5</f>
        <v>764.69027777777228</v>
      </c>
      <c r="F512" s="77">
        <f>Tableau1[[#This Row],[Date]]-$A$5</f>
        <v>764.69027777777228</v>
      </c>
      <c r="G512" s="77">
        <f>Tableau1[[#This Row],[Diff jour_x000D_
Cumul]]-F$6</f>
        <v>726.6069444444438</v>
      </c>
      <c r="H512" s="77">
        <f>Tableau1[[#This Row],[Diff jour_x000D_
Cumul]]-F$59</f>
        <v>704.08749999999418</v>
      </c>
      <c r="I512" s="78">
        <v>1198</v>
      </c>
      <c r="J512" s="79">
        <f>IF(ISERROR(Tableau1[[#This Row],[Index HP
kWh]]-I511),"",Tableau1[[#This Row],[Index HP
kWh]]-I511)</f>
        <v>51</v>
      </c>
      <c r="K512" s="77">
        <f>IF(ISERROR(Tableau1[[#This Row],[Différence HP
Instantané]]/(Tableau1[[#This Row],[Diff jour
Instantané]]*24)),"",Tableau1[[#This Row],[Différence HP
Instantané]]/(Tableau1[[#This Row],[Diff jour
Instantané]]*24))</f>
        <v>2.0901639344342073</v>
      </c>
      <c r="L512" s="77">
        <f>Tableau1[[#This Row],[Différence HP
Instantané]]/Tableau1[[#This Row],[Diff jour
Instantané]]</f>
        <v>50.16393442642098</v>
      </c>
      <c r="M512" s="77">
        <f>Tableau1[[#This Row],[Conso HP / jour
Instantané]]*365</f>
        <v>18309.836065643656</v>
      </c>
      <c r="N512" s="79">
        <f>Tableau1[[#This Row],[Index HP
kWh]]-$I$5</f>
        <v>-178561</v>
      </c>
      <c r="O512" s="80">
        <f>Tableau1[[#This Row],[Différence HP
Cumul]]/(Tableau1[[#This Row],[Diff jour_x000D_
Cumul]]*24)</f>
        <v>-9.7294837960903529</v>
      </c>
      <c r="P512" s="80">
        <f>Tableau1[[#This Row],[Différence HP
Cumul]]/Tableau1[[#This Row],[Diff jour_x000D_
Cumul]]</f>
        <v>-233.50761110616847</v>
      </c>
      <c r="Q512" s="80">
        <f>Tableau1[[#This Row],[Conso HP / jour
Cumul]]*365</f>
        <v>-85230.278053751492</v>
      </c>
      <c r="R512" s="78">
        <v>494</v>
      </c>
      <c r="S512" s="79">
        <f>Tableau1[[#This Row],[Index HC_x000D_
kWh]]-R511</f>
        <v>25</v>
      </c>
      <c r="T512" s="81">
        <f>Tableau1[[#This Row],[Différence_x000D_ HC
Instantané]]/(Tableau1[[#This Row],[Diff jour
Instantané]]*24)</f>
        <v>1.024590163938337</v>
      </c>
      <c r="U512" s="81">
        <f>Tableau1[[#This Row],[Différence_x000D_ HC
Instantané]]/Tableau1[[#This Row],[Diff jour
Instantané]]</f>
        <v>24.590163934520088</v>
      </c>
      <c r="V512" s="81">
        <f>Tableau1[[#This Row],[Conso HC / jour_x000D_
Instantané]]*365</f>
        <v>8975.4098360998323</v>
      </c>
      <c r="W512" s="79">
        <f>Tableau1[[#This Row],[Index HC_x000D_
kWh]]-$R$5</f>
        <v>-118938</v>
      </c>
      <c r="X512" s="82">
        <f>Tableau1[[#This Row],[Différence HC
Cumul]]/(Tableau1[[#This Row],[Diff jour_x000D_
Cumul]]*24)</f>
        <v>-6.4807283994791387</v>
      </c>
      <c r="Y512" s="82">
        <f>Tableau1[[#This Row],[Différence HC
Cumul]]/Tableau1[[#This Row],[Diff jour_x000D_
Cumul]]</f>
        <v>-155.53748158749931</v>
      </c>
      <c r="Z512" s="82">
        <f>Tableau1[[#This Row],[Conso HC / jour_x000D_
Cumul]]*365</f>
        <v>-56771.180779437251</v>
      </c>
      <c r="AA512" s="79">
        <f>Tableau1[[#This Row],[Différence HP
Instantané]]+Tableau1[[#This Row],[Différence_x000D_ HC
Instantané]]</f>
        <v>76</v>
      </c>
      <c r="AB512" s="80">
        <f>Tableau1[[#This Row],[Conso HP + HC
Instantané]]/(Tableau1[[#This Row],[Diff jour
Instantané]]*24)</f>
        <v>3.1147540983725444</v>
      </c>
      <c r="AC512" s="80">
        <f>IF(ISERROR(Tableau1[[#This Row],[Date]]-A511),"",Tableau1[[#This Row],[Conso HP + HC
Instantané]]/Tableau1[[#This Row],[Diff jour
Instantané]])</f>
        <v>74.754098360941072</v>
      </c>
      <c r="AD512" s="80">
        <f>Tableau1[[#This Row],[Conso HP + HC / jour_x000D_
Instantané]]*365</f>
        <v>27285.245901743492</v>
      </c>
      <c r="AE512" s="79">
        <f>Tableau1[[#This Row],[Différence HP
Cumul]]+Tableau1[[#This Row],[Différence HC
Cumul]]</f>
        <v>-297499</v>
      </c>
      <c r="AF512" s="77">
        <f>(Tableau1[[#This Row],[Conso HP + HC
Cumul]]-AE$6)/Tableau1[[#This Row],[Diff jour_x000D_
Cumul
depuis le 24/01]]</f>
        <v>-412.97430790374631</v>
      </c>
      <c r="AG512" s="77">
        <f>(Tableau1[[#This Row],[Conso HP + HC
Cumul]]-AE$59)/Tableau1[[#This Row],[Diff jour_x000D_
Cumul
depuis
précédente facture
16/02/2021]]</f>
        <v>-428.4637917872459</v>
      </c>
      <c r="AH512" s="80">
        <f>Tableau1[[#This Row],[Conso HP + HC
Cumul]]/(Tableau1[[#This Row],[Diff jour_x000D_
Cumul]]*24)</f>
        <v>-16.210212195569493</v>
      </c>
      <c r="AI512" s="80">
        <f>Tableau1[[#This Row],[Conso HP + HC
Cumul]]/Tableau1[[#This Row],[Diff jour_x000D_
Cumul]]</f>
        <v>-389.04509269366781</v>
      </c>
      <c r="AJ512" s="80">
        <f>Tableau1[[#This Row],[Conso HP + HC / jour_x000D_
Cumul]]*365</f>
        <v>-142001.45883318875</v>
      </c>
      <c r="AK512" s="83">
        <f>(Tableau1[[#This Row],[Différence HP
Cumul]]*0.1799)+(Tableau1[[#This Row],[Différence HC
Cumul]]*0.1346)</f>
        <v>-48132.178700000004</v>
      </c>
      <c r="AL512" s="83">
        <f>Tableau1[[#This Row],[Montant
Tarif HP/HC]]/Tableau1[[#This Row],[Diff jour_x000D_
Cumul]]</f>
        <v>-62.943364259677125</v>
      </c>
      <c r="AM512" s="83">
        <f>(Tableau1[[#This Row],[Montant
Tarif HP/HC]]-AK$6)/Tableau1[[#This Row],[Diff jour_x000D_
Cumul
depuis le 24/01]]</f>
        <v>-66.826507331451239</v>
      </c>
      <c r="AN512" s="83">
        <f>(Tableau1[[#This Row],[Montant
Tarif HP/HC]]-AK$59)/Tableau1[[#This Row],[Diff jour_x000D_
Cumul
depuis
précédente facture
16/02/2021]]</f>
        <v>-69.343855841781604</v>
      </c>
      <c r="AO512" s="83">
        <f>Tableau1[[#This Row],[Conso HP + HC
Cumul]]*0.1599</f>
        <v>-47570.090099999994</v>
      </c>
      <c r="AP512" s="83">
        <f>Tableau1[[#This Row],[Montant
Tarif normal]]/Tableau1[[#This Row],[Diff jour_x000D_
Cumul]]</f>
        <v>-62.208310321717477</v>
      </c>
      <c r="AQ512" s="83">
        <f>(Tableau1[[#This Row],[Conso HP / an
Cumul]]*0.1799)+(Tableau1[[#This Row],[Conso HC / an_x000D_
Cumul]]*0.1346)</f>
        <v>-22974.327954782148</v>
      </c>
      <c r="AR512" s="83">
        <f>Tableau1[[#This Row],[Conso HP + HC / an_x000D_
Cumul]]*0.1599</f>
        <v>-22706.033267426879</v>
      </c>
      <c r="AS512" s="79">
        <f>MONTH(Tableau1[[#This Row],[Date]])</f>
        <v>1</v>
      </c>
      <c r="AT512" s="79">
        <f>YEAR(Tableau1[[#This Row],[Date]])</f>
        <v>2023</v>
      </c>
    </row>
    <row r="513" spans="1:46" x14ac:dyDescent="0.2">
      <c r="A513" s="74">
        <v>44949.316666666666</v>
      </c>
      <c r="B513" s="75"/>
      <c r="C513" s="76">
        <f>IF(ISERROR(Tableau1[[#This Row],[Date]]-A512),"",Tableau1[[#This Row],[Date]]-A512)</f>
        <v>1.9180555555576575</v>
      </c>
      <c r="D513" s="77">
        <f>IF(ISERROR(Tableau1[[#This Row],[Date]]-A512),"",Tableau1[[#This Row],[Date]]-A512)</f>
        <v>1.9180555555576575</v>
      </c>
      <c r="E513" s="76">
        <f>Tableau1[[#This Row],[Date]]-$A$5</f>
        <v>766.60833333332994</v>
      </c>
      <c r="F513" s="77">
        <f>Tableau1[[#This Row],[Date]]-$A$5</f>
        <v>766.60833333332994</v>
      </c>
      <c r="G513" s="77">
        <f>Tableau1[[#This Row],[Diff jour_x000D_
Cumul]]-F$6</f>
        <v>728.52500000000146</v>
      </c>
      <c r="H513" s="77">
        <f>Tableau1[[#This Row],[Diff jour_x000D_
Cumul]]-F$59</f>
        <v>706.00555555555184</v>
      </c>
      <c r="I513" s="78">
        <v>1302</v>
      </c>
      <c r="J513" s="79">
        <f>IF(ISERROR(Tableau1[[#This Row],[Index HP
kWh]]-I512),"",Tableau1[[#This Row],[Index HP
kWh]]-I512)</f>
        <v>104</v>
      </c>
      <c r="K513" s="77">
        <f>IF(ISERROR(Tableau1[[#This Row],[Différence HP
Instantané]]/(Tableau1[[#This Row],[Diff jour
Instantané]]*24)),"",Tableau1[[#This Row],[Différence HP
Instantané]]/(Tableau1[[#This Row],[Diff jour
Instantané]]*24))</f>
        <v>2.2592324402582049</v>
      </c>
      <c r="L513" s="77">
        <f>Tableau1[[#This Row],[Différence HP
Instantané]]/Tableau1[[#This Row],[Diff jour
Instantané]]</f>
        <v>54.221578566196918</v>
      </c>
      <c r="M513" s="77">
        <f>Tableau1[[#This Row],[Conso HP / jour
Instantané]]*365</f>
        <v>19790.876176661874</v>
      </c>
      <c r="N513" s="79">
        <f>Tableau1[[#This Row],[Index HP
kWh]]-$I$5</f>
        <v>-178457</v>
      </c>
      <c r="O513" s="80">
        <f>Tableau1[[#This Row],[Différence HP
Cumul]]/(Tableau1[[#This Row],[Diff jour_x000D_
Cumul]]*24)</f>
        <v>-9.6994880045221255</v>
      </c>
      <c r="P513" s="80">
        <f>Tableau1[[#This Row],[Différence HP
Cumul]]/Tableau1[[#This Row],[Diff jour_x000D_
Cumul]]</f>
        <v>-232.78771210853103</v>
      </c>
      <c r="Q513" s="80">
        <f>Tableau1[[#This Row],[Conso HP / jour
Cumul]]*365</f>
        <v>-84967.514919613823</v>
      </c>
      <c r="R513" s="78">
        <v>551</v>
      </c>
      <c r="S513" s="79">
        <f>Tableau1[[#This Row],[Index HC_x000D_
kWh]]-R512</f>
        <v>57</v>
      </c>
      <c r="T513" s="81">
        <f>Tableau1[[#This Row],[Différence_x000D_ HC
Instantané]]/(Tableau1[[#This Row],[Diff jour
Instantané]]*24)</f>
        <v>1.2382331643722853</v>
      </c>
      <c r="U513" s="81">
        <f>Tableau1[[#This Row],[Différence_x000D_ HC
Instantané]]/Tableau1[[#This Row],[Diff jour
Instantané]]</f>
        <v>29.71759594493485</v>
      </c>
      <c r="V513" s="81">
        <f>Tableau1[[#This Row],[Conso HC / jour_x000D_
Instantané]]*365</f>
        <v>10846.92251990122</v>
      </c>
      <c r="W513" s="79">
        <f>Tableau1[[#This Row],[Index HC_x000D_
kWh]]-$R$5</f>
        <v>-118881</v>
      </c>
      <c r="X513" s="82">
        <f>Tableau1[[#This Row],[Différence HC
Cumul]]/(Tableau1[[#This Row],[Diff jour_x000D_
Cumul]]*24)</f>
        <v>-6.4614155424869573</v>
      </c>
      <c r="Y513" s="82">
        <f>Tableau1[[#This Row],[Différence HC
Cumul]]/Tableau1[[#This Row],[Diff jour_x000D_
Cumul]]</f>
        <v>-155.07397301968697</v>
      </c>
      <c r="Z513" s="82">
        <f>Tableau1[[#This Row],[Conso HC / jour_x000D_
Cumul]]*365</f>
        <v>-56602.000152185748</v>
      </c>
      <c r="AA513" s="79">
        <f>Tableau1[[#This Row],[Différence HP
Instantané]]+Tableau1[[#This Row],[Différence_x000D_ HC
Instantané]]</f>
        <v>161</v>
      </c>
      <c r="AB513" s="80">
        <f>Tableau1[[#This Row],[Conso HP + HC
Instantané]]/(Tableau1[[#This Row],[Diff jour
Instantané]]*24)</f>
        <v>3.4974656046304902</v>
      </c>
      <c r="AC513" s="80">
        <f>IF(ISERROR(Tableau1[[#This Row],[Date]]-A512),"",Tableau1[[#This Row],[Conso HP + HC
Instantané]]/Tableau1[[#This Row],[Diff jour
Instantané]])</f>
        <v>83.939174511131768</v>
      </c>
      <c r="AD513" s="80">
        <f>Tableau1[[#This Row],[Conso HP + HC / jour_x000D_
Instantané]]*365</f>
        <v>30637.798696563095</v>
      </c>
      <c r="AE513" s="79">
        <f>Tableau1[[#This Row],[Différence HP
Cumul]]+Tableau1[[#This Row],[Différence HC
Cumul]]</f>
        <v>-297338</v>
      </c>
      <c r="AF513" s="77">
        <f>(Tableau1[[#This Row],[Conso HP + HC
Cumul]]-AE$6)/Tableau1[[#This Row],[Diff jour_x000D_
Cumul
depuis le 24/01]]</f>
        <v>-411.66603754160724</v>
      </c>
      <c r="AG513" s="77">
        <f>(Tableau1[[#This Row],[Conso HP + HC
Cumul]]-AE$59)/Tableau1[[#This Row],[Diff jour_x000D_
Cumul
depuis
précédente facture
16/02/2021]]</f>
        <v>-427.07171016910701</v>
      </c>
      <c r="AH513" s="80">
        <f>Tableau1[[#This Row],[Conso HP + HC
Cumul]]/(Tableau1[[#This Row],[Diff jour_x000D_
Cumul]]*24)</f>
        <v>-16.160903547009084</v>
      </c>
      <c r="AI513" s="80">
        <f>Tableau1[[#This Row],[Conso HP + HC
Cumul]]/Tableau1[[#This Row],[Diff jour_x000D_
Cumul]]</f>
        <v>-387.86168512821797</v>
      </c>
      <c r="AJ513" s="80">
        <f>Tableau1[[#This Row],[Conso HP + HC / jour_x000D_
Cumul]]*365</f>
        <v>-141569.51507179957</v>
      </c>
      <c r="AK513" s="83">
        <f>(Tableau1[[#This Row],[Différence HP
Cumul]]*0.1799)+(Tableau1[[#This Row],[Différence HC
Cumul]]*0.1346)</f>
        <v>-48105.796900000001</v>
      </c>
      <c r="AL513" s="83">
        <f>Tableau1[[#This Row],[Montant
Tarif HP/HC]]/Tableau1[[#This Row],[Diff jour_x000D_
Cumul]]</f>
        <v>-62.751466176774599</v>
      </c>
      <c r="AM513" s="83">
        <f>(Tableau1[[#This Row],[Montant
Tarif HP/HC]]-AK$6)/Tableau1[[#This Row],[Diff jour_x000D_
Cumul
depuis le 24/01]]</f>
        <v>-66.614354346110161</v>
      </c>
      <c r="AN513" s="83">
        <f>(Tableau1[[#This Row],[Montant
Tarif HP/HC]]-AK$59)/Tableau1[[#This Row],[Diff jour_x000D_
Cumul
depuis
précédente facture
16/02/2021]]</f>
        <v>-69.118096757186734</v>
      </c>
      <c r="AO513" s="83">
        <f>Tableau1[[#This Row],[Conso HP + HC
Cumul]]*0.1599</f>
        <v>-47544.346199999993</v>
      </c>
      <c r="AP513" s="83">
        <f>Tableau1[[#This Row],[Montant
Tarif normal]]/Tableau1[[#This Row],[Diff jour_x000D_
Cumul]]</f>
        <v>-62.01908345200205</v>
      </c>
      <c r="AQ513" s="83">
        <f>(Tableau1[[#This Row],[Conso HP / an
Cumul]]*0.1799)+(Tableau1[[#This Row],[Conso HC / an_x000D_
Cumul]]*0.1346)</f>
        <v>-22904.285154522728</v>
      </c>
      <c r="AR513" s="83">
        <f>Tableau1[[#This Row],[Conso HP + HC / an_x000D_
Cumul]]*0.1599</f>
        <v>-22636.965459980751</v>
      </c>
      <c r="AS513" s="79">
        <f>MONTH(Tableau1[[#This Row],[Date]])</f>
        <v>1</v>
      </c>
      <c r="AT513" s="79">
        <f>YEAR(Tableau1[[#This Row],[Date]])</f>
        <v>2023</v>
      </c>
    </row>
    <row r="514" spans="1:46" x14ac:dyDescent="0.2">
      <c r="A514" s="74">
        <v>44950.329861111109</v>
      </c>
      <c r="B514" s="75"/>
      <c r="C514" s="76">
        <f>IF(ISERROR(Tableau1[[#This Row],[Date]]-A513),"",Tableau1[[#This Row],[Date]]-A513)</f>
        <v>1.0131944444437977</v>
      </c>
      <c r="D514" s="77">
        <f>IF(ISERROR(Tableau1[[#This Row],[Date]]-A513),"",Tableau1[[#This Row],[Date]]-A513)</f>
        <v>1.0131944444437977</v>
      </c>
      <c r="E514" s="76">
        <f>Tableau1[[#This Row],[Date]]-$A$5</f>
        <v>767.62152777777374</v>
      </c>
      <c r="F514" s="77">
        <f>Tableau1[[#This Row],[Date]]-$A$5</f>
        <v>767.62152777777374</v>
      </c>
      <c r="G514" s="77">
        <f>Tableau1[[#This Row],[Diff jour_x000D_
Cumul]]-F$6</f>
        <v>729.53819444444525</v>
      </c>
      <c r="H514" s="77">
        <f>Tableau1[[#This Row],[Diff jour_x000D_
Cumul]]-F$59</f>
        <v>707.01874999999563</v>
      </c>
      <c r="I514" s="78">
        <v>1358</v>
      </c>
      <c r="J514" s="79">
        <f>IF(ISERROR(Tableau1[[#This Row],[Index HP
kWh]]-I513),"",Tableau1[[#This Row],[Index HP
kWh]]-I513)</f>
        <v>56</v>
      </c>
      <c r="K514" s="77">
        <f>IF(ISERROR(Tableau1[[#This Row],[Différence HP
Instantané]]/(Tableau1[[#This Row],[Diff jour
Instantané]]*24)),"",Tableau1[[#This Row],[Différence HP
Instantané]]/(Tableau1[[#This Row],[Diff jour
Instantané]]*24))</f>
        <v>2.3029472241275837</v>
      </c>
      <c r="L514" s="77">
        <f>Tableau1[[#This Row],[Différence HP
Instantané]]/Tableau1[[#This Row],[Diff jour
Instantané]]</f>
        <v>55.270733379062008</v>
      </c>
      <c r="M514" s="77">
        <f>Tableau1[[#This Row],[Conso HP / jour
Instantané]]*365</f>
        <v>20173.817683357633</v>
      </c>
      <c r="N514" s="79">
        <f>Tableau1[[#This Row],[Index HP
kWh]]-$I$5</f>
        <v>-178401</v>
      </c>
      <c r="O514" s="80">
        <f>Tableau1[[#This Row],[Différence HP
Cumul]]/(Tableau1[[#This Row],[Diff jour_x000D_
Cumul]]*24)</f>
        <v>-9.6836458215538226</v>
      </c>
      <c r="P514" s="80">
        <f>Tableau1[[#This Row],[Différence HP
Cumul]]/Tableau1[[#This Row],[Diff jour_x000D_
Cumul]]</f>
        <v>-232.40749971729173</v>
      </c>
      <c r="Q514" s="80">
        <f>Tableau1[[#This Row],[Conso HP / jour
Cumul]]*365</f>
        <v>-84828.737396811484</v>
      </c>
      <c r="R514" s="78">
        <v>575</v>
      </c>
      <c r="S514" s="79">
        <f>Tableau1[[#This Row],[Index HC_x000D_
kWh]]-R513</f>
        <v>24</v>
      </c>
      <c r="T514" s="81">
        <f>Tableau1[[#This Row],[Différence_x000D_ HC
Instantané]]/(Tableau1[[#This Row],[Diff jour
Instantané]]*24)</f>
        <v>0.98697738176896455</v>
      </c>
      <c r="U514" s="81">
        <f>Tableau1[[#This Row],[Différence_x000D_ HC
Instantané]]/Tableau1[[#This Row],[Diff jour
Instantané]]</f>
        <v>23.687457162455146</v>
      </c>
      <c r="V514" s="81">
        <f>Tableau1[[#This Row],[Conso HC / jour_x000D_
Instantané]]*365</f>
        <v>8645.9218642961278</v>
      </c>
      <c r="W514" s="79">
        <f>Tableau1[[#This Row],[Index HC_x000D_
kWh]]-$R$5</f>
        <v>-118857</v>
      </c>
      <c r="X514" s="82">
        <f>Tableau1[[#This Row],[Différence HC
Cumul]]/(Tableau1[[#This Row],[Diff jour_x000D_
Cumul]]*24)</f>
        <v>-6.4515843039692751</v>
      </c>
      <c r="Y514" s="82">
        <f>Tableau1[[#This Row],[Différence HC
Cumul]]/Tableau1[[#This Row],[Diff jour_x000D_
Cumul]]</f>
        <v>-154.83802329526262</v>
      </c>
      <c r="Z514" s="82">
        <f>Tableau1[[#This Row],[Conso HC / jour_x000D_
Cumul]]*365</f>
        <v>-56515.878502770858</v>
      </c>
      <c r="AA514" s="79">
        <f>Tableau1[[#This Row],[Différence HP
Instantané]]+Tableau1[[#This Row],[Différence_x000D_ HC
Instantané]]</f>
        <v>80</v>
      </c>
      <c r="AB514" s="80">
        <f>Tableau1[[#This Row],[Conso HP + HC
Instantané]]/(Tableau1[[#This Row],[Diff jour
Instantané]]*24)</f>
        <v>3.2899246058965481</v>
      </c>
      <c r="AC514" s="80">
        <f>IF(ISERROR(Tableau1[[#This Row],[Date]]-A513),"",Tableau1[[#This Row],[Conso HP + HC
Instantané]]/Tableau1[[#This Row],[Diff jour
Instantané]])</f>
        <v>78.958190541517155</v>
      </c>
      <c r="AD514" s="80">
        <f>Tableau1[[#This Row],[Conso HP + HC / jour_x000D_
Instantané]]*365</f>
        <v>28819.73954765376</v>
      </c>
      <c r="AE514" s="79">
        <f>Tableau1[[#This Row],[Différence HP
Cumul]]+Tableau1[[#This Row],[Différence HC
Cumul]]</f>
        <v>-297258</v>
      </c>
      <c r="AF514" s="77">
        <f>(Tableau1[[#This Row],[Conso HP + HC
Cumul]]-AE$6)/Tableau1[[#This Row],[Diff jour_x000D_
Cumul
depuis le 24/01]]</f>
        <v>-410.98465067798742</v>
      </c>
      <c r="AG514" s="77">
        <f>(Tableau1[[#This Row],[Conso HP + HC
Cumul]]-AE$59)/Tableau1[[#This Row],[Diff jour_x000D_
Cumul
depuis
précédente facture
16/02/2021]]</f>
        <v>-426.3465431433068</v>
      </c>
      <c r="AH514" s="80">
        <f>Tableau1[[#This Row],[Conso HP + HC
Cumul]]/(Tableau1[[#This Row],[Diff jour_x000D_
Cumul]]*24)</f>
        <v>-16.135230125523098</v>
      </c>
      <c r="AI514" s="80">
        <f>Tableau1[[#This Row],[Conso HP + HC
Cumul]]/Tableau1[[#This Row],[Diff jour_x000D_
Cumul]]</f>
        <v>-387.24552301255432</v>
      </c>
      <c r="AJ514" s="80">
        <f>Tableau1[[#This Row],[Conso HP + HC / jour_x000D_
Cumul]]*365</f>
        <v>-141344.61589958234</v>
      </c>
      <c r="AK514" s="83">
        <f>(Tableau1[[#This Row],[Différence HP
Cumul]]*0.1799)+(Tableau1[[#This Row],[Différence HC
Cumul]]*0.1346)</f>
        <v>-48092.492100000003</v>
      </c>
      <c r="AL514" s="83">
        <f>Tableau1[[#This Row],[Montant
Tarif HP/HC]]/Tableau1[[#This Row],[Diff jour_x000D_
Cumul]]</f>
        <v>-62.651307134683137</v>
      </c>
      <c r="AM514" s="83">
        <f>(Tableau1[[#This Row],[Montant
Tarif HP/HC]]-AK$6)/Tableau1[[#This Row],[Diff jour_x000D_
Cumul
depuis le 24/01]]</f>
        <v>-66.503601962809356</v>
      </c>
      <c r="AN514" s="83">
        <f>(Tableau1[[#This Row],[Montant
Tarif HP/HC]]-AK$59)/Tableau1[[#This Row],[Diff jour_x000D_
Cumul
depuis
précédente facture
16/02/2021]]</f>
        <v>-69.000228777525777</v>
      </c>
      <c r="AO514" s="83">
        <f>Tableau1[[#This Row],[Conso HP + HC
Cumul]]*0.1599</f>
        <v>-47531.554199999999</v>
      </c>
      <c r="AP514" s="83">
        <f>Tableau1[[#This Row],[Montant
Tarif normal]]/Tableau1[[#This Row],[Diff jour_x000D_
Cumul]]</f>
        <v>-61.920559129707435</v>
      </c>
      <c r="AQ514" s="83">
        <f>(Tableau1[[#This Row],[Conso HP / an
Cumul]]*0.1799)+(Tableau1[[#This Row],[Conso HC / an_x000D_
Cumul]]*0.1346)</f>
        <v>-22867.727104159341</v>
      </c>
      <c r="AR514" s="83">
        <f>Tableau1[[#This Row],[Conso HP + HC / an_x000D_
Cumul]]*0.1599</f>
        <v>-22601.004082343214</v>
      </c>
      <c r="AS514" s="79">
        <f>MONTH(Tableau1[[#This Row],[Date]])</f>
        <v>1</v>
      </c>
      <c r="AT514" s="79">
        <f>YEAR(Tableau1[[#This Row],[Date]])</f>
        <v>2023</v>
      </c>
    </row>
    <row r="515" spans="1:46" x14ac:dyDescent="0.2">
      <c r="A515" s="74">
        <v>44951.348611111112</v>
      </c>
      <c r="B515" s="75"/>
      <c r="C515" s="76">
        <f>IF(ISERROR(Tableau1[[#This Row],[Date]]-A514),"",Tableau1[[#This Row],[Date]]-A514)</f>
        <v>1.0187500000029104</v>
      </c>
      <c r="D515" s="77">
        <f>IF(ISERROR(Tableau1[[#This Row],[Date]]-A514),"",Tableau1[[#This Row],[Date]]-A514)</f>
        <v>1.0187500000029104</v>
      </c>
      <c r="E515" s="76">
        <f>Tableau1[[#This Row],[Date]]-$A$5</f>
        <v>768.64027777777665</v>
      </c>
      <c r="F515" s="77">
        <f>Tableau1[[#This Row],[Date]]-$A$5</f>
        <v>768.64027777777665</v>
      </c>
      <c r="G515" s="77">
        <f>Tableau1[[#This Row],[Diff jour_x000D_
Cumul]]-F$6</f>
        <v>730.55694444444816</v>
      </c>
      <c r="H515" s="77">
        <f>Tableau1[[#This Row],[Diff jour_x000D_
Cumul]]-F$59</f>
        <v>708.03749999999854</v>
      </c>
      <c r="I515" s="78">
        <v>1407</v>
      </c>
      <c r="J515" s="79">
        <f>IF(ISERROR(Tableau1[[#This Row],[Index HP
kWh]]-I514),"",Tableau1[[#This Row],[Index HP
kWh]]-I514)</f>
        <v>49</v>
      </c>
      <c r="K515" s="77">
        <f>IF(ISERROR(Tableau1[[#This Row],[Différence HP
Instantané]]/(Tableau1[[#This Row],[Diff jour
Instantané]]*24)),"",Tableau1[[#This Row],[Différence HP
Instantané]]/(Tableau1[[#This Row],[Diff jour
Instantané]]*24))</f>
        <v>2.0040899795443767</v>
      </c>
      <c r="L515" s="77">
        <f>Tableau1[[#This Row],[Différence HP
Instantané]]/Tableau1[[#This Row],[Diff jour
Instantané]]</f>
        <v>48.098159509065049</v>
      </c>
      <c r="M515" s="77">
        <f>Tableau1[[#This Row],[Conso HP / jour
Instantané]]*365</f>
        <v>17555.828220808744</v>
      </c>
      <c r="N515" s="79">
        <f>Tableau1[[#This Row],[Index HP
kWh]]-$I$5</f>
        <v>-178352</v>
      </c>
      <c r="O515" s="80">
        <f>Tableau1[[#This Row],[Différence HP
Cumul]]/(Tableau1[[#This Row],[Diff jour_x000D_
Cumul]]*24)</f>
        <v>-9.668154985083703</v>
      </c>
      <c r="P515" s="80">
        <f>Tableau1[[#This Row],[Différence HP
Cumul]]/Tableau1[[#This Row],[Diff jour_x000D_
Cumul]]</f>
        <v>-232.03571964200887</v>
      </c>
      <c r="Q515" s="80">
        <f>Tableau1[[#This Row],[Conso HP / jour
Cumul]]*365</f>
        <v>-84693.037669333236</v>
      </c>
      <c r="R515" s="78">
        <v>599</v>
      </c>
      <c r="S515" s="79">
        <f>Tableau1[[#This Row],[Index HC_x000D_
kWh]]-R514</f>
        <v>24</v>
      </c>
      <c r="T515" s="81">
        <f>Tableau1[[#This Row],[Différence_x000D_ HC
Instantané]]/(Tableau1[[#This Row],[Diff jour
Instantané]]*24)</f>
        <v>0.98159509202173567</v>
      </c>
      <c r="U515" s="81">
        <f>Tableau1[[#This Row],[Différence_x000D_ HC
Instantané]]/Tableau1[[#This Row],[Diff jour
Instantané]]</f>
        <v>23.558282208521657</v>
      </c>
      <c r="V515" s="81">
        <f>Tableau1[[#This Row],[Conso HC / jour_x000D_
Instantané]]*365</f>
        <v>8598.7730061104048</v>
      </c>
      <c r="W515" s="79">
        <f>Tableau1[[#This Row],[Index HC_x000D_
kWh]]-$R$5</f>
        <v>-118833</v>
      </c>
      <c r="X515" s="82">
        <f>Tableau1[[#This Row],[Différence HC
Cumul]]/(Tableau1[[#This Row],[Diff jour_x000D_
Cumul]]*24)</f>
        <v>-6.441732424320735</v>
      </c>
      <c r="Y515" s="82">
        <f>Tableau1[[#This Row],[Différence HC
Cumul]]/Tableau1[[#This Row],[Diff jour_x000D_
Cumul]]</f>
        <v>-154.60157818369763</v>
      </c>
      <c r="Z515" s="82">
        <f>Tableau1[[#This Row],[Conso HC / jour_x000D_
Cumul]]*365</f>
        <v>-56429.576037049635</v>
      </c>
      <c r="AA515" s="79">
        <f>Tableau1[[#This Row],[Différence HP
Instantané]]+Tableau1[[#This Row],[Différence_x000D_ HC
Instantané]]</f>
        <v>73</v>
      </c>
      <c r="AB515" s="80">
        <f>Tableau1[[#This Row],[Conso HP + HC
Instantané]]/(Tableau1[[#This Row],[Diff jour
Instantané]]*24)</f>
        <v>2.9856850715661127</v>
      </c>
      <c r="AC515" s="80">
        <f>IF(ISERROR(Tableau1[[#This Row],[Date]]-A514),"",Tableau1[[#This Row],[Conso HP + HC
Instantané]]/Tableau1[[#This Row],[Diff jour
Instantané]])</f>
        <v>71.656441717586702</v>
      </c>
      <c r="AD515" s="80">
        <f>Tableau1[[#This Row],[Conso HP + HC / jour_x000D_
Instantané]]*365</f>
        <v>26154.601226919145</v>
      </c>
      <c r="AE515" s="79">
        <f>Tableau1[[#This Row],[Différence HP
Cumul]]+Tableau1[[#This Row],[Différence HC
Cumul]]</f>
        <v>-297185</v>
      </c>
      <c r="AF515" s="77">
        <f>(Tableau1[[#This Row],[Conso HP + HC
Cumul]]-AE$6)/Tableau1[[#This Row],[Diff jour_x000D_
Cumul
depuis le 24/01]]</f>
        <v>-410.31161537715496</v>
      </c>
      <c r="AG515" s="77">
        <f>(Tableau1[[#This Row],[Conso HP + HC
Cumul]]-AE$59)/Tableau1[[#This Row],[Diff jour_x000D_
Cumul
depuis
précédente facture
16/02/2021]]</f>
        <v>-425.62999841110201</v>
      </c>
      <c r="AH515" s="80">
        <f>Tableau1[[#This Row],[Conso HP + HC
Cumul]]/(Tableau1[[#This Row],[Diff jour_x000D_
Cumul]]*24)</f>
        <v>-16.109887409404436</v>
      </c>
      <c r="AI515" s="80">
        <f>Tableau1[[#This Row],[Conso HP + HC
Cumul]]/Tableau1[[#This Row],[Diff jour_x000D_
Cumul]]</f>
        <v>-386.63729782570647</v>
      </c>
      <c r="AJ515" s="80">
        <f>Tableau1[[#This Row],[Conso HP + HC / jour_x000D_
Cumul]]*365</f>
        <v>-141122.61370638286</v>
      </c>
      <c r="AK515" s="83">
        <f>(Tableau1[[#This Row],[Différence HP
Cumul]]*0.1799)+(Tableau1[[#This Row],[Différence HC
Cumul]]*0.1346)</f>
        <v>-48080.446599999996</v>
      </c>
      <c r="AL515" s="83">
        <f>Tableau1[[#This Row],[Montant
Tarif HP/HC]]/Tableau1[[#This Row],[Diff jour_x000D_
Cumul]]</f>
        <v>-62.552598387123091</v>
      </c>
      <c r="AM515" s="83">
        <f>(Tableau1[[#This Row],[Montant
Tarif HP/HC]]-AK$6)/Tableau1[[#This Row],[Diff jour_x000D_
Cumul
depuis le 24/01]]</f>
        <v>-66.394375645673335</v>
      </c>
      <c r="AN515" s="83">
        <f>(Tableau1[[#This Row],[Montant
Tarif HP/HC]]-AK$59)/Tableau1[[#This Row],[Diff jour_x000D_
Cumul
depuis
précédente facture
16/02/2021]]</f>
        <v>-68.883936232191232</v>
      </c>
      <c r="AO515" s="83">
        <f>Tableau1[[#This Row],[Conso HP + HC
Cumul]]*0.1599</f>
        <v>-47519.881499999996</v>
      </c>
      <c r="AP515" s="83">
        <f>Tableau1[[#This Row],[Montant
Tarif normal]]/Tableau1[[#This Row],[Diff jour_x000D_
Cumul]]</f>
        <v>-61.82330392233046</v>
      </c>
      <c r="AQ515" s="83">
        <f>(Tableau1[[#This Row],[Conso HP / an
Cumul]]*0.1799)+(Tableau1[[#This Row],[Conso HC / an_x000D_
Cumul]]*0.1346)</f>
        <v>-22831.698411299931</v>
      </c>
      <c r="AR515" s="83">
        <f>Tableau1[[#This Row],[Conso HP + HC / an_x000D_
Cumul]]*0.1599</f>
        <v>-22565.505931650619</v>
      </c>
      <c r="AS515" s="79">
        <f>MONTH(Tableau1[[#This Row],[Date]])</f>
        <v>1</v>
      </c>
      <c r="AT515" s="79">
        <f>YEAR(Tableau1[[#This Row],[Date]])</f>
        <v>2023</v>
      </c>
    </row>
    <row r="516" spans="1:46" x14ac:dyDescent="0.2">
      <c r="A516" s="74">
        <v>44952.328472222223</v>
      </c>
      <c r="B516" s="75"/>
      <c r="C516" s="76">
        <f>IF(ISERROR(Tableau1[[#This Row],[Date]]-A515),"",Tableau1[[#This Row],[Date]]-A515)</f>
        <v>0.97986111111094942</v>
      </c>
      <c r="D516" s="77">
        <f>IF(ISERROR(Tableau1[[#This Row],[Date]]-A515),"",Tableau1[[#This Row],[Date]]-A515)</f>
        <v>0.97986111111094942</v>
      </c>
      <c r="E516" s="76">
        <f>Tableau1[[#This Row],[Date]]-$A$5</f>
        <v>769.6201388888876</v>
      </c>
      <c r="F516" s="77">
        <f>Tableau1[[#This Row],[Date]]-$A$5</f>
        <v>769.6201388888876</v>
      </c>
      <c r="G516" s="77">
        <f>Tableau1[[#This Row],[Diff jour_x000D_
Cumul]]-F$6</f>
        <v>731.53680555555911</v>
      </c>
      <c r="H516" s="77">
        <f>Tableau1[[#This Row],[Diff jour_x000D_
Cumul]]-F$59</f>
        <v>709.01736111110949</v>
      </c>
      <c r="I516" s="78">
        <v>1459</v>
      </c>
      <c r="J516" s="79">
        <f>IF(ISERROR(Tableau1[[#This Row],[Index HP
kWh]]-I515),"",Tableau1[[#This Row],[Index HP
kWh]]-I515)</f>
        <v>52</v>
      </c>
      <c r="K516" s="77">
        <f>IF(ISERROR(Tableau1[[#This Row],[Différence HP
Instantané]]/(Tableau1[[#This Row],[Diff jour
Instantané]]*24)),"",Tableau1[[#This Row],[Différence HP
Instantané]]/(Tableau1[[#This Row],[Diff jour
Instantané]]*24))</f>
        <v>2.2111977321052549</v>
      </c>
      <c r="L516" s="77">
        <f>Tableau1[[#This Row],[Différence HP
Instantané]]/Tableau1[[#This Row],[Diff jour
Instantané]]</f>
        <v>53.068745570526119</v>
      </c>
      <c r="M516" s="77">
        <f>Tableau1[[#This Row],[Conso HP / jour
Instantané]]*365</f>
        <v>19370.092133242033</v>
      </c>
      <c r="N516" s="79">
        <f>Tableau1[[#This Row],[Index HP
kWh]]-$I$5</f>
        <v>-178300</v>
      </c>
      <c r="O516" s="80">
        <f>Tableau1[[#This Row],[Différence HP
Cumul]]/(Tableau1[[#This Row],[Diff jour_x000D_
Cumul]]*24)</f>
        <v>-9.653030490330293</v>
      </c>
      <c r="P516" s="80">
        <f>Tableau1[[#This Row],[Différence HP
Cumul]]/Tableau1[[#This Row],[Diff jour_x000D_
Cumul]]</f>
        <v>-231.67273176792702</v>
      </c>
      <c r="Q516" s="80">
        <f>Tableau1[[#This Row],[Conso HP / jour
Cumul]]*365</f>
        <v>-84560.547095293368</v>
      </c>
      <c r="R516" s="78">
        <v>625</v>
      </c>
      <c r="S516" s="79">
        <f>Tableau1[[#This Row],[Index HC_x000D_
kWh]]-R515</f>
        <v>26</v>
      </c>
      <c r="T516" s="81">
        <f>Tableau1[[#This Row],[Différence_x000D_ HC
Instantané]]/(Tableau1[[#This Row],[Diff jour
Instantané]]*24)</f>
        <v>1.1055988660526275</v>
      </c>
      <c r="U516" s="81">
        <f>Tableau1[[#This Row],[Différence_x000D_ HC
Instantané]]/Tableau1[[#This Row],[Diff jour
Instantané]]</f>
        <v>26.534372785263059</v>
      </c>
      <c r="V516" s="81">
        <f>Tableau1[[#This Row],[Conso HC / jour_x000D_
Instantané]]*365</f>
        <v>9685.0460666210165</v>
      </c>
      <c r="W516" s="79">
        <f>Tableau1[[#This Row],[Index HC_x000D_
kWh]]-$R$5</f>
        <v>-118807</v>
      </c>
      <c r="X516" s="82">
        <f>Tableau1[[#This Row],[Différence HC
Cumul]]/(Tableau1[[#This Row],[Diff jour_x000D_
Cumul]]*24)</f>
        <v>-6.4321233508955196</v>
      </c>
      <c r="Y516" s="82">
        <f>Tableau1[[#This Row],[Différence HC
Cumul]]/Tableau1[[#This Row],[Diff jour_x000D_
Cumul]]</f>
        <v>-154.37096042149247</v>
      </c>
      <c r="Z516" s="82">
        <f>Tableau1[[#This Row],[Conso HC / jour_x000D_
Cumul]]*365</f>
        <v>-56345.400553844753</v>
      </c>
      <c r="AA516" s="79">
        <f>Tableau1[[#This Row],[Différence HP
Instantané]]+Tableau1[[#This Row],[Différence_x000D_ HC
Instantané]]</f>
        <v>78</v>
      </c>
      <c r="AB516" s="80">
        <f>Tableau1[[#This Row],[Conso HP + HC
Instantané]]/(Tableau1[[#This Row],[Diff jour
Instantané]]*24)</f>
        <v>3.3167965981578824</v>
      </c>
      <c r="AC516" s="80">
        <f>IF(ISERROR(Tableau1[[#This Row],[Date]]-A515),"",Tableau1[[#This Row],[Conso HP + HC
Instantané]]/Tableau1[[#This Row],[Diff jour
Instantané]])</f>
        <v>79.603118355789178</v>
      </c>
      <c r="AD516" s="80">
        <f>Tableau1[[#This Row],[Conso HP + HC / jour_x000D_
Instantané]]*365</f>
        <v>29055.13819986305</v>
      </c>
      <c r="AE516" s="79">
        <f>Tableau1[[#This Row],[Différence HP
Cumul]]+Tableau1[[#This Row],[Différence HC
Cumul]]</f>
        <v>-297107</v>
      </c>
      <c r="AF516" s="77">
        <f>(Tableau1[[#This Row],[Conso HP + HC
Cumul]]-AE$6)/Tableau1[[#This Row],[Diff jour_x000D_
Cumul
depuis le 24/01]]</f>
        <v>-409.65539631654241</v>
      </c>
      <c r="AG516" s="77">
        <f>(Tableau1[[#This Row],[Conso HP + HC
Cumul]]-AE$59)/Tableau1[[#This Row],[Diff jour_x000D_
Cumul
depuis
précédente facture
16/02/2021]]</f>
        <v>-424.93176687218812</v>
      </c>
      <c r="AH516" s="80">
        <f>Tableau1[[#This Row],[Conso HP + HC
Cumul]]/(Tableau1[[#This Row],[Diff jour_x000D_
Cumul]]*24)</f>
        <v>-16.085153841225811</v>
      </c>
      <c r="AI516" s="80">
        <f>Tableau1[[#This Row],[Conso HP + HC
Cumul]]/Tableau1[[#This Row],[Diff jour_x000D_
Cumul]]</f>
        <v>-386.04369218941952</v>
      </c>
      <c r="AJ516" s="80">
        <f>Tableau1[[#This Row],[Conso HP + HC / jour_x000D_
Cumul]]*365</f>
        <v>-140905.94764913814</v>
      </c>
      <c r="AK516" s="83">
        <f>(Tableau1[[#This Row],[Différence HP
Cumul]]*0.1799)+(Tableau1[[#This Row],[Différence HC
Cumul]]*0.1346)</f>
        <v>-48067.592199999999</v>
      </c>
      <c r="AL516" s="83">
        <f>Tableau1[[#This Row],[Montant
Tarif HP/HC]]/Tableau1[[#This Row],[Diff jour_x000D_
Cumul]]</f>
        <v>-62.456255717782959</v>
      </c>
      <c r="AM516" s="83">
        <f>(Tableau1[[#This Row],[Montant
Tarif HP/HC]]-AK$6)/Tableau1[[#This Row],[Diff jour_x000D_
Cumul
depuis le 24/01]]</f>
        <v>-66.287871548955309</v>
      </c>
      <c r="AN516" s="83">
        <f>(Tableau1[[#This Row],[Montant
Tarif HP/HC]]-AK$59)/Tableau1[[#This Row],[Diff jour_x000D_
Cumul
depuis
précédente facture
16/02/2021]]</f>
        <v>-68.770608837544287</v>
      </c>
      <c r="AO516" s="83">
        <f>Tableau1[[#This Row],[Conso HP + HC
Cumul]]*0.1599</f>
        <v>-47507.409299999999</v>
      </c>
      <c r="AP516" s="83">
        <f>Tableau1[[#This Row],[Montant
Tarif normal]]/Tableau1[[#This Row],[Diff jour_x000D_
Cumul]]</f>
        <v>-61.728386381088178</v>
      </c>
      <c r="AQ516" s="83">
        <f>(Tableau1[[#This Row],[Conso HP / an
Cumul]]*0.1799)+(Tableau1[[#This Row],[Conso HC / an_x000D_
Cumul]]*0.1346)</f>
        <v>-22796.533336990782</v>
      </c>
      <c r="AR516" s="83">
        <f>Tableau1[[#This Row],[Conso HP + HC / an_x000D_
Cumul]]*0.1599</f>
        <v>-22530.861029097185</v>
      </c>
      <c r="AS516" s="79">
        <f>MONTH(Tableau1[[#This Row],[Date]])</f>
        <v>1</v>
      </c>
      <c r="AT516" s="79">
        <f>YEAR(Tableau1[[#This Row],[Date]])</f>
        <v>2023</v>
      </c>
    </row>
    <row r="517" spans="1:46" x14ac:dyDescent="0.2">
      <c r="A517" s="74">
        <v>44953.311805555553</v>
      </c>
      <c r="B517" s="75"/>
      <c r="C517" s="76">
        <f>IF(ISERROR(Tableau1[[#This Row],[Date]]-A516),"",Tableau1[[#This Row],[Date]]-A516)</f>
        <v>0.98333333332993789</v>
      </c>
      <c r="D517" s="77">
        <f>IF(ISERROR(Tableau1[[#This Row],[Date]]-A516),"",Tableau1[[#This Row],[Date]]-A516)</f>
        <v>0.98333333332993789</v>
      </c>
      <c r="E517" s="76">
        <f>Tableau1[[#This Row],[Date]]-$A$5</f>
        <v>770.60347222221753</v>
      </c>
      <c r="F517" s="77">
        <f>Tableau1[[#This Row],[Date]]-$A$5</f>
        <v>770.60347222221753</v>
      </c>
      <c r="G517" s="77">
        <f>Tableau1[[#This Row],[Diff jour_x000D_
Cumul]]-F$6</f>
        <v>732.52013888888905</v>
      </c>
      <c r="H517" s="77">
        <f>Tableau1[[#This Row],[Diff jour_x000D_
Cumul]]-F$59</f>
        <v>710.00069444443943</v>
      </c>
      <c r="I517" s="78">
        <v>1503</v>
      </c>
      <c r="J517" s="79">
        <f>IF(ISERROR(Tableau1[[#This Row],[Index HP
kWh]]-I516),"",Tableau1[[#This Row],[Index HP
kWh]]-I516)</f>
        <v>44</v>
      </c>
      <c r="K517" s="77">
        <f>IF(ISERROR(Tableau1[[#This Row],[Différence HP
Instantané]]/(Tableau1[[#This Row],[Diff jour
Instantané]]*24)),"",Tableau1[[#This Row],[Différence HP
Instantané]]/(Tableau1[[#This Row],[Diff jour
Instantané]]*24))</f>
        <v>1.8644067796674548</v>
      </c>
      <c r="L517" s="77">
        <f>Tableau1[[#This Row],[Différence HP
Instantané]]/Tableau1[[#This Row],[Diff jour
Instantané]]</f>
        <v>44.745762712018916</v>
      </c>
      <c r="M517" s="77">
        <f>Tableau1[[#This Row],[Conso HP / jour
Instantané]]*365</f>
        <v>16332.203389886905</v>
      </c>
      <c r="N517" s="79">
        <f>Tableau1[[#This Row],[Index HP
kWh]]-$I$5</f>
        <v>-178256</v>
      </c>
      <c r="O517" s="80">
        <f>Tableau1[[#This Row],[Différence HP
Cumul]]/(Tableau1[[#This Row],[Diff jour_x000D_
Cumul]]*24)</f>
        <v>-9.6383335931706355</v>
      </c>
      <c r="P517" s="80">
        <f>Tableau1[[#This Row],[Différence HP
Cumul]]/Tableau1[[#This Row],[Diff jour_x000D_
Cumul]]</f>
        <v>-231.32000623609522</v>
      </c>
      <c r="Q517" s="80">
        <f>Tableau1[[#This Row],[Conso HP / jour
Cumul]]*365</f>
        <v>-84431.802276174756</v>
      </c>
      <c r="R517" s="78">
        <v>648</v>
      </c>
      <c r="S517" s="79">
        <f>Tableau1[[#This Row],[Index HC_x000D_
kWh]]-R516</f>
        <v>23</v>
      </c>
      <c r="T517" s="81">
        <f>Tableau1[[#This Row],[Différence_x000D_ HC
Instantané]]/(Tableau1[[#This Row],[Diff jour
Instantané]]*24)</f>
        <v>0.97457627118980583</v>
      </c>
      <c r="U517" s="81">
        <f>Tableau1[[#This Row],[Différence_x000D_ HC
Instantané]]/Tableau1[[#This Row],[Diff jour
Instantané]]</f>
        <v>23.389830508555342</v>
      </c>
      <c r="V517" s="81">
        <f>Tableau1[[#This Row],[Conso HC / jour_x000D_
Instantané]]*365</f>
        <v>8537.288135622699</v>
      </c>
      <c r="W517" s="79">
        <f>Tableau1[[#This Row],[Index HC_x000D_
kWh]]-$R$5</f>
        <v>-118784</v>
      </c>
      <c r="X517" s="82">
        <f>Tableau1[[#This Row],[Différence HC
Cumul]]/(Tableau1[[#This Row],[Diff jour_x000D_
Cumul]]*24)</f>
        <v>-6.4226719859706307</v>
      </c>
      <c r="Y517" s="82">
        <f>Tableau1[[#This Row],[Différence HC
Cumul]]/Tableau1[[#This Row],[Diff jour_x000D_
Cumul]]</f>
        <v>-154.14412766329514</v>
      </c>
      <c r="Z517" s="82">
        <f>Tableau1[[#This Row],[Conso HC / jour_x000D_
Cumul]]*365</f>
        <v>-56262.606597102727</v>
      </c>
      <c r="AA517" s="79">
        <f>Tableau1[[#This Row],[Différence HP
Instantané]]+Tableau1[[#This Row],[Différence_x000D_ HC
Instantané]]</f>
        <v>67</v>
      </c>
      <c r="AB517" s="80">
        <f>Tableau1[[#This Row],[Conso HP + HC
Instantané]]/(Tableau1[[#This Row],[Diff jour
Instantané]]*24)</f>
        <v>2.8389830508572604</v>
      </c>
      <c r="AC517" s="80">
        <f>IF(ISERROR(Tableau1[[#This Row],[Date]]-A516),"",Tableau1[[#This Row],[Conso HP + HC
Instantané]]/Tableau1[[#This Row],[Diff jour
Instantané]])</f>
        <v>68.13559322057425</v>
      </c>
      <c r="AD517" s="80">
        <f>Tableau1[[#This Row],[Conso HP + HC / jour_x000D_
Instantané]]*365</f>
        <v>24869.491525509602</v>
      </c>
      <c r="AE517" s="79">
        <f>Tableau1[[#This Row],[Différence HP
Cumul]]+Tableau1[[#This Row],[Différence HC
Cumul]]</f>
        <v>-297040</v>
      </c>
      <c r="AF517" s="77">
        <f>(Tableau1[[#This Row],[Conso HP + HC
Cumul]]-AE$6)/Tableau1[[#This Row],[Diff jour_x000D_
Cumul
depuis le 24/01]]</f>
        <v>-409.01401080175071</v>
      </c>
      <c r="AG517" s="77">
        <f>(Tableau1[[#This Row],[Conso HP + HC
Cumul]]-AE$59)/Tableau1[[#This Row],[Diff jour_x000D_
Cumul
depuis
précédente facture
16/02/2021]]</f>
        <v>-424.24888082073772</v>
      </c>
      <c r="AH517" s="80">
        <f>Tableau1[[#This Row],[Conso HP + HC
Cumul]]/(Tableau1[[#This Row],[Diff jour_x000D_
Cumul]]*24)</f>
        <v>-16.061005579141266</v>
      </c>
      <c r="AI517" s="80">
        <f>Tableau1[[#This Row],[Conso HP + HC
Cumul]]/Tableau1[[#This Row],[Diff jour_x000D_
Cumul]]</f>
        <v>-385.46413389939033</v>
      </c>
      <c r="AJ517" s="80">
        <f>Tableau1[[#This Row],[Conso HP + HC / jour_x000D_
Cumul]]*365</f>
        <v>-140694.40887327748</v>
      </c>
      <c r="AK517" s="83">
        <f>(Tableau1[[#This Row],[Différence HP
Cumul]]*0.1799)+(Tableau1[[#This Row],[Différence HC
Cumul]]*0.1346)</f>
        <v>-48056.580800000003</v>
      </c>
      <c r="AL517" s="83">
        <f>Tableau1[[#This Row],[Montant
Tarif HP/HC]]/Tableau1[[#This Row],[Diff jour_x000D_
Cumul]]</f>
        <v>-62.36226870535306</v>
      </c>
      <c r="AM517" s="83">
        <f>(Tableau1[[#This Row],[Montant
Tarif HP/HC]]-AK$6)/Tableau1[[#This Row],[Diff jour_x000D_
Cumul
depuis le 24/01]]</f>
        <v>-66.183854649426578</v>
      </c>
      <c r="AN517" s="83">
        <f>(Tableau1[[#This Row],[Montant
Tarif HP/HC]]-AK$59)/Tableau1[[#This Row],[Diff jour_x000D_
Cumul
depuis
précédente facture
16/02/2021]]</f>
        <v>-68.659854252881701</v>
      </c>
      <c r="AO517" s="83">
        <f>Tableau1[[#This Row],[Conso HP + HC
Cumul]]*0.1599</f>
        <v>-47496.695999999996</v>
      </c>
      <c r="AP517" s="83">
        <f>Tableau1[[#This Row],[Montant
Tarif normal]]/Tableau1[[#This Row],[Diff jour_x000D_
Cumul]]</f>
        <v>-61.635715010512513</v>
      </c>
      <c r="AQ517" s="83">
        <f>(Tableau1[[#This Row],[Conso HP / an
Cumul]]*0.1799)+(Tableau1[[#This Row],[Conso HC / an_x000D_
Cumul]]*0.1346)</f>
        <v>-22762.228077453867</v>
      </c>
      <c r="AR517" s="83">
        <f>Tableau1[[#This Row],[Conso HP + HC / an_x000D_
Cumul]]*0.1599</f>
        <v>-22497.035978837066</v>
      </c>
      <c r="AS517" s="79">
        <f>MONTH(Tableau1[[#This Row],[Date]])</f>
        <v>1</v>
      </c>
      <c r="AT517" s="79">
        <f>YEAR(Tableau1[[#This Row],[Date]])</f>
        <v>2023</v>
      </c>
    </row>
    <row r="518" spans="1:46" x14ac:dyDescent="0.2">
      <c r="A518" s="74">
        <v>44954.336111111108</v>
      </c>
      <c r="B518" s="75"/>
      <c r="C518" s="76">
        <f>IF(ISERROR(Tableau1[[#This Row],[Date]]-A517),"",Tableau1[[#This Row],[Date]]-A517)</f>
        <v>1.0243055555547471</v>
      </c>
      <c r="D518" s="77">
        <f>IF(ISERROR(Tableau1[[#This Row],[Date]]-A517),"",Tableau1[[#This Row],[Date]]-A517)</f>
        <v>1.0243055555547471</v>
      </c>
      <c r="E518" s="76">
        <f>Tableau1[[#This Row],[Date]]-$A$5</f>
        <v>771.62777777777228</v>
      </c>
      <c r="F518" s="77">
        <f>Tableau1[[#This Row],[Date]]-$A$5</f>
        <v>771.62777777777228</v>
      </c>
      <c r="G518" s="77">
        <f>Tableau1[[#This Row],[Diff jour_x000D_
Cumul]]-F$6</f>
        <v>733.5444444444438</v>
      </c>
      <c r="H518" s="77">
        <f>Tableau1[[#This Row],[Diff jour_x000D_
Cumul]]-F$59</f>
        <v>711.02499999999418</v>
      </c>
      <c r="I518" s="78">
        <v>1548</v>
      </c>
      <c r="J518" s="79">
        <f>IF(ISERROR(Tableau1[[#This Row],[Index HP
kWh]]-I517),"",Tableau1[[#This Row],[Index HP
kWh]]-I517)</f>
        <v>45</v>
      </c>
      <c r="K518" s="77">
        <f>IF(ISERROR(Tableau1[[#This Row],[Différence HP
Instantané]]/(Tableau1[[#This Row],[Diff jour
Instantané]]*24)),"",Tableau1[[#This Row],[Différence HP
Instantané]]/(Tableau1[[#This Row],[Diff jour
Instantané]]*24))</f>
        <v>1.8305084745777158</v>
      </c>
      <c r="L518" s="77">
        <f>Tableau1[[#This Row],[Différence HP
Instantané]]/Tableau1[[#This Row],[Diff jour
Instantané]]</f>
        <v>43.93220338986518</v>
      </c>
      <c r="M518" s="77">
        <f>Tableau1[[#This Row],[Conso HP / jour
Instantané]]*365</f>
        <v>16035.254237300791</v>
      </c>
      <c r="N518" s="79">
        <f>Tableau1[[#This Row],[Index HP
kWh]]-$I$5</f>
        <v>-178211</v>
      </c>
      <c r="O518" s="80">
        <f>Tableau1[[#This Row],[Différence HP
Cumul]]/(Tableau1[[#This Row],[Diff jour_x000D_
Cumul]]*24)</f>
        <v>-9.6231091559690523</v>
      </c>
      <c r="P518" s="80">
        <f>Tableau1[[#This Row],[Différence HP
Cumul]]/Tableau1[[#This Row],[Diff jour_x000D_
Cumul]]</f>
        <v>-230.95461974325724</v>
      </c>
      <c r="Q518" s="80">
        <f>Tableau1[[#This Row],[Conso HP / jour
Cumul]]*365</f>
        <v>-84298.436206288898</v>
      </c>
      <c r="R518" s="78">
        <v>668</v>
      </c>
      <c r="S518" s="79">
        <f>Tableau1[[#This Row],[Index HC_x000D_
kWh]]-R517</f>
        <v>20</v>
      </c>
      <c r="T518" s="81">
        <f>Tableau1[[#This Row],[Différence_x000D_ HC
Instantané]]/(Tableau1[[#This Row],[Diff jour
Instantané]]*24)</f>
        <v>0.8135593220345404</v>
      </c>
      <c r="U518" s="81">
        <f>Tableau1[[#This Row],[Différence_x000D_ HC
Instantané]]/Tableau1[[#This Row],[Diff jour
Instantané]]</f>
        <v>19.525423728828969</v>
      </c>
      <c r="V518" s="81">
        <f>Tableau1[[#This Row],[Conso HC / jour_x000D_
Instantané]]*365</f>
        <v>7126.7796610225732</v>
      </c>
      <c r="W518" s="79">
        <f>Tableau1[[#This Row],[Index HC_x000D_
kWh]]-$R$5</f>
        <v>-118764</v>
      </c>
      <c r="X518" s="82">
        <f>Tableau1[[#This Row],[Différence HC
Cumul]]/(Tableau1[[#This Row],[Diff jour_x000D_
Cumul]]*24)</f>
        <v>-6.4130661732413179</v>
      </c>
      <c r="Y518" s="82">
        <f>Tableau1[[#This Row],[Différence HC
Cumul]]/Tableau1[[#This Row],[Diff jour_x000D_
Cumul]]</f>
        <v>-153.91358815779162</v>
      </c>
      <c r="Z518" s="82">
        <f>Tableau1[[#This Row],[Conso HC / jour_x000D_
Cumul]]*365</f>
        <v>-56178.459677593943</v>
      </c>
      <c r="AA518" s="79">
        <f>Tableau1[[#This Row],[Différence HP
Instantané]]+Tableau1[[#This Row],[Différence_x000D_ HC
Instantané]]</f>
        <v>65</v>
      </c>
      <c r="AB518" s="80">
        <f>Tableau1[[#This Row],[Conso HP + HC
Instantané]]/(Tableau1[[#This Row],[Diff jour
Instantané]]*24)</f>
        <v>2.6440677966122563</v>
      </c>
      <c r="AC518" s="80">
        <f>IF(ISERROR(Tableau1[[#This Row],[Date]]-A517),"",Tableau1[[#This Row],[Conso HP + HC
Instantané]]/Tableau1[[#This Row],[Diff jour
Instantané]])</f>
        <v>63.457627118694155</v>
      </c>
      <c r="AD518" s="80">
        <f>Tableau1[[#This Row],[Conso HP + HC / jour_x000D_
Instantané]]*365</f>
        <v>23162.033898323367</v>
      </c>
      <c r="AE518" s="79">
        <f>Tableau1[[#This Row],[Différence HP
Cumul]]+Tableau1[[#This Row],[Différence HC
Cumul]]</f>
        <v>-296975</v>
      </c>
      <c r="AF518" s="77">
        <f>(Tableau1[[#This Row],[Conso HP + HC
Cumul]]-AE$6)/Tableau1[[#This Row],[Diff jour_x000D_
Cumul
depuis le 24/01]]</f>
        <v>-408.35426165194906</v>
      </c>
      <c r="AG518" s="77">
        <f>(Tableau1[[#This Row],[Conso HP + HC
Cumul]]-AE$59)/Tableau1[[#This Row],[Diff jour_x000D_
Cumul
depuis
précédente facture
16/02/2021]]</f>
        <v>-423.54628880841386</v>
      </c>
      <c r="AH518" s="80">
        <f>Tableau1[[#This Row],[Conso HP + HC
Cumul]]/(Tableau1[[#This Row],[Diff jour_x000D_
Cumul]]*24)</f>
        <v>-16.036175329210369</v>
      </c>
      <c r="AI518" s="80">
        <f>Tableau1[[#This Row],[Conso HP + HC
Cumul]]/Tableau1[[#This Row],[Diff jour_x000D_
Cumul]]</f>
        <v>-384.86820790104889</v>
      </c>
      <c r="AJ518" s="80">
        <f>Tableau1[[#This Row],[Conso HP + HC / jour_x000D_
Cumul]]*365</f>
        <v>-140476.89588388285</v>
      </c>
      <c r="AK518" s="83">
        <f>(Tableau1[[#This Row],[Différence HP
Cumul]]*0.1799)+(Tableau1[[#This Row],[Différence HC
Cumul]]*0.1346)</f>
        <v>-48045.793300000005</v>
      </c>
      <c r="AL518" s="83">
        <f>Tableau1[[#This Row],[Montant
Tarif HP/HC]]/Tableau1[[#This Row],[Diff jour_x000D_
Cumul]]</f>
        <v>-62.265505057850739</v>
      </c>
      <c r="AM518" s="83">
        <f>(Tableau1[[#This Row],[Montant
Tarif HP/HC]]-AK$6)/Tableau1[[#This Row],[Diff jour_x000D_
Cumul
depuis le 24/01]]</f>
        <v>-66.076730956239942</v>
      </c>
      <c r="AN518" s="83">
        <f>(Tableau1[[#This Row],[Montant
Tarif HP/HC]]-AK$59)/Tableau1[[#This Row],[Diff jour_x000D_
Cumul
depuis
précédente facture
16/02/2021]]</f>
        <v>-68.545770823811267</v>
      </c>
      <c r="AO518" s="83">
        <f>Tableau1[[#This Row],[Conso HP + HC
Cumul]]*0.1599</f>
        <v>-47486.302499999998</v>
      </c>
      <c r="AP518" s="83">
        <f>Tableau1[[#This Row],[Montant
Tarif normal]]/Tableau1[[#This Row],[Diff jour_x000D_
Cumul]]</f>
        <v>-61.540426443377712</v>
      </c>
      <c r="AQ518" s="83">
        <f>(Tableau1[[#This Row],[Conso HP / an
Cumul]]*0.1799)+(Tableau1[[#This Row],[Conso HC / an_x000D_
Cumul]]*0.1346)</f>
        <v>-22726.909346115517</v>
      </c>
      <c r="AR518" s="83">
        <f>Tableau1[[#This Row],[Conso HP + HC / an_x000D_
Cumul]]*0.1599</f>
        <v>-22462.255651832867</v>
      </c>
      <c r="AS518" s="79">
        <f>MONTH(Tableau1[[#This Row],[Date]])</f>
        <v>1</v>
      </c>
      <c r="AT518" s="79">
        <f>YEAR(Tableau1[[#This Row],[Date]])</f>
        <v>2023</v>
      </c>
    </row>
    <row r="519" spans="1:46" x14ac:dyDescent="0.2">
      <c r="A519" s="74">
        <v>44955.460416666669</v>
      </c>
      <c r="B519" s="75"/>
      <c r="C519" s="76">
        <f>IF(ISERROR(Tableau1[[#This Row],[Date]]-A518),"",Tableau1[[#This Row],[Date]]-A518)</f>
        <v>1.1243055555605679</v>
      </c>
      <c r="D519" s="77">
        <f>IF(ISERROR(Tableau1[[#This Row],[Date]]-A518),"",Tableau1[[#This Row],[Date]]-A518)</f>
        <v>1.1243055555605679</v>
      </c>
      <c r="E519" s="76">
        <f>Tableau1[[#This Row],[Date]]-$A$5</f>
        <v>772.75208333333285</v>
      </c>
      <c r="F519" s="77">
        <f>Tableau1[[#This Row],[Date]]-$A$5</f>
        <v>772.75208333333285</v>
      </c>
      <c r="G519" s="77">
        <f>Tableau1[[#This Row],[Diff jour_x000D_
Cumul]]-F$6</f>
        <v>734.66875000000437</v>
      </c>
      <c r="H519" s="77">
        <f>Tableau1[[#This Row],[Diff jour_x000D_
Cumul]]-F$59</f>
        <v>712.14930555555475</v>
      </c>
      <c r="I519" s="78">
        <v>1601</v>
      </c>
      <c r="J519" s="79">
        <f>IF(ISERROR(Tableau1[[#This Row],[Index HP
kWh]]-I518),"",Tableau1[[#This Row],[Index HP
kWh]]-I518)</f>
        <v>53</v>
      </c>
      <c r="K519" s="77">
        <f>IF(ISERROR(Tableau1[[#This Row],[Différence HP
Instantané]]/(Tableau1[[#This Row],[Diff jour
Instantané]]*24)),"",Tableau1[[#This Row],[Différence HP
Instantané]]/(Tableau1[[#This Row],[Diff jour
Instantané]]*24))</f>
        <v>1.9641754169152705</v>
      </c>
      <c r="L519" s="77">
        <f>Tableau1[[#This Row],[Différence HP
Instantané]]/Tableau1[[#This Row],[Diff jour
Instantané]]</f>
        <v>47.140210005966495</v>
      </c>
      <c r="M519" s="77">
        <f>Tableau1[[#This Row],[Conso HP / jour
Instantané]]*365</f>
        <v>17206.176652177772</v>
      </c>
      <c r="N519" s="79">
        <f>Tableau1[[#This Row],[Index HP
kWh]]-$I$5</f>
        <v>-178158</v>
      </c>
      <c r="O519" s="80">
        <f>Tableau1[[#This Row],[Différence HP
Cumul]]/(Tableau1[[#This Row],[Diff jour_x000D_
Cumul]]*24)</f>
        <v>-9.6062503875488368</v>
      </c>
      <c r="P519" s="80">
        <f>Tableau1[[#This Row],[Différence HP
Cumul]]/Tableau1[[#This Row],[Diff jour_x000D_
Cumul]]</f>
        <v>-230.55000930117208</v>
      </c>
      <c r="Q519" s="80">
        <f>Tableau1[[#This Row],[Conso HP / jour
Cumul]]*365</f>
        <v>-84150.753394927815</v>
      </c>
      <c r="R519" s="78">
        <v>693</v>
      </c>
      <c r="S519" s="79">
        <f>Tableau1[[#This Row],[Index HC_x000D_
kWh]]-R518</f>
        <v>25</v>
      </c>
      <c r="T519" s="81">
        <f>Tableau1[[#This Row],[Différence_x000D_ HC
Instantané]]/(Tableau1[[#This Row],[Diff jour
Instantané]]*24)</f>
        <v>0.92649783816758047</v>
      </c>
      <c r="U519" s="81">
        <f>Tableau1[[#This Row],[Différence_x000D_ HC
Instantané]]/Tableau1[[#This Row],[Diff jour
Instantané]]</f>
        <v>22.23594811602193</v>
      </c>
      <c r="V519" s="81">
        <f>Tableau1[[#This Row],[Conso HC / jour_x000D_
Instantané]]*365</f>
        <v>8116.1210623480047</v>
      </c>
      <c r="W519" s="79">
        <f>Tableau1[[#This Row],[Index HC_x000D_
kWh]]-$R$5</f>
        <v>-118739</v>
      </c>
      <c r="X519" s="82">
        <f>Tableau1[[#This Row],[Différence HC
Cumul]]/(Tableau1[[#This Row],[Diff jour_x000D_
Cumul]]*24)</f>
        <v>-6.4023875703990916</v>
      </c>
      <c r="Y519" s="82">
        <f>Tableau1[[#This Row],[Différence HC
Cumul]]/Tableau1[[#This Row],[Diff jour_x000D_
Cumul]]</f>
        <v>-153.65730168957819</v>
      </c>
      <c r="Z519" s="82">
        <f>Tableau1[[#This Row],[Conso HC / jour_x000D_
Cumul]]*365</f>
        <v>-56084.915116696036</v>
      </c>
      <c r="AA519" s="79">
        <f>Tableau1[[#This Row],[Différence HP
Instantané]]+Tableau1[[#This Row],[Différence_x000D_ HC
Instantané]]</f>
        <v>78</v>
      </c>
      <c r="AB519" s="80">
        <f>Tableau1[[#This Row],[Conso HP + HC
Instantané]]/(Tableau1[[#This Row],[Diff jour
Instantané]]*24)</f>
        <v>2.8906732550828509</v>
      </c>
      <c r="AC519" s="80">
        <f>IF(ISERROR(Tableau1[[#This Row],[Date]]-A518),"",Tableau1[[#This Row],[Conso HP + HC
Instantané]]/Tableau1[[#This Row],[Diff jour
Instantané]])</f>
        <v>69.376158121988425</v>
      </c>
      <c r="AD519" s="80">
        <f>Tableau1[[#This Row],[Conso HP + HC / jour_x000D_
Instantané]]*365</f>
        <v>25322.297714525776</v>
      </c>
      <c r="AE519" s="79">
        <f>Tableau1[[#This Row],[Différence HP
Cumul]]+Tableau1[[#This Row],[Différence HC
Cumul]]</f>
        <v>-296897</v>
      </c>
      <c r="AF519" s="77">
        <f>(Tableau1[[#This Row],[Conso HP + HC
Cumul]]-AE$6)/Tableau1[[#This Row],[Diff jour_x000D_
Cumul
depuis le 24/01]]</f>
        <v>-407.62316350055482</v>
      </c>
      <c r="AG519" s="77">
        <f>(Tableau1[[#This Row],[Conso HP + HC
Cumul]]-AE$59)/Tableau1[[#This Row],[Diff jour_x000D_
Cumul
depuis
précédente facture
16/02/2021]]</f>
        <v>-422.76808760647344</v>
      </c>
      <c r="AH519" s="80">
        <f>Tableau1[[#This Row],[Conso HP + HC
Cumul]]/(Tableau1[[#This Row],[Diff jour_x000D_
Cumul]]*24)</f>
        <v>-16.008637957947929</v>
      </c>
      <c r="AI519" s="80">
        <f>Tableau1[[#This Row],[Conso HP + HC
Cumul]]/Tableau1[[#This Row],[Diff jour_x000D_
Cumul]]</f>
        <v>-384.20731099075027</v>
      </c>
      <c r="AJ519" s="80">
        <f>Tableau1[[#This Row],[Conso HP + HC / jour_x000D_
Cumul]]*365</f>
        <v>-140235.66851162384</v>
      </c>
      <c r="AK519" s="83">
        <f>(Tableau1[[#This Row],[Différence HP
Cumul]]*0.1799)+(Tableau1[[#This Row],[Différence HC
Cumul]]*0.1346)</f>
        <v>-48032.893600000003</v>
      </c>
      <c r="AL519" s="83">
        <f>Tableau1[[#This Row],[Montant
Tarif HP/HC]]/Tableau1[[#This Row],[Diff jour_x000D_
Cumul]]</f>
        <v>-62.158219480698087</v>
      </c>
      <c r="AM519" s="83">
        <f>(Tableau1[[#This Row],[Montant
Tarif HP/HC]]-AK$6)/Tableau1[[#This Row],[Diff jour_x000D_
Cumul
depuis le 24/01]]</f>
        <v>-65.95805143474486</v>
      </c>
      <c r="AN519" s="83">
        <f>(Tableau1[[#This Row],[Montant
Tarif HP/HC]]-AK$59)/Tableau1[[#This Row],[Diff jour_x000D_
Cumul
depuis
précédente facture
16/02/2021]]</f>
        <v>-68.419440445833558</v>
      </c>
      <c r="AO519" s="83">
        <f>Tableau1[[#This Row],[Conso HP + HC
Cumul]]*0.1599</f>
        <v>-47473.830299999994</v>
      </c>
      <c r="AP519" s="83">
        <f>Tableau1[[#This Row],[Montant
Tarif normal]]/Tableau1[[#This Row],[Diff jour_x000D_
Cumul]]</f>
        <v>-61.434749027420963</v>
      </c>
      <c r="AQ519" s="83">
        <f>(Tableau1[[#This Row],[Conso HP / an
Cumul]]*0.1799)+(Tableau1[[#This Row],[Conso HC / an_x000D_
Cumul]]*0.1346)</f>
        <v>-22687.750110454799</v>
      </c>
      <c r="AR519" s="83">
        <f>Tableau1[[#This Row],[Conso HP + HC / an_x000D_
Cumul]]*0.1599</f>
        <v>-22423.683395008651</v>
      </c>
      <c r="AS519" s="79">
        <f>MONTH(Tableau1[[#This Row],[Date]])</f>
        <v>1</v>
      </c>
      <c r="AT519" s="79">
        <f>YEAR(Tableau1[[#This Row],[Date]])</f>
        <v>2023</v>
      </c>
    </row>
    <row r="520" spans="1:46" x14ac:dyDescent="0.2">
      <c r="A520" s="74">
        <v>44956.316666666666</v>
      </c>
      <c r="B520" s="75"/>
      <c r="C520" s="76">
        <f>IF(ISERROR(Tableau1[[#This Row],[Date]]-A519),"",Tableau1[[#This Row],[Date]]-A519)</f>
        <v>0.85624999999708962</v>
      </c>
      <c r="D520" s="77">
        <f>IF(ISERROR(Tableau1[[#This Row],[Date]]-A519),"",Tableau1[[#This Row],[Date]]-A519)</f>
        <v>0.85624999999708962</v>
      </c>
      <c r="E520" s="76">
        <f>Tableau1[[#This Row],[Date]]-$A$5</f>
        <v>773.60833333332994</v>
      </c>
      <c r="F520" s="77">
        <f>Tableau1[[#This Row],[Date]]-$A$5</f>
        <v>773.60833333332994</v>
      </c>
      <c r="G520" s="77">
        <f>Tableau1[[#This Row],[Diff jour_x000D_
Cumul]]-F$6</f>
        <v>735.52500000000146</v>
      </c>
      <c r="H520" s="77">
        <f>Tableau1[[#This Row],[Diff jour_x000D_
Cumul]]-F$59</f>
        <v>713.00555555555184</v>
      </c>
      <c r="I520" s="78">
        <v>1636</v>
      </c>
      <c r="J520" s="79">
        <f>IF(ISERROR(Tableau1[[#This Row],[Index HP
kWh]]-I519),"",Tableau1[[#This Row],[Index HP
kWh]]-I519)</f>
        <v>35</v>
      </c>
      <c r="K520" s="77">
        <f>IF(ISERROR(Tableau1[[#This Row],[Différence HP
Instantané]]/(Tableau1[[#This Row],[Diff jour
Instantané]]*24)),"",Tableau1[[#This Row],[Différence HP
Instantané]]/(Tableau1[[#This Row],[Diff jour
Instantané]]*24))</f>
        <v>1.7031630170374192</v>
      </c>
      <c r="L520" s="77">
        <f>Tableau1[[#This Row],[Différence HP
Instantané]]/Tableau1[[#This Row],[Diff jour
Instantané]]</f>
        <v>40.87591240889806</v>
      </c>
      <c r="M520" s="77">
        <f>Tableau1[[#This Row],[Conso HP / jour
Instantané]]*365</f>
        <v>14919.708029247791</v>
      </c>
      <c r="N520" s="79">
        <f>Tableau1[[#This Row],[Index HP
kWh]]-$I$5</f>
        <v>-178123</v>
      </c>
      <c r="O520" s="80">
        <f>Tableau1[[#This Row],[Différence HP
Cumul]]/(Tableau1[[#This Row],[Diff jour_x000D_
Cumul]]*24)</f>
        <v>-9.5937328320748438</v>
      </c>
      <c r="P520" s="80">
        <f>Tableau1[[#This Row],[Différence HP
Cumul]]/Tableau1[[#This Row],[Diff jour_x000D_
Cumul]]</f>
        <v>-230.24958796979624</v>
      </c>
      <c r="Q520" s="80">
        <f>Tableau1[[#This Row],[Conso HP / jour
Cumul]]*365</f>
        <v>-84041.099608975623</v>
      </c>
      <c r="R520" s="78">
        <v>714</v>
      </c>
      <c r="S520" s="79">
        <f>Tableau1[[#This Row],[Index HC_x000D_
kWh]]-R519</f>
        <v>21</v>
      </c>
      <c r="T520" s="81">
        <f>Tableau1[[#This Row],[Différence_x000D_ HC
Instantané]]/(Tableau1[[#This Row],[Diff jour
Instantané]]*24)</f>
        <v>1.0218978102224516</v>
      </c>
      <c r="U520" s="81">
        <f>Tableau1[[#This Row],[Différence_x000D_ HC
Instantané]]/Tableau1[[#This Row],[Diff jour
Instantané]]</f>
        <v>24.525547445338837</v>
      </c>
      <c r="V520" s="81">
        <f>Tableau1[[#This Row],[Conso HC / jour_x000D_
Instantané]]*365</f>
        <v>8951.8248175486751</v>
      </c>
      <c r="W520" s="79">
        <f>Tableau1[[#This Row],[Index HC_x000D_
kWh]]-$R$5</f>
        <v>-118718</v>
      </c>
      <c r="X520" s="82">
        <f>Tableau1[[#This Row],[Différence HC
Cumul]]/(Tableau1[[#This Row],[Diff jour_x000D_
Cumul]]*24)</f>
        <v>-6.3941701765536241</v>
      </c>
      <c r="Y520" s="82">
        <f>Tableau1[[#This Row],[Différence HC
Cumul]]/Tableau1[[#This Row],[Diff jour_x000D_
Cumul]]</f>
        <v>-153.46008423728699</v>
      </c>
      <c r="Z520" s="82">
        <f>Tableau1[[#This Row],[Conso HC / jour_x000D_
Cumul]]*365</f>
        <v>-56012.930746609753</v>
      </c>
      <c r="AA520" s="79">
        <f>Tableau1[[#This Row],[Différence HP
Instantané]]+Tableau1[[#This Row],[Différence_x000D_ HC
Instantané]]</f>
        <v>56</v>
      </c>
      <c r="AB520" s="80">
        <f>Tableau1[[#This Row],[Conso HP + HC
Instantané]]/(Tableau1[[#This Row],[Diff jour
Instantané]]*24)</f>
        <v>2.7250608272598709</v>
      </c>
      <c r="AC520" s="80">
        <f>IF(ISERROR(Tableau1[[#This Row],[Date]]-A519),"",Tableau1[[#This Row],[Conso HP + HC
Instantané]]/Tableau1[[#This Row],[Diff jour
Instantané]])</f>
        <v>65.401459854236904</v>
      </c>
      <c r="AD520" s="80">
        <f>Tableau1[[#This Row],[Conso HP + HC / jour_x000D_
Instantané]]*365</f>
        <v>23871.532846796472</v>
      </c>
      <c r="AE520" s="79">
        <f>Tableau1[[#This Row],[Différence HP
Cumul]]+Tableau1[[#This Row],[Différence HC
Cumul]]</f>
        <v>-296841</v>
      </c>
      <c r="AF520" s="77">
        <f>(Tableau1[[#This Row],[Conso HP + HC
Cumul]]-AE$6)/Tableau1[[#This Row],[Diff jour_x000D_
Cumul
depuis le 24/01]]</f>
        <v>-407.07249923523932</v>
      </c>
      <c r="AG520" s="77">
        <f>(Tableau1[[#This Row],[Conso HP + HC
Cumul]]-AE$59)/Tableau1[[#This Row],[Diff jour_x000D_
Cumul
depuis
précédente facture
16/02/2021]]</f>
        <v>-422.18184368206795</v>
      </c>
      <c r="AH520" s="80">
        <f>Tableau1[[#This Row],[Conso HP + HC
Cumul]]/(Tableau1[[#This Row],[Diff jour_x000D_
Cumul]]*24)</f>
        <v>-15.987903008628468</v>
      </c>
      <c r="AI520" s="80">
        <f>Tableau1[[#This Row],[Conso HP + HC
Cumul]]/Tableau1[[#This Row],[Diff jour_x000D_
Cumul]]</f>
        <v>-383.7096722070832</v>
      </c>
      <c r="AJ520" s="80">
        <f>Tableau1[[#This Row],[Conso HP + HC / jour_x000D_
Cumul]]*365</f>
        <v>-140054.03035558536</v>
      </c>
      <c r="AK520" s="83">
        <f>(Tableau1[[#This Row],[Différence HP
Cumul]]*0.1799)+(Tableau1[[#This Row],[Différence HC
Cumul]]*0.1346)</f>
        <v>-48023.770499999999</v>
      </c>
      <c r="AL520" s="83">
        <f>Tableau1[[#This Row],[Montant
Tarif HP/HC]]/Tableau1[[#This Row],[Diff jour_x000D_
Cumul]]</f>
        <v>-62.077628214105168</v>
      </c>
      <c r="AM520" s="83">
        <f>(Tableau1[[#This Row],[Montant
Tarif HP/HC]]-AK$6)/Tableau1[[#This Row],[Diff jour_x000D_
Cumul
depuis le 24/01]]</f>
        <v>-65.86886387274383</v>
      </c>
      <c r="AN520" s="83">
        <f>(Tableau1[[#This Row],[Montant
Tarif HP/HC]]-AK$59)/Tableau1[[#This Row],[Diff jour_x000D_
Cumul
depuis
précédente facture
16/02/2021]]</f>
        <v>-68.324480111578112</v>
      </c>
      <c r="AO520" s="83">
        <f>Tableau1[[#This Row],[Conso HP + HC
Cumul]]*0.1599</f>
        <v>-47464.875899999999</v>
      </c>
      <c r="AP520" s="83">
        <f>Tableau1[[#This Row],[Montant
Tarif normal]]/Tableau1[[#This Row],[Diff jour_x000D_
Cumul]]</f>
        <v>-61.355176585912602</v>
      </c>
      <c r="AQ520" s="83">
        <f>(Tableau1[[#This Row],[Conso HP / an
Cumul]]*0.1799)+(Tableau1[[#This Row],[Conso HC / an_x000D_
Cumul]]*0.1346)</f>
        <v>-22658.334298148387</v>
      </c>
      <c r="AR520" s="83">
        <f>Tableau1[[#This Row],[Conso HP + HC / an_x000D_
Cumul]]*0.1599</f>
        <v>-22394.639453858097</v>
      </c>
      <c r="AS520" s="79">
        <f>MONTH(Tableau1[[#This Row],[Date]])</f>
        <v>1</v>
      </c>
      <c r="AT520" s="79">
        <f>YEAR(Tableau1[[#This Row],[Date]])</f>
        <v>2023</v>
      </c>
    </row>
    <row r="521" spans="1:46" x14ac:dyDescent="0.2">
      <c r="A521" s="74">
        <v>44957.324999999997</v>
      </c>
      <c r="B521" s="75"/>
      <c r="C521" s="76">
        <f>IF(ISERROR(Tableau1[[#This Row],[Date]]-A520),"",Tableau1[[#This Row],[Date]]-A520)</f>
        <v>1.0083333333313931</v>
      </c>
      <c r="D521" s="77">
        <f>IF(ISERROR(Tableau1[[#This Row],[Date]]-A520),"",Tableau1[[#This Row],[Date]]-A520)</f>
        <v>1.0083333333313931</v>
      </c>
      <c r="E521" s="76">
        <f>Tableau1[[#This Row],[Date]]-$A$5</f>
        <v>774.61666666666133</v>
      </c>
      <c r="F521" s="77">
        <f>Tableau1[[#This Row],[Date]]-$A$5</f>
        <v>774.61666666666133</v>
      </c>
      <c r="G521" s="77">
        <f>Tableau1[[#This Row],[Diff jour_x000D_
Cumul]]-F$6</f>
        <v>736.53333333333285</v>
      </c>
      <c r="H521" s="77">
        <f>Tableau1[[#This Row],[Diff jour_x000D_
Cumul]]-F$59</f>
        <v>714.01388888888323</v>
      </c>
      <c r="I521" s="78">
        <v>1682</v>
      </c>
      <c r="J521" s="79">
        <f>IF(ISERROR(Tableau1[[#This Row],[Index HP
kWh]]-I520),"",Tableau1[[#This Row],[Index HP
kWh]]-I520)</f>
        <v>46</v>
      </c>
      <c r="K521" s="77">
        <f>IF(ISERROR(Tableau1[[#This Row],[Différence HP
Instantané]]/(Tableau1[[#This Row],[Diff jour
Instantané]]*24)),"",Tableau1[[#This Row],[Différence HP
Instantané]]/(Tableau1[[#This Row],[Diff jour
Instantané]]*24))</f>
        <v>1.9008264462846494</v>
      </c>
      <c r="L521" s="77">
        <f>Tableau1[[#This Row],[Différence HP
Instantané]]/Tableau1[[#This Row],[Diff jour
Instantané]]</f>
        <v>45.619834710831583</v>
      </c>
      <c r="M521" s="77">
        <f>Tableau1[[#This Row],[Conso HP / jour
Instantané]]*365</f>
        <v>16651.239669453527</v>
      </c>
      <c r="N521" s="79">
        <f>Tableau1[[#This Row],[Index HP
kWh]]-$I$5</f>
        <v>-178077</v>
      </c>
      <c r="O521" s="80">
        <f>Tableau1[[#This Row],[Différence HP
Cumul]]/(Tableau1[[#This Row],[Diff jour_x000D_
Cumul]]*24)</f>
        <v>-9.5787701443725517</v>
      </c>
      <c r="P521" s="80">
        <f>Tableau1[[#This Row],[Différence HP
Cumul]]/Tableau1[[#This Row],[Diff jour_x000D_
Cumul]]</f>
        <v>-229.89048346494124</v>
      </c>
      <c r="Q521" s="80">
        <f>Tableau1[[#This Row],[Conso HP / jour
Cumul]]*365</f>
        <v>-83910.026464703551</v>
      </c>
      <c r="R521" s="78">
        <v>734</v>
      </c>
      <c r="S521" s="79">
        <f>Tableau1[[#This Row],[Index HC_x000D_
kWh]]-R520</f>
        <v>20</v>
      </c>
      <c r="T521" s="81">
        <f>Tableau1[[#This Row],[Différence_x000D_ HC
Instantané]]/(Tableau1[[#This Row],[Diff jour
Instantané]]*24)</f>
        <v>0.82644628099332584</v>
      </c>
      <c r="U521" s="81">
        <f>Tableau1[[#This Row],[Différence_x000D_ HC
Instantané]]/Tableau1[[#This Row],[Diff jour
Instantané]]</f>
        <v>19.834710743839818</v>
      </c>
      <c r="V521" s="81">
        <f>Tableau1[[#This Row],[Conso HC / jour_x000D_
Instantané]]*365</f>
        <v>7239.6694215015332</v>
      </c>
      <c r="W521" s="79">
        <f>Tableau1[[#This Row],[Index HC_x000D_
kWh]]-$R$5</f>
        <v>-118698</v>
      </c>
      <c r="X521" s="82">
        <f>Tableau1[[#This Row],[Différence HC
Cumul]]/(Tableau1[[#This Row],[Diff jour_x000D_
Cumul]]*24)</f>
        <v>-6.3847709619812392</v>
      </c>
      <c r="Y521" s="82">
        <f>Tableau1[[#This Row],[Différence HC
Cumul]]/Tableau1[[#This Row],[Diff jour_x000D_
Cumul]]</f>
        <v>-153.23450308754974</v>
      </c>
      <c r="Z521" s="82">
        <f>Tableau1[[#This Row],[Conso HC / jour_x000D_
Cumul]]*365</f>
        <v>-55930.593626955655</v>
      </c>
      <c r="AA521" s="79">
        <f>Tableau1[[#This Row],[Différence HP
Instantané]]+Tableau1[[#This Row],[Différence_x000D_ HC
Instantané]]</f>
        <v>66</v>
      </c>
      <c r="AB521" s="80">
        <f>Tableau1[[#This Row],[Conso HP + HC
Instantané]]/(Tableau1[[#This Row],[Diff jour
Instantané]]*24)</f>
        <v>2.7272727272779753</v>
      </c>
      <c r="AC521" s="80">
        <f>IF(ISERROR(Tableau1[[#This Row],[Date]]-A520),"",Tableau1[[#This Row],[Conso HP + HC
Instantané]]/Tableau1[[#This Row],[Diff jour
Instantané]])</f>
        <v>65.454545454671404</v>
      </c>
      <c r="AD521" s="80">
        <f>Tableau1[[#This Row],[Conso HP + HC / jour_x000D_
Instantané]]*365</f>
        <v>23890.909090955061</v>
      </c>
      <c r="AE521" s="79">
        <f>Tableau1[[#This Row],[Différence HP
Cumul]]+Tableau1[[#This Row],[Différence HC
Cumul]]</f>
        <v>-296775</v>
      </c>
      <c r="AF521" s="77">
        <f>(Tableau1[[#This Row],[Conso HP + HC
Cumul]]-AE$6)/Tableau1[[#This Row],[Diff jour_x000D_
Cumul
depuis le 24/01]]</f>
        <v>-406.42559739319358</v>
      </c>
      <c r="AG521" s="77">
        <f>(Tableau1[[#This Row],[Conso HP + HC
Cumul]]-AE$59)/Tableau1[[#This Row],[Diff jour_x000D_
Cumul
depuis
précédente facture
16/02/2021]]</f>
        <v>-421.4932015794933</v>
      </c>
      <c r="AH521" s="80">
        <f>Tableau1[[#This Row],[Conso HP + HC
Cumul]]/(Tableau1[[#This Row],[Diff jour_x000D_
Cumul]]*24)</f>
        <v>-15.963541106353791</v>
      </c>
      <c r="AI521" s="80">
        <f>Tableau1[[#This Row],[Conso HP + HC
Cumul]]/Tableau1[[#This Row],[Diff jour_x000D_
Cumul]]</f>
        <v>-383.12498655249095</v>
      </c>
      <c r="AJ521" s="80">
        <f>Tableau1[[#This Row],[Conso HP + HC / jour_x000D_
Cumul]]*365</f>
        <v>-139840.62009165919</v>
      </c>
      <c r="AK521" s="83">
        <f>(Tableau1[[#This Row],[Différence HP
Cumul]]*0.1799)+(Tableau1[[#This Row],[Différence HC
Cumul]]*0.1346)</f>
        <v>-48012.803099999997</v>
      </c>
      <c r="AL521" s="83">
        <f>Tableau1[[#This Row],[Montant
Tarif HP/HC]]/Tableau1[[#This Row],[Diff jour_x000D_
Cumul]]</f>
        <v>-61.982662090927121</v>
      </c>
      <c r="AM521" s="83">
        <f>(Tableau1[[#This Row],[Montant
Tarif HP/HC]]-AK$6)/Tableau1[[#This Row],[Diff jour_x000D_
Cumul
depuis le 24/01]]</f>
        <v>-65.763797112599605</v>
      </c>
      <c r="AN521" s="83">
        <f>(Tableau1[[#This Row],[Montant
Tarif HP/HC]]-AK$59)/Tableau1[[#This Row],[Diff jour_x000D_
Cumul
depuis
précédente facture
16/02/2021]]</f>
        <v>-68.212631795989566</v>
      </c>
      <c r="AO521" s="83">
        <f>Tableau1[[#This Row],[Conso HP + HC
Cumul]]*0.1599</f>
        <v>-47454.322499999995</v>
      </c>
      <c r="AP521" s="83">
        <f>Tableau1[[#This Row],[Montant
Tarif normal]]/Tableau1[[#This Row],[Diff jour_x000D_
Cumul]]</f>
        <v>-61.261685349743296</v>
      </c>
      <c r="AQ521" s="83">
        <f>(Tableau1[[#This Row],[Conso HP / an
Cumul]]*0.1799)+(Tableau1[[#This Row],[Conso HC / an_x000D_
Cumul]]*0.1346)</f>
        <v>-22623.671663188401</v>
      </c>
      <c r="AR521" s="83">
        <f>Tableau1[[#This Row],[Conso HP + HC / an_x000D_
Cumul]]*0.1599</f>
        <v>-22360.515152656302</v>
      </c>
      <c r="AS521" s="79">
        <f>MONTH(Tableau1[[#This Row],[Date]])</f>
        <v>1</v>
      </c>
      <c r="AT521" s="79">
        <f>YEAR(Tableau1[[#This Row],[Date]])</f>
        <v>2023</v>
      </c>
    </row>
    <row r="522" spans="1:46" x14ac:dyDescent="0.2">
      <c r="A522" s="74">
        <v>44958.474305555559</v>
      </c>
      <c r="B522" s="75"/>
      <c r="C522" s="76">
        <f>IF(ISERROR(Tableau1[[#This Row],[Date]]-A521),"",Tableau1[[#This Row],[Date]]-A521)</f>
        <v>1.1493055555620231</v>
      </c>
      <c r="D522" s="77">
        <f>IF(ISERROR(Tableau1[[#This Row],[Date]]-A521),"",Tableau1[[#This Row],[Date]]-A521)</f>
        <v>1.1493055555620231</v>
      </c>
      <c r="E522" s="76">
        <f>Tableau1[[#This Row],[Date]]-$A$5</f>
        <v>775.76597222222335</v>
      </c>
      <c r="F522" s="77">
        <f>Tableau1[[#This Row],[Date]]-$A$5</f>
        <v>775.76597222222335</v>
      </c>
      <c r="G522" s="77">
        <f>Tableau1[[#This Row],[Diff jour_x000D_
Cumul]]-F$6</f>
        <v>737.68263888889487</v>
      </c>
      <c r="H522" s="77">
        <f>Tableau1[[#This Row],[Diff jour_x000D_
Cumul]]-F$59</f>
        <v>715.16319444444525</v>
      </c>
      <c r="I522" s="78">
        <v>1727</v>
      </c>
      <c r="J522" s="79">
        <f>IF(ISERROR(Tableau1[[#This Row],[Index HP
kWh]]-I521),"",Tableau1[[#This Row],[Index HP
kWh]]-I521)</f>
        <v>45</v>
      </c>
      <c r="K522" s="77">
        <f>IF(ISERROR(Tableau1[[#This Row],[Différence HP
Instantané]]/(Tableau1[[#This Row],[Diff jour
Instantané]]*24)),"",Tableau1[[#This Row],[Différence HP
Instantané]]/(Tableau1[[#This Row],[Diff jour
Instantané]]*24))</f>
        <v>1.6314199395678588</v>
      </c>
      <c r="L522" s="77">
        <f>Tableau1[[#This Row],[Différence HP
Instantané]]/Tableau1[[#This Row],[Diff jour
Instantané]]</f>
        <v>39.154078549628608</v>
      </c>
      <c r="M522" s="77">
        <f>Tableau1[[#This Row],[Conso HP / jour
Instantané]]*365</f>
        <v>14291.238670614443</v>
      </c>
      <c r="N522" s="79">
        <f>Tableau1[[#This Row],[Index HP
kWh]]-$I$5</f>
        <v>-178032</v>
      </c>
      <c r="O522" s="80">
        <f>Tableau1[[#This Row],[Différence HP
Cumul]]/(Tableau1[[#This Row],[Diff jour_x000D_
Cumul]]*24)</f>
        <v>-9.562162128290753</v>
      </c>
      <c r="P522" s="80">
        <f>Tableau1[[#This Row],[Différence HP
Cumul]]/Tableau1[[#This Row],[Diff jour_x000D_
Cumul]]</f>
        <v>-229.49189107897806</v>
      </c>
      <c r="Q522" s="80">
        <f>Tableau1[[#This Row],[Conso HP / jour
Cumul]]*365</f>
        <v>-83764.540243826996</v>
      </c>
      <c r="R522" s="78">
        <v>753</v>
      </c>
      <c r="S522" s="79">
        <f>Tableau1[[#This Row],[Index HC_x000D_
kWh]]-R521</f>
        <v>19</v>
      </c>
      <c r="T522" s="81">
        <f>Tableau1[[#This Row],[Différence_x000D_ HC
Instantané]]/(Tableau1[[#This Row],[Diff jour
Instantané]]*24)</f>
        <v>0.68882175226198483</v>
      </c>
      <c r="U522" s="81">
        <f>Tableau1[[#This Row],[Différence_x000D_ HC
Instantané]]/Tableau1[[#This Row],[Diff jour
Instantané]]</f>
        <v>16.531722054287634</v>
      </c>
      <c r="V522" s="81">
        <f>Tableau1[[#This Row],[Conso HC / jour_x000D_
Instantané]]*365</f>
        <v>6034.0785498149862</v>
      </c>
      <c r="W522" s="79">
        <f>Tableau1[[#This Row],[Index HC_x000D_
kWh]]-$R$5</f>
        <v>-118679</v>
      </c>
      <c r="X522" s="82">
        <f>Tableau1[[#This Row],[Différence HC
Cumul]]/(Tableau1[[#This Row],[Diff jour_x000D_
Cumul]]*24)</f>
        <v>-6.3742913589883736</v>
      </c>
      <c r="Y522" s="82">
        <f>Tableau1[[#This Row],[Différence HC
Cumul]]/Tableau1[[#This Row],[Diff jour_x000D_
Cumul]]</f>
        <v>-152.98299261572097</v>
      </c>
      <c r="Z522" s="82">
        <f>Tableau1[[#This Row],[Conso HC / jour_x000D_
Cumul]]*365</f>
        <v>-55838.792304738156</v>
      </c>
      <c r="AA522" s="79">
        <f>Tableau1[[#This Row],[Différence HP
Instantané]]+Tableau1[[#This Row],[Différence_x000D_ HC
Instantané]]</f>
        <v>64</v>
      </c>
      <c r="AB522" s="80">
        <f>Tableau1[[#This Row],[Conso HP + HC
Instantané]]/(Tableau1[[#This Row],[Diff jour
Instantané]]*24)</f>
        <v>2.3202416918298434</v>
      </c>
      <c r="AC522" s="80">
        <f>IF(ISERROR(Tableau1[[#This Row],[Date]]-A521),"",Tableau1[[#This Row],[Conso HP + HC
Instantané]]/Tableau1[[#This Row],[Diff jour
Instantané]])</f>
        <v>55.685800603916242</v>
      </c>
      <c r="AD522" s="80">
        <f>Tableau1[[#This Row],[Conso HP + HC / jour_x000D_
Instantané]]*365</f>
        <v>20325.317220429428</v>
      </c>
      <c r="AE522" s="79">
        <f>Tableau1[[#This Row],[Différence HP
Cumul]]+Tableau1[[#This Row],[Différence HC
Cumul]]</f>
        <v>-296711</v>
      </c>
      <c r="AF522" s="77">
        <f>(Tableau1[[#This Row],[Conso HP + HC
Cumul]]-AE$6)/Tableau1[[#This Row],[Diff jour_x000D_
Cumul
depuis le 24/01]]</f>
        <v>-405.70563033824629</v>
      </c>
      <c r="AG522" s="77">
        <f>(Tableau1[[#This Row],[Conso HP + HC
Cumul]]-AE$59)/Tableau1[[#This Row],[Diff jour_x000D_
Cumul
depuis
précédente facture
16/02/2021]]</f>
        <v>-420.72634936664565</v>
      </c>
      <c r="AH522" s="80">
        <f>Tableau1[[#This Row],[Conso HP + HC
Cumul]]/(Tableau1[[#This Row],[Diff jour_x000D_
Cumul]]*24)</f>
        <v>-15.936453487279126</v>
      </c>
      <c r="AI522" s="80">
        <f>Tableau1[[#This Row],[Conso HP + HC
Cumul]]/Tableau1[[#This Row],[Diff jour_x000D_
Cumul]]</f>
        <v>-382.47488369469903</v>
      </c>
      <c r="AJ522" s="80">
        <f>Tableau1[[#This Row],[Conso HP + HC / jour_x000D_
Cumul]]*365</f>
        <v>-139603.33254856514</v>
      </c>
      <c r="AK522" s="83">
        <f>(Tableau1[[#This Row],[Différence HP
Cumul]]*0.1799)+(Tableau1[[#This Row],[Différence HC
Cumul]]*0.1346)</f>
        <v>-48002.150200000004</v>
      </c>
      <c r="AL522" s="83">
        <f>Tableau1[[#This Row],[Montant
Tarif HP/HC]]/Tableau1[[#This Row],[Diff jour_x000D_
Cumul]]</f>
        <v>-61.877102011184199</v>
      </c>
      <c r="AM522" s="83">
        <f>(Tableau1[[#This Row],[Montant
Tarif HP/HC]]-AK$6)/Tableau1[[#This Row],[Diff jour_x000D_
Cumul
depuis le 24/01]]</f>
        <v>-65.646896439016928</v>
      </c>
      <c r="AN522" s="83">
        <f>(Tableau1[[#This Row],[Montant
Tarif HP/HC]]-AK$59)/Tableau1[[#This Row],[Diff jour_x000D_
Cumul
depuis
précédente facture
16/02/2021]]</f>
        <v>-68.08811468244906</v>
      </c>
      <c r="AO522" s="83">
        <f>Tableau1[[#This Row],[Conso HP + HC
Cumul]]*0.1599</f>
        <v>-47444.088899999995</v>
      </c>
      <c r="AP522" s="83">
        <f>Tableau1[[#This Row],[Montant
Tarif normal]]/Tableau1[[#This Row],[Diff jour_x000D_
Cumul]]</f>
        <v>-61.157733902782368</v>
      </c>
      <c r="AQ522" s="83">
        <f>(Tableau1[[#This Row],[Conso HP / an
Cumul]]*0.1799)+(Tableau1[[#This Row],[Conso HC / an_x000D_
Cumul]]*0.1346)</f>
        <v>-22585.142234082232</v>
      </c>
      <c r="AR522" s="83">
        <f>Tableau1[[#This Row],[Conso HP + HC / an_x000D_
Cumul]]*0.1599</f>
        <v>-22322.572874515565</v>
      </c>
      <c r="AS522" s="79">
        <f>MONTH(Tableau1[[#This Row],[Date]])</f>
        <v>2</v>
      </c>
      <c r="AT522" s="79">
        <f>YEAR(Tableau1[[#This Row],[Date]])</f>
        <v>2023</v>
      </c>
    </row>
    <row r="523" spans="1:46" x14ac:dyDescent="0.2">
      <c r="A523" s="74">
        <v>44959.334027777775</v>
      </c>
      <c r="B523" s="75"/>
      <c r="C523" s="76">
        <f>IF(ISERROR(Tableau1[[#This Row],[Date]]-A522),"",Tableau1[[#This Row],[Date]]-A522)</f>
        <v>0.85972222221607808</v>
      </c>
      <c r="D523" s="77">
        <f>IF(ISERROR(Tableau1[[#This Row],[Date]]-A522),"",Tableau1[[#This Row],[Date]]-A522)</f>
        <v>0.85972222221607808</v>
      </c>
      <c r="E523" s="76">
        <f>Tableau1[[#This Row],[Date]]-$A$5</f>
        <v>776.62569444443943</v>
      </c>
      <c r="F523" s="77">
        <f>Tableau1[[#This Row],[Date]]-$A$5</f>
        <v>776.62569444443943</v>
      </c>
      <c r="G523" s="77">
        <f>Tableau1[[#This Row],[Diff jour_x000D_
Cumul]]-F$6</f>
        <v>738.54236111111095</v>
      </c>
      <c r="H523" s="77">
        <f>Tableau1[[#This Row],[Diff jour_x000D_
Cumul]]-F$59</f>
        <v>716.02291666666133</v>
      </c>
      <c r="I523" s="78">
        <v>1755</v>
      </c>
      <c r="J523" s="79">
        <f>IF(ISERROR(Tableau1[[#This Row],[Index HP
kWh]]-I522),"",Tableau1[[#This Row],[Index HP
kWh]]-I522)</f>
        <v>28</v>
      </c>
      <c r="K523" s="77">
        <f>IF(ISERROR(Tableau1[[#This Row],[Différence HP
Instantané]]/(Tableau1[[#This Row],[Diff jour
Instantané]]*24)),"",Tableau1[[#This Row],[Différence HP
Instantané]]/(Tableau1[[#This Row],[Diff jour
Instantané]]*24))</f>
        <v>1.3570274636607482</v>
      </c>
      <c r="L523" s="77">
        <f>Tableau1[[#This Row],[Différence HP
Instantané]]/Tableau1[[#This Row],[Diff jour
Instantané]]</f>
        <v>32.568659127857956</v>
      </c>
      <c r="M523" s="77">
        <f>Tableau1[[#This Row],[Conso HP / jour
Instantané]]*365</f>
        <v>11887.560581668155</v>
      </c>
      <c r="N523" s="79">
        <f>Tableau1[[#This Row],[Index HP
kWh]]-$I$5</f>
        <v>-178004</v>
      </c>
      <c r="O523" s="80">
        <f>Tableau1[[#This Row],[Différence HP
Cumul]]/(Tableau1[[#This Row],[Diff jour_x000D_
Cumul]]*24)</f>
        <v>-9.5500746194587069</v>
      </c>
      <c r="P523" s="80">
        <f>Tableau1[[#This Row],[Différence HP
Cumul]]/Tableau1[[#This Row],[Diff jour_x000D_
Cumul]]</f>
        <v>-229.20179086700895</v>
      </c>
      <c r="Q523" s="80">
        <f>Tableau1[[#This Row],[Conso HP / jour
Cumul]]*365</f>
        <v>-83658.653666458267</v>
      </c>
      <c r="R523" s="78">
        <v>769</v>
      </c>
      <c r="S523" s="79">
        <f>Tableau1[[#This Row],[Index HC_x000D_
kWh]]-R522</f>
        <v>16</v>
      </c>
      <c r="T523" s="81">
        <f>Tableau1[[#This Row],[Différence_x000D_ HC
Instantané]]/(Tableau1[[#This Row],[Diff jour
Instantané]]*24)</f>
        <v>0.77544426494899898</v>
      </c>
      <c r="U523" s="81">
        <f>Tableau1[[#This Row],[Différence_x000D_ HC
Instantané]]/Tableau1[[#This Row],[Diff jour
Instantané]]</f>
        <v>18.610662358775976</v>
      </c>
      <c r="V523" s="81">
        <f>Tableau1[[#This Row],[Conso HC / jour_x000D_
Instantané]]*365</f>
        <v>6792.8917609532309</v>
      </c>
      <c r="W523" s="79">
        <f>Tableau1[[#This Row],[Index HC_x000D_
kWh]]-$R$5</f>
        <v>-118663</v>
      </c>
      <c r="X523" s="82">
        <f>Tableau1[[#This Row],[Différence HC
Cumul]]/(Tableau1[[#This Row],[Diff jour_x000D_
Cumul]]*24)</f>
        <v>-6.3663766239456896</v>
      </c>
      <c r="Y523" s="82">
        <f>Tableau1[[#This Row],[Différence HC
Cumul]]/Tableau1[[#This Row],[Diff jour_x000D_
Cumul]]</f>
        <v>-152.79303897469654</v>
      </c>
      <c r="Z523" s="82">
        <f>Tableau1[[#This Row],[Conso HC / jour_x000D_
Cumul]]*365</f>
        <v>-55769.459225764236</v>
      </c>
      <c r="AA523" s="79">
        <f>Tableau1[[#This Row],[Différence HP
Instantané]]+Tableau1[[#This Row],[Différence_x000D_ HC
Instantané]]</f>
        <v>44</v>
      </c>
      <c r="AB523" s="80">
        <f>Tableau1[[#This Row],[Conso HP + HC
Instantané]]/(Tableau1[[#This Row],[Diff jour
Instantané]]*24)</f>
        <v>2.1324717286097474</v>
      </c>
      <c r="AC523" s="80">
        <f>IF(ISERROR(Tableau1[[#This Row],[Date]]-A522),"",Tableau1[[#This Row],[Conso HP + HC
Instantané]]/Tableau1[[#This Row],[Diff jour
Instantané]])</f>
        <v>51.179321486633938</v>
      </c>
      <c r="AD523" s="80">
        <f>Tableau1[[#This Row],[Conso HP + HC / jour_x000D_
Instantané]]*365</f>
        <v>18680.452342621389</v>
      </c>
      <c r="AE523" s="79">
        <f>Tableau1[[#This Row],[Différence HP
Cumul]]+Tableau1[[#This Row],[Différence HC
Cumul]]</f>
        <v>-296667</v>
      </c>
      <c r="AF523" s="77">
        <f>(Tableau1[[#This Row],[Conso HP + HC
Cumul]]-AE$6)/Tableau1[[#This Row],[Diff jour_x000D_
Cumul
depuis le 24/01]]</f>
        <v>-405.17377980838768</v>
      </c>
      <c r="AG523" s="77">
        <f>(Tableau1[[#This Row],[Conso HP + HC
Cumul]]-AE$59)/Tableau1[[#This Row],[Diff jour_x000D_
Cumul
depuis
précédente facture
16/02/2021]]</f>
        <v>-420.1597365075055</v>
      </c>
      <c r="AH523" s="80">
        <f>Tableau1[[#This Row],[Conso HP + HC
Cumul]]/(Tableau1[[#This Row],[Diff jour_x000D_
Cumul]]*24)</f>
        <v>-15.916451243404396</v>
      </c>
      <c r="AI523" s="80">
        <f>Tableau1[[#This Row],[Conso HP + HC
Cumul]]/Tableau1[[#This Row],[Diff jour_x000D_
Cumul]]</f>
        <v>-381.9948298417055</v>
      </c>
      <c r="AJ523" s="80">
        <f>Tableau1[[#This Row],[Conso HP + HC / jour_x000D_
Cumul]]*365</f>
        <v>-139428.1128922225</v>
      </c>
      <c r="AK523" s="83">
        <f>(Tableau1[[#This Row],[Différence HP
Cumul]]*0.1799)+(Tableau1[[#This Row],[Différence HC
Cumul]]*0.1346)</f>
        <v>-47994.9594</v>
      </c>
      <c r="AL523" s="83">
        <f>Tableau1[[#This Row],[Montant
Tarif HP/HC]]/Tableau1[[#This Row],[Diff jour_x000D_
Cumul]]</f>
        <v>-61.799345222969066</v>
      </c>
      <c r="AM523" s="83">
        <f>(Tableau1[[#This Row],[Montant
Tarif HP/HC]]-AK$6)/Tableau1[[#This Row],[Diff jour_x000D_
Cumul
depuis le 24/01]]</f>
        <v>-65.560741738841827</v>
      </c>
      <c r="AN523" s="83">
        <f>(Tableau1[[#This Row],[Montant
Tarif HP/HC]]-AK$59)/Tableau1[[#This Row],[Diff jour_x000D_
Cumul
depuis
précédente facture
16/02/2021]]</f>
        <v>-67.996319205333208</v>
      </c>
      <c r="AO523" s="83">
        <f>Tableau1[[#This Row],[Conso HP + HC
Cumul]]*0.1599</f>
        <v>-47437.0533</v>
      </c>
      <c r="AP523" s="83">
        <f>Tableau1[[#This Row],[Montant
Tarif normal]]/Tableau1[[#This Row],[Diff jour_x000D_
Cumul]]</f>
        <v>-61.080973291688707</v>
      </c>
      <c r="AQ523" s="83">
        <f>(Tableau1[[#This Row],[Conso HP / an
Cumul]]*0.1799)+(Tableau1[[#This Row],[Conso HC / an_x000D_
Cumul]]*0.1346)</f>
        <v>-22556.761006383709</v>
      </c>
      <c r="AR523" s="83">
        <f>Tableau1[[#This Row],[Conso HP + HC / an_x000D_
Cumul]]*0.1599</f>
        <v>-22294.555251466376</v>
      </c>
      <c r="AS523" s="79">
        <f>MONTH(Tableau1[[#This Row],[Date]])</f>
        <v>2</v>
      </c>
      <c r="AT523" s="79">
        <f>YEAR(Tableau1[[#This Row],[Date]])</f>
        <v>2023</v>
      </c>
    </row>
    <row r="524" spans="1:46" x14ac:dyDescent="0.2">
      <c r="A524" s="74">
        <v>44960.34375</v>
      </c>
      <c r="B524" s="75"/>
      <c r="C524" s="76">
        <f>IF(ISERROR(Tableau1[[#This Row],[Date]]-A523),"",Tableau1[[#This Row],[Date]]-A523)</f>
        <v>1.0097222222248092</v>
      </c>
      <c r="D524" s="77">
        <f>IF(ISERROR(Tableau1[[#This Row],[Date]]-A523),"",Tableau1[[#This Row],[Date]]-A523)</f>
        <v>1.0097222222248092</v>
      </c>
      <c r="E524" s="76">
        <f>Tableau1[[#This Row],[Date]]-$A$5</f>
        <v>777.63541666666424</v>
      </c>
      <c r="F524" s="77">
        <f>Tableau1[[#This Row],[Date]]-$A$5</f>
        <v>777.63541666666424</v>
      </c>
      <c r="G524" s="77">
        <f>Tableau1[[#This Row],[Diff jour_x000D_
Cumul]]-F$6</f>
        <v>739.55208333333576</v>
      </c>
      <c r="H524" s="77">
        <f>Tableau1[[#This Row],[Diff jour_x000D_
Cumul]]-F$59</f>
        <v>717.03263888888614</v>
      </c>
      <c r="I524" s="78">
        <v>1788</v>
      </c>
      <c r="J524" s="79">
        <f>IF(ISERROR(Tableau1[[#This Row],[Index HP
kWh]]-I523),"",Tableau1[[#This Row],[Index HP
kWh]]-I523)</f>
        <v>33</v>
      </c>
      <c r="K524" s="77">
        <f>IF(ISERROR(Tableau1[[#This Row],[Différence HP
Instantané]]/(Tableau1[[#This Row],[Diff jour
Instantané]]*24)),"",Tableau1[[#This Row],[Différence HP
Instantané]]/(Tableau1[[#This Row],[Diff jour
Instantané]]*24))</f>
        <v>1.3617606602441039</v>
      </c>
      <c r="L524" s="77">
        <f>Tableau1[[#This Row],[Différence HP
Instantané]]/Tableau1[[#This Row],[Diff jour
Instantané]]</f>
        <v>32.682255845858492</v>
      </c>
      <c r="M524" s="77">
        <f>Tableau1[[#This Row],[Conso HP / jour
Instantané]]*365</f>
        <v>11929.023383738349</v>
      </c>
      <c r="N524" s="79">
        <f>Tableau1[[#This Row],[Index HP
kWh]]-$I$5</f>
        <v>-177971</v>
      </c>
      <c r="O524" s="80">
        <f>Tableau1[[#This Row],[Différence HP
Cumul]]/(Tableau1[[#This Row],[Diff jour_x000D_
Cumul]]*24)</f>
        <v>-9.5359061256748188</v>
      </c>
      <c r="P524" s="80">
        <f>Tableau1[[#This Row],[Différence HP
Cumul]]/Tableau1[[#This Row],[Diff jour_x000D_
Cumul]]</f>
        <v>-228.86174701619564</v>
      </c>
      <c r="Q524" s="80">
        <f>Tableau1[[#This Row],[Conso HP / jour
Cumul]]*365</f>
        <v>-83534.537660911403</v>
      </c>
      <c r="R524" s="78">
        <v>786</v>
      </c>
      <c r="S524" s="79">
        <f>Tableau1[[#This Row],[Index HC_x000D_
kWh]]-R523</f>
        <v>17</v>
      </c>
      <c r="T524" s="81">
        <f>Tableau1[[#This Row],[Différence_x000D_ HC
Instantané]]/(Tableau1[[#This Row],[Diff jour
Instantané]]*24)</f>
        <v>0.70151306739847774</v>
      </c>
      <c r="U524" s="81">
        <f>Tableau1[[#This Row],[Différence_x000D_ HC
Instantané]]/Tableau1[[#This Row],[Diff jour
Instantané]]</f>
        <v>16.836313617563466</v>
      </c>
      <c r="V524" s="81">
        <f>Tableau1[[#This Row],[Conso HC / jour_x000D_
Instantané]]*365</f>
        <v>6145.2544704106649</v>
      </c>
      <c r="W524" s="79">
        <f>Tableau1[[#This Row],[Index HC_x000D_
kWh]]-$R$5</f>
        <v>-118646</v>
      </c>
      <c r="X524" s="82">
        <f>Tableau1[[#This Row],[Différence HC
Cumul]]/(Tableau1[[#This Row],[Diff jour_x000D_
Cumul]]*24)</f>
        <v>-6.3571993088020777</v>
      </c>
      <c r="Y524" s="82">
        <f>Tableau1[[#This Row],[Différence HC
Cumul]]/Tableau1[[#This Row],[Diff jour_x000D_
Cumul]]</f>
        <v>-152.57278341124984</v>
      </c>
      <c r="Z524" s="82">
        <f>Tableau1[[#This Row],[Conso HC / jour_x000D_
Cumul]]*365</f>
        <v>-55689.065945106195</v>
      </c>
      <c r="AA524" s="79">
        <f>Tableau1[[#This Row],[Différence HP
Instantané]]+Tableau1[[#This Row],[Différence_x000D_ HC
Instantané]]</f>
        <v>50</v>
      </c>
      <c r="AB524" s="80">
        <f>Tableau1[[#This Row],[Conso HP + HC
Instantané]]/(Tableau1[[#This Row],[Diff jour
Instantané]]*24)</f>
        <v>2.0632737276425814</v>
      </c>
      <c r="AC524" s="80">
        <f>IF(ISERROR(Tableau1[[#This Row],[Date]]-A523),"",Tableau1[[#This Row],[Conso HP + HC
Instantané]]/Tableau1[[#This Row],[Diff jour
Instantané]])</f>
        <v>49.518569463421962</v>
      </c>
      <c r="AD524" s="80">
        <f>Tableau1[[#This Row],[Conso HP + HC / jour_x000D_
Instantané]]*365</f>
        <v>18074.277854149015</v>
      </c>
      <c r="AE524" s="79">
        <f>Tableau1[[#This Row],[Différence HP
Cumul]]+Tableau1[[#This Row],[Différence HC
Cumul]]</f>
        <v>-296617</v>
      </c>
      <c r="AF524" s="77">
        <f>(Tableau1[[#This Row],[Conso HP + HC
Cumul]]-AE$6)/Tableau1[[#This Row],[Diff jour_x000D_
Cumul
depuis le 24/01]]</f>
        <v>-404.55298111187665</v>
      </c>
      <c r="AG524" s="77">
        <f>(Tableau1[[#This Row],[Conso HP + HC
Cumul]]-AE$59)/Tableau1[[#This Row],[Diff jour_x000D_
Cumul
depuis
précédente facture
16/02/2021]]</f>
        <v>-419.49833757374063</v>
      </c>
      <c r="AH524" s="80">
        <f>Tableau1[[#This Row],[Conso HP + HC
Cumul]]/(Tableau1[[#This Row],[Diff jour_x000D_
Cumul]]*24)</f>
        <v>-15.893105434476896</v>
      </c>
      <c r="AI524" s="80">
        <f>Tableau1[[#This Row],[Conso HP + HC
Cumul]]/Tableau1[[#This Row],[Diff jour_x000D_
Cumul]]</f>
        <v>-381.43453042744551</v>
      </c>
      <c r="AJ524" s="80">
        <f>Tableau1[[#This Row],[Conso HP + HC / jour_x000D_
Cumul]]*365</f>
        <v>-139223.6036060176</v>
      </c>
      <c r="AK524" s="83">
        <f>(Tableau1[[#This Row],[Différence HP
Cumul]]*0.1799)+(Tableau1[[#This Row],[Différence HC
Cumul]]*0.1346)</f>
        <v>-47986.734499999999</v>
      </c>
      <c r="AL524" s="83">
        <f>Tableau1[[#This Row],[Montant
Tarif HP/HC]]/Tableau1[[#This Row],[Diff jour_x000D_
Cumul]]</f>
        <v>-61.708524935367826</v>
      </c>
      <c r="AM524" s="83">
        <f>(Tableau1[[#This Row],[Montant
Tarif HP/HC]]-AK$6)/Tableau1[[#This Row],[Diff jour_x000D_
Cumul
depuis le 24/01]]</f>
        <v>-65.460109153907695</v>
      </c>
      <c r="AN524" s="83">
        <f>(Tableau1[[#This Row],[Montant
Tarif HP/HC]]-AK$59)/Tableau1[[#This Row],[Diff jour_x000D_
Cumul
depuis
précédente facture
16/02/2021]]</f>
        <v>-67.889096339369587</v>
      </c>
      <c r="AO524" s="83">
        <f>Tableau1[[#This Row],[Conso HP + HC
Cumul]]*0.1599</f>
        <v>-47429.058299999997</v>
      </c>
      <c r="AP524" s="83">
        <f>Tableau1[[#This Row],[Montant
Tarif normal]]/Tableau1[[#This Row],[Diff jour_x000D_
Cumul]]</f>
        <v>-60.991381415348535</v>
      </c>
      <c r="AQ524" s="83">
        <f>(Tableau1[[#This Row],[Conso HP / an
Cumul]]*0.1799)+(Tableau1[[#This Row],[Conso HC / an_x000D_
Cumul]]*0.1346)</f>
        <v>-22523.611601409255</v>
      </c>
      <c r="AR524" s="83">
        <f>Tableau1[[#This Row],[Conso HP + HC / an_x000D_
Cumul]]*0.1599</f>
        <v>-22261.854216602213</v>
      </c>
      <c r="AS524" s="79">
        <f>MONTH(Tableau1[[#This Row],[Date]])</f>
        <v>2</v>
      </c>
      <c r="AT524" s="79">
        <f>YEAR(Tableau1[[#This Row],[Date]])</f>
        <v>2023</v>
      </c>
    </row>
    <row r="525" spans="1:46" x14ac:dyDescent="0.2">
      <c r="A525" s="74">
        <v>44961.365972222222</v>
      </c>
      <c r="B525" s="75"/>
      <c r="C525" s="76">
        <f>IF(ISERROR(Tableau1[[#This Row],[Date]]-A524),"",Tableau1[[#This Row],[Date]]-A524)</f>
        <v>1.0222222222218988</v>
      </c>
      <c r="D525" s="77">
        <f>IF(ISERROR(Tableau1[[#This Row],[Date]]-A524),"",Tableau1[[#This Row],[Date]]-A524)</f>
        <v>1.0222222222218988</v>
      </c>
      <c r="E525" s="76">
        <f>Tableau1[[#This Row],[Date]]-$A$5</f>
        <v>778.65763888888614</v>
      </c>
      <c r="F525" s="77">
        <f>Tableau1[[#This Row],[Date]]-$A$5</f>
        <v>778.65763888888614</v>
      </c>
      <c r="G525" s="77">
        <f>Tableau1[[#This Row],[Diff jour_x000D_
Cumul]]-F$6</f>
        <v>740.57430555555766</v>
      </c>
      <c r="H525" s="77">
        <f>Tableau1[[#This Row],[Diff jour_x000D_
Cumul]]-F$59</f>
        <v>718.05486111110804</v>
      </c>
      <c r="I525" s="78">
        <v>1820</v>
      </c>
      <c r="J525" s="79">
        <f>IF(ISERROR(Tableau1[[#This Row],[Index HP
kWh]]-I524),"",Tableau1[[#This Row],[Index HP
kWh]]-I524)</f>
        <v>32</v>
      </c>
      <c r="K525" s="77">
        <f>IF(ISERROR(Tableau1[[#This Row],[Différence HP
Instantané]]/(Tableau1[[#This Row],[Diff jour
Instantané]]*24)),"",Tableau1[[#This Row],[Différence HP
Instantané]]/(Tableau1[[#This Row],[Diff jour
Instantané]]*24))</f>
        <v>1.3043478260873691</v>
      </c>
      <c r="L525" s="77">
        <f>Tableau1[[#This Row],[Différence HP
Instantané]]/Tableau1[[#This Row],[Diff jour
Instantané]]</f>
        <v>31.304347826096858</v>
      </c>
      <c r="M525" s="77">
        <f>Tableau1[[#This Row],[Conso HP / jour
Instantané]]*365</f>
        <v>11426.086956525352</v>
      </c>
      <c r="N525" s="79">
        <f>Tableau1[[#This Row],[Index HP
kWh]]-$I$5</f>
        <v>-177939</v>
      </c>
      <c r="O525" s="80">
        <f>Tableau1[[#This Row],[Différence HP
Cumul]]/(Tableau1[[#This Row],[Diff jour_x000D_
Cumul]]*24)</f>
        <v>-9.5216750336896006</v>
      </c>
      <c r="P525" s="80">
        <f>Tableau1[[#This Row],[Différence HP
Cumul]]/Tableau1[[#This Row],[Diff jour_x000D_
Cumul]]</f>
        <v>-228.52020080855041</v>
      </c>
      <c r="Q525" s="80">
        <f>Tableau1[[#This Row],[Conso HP / jour
Cumul]]*365</f>
        <v>-83409.873295120895</v>
      </c>
      <c r="R525" s="78">
        <v>802</v>
      </c>
      <c r="S525" s="79">
        <f>Tableau1[[#This Row],[Index HC_x000D_
kWh]]-R524</f>
        <v>16</v>
      </c>
      <c r="T525" s="81">
        <f>Tableau1[[#This Row],[Différence_x000D_ HC
Instantané]]/(Tableau1[[#This Row],[Diff jour
Instantané]]*24)</f>
        <v>0.65217391304368455</v>
      </c>
      <c r="U525" s="81">
        <f>Tableau1[[#This Row],[Différence_x000D_ HC
Instantané]]/Tableau1[[#This Row],[Diff jour
Instantané]]</f>
        <v>15.652173913048429</v>
      </c>
      <c r="V525" s="81">
        <f>Tableau1[[#This Row],[Conso HC / jour_x000D_
Instantané]]*365</f>
        <v>5713.0434782626762</v>
      </c>
      <c r="W525" s="79">
        <f>Tableau1[[#This Row],[Index HC_x000D_
kWh]]-$R$5</f>
        <v>-118630</v>
      </c>
      <c r="X525" s="82">
        <f>Tableau1[[#This Row],[Différence HC
Cumul]]/(Tableau1[[#This Row],[Diff jour_x000D_
Cumul]]*24)</f>
        <v>-6.3479973993705556</v>
      </c>
      <c r="Y525" s="82">
        <f>Tableau1[[#This Row],[Différence HC
Cumul]]/Tableau1[[#This Row],[Diff jour_x000D_
Cumul]]</f>
        <v>-152.35193758489334</v>
      </c>
      <c r="Z525" s="82">
        <f>Tableau1[[#This Row],[Conso HC / jour_x000D_
Cumul]]*365</f>
        <v>-55608.457218486066</v>
      </c>
      <c r="AA525" s="79">
        <f>Tableau1[[#This Row],[Différence HP
Instantané]]+Tableau1[[#This Row],[Différence_x000D_ HC
Instantané]]</f>
        <v>48</v>
      </c>
      <c r="AB525" s="80">
        <f>Tableau1[[#This Row],[Conso HP + HC
Instantané]]/(Tableau1[[#This Row],[Diff jour
Instantané]]*24)</f>
        <v>1.9565217391310536</v>
      </c>
      <c r="AC525" s="80">
        <f>IF(ISERROR(Tableau1[[#This Row],[Date]]-A524),"",Tableau1[[#This Row],[Conso HP + HC
Instantané]]/Tableau1[[#This Row],[Diff jour
Instantané]])</f>
        <v>46.956521739145288</v>
      </c>
      <c r="AD525" s="80">
        <f>Tableau1[[#This Row],[Conso HP + HC / jour_x000D_
Instantané]]*365</f>
        <v>17139.130434788029</v>
      </c>
      <c r="AE525" s="79">
        <f>Tableau1[[#This Row],[Différence HP
Cumul]]+Tableau1[[#This Row],[Différence HC
Cumul]]</f>
        <v>-296569</v>
      </c>
      <c r="AF525" s="77">
        <f>(Tableau1[[#This Row],[Conso HP + HC
Cumul]]-AE$6)/Tableau1[[#This Row],[Diff jour_x000D_
Cumul
depuis le 24/01]]</f>
        <v>-403.92975796749215</v>
      </c>
      <c r="AG525" s="77">
        <f>(Tableau1[[#This Row],[Conso HP + HC
Cumul]]-AE$59)/Tableau1[[#This Row],[Diff jour_x000D_
Cumul
depuis
précédente facture
16/02/2021]]</f>
        <v>-418.83429287649392</v>
      </c>
      <c r="AH525" s="80">
        <f>Tableau1[[#This Row],[Conso HP + HC
Cumul]]/(Tableau1[[#This Row],[Diff jour_x000D_
Cumul]]*24)</f>
        <v>-15.869672433060156</v>
      </c>
      <c r="AI525" s="80">
        <f>Tableau1[[#This Row],[Conso HP + HC
Cumul]]/Tableau1[[#This Row],[Diff jour_x000D_
Cumul]]</f>
        <v>-380.87213839344378</v>
      </c>
      <c r="AJ525" s="80">
        <f>Tableau1[[#This Row],[Conso HP + HC / jour_x000D_
Cumul]]*365</f>
        <v>-139018.33051360698</v>
      </c>
      <c r="AK525" s="83">
        <f>(Tableau1[[#This Row],[Différence HP
Cumul]]*0.1799)+(Tableau1[[#This Row],[Différence HC
Cumul]]*0.1346)</f>
        <v>-47978.824099999998</v>
      </c>
      <c r="AL525" s="83">
        <f>Tableau1[[#This Row],[Montant
Tarif HP/HC]]/Tableau1[[#This Row],[Diff jour_x000D_
Cumul]]</f>
        <v>-61.617354924384863</v>
      </c>
      <c r="AM525" s="83">
        <f>(Tableau1[[#This Row],[Montant
Tarif HP/HC]]-AK$6)/Tableau1[[#This Row],[Diff jour_x000D_
Cumul
depuis le 24/01]]</f>
        <v>-65.359072461593527</v>
      </c>
      <c r="AN525" s="83">
        <f>(Tableau1[[#This Row],[Montant
Tarif HP/HC]]-AK$59)/Tableau1[[#This Row],[Diff jour_x000D_
Cumul
depuis
précédente facture
16/02/2021]]</f>
        <v>-67.781433057479063</v>
      </c>
      <c r="AO525" s="83">
        <f>Tableau1[[#This Row],[Conso HP + HC
Cumul]]*0.1599</f>
        <v>-47421.383099999999</v>
      </c>
      <c r="AP525" s="83">
        <f>Tableau1[[#This Row],[Montant
Tarif normal]]/Tableau1[[#This Row],[Diff jour_x000D_
Cumul]]</f>
        <v>-60.901454929111658</v>
      </c>
      <c r="AQ525" s="83">
        <f>(Tableau1[[#This Row],[Conso HP / an
Cumul]]*0.1799)+(Tableau1[[#This Row],[Conso HC / an_x000D_
Cumul]]*0.1346)</f>
        <v>-22490.334547400475</v>
      </c>
      <c r="AR525" s="83">
        <f>Tableau1[[#This Row],[Conso HP + HC / an_x000D_
Cumul]]*0.1599</f>
        <v>-22229.031049125755</v>
      </c>
      <c r="AS525" s="79">
        <f>MONTH(Tableau1[[#This Row],[Date]])</f>
        <v>2</v>
      </c>
      <c r="AT525" s="79">
        <f>YEAR(Tableau1[[#This Row],[Date]])</f>
        <v>2023</v>
      </c>
    </row>
    <row r="526" spans="1:46" x14ac:dyDescent="0.2">
      <c r="A526" s="74">
        <v>44962.435416666667</v>
      </c>
      <c r="B526" s="75"/>
      <c r="C526" s="76">
        <f>IF(ISERROR(Tableau1[[#This Row],[Date]]-A525),"",Tableau1[[#This Row],[Date]]-A525)</f>
        <v>1.0694444444452529</v>
      </c>
      <c r="D526" s="77">
        <f>IF(ISERROR(Tableau1[[#This Row],[Date]]-A525),"",Tableau1[[#This Row],[Date]]-A525)</f>
        <v>1.0694444444452529</v>
      </c>
      <c r="E526" s="76">
        <f>Tableau1[[#This Row],[Date]]-$A$5</f>
        <v>779.72708333333139</v>
      </c>
      <c r="F526" s="77">
        <f>Tableau1[[#This Row],[Date]]-$A$5</f>
        <v>779.72708333333139</v>
      </c>
      <c r="G526" s="77">
        <f>Tableau1[[#This Row],[Diff jour_x000D_
Cumul]]-F$6</f>
        <v>741.64375000000291</v>
      </c>
      <c r="H526" s="77">
        <f>Tableau1[[#This Row],[Diff jour_x000D_
Cumul]]-F$59</f>
        <v>719.12430555555329</v>
      </c>
      <c r="I526" s="78">
        <v>1853</v>
      </c>
      <c r="J526" s="79">
        <f>IF(ISERROR(Tableau1[[#This Row],[Index HP
kWh]]-I525),"",Tableau1[[#This Row],[Index HP
kWh]]-I525)</f>
        <v>33</v>
      </c>
      <c r="K526" s="77">
        <f>IF(ISERROR(Tableau1[[#This Row],[Différence HP
Instantané]]/(Tableau1[[#This Row],[Diff jour
Instantané]]*24)),"",Tableau1[[#This Row],[Différence HP
Instantané]]/(Tableau1[[#This Row],[Diff jour
Instantané]]*24))</f>
        <v>1.2857142857133137</v>
      </c>
      <c r="L526" s="77">
        <f>Tableau1[[#This Row],[Différence HP
Instantané]]/Tableau1[[#This Row],[Diff jour
Instantané]]</f>
        <v>30.857142857119531</v>
      </c>
      <c r="M526" s="77">
        <f>Tableau1[[#This Row],[Conso HP / jour
Instantané]]*365</f>
        <v>11262.857142848628</v>
      </c>
      <c r="N526" s="79">
        <f>Tableau1[[#This Row],[Index HP
kWh]]-$I$5</f>
        <v>-177906</v>
      </c>
      <c r="O526" s="80">
        <f>Tableau1[[#This Row],[Différence HP
Cumul]]/(Tableau1[[#This Row],[Diff jour_x000D_
Cumul]]*24)</f>
        <v>-9.506852023544587</v>
      </c>
      <c r="P526" s="80">
        <f>Tableau1[[#This Row],[Différence HP
Cumul]]/Tableau1[[#This Row],[Diff jour_x000D_
Cumul]]</f>
        <v>-228.16444856507007</v>
      </c>
      <c r="Q526" s="80">
        <f>Tableau1[[#This Row],[Conso HP / jour
Cumul]]*365</f>
        <v>-83280.023726250583</v>
      </c>
      <c r="R526" s="78">
        <v>817</v>
      </c>
      <c r="S526" s="79">
        <f>Tableau1[[#This Row],[Index HC_x000D_
kWh]]-R525</f>
        <v>15</v>
      </c>
      <c r="T526" s="81">
        <f>Tableau1[[#This Row],[Différence_x000D_ HC
Instantané]]/(Tableau1[[#This Row],[Diff jour
Instantané]]*24)</f>
        <v>0.58441558441514263</v>
      </c>
      <c r="U526" s="81">
        <f>Tableau1[[#This Row],[Différence_x000D_ HC
Instantané]]/Tableau1[[#This Row],[Diff jour
Instantané]]</f>
        <v>14.025974025963423</v>
      </c>
      <c r="V526" s="81">
        <f>Tableau1[[#This Row],[Conso HC / jour_x000D_
Instantané]]*365</f>
        <v>5119.4805194766495</v>
      </c>
      <c r="W526" s="79">
        <f>Tableau1[[#This Row],[Index HC_x000D_
kWh]]-$R$5</f>
        <v>-118615</v>
      </c>
      <c r="X526" s="82">
        <f>Tableau1[[#This Row],[Différence HC
Cumul]]/(Tableau1[[#This Row],[Diff jour_x000D_
Cumul]]*24)</f>
        <v>-6.3384891615389085</v>
      </c>
      <c r="Y526" s="82">
        <f>Tableau1[[#This Row],[Différence HC
Cumul]]/Tableau1[[#This Row],[Diff jour_x000D_
Cumul]]</f>
        <v>-152.12373987693383</v>
      </c>
      <c r="Z526" s="82">
        <f>Tableau1[[#This Row],[Conso HC / jour_x000D_
Cumul]]*365</f>
        <v>-55525.165055080848</v>
      </c>
      <c r="AA526" s="79">
        <f>Tableau1[[#This Row],[Différence HP
Instantané]]+Tableau1[[#This Row],[Différence_x000D_ HC
Instantané]]</f>
        <v>48</v>
      </c>
      <c r="AB526" s="80">
        <f>Tableau1[[#This Row],[Conso HP + HC
Instantané]]/(Tableau1[[#This Row],[Diff jour
Instantané]]*24)</f>
        <v>1.8701298701284563</v>
      </c>
      <c r="AC526" s="80">
        <f>IF(ISERROR(Tableau1[[#This Row],[Date]]-A525),"",Tableau1[[#This Row],[Conso HP + HC
Instantané]]/Tableau1[[#This Row],[Diff jour
Instantané]])</f>
        <v>44.883116883082955</v>
      </c>
      <c r="AD526" s="80">
        <f>Tableau1[[#This Row],[Conso HP + HC / jour_x000D_
Instantané]]*365</f>
        <v>16382.337662325279</v>
      </c>
      <c r="AE526" s="79">
        <f>Tableau1[[#This Row],[Différence HP
Cumul]]+Tableau1[[#This Row],[Différence HC
Cumul]]</f>
        <v>-296521</v>
      </c>
      <c r="AF526" s="77">
        <f>(Tableau1[[#This Row],[Conso HP + HC
Cumul]]-AE$6)/Tableau1[[#This Row],[Diff jour_x000D_
Cumul
depuis le 24/01]]</f>
        <v>-403.28257333793863</v>
      </c>
      <c r="AG526" s="77">
        <f>(Tableau1[[#This Row],[Conso HP + HC
Cumul]]-AE$59)/Tableau1[[#This Row],[Diff jour_x000D_
Cumul
depuis
précédente facture
16/02/2021]]</f>
        <v>-418.14467634729488</v>
      </c>
      <c r="AH526" s="80">
        <f>Tableau1[[#This Row],[Conso HP + HC
Cumul]]/(Tableau1[[#This Row],[Diff jour_x000D_
Cumul]]*24)</f>
        <v>-15.845341185083495</v>
      </c>
      <c r="AI526" s="80">
        <f>Tableau1[[#This Row],[Conso HP + HC
Cumul]]/Tableau1[[#This Row],[Diff jour_x000D_
Cumul]]</f>
        <v>-380.2881884420039</v>
      </c>
      <c r="AJ526" s="80">
        <f>Tableau1[[#This Row],[Conso HP + HC / jour_x000D_
Cumul]]*365</f>
        <v>-138805.18878133141</v>
      </c>
      <c r="AK526" s="83">
        <f>(Tableau1[[#This Row],[Différence HP
Cumul]]*0.1799)+(Tableau1[[#This Row],[Différence HC
Cumul]]*0.1346)</f>
        <v>-47970.868399999999</v>
      </c>
      <c r="AL526" s="83">
        <f>Tableau1[[#This Row],[Montant
Tarif HP/HC]]/Tableau1[[#This Row],[Diff jour_x000D_
Cumul]]</f>
        <v>-61.522639684291399</v>
      </c>
      <c r="AM526" s="83">
        <f>(Tableau1[[#This Row],[Montant
Tarif HP/HC]]-AK$6)/Tableau1[[#This Row],[Diff jour_x000D_
Cumul
depuis le 24/01]]</f>
        <v>-65.254098076063897</v>
      </c>
      <c r="AN526" s="83">
        <f>(Tableau1[[#This Row],[Montant
Tarif HP/HC]]-AK$59)/Tableau1[[#This Row],[Diff jour_x000D_
Cumul
depuis
précédente facture
16/02/2021]]</f>
        <v>-67.669568980019321</v>
      </c>
      <c r="AO526" s="83">
        <f>Tableau1[[#This Row],[Conso HP + HC
Cumul]]*0.1599</f>
        <v>-47413.707899999994</v>
      </c>
      <c r="AP526" s="83">
        <f>Tableau1[[#This Row],[Montant
Tarif normal]]/Tableau1[[#This Row],[Diff jour_x000D_
Cumul]]</f>
        <v>-60.808081331876416</v>
      </c>
      <c r="AQ526" s="83">
        <f>(Tableau1[[#This Row],[Conso HP / an
Cumul]]*0.1799)+(Tableau1[[#This Row],[Conso HC / an_x000D_
Cumul]]*0.1346)</f>
        <v>-22455.763484766365</v>
      </c>
      <c r="AR526" s="83">
        <f>Tableau1[[#This Row],[Conso HP + HC / an_x000D_
Cumul]]*0.1599</f>
        <v>-22194.949686134889</v>
      </c>
      <c r="AS526" s="79">
        <f>MONTH(Tableau1[[#This Row],[Date]])</f>
        <v>2</v>
      </c>
      <c r="AT526" s="79">
        <f>YEAR(Tableau1[[#This Row],[Date]])</f>
        <v>2023</v>
      </c>
    </row>
    <row r="527" spans="1:46" x14ac:dyDescent="0.2">
      <c r="A527" s="74">
        <v>44963.320138888892</v>
      </c>
      <c r="B527" s="75"/>
      <c r="C527" s="76">
        <f>IF(ISERROR(Tableau1[[#This Row],[Date]]-A526),"",Tableau1[[#This Row],[Date]]-A526)</f>
        <v>0.88472222222480923</v>
      </c>
      <c r="D527" s="77">
        <f>IF(ISERROR(Tableau1[[#This Row],[Date]]-A526),"",Tableau1[[#This Row],[Date]]-A526)</f>
        <v>0.88472222222480923</v>
      </c>
      <c r="E527" s="76">
        <f>Tableau1[[#This Row],[Date]]-$A$5</f>
        <v>780.6118055555562</v>
      </c>
      <c r="F527" s="77">
        <f>Tableau1[[#This Row],[Date]]-$A$5</f>
        <v>780.6118055555562</v>
      </c>
      <c r="G527" s="77">
        <f>Tableau1[[#This Row],[Diff jour_x000D_
Cumul]]-F$6</f>
        <v>742.52847222222772</v>
      </c>
      <c r="H527" s="77">
        <f>Tableau1[[#This Row],[Diff jour_x000D_
Cumul]]-F$59</f>
        <v>720.0090277777781</v>
      </c>
      <c r="I527" s="78">
        <v>1879</v>
      </c>
      <c r="J527" s="79">
        <f>IF(ISERROR(Tableau1[[#This Row],[Index HP
kWh]]-I526),"",Tableau1[[#This Row],[Index HP
kWh]]-I526)</f>
        <v>26</v>
      </c>
      <c r="K527" s="77">
        <f>IF(ISERROR(Tableau1[[#This Row],[Différence HP
Instantané]]/(Tableau1[[#This Row],[Diff jour
Instantané]]*24)),"",Tableau1[[#This Row],[Différence HP
Instantané]]/(Tableau1[[#This Row],[Diff jour
Instantané]]*24))</f>
        <v>1.2244897959147869</v>
      </c>
      <c r="L527" s="77">
        <f>Tableau1[[#This Row],[Différence HP
Instantané]]/Tableau1[[#This Row],[Diff jour
Instantané]]</f>
        <v>29.387755101954884</v>
      </c>
      <c r="M527" s="77">
        <f>Tableau1[[#This Row],[Conso HP / jour
Instantané]]*365</f>
        <v>10726.530612213533</v>
      </c>
      <c r="N527" s="79">
        <f>Tableau1[[#This Row],[Index HP
kWh]]-$I$5</f>
        <v>-177880</v>
      </c>
      <c r="O527" s="80">
        <f>Tableau1[[#This Row],[Différence HP
Cumul]]/(Tableau1[[#This Row],[Diff jour_x000D_
Cumul]]*24)</f>
        <v>-9.4946894396400179</v>
      </c>
      <c r="P527" s="80">
        <f>Tableau1[[#This Row],[Différence HP
Cumul]]/Tableau1[[#This Row],[Diff jour_x000D_
Cumul]]</f>
        <v>-227.87254655136044</v>
      </c>
      <c r="Q527" s="80">
        <f>Tableau1[[#This Row],[Conso HP / jour
Cumul]]*365</f>
        <v>-83173.479491246559</v>
      </c>
      <c r="R527" s="78">
        <v>839</v>
      </c>
      <c r="S527" s="79">
        <f>Tableau1[[#This Row],[Index HC_x000D_
kWh]]-R526</f>
        <v>22</v>
      </c>
      <c r="T527" s="81">
        <f>Tableau1[[#This Row],[Différence_x000D_ HC
Instantané]]/(Tableau1[[#This Row],[Diff jour
Instantané]]*24)</f>
        <v>1.036106750389435</v>
      </c>
      <c r="U527" s="81">
        <f>Tableau1[[#This Row],[Différence_x000D_ HC
Instantané]]/Tableau1[[#This Row],[Diff jour
Instantané]]</f>
        <v>24.866562009346442</v>
      </c>
      <c r="V527" s="81">
        <f>Tableau1[[#This Row],[Conso HC / jour_x000D_
Instantané]]*365</f>
        <v>9076.2951334114514</v>
      </c>
      <c r="W527" s="79">
        <f>Tableau1[[#This Row],[Index HC_x000D_
kWh]]-$R$5</f>
        <v>-118593</v>
      </c>
      <c r="X527" s="82">
        <f>Tableau1[[#This Row],[Différence HC
Cumul]]/(Tableau1[[#This Row],[Diff jour_x000D_
Cumul]]*24)</f>
        <v>-6.3301310136902895</v>
      </c>
      <c r="Y527" s="82">
        <f>Tableau1[[#This Row],[Différence HC
Cumul]]/Tableau1[[#This Row],[Diff jour_x000D_
Cumul]]</f>
        <v>-151.92314432856693</v>
      </c>
      <c r="Z527" s="82">
        <f>Tableau1[[#This Row],[Conso HC / jour_x000D_
Cumul]]*365</f>
        <v>-55451.947679926932</v>
      </c>
      <c r="AA527" s="79">
        <f>Tableau1[[#This Row],[Différence HP
Instantané]]+Tableau1[[#This Row],[Différence_x000D_ HC
Instantané]]</f>
        <v>48</v>
      </c>
      <c r="AB527" s="80">
        <f>Tableau1[[#This Row],[Conso HP + HC
Instantané]]/(Tableau1[[#This Row],[Diff jour
Instantané]]*24)</f>
        <v>2.2605965463042219</v>
      </c>
      <c r="AC527" s="80">
        <f>IF(ISERROR(Tableau1[[#This Row],[Date]]-A526),"",Tableau1[[#This Row],[Conso HP + HC
Instantané]]/Tableau1[[#This Row],[Diff jour
Instantané]])</f>
        <v>54.254317111301326</v>
      </c>
      <c r="AD527" s="80">
        <f>Tableau1[[#This Row],[Conso HP + HC / jour_x000D_
Instantané]]*365</f>
        <v>19802.825745624985</v>
      </c>
      <c r="AE527" s="79">
        <f>Tableau1[[#This Row],[Différence HP
Cumul]]+Tableau1[[#This Row],[Différence HC
Cumul]]</f>
        <v>-296473</v>
      </c>
      <c r="AF527" s="77">
        <f>(Tableau1[[#This Row],[Conso HP + HC
Cumul]]-AE$6)/Tableau1[[#This Row],[Diff jour_x000D_
Cumul
depuis le 24/01]]</f>
        <v>-402.73741841174893</v>
      </c>
      <c r="AG527" s="77">
        <f>(Tableau1[[#This Row],[Conso HP + HC
Cumul]]-AE$59)/Tableau1[[#This Row],[Diff jour_x000D_
Cumul
depuis
précédente facture
16/02/2021]]</f>
        <v>-417.56420878210423</v>
      </c>
      <c r="AH527" s="80">
        <f>Tableau1[[#This Row],[Conso HP + HC
Cumul]]/(Tableau1[[#This Row],[Diff jour_x000D_
Cumul]]*24)</f>
        <v>-15.824820453330307</v>
      </c>
      <c r="AI527" s="80">
        <f>Tableau1[[#This Row],[Conso HP + HC
Cumul]]/Tableau1[[#This Row],[Diff jour_x000D_
Cumul]]</f>
        <v>-379.79569087992735</v>
      </c>
      <c r="AJ527" s="80">
        <f>Tableau1[[#This Row],[Conso HP + HC / jour_x000D_
Cumul]]*365</f>
        <v>-138625.42717117348</v>
      </c>
      <c r="AK527" s="83">
        <f>(Tableau1[[#This Row],[Différence HP
Cumul]]*0.1799)+(Tableau1[[#This Row],[Différence HC
Cumul]]*0.1346)</f>
        <v>-47963.229800000001</v>
      </c>
      <c r="AL527" s="83">
        <f>Tableau1[[#This Row],[Montant
Tarif HP/HC]]/Tableau1[[#This Row],[Diff jour_x000D_
Cumul]]</f>
        <v>-61.44312635121485</v>
      </c>
      <c r="AM527" s="83">
        <f>(Tableau1[[#This Row],[Montant
Tarif HP/HC]]-AK$6)/Tableau1[[#This Row],[Diff jour_x000D_
Cumul
depuis le 24/01]]</f>
        <v>-65.166060575678912</v>
      </c>
      <c r="AN527" s="83">
        <f>(Tableau1[[#This Row],[Montant
Tarif HP/HC]]-AK$59)/Tableau1[[#This Row],[Diff jour_x000D_
Cumul
depuis
précédente facture
16/02/2021]]</f>
        <v>-67.575809917506788</v>
      </c>
      <c r="AO527" s="83">
        <f>Tableau1[[#This Row],[Conso HP + HC
Cumul]]*0.1599</f>
        <v>-47406.032699999996</v>
      </c>
      <c r="AP527" s="83">
        <f>Tableau1[[#This Row],[Montant
Tarif normal]]/Tableau1[[#This Row],[Diff jour_x000D_
Cumul]]</f>
        <v>-60.729330971700385</v>
      </c>
      <c r="AQ527" s="83">
        <f>(Tableau1[[#This Row],[Conso HP / an
Cumul]]*0.1799)+(Tableau1[[#This Row],[Conso HC / an_x000D_
Cumul]]*0.1346)</f>
        <v>-22426.741118193422</v>
      </c>
      <c r="AR527" s="83">
        <f>Tableau1[[#This Row],[Conso HP + HC / an_x000D_
Cumul]]*0.1599</f>
        <v>-22166.205804670637</v>
      </c>
      <c r="AS527" s="79">
        <f>MONTH(Tableau1[[#This Row],[Date]])</f>
        <v>2</v>
      </c>
      <c r="AT527" s="79">
        <f>YEAR(Tableau1[[#This Row],[Date]])</f>
        <v>2023</v>
      </c>
    </row>
    <row r="528" spans="1:46" x14ac:dyDescent="0.2">
      <c r="A528" s="74">
        <v>44964.313888888886</v>
      </c>
      <c r="B528" s="75"/>
      <c r="C528" s="76">
        <f>IF(ISERROR(Tableau1[[#This Row],[Date]]-A527),"",Tableau1[[#This Row],[Date]]-A527)</f>
        <v>0.99374999999417923</v>
      </c>
      <c r="D528" s="77">
        <f>IF(ISERROR(Tableau1[[#This Row],[Date]]-A527),"",Tableau1[[#This Row],[Date]]-A527)</f>
        <v>0.99374999999417923</v>
      </c>
      <c r="E528" s="76">
        <f>Tableau1[[#This Row],[Date]]-$A$5</f>
        <v>781.60555555555038</v>
      </c>
      <c r="F528" s="77">
        <f>Tableau1[[#This Row],[Date]]-$A$5</f>
        <v>781.60555555555038</v>
      </c>
      <c r="G528" s="77">
        <f>Tableau1[[#This Row],[Diff jour_x000D_
Cumul]]-F$6</f>
        <v>743.5222222222219</v>
      </c>
      <c r="H528" s="77">
        <f>Tableau1[[#This Row],[Diff jour_x000D_
Cumul]]-F$59</f>
        <v>721.00277777777228</v>
      </c>
      <c r="I528" s="78">
        <v>1921</v>
      </c>
      <c r="J528" s="79">
        <f>IF(ISERROR(Tableau1[[#This Row],[Index HP
kWh]]-I527),"",Tableau1[[#This Row],[Index HP
kWh]]-I527)</f>
        <v>42</v>
      </c>
      <c r="K528" s="77">
        <f>IF(ISERROR(Tableau1[[#This Row],[Différence HP
Instantané]]/(Tableau1[[#This Row],[Diff jour
Instantané]]*24)),"",Tableau1[[#This Row],[Différence HP
Instantané]]/(Tableau1[[#This Row],[Diff jour
Instantané]]*24))</f>
        <v>1.761006289318491</v>
      </c>
      <c r="L528" s="77">
        <f>Tableau1[[#This Row],[Différence HP
Instantané]]/Tableau1[[#This Row],[Diff jour
Instantané]]</f>
        <v>42.264150943643784</v>
      </c>
      <c r="M528" s="77">
        <f>Tableau1[[#This Row],[Conso HP / jour
Instantané]]*365</f>
        <v>15426.415094429982</v>
      </c>
      <c r="N528" s="79">
        <f>Tableau1[[#This Row],[Index HP
kWh]]-$I$5</f>
        <v>-177838</v>
      </c>
      <c r="O528" s="80">
        <f>Tableau1[[#This Row],[Différence HP
Cumul]]/(Tableau1[[#This Row],[Diff jour_x000D_
Cumul]]*24)</f>
        <v>-9.4803787076460058</v>
      </c>
      <c r="P528" s="80">
        <f>Tableau1[[#This Row],[Différence HP
Cumul]]/Tableau1[[#This Row],[Diff jour_x000D_
Cumul]]</f>
        <v>-227.52908898350412</v>
      </c>
      <c r="Q528" s="80">
        <f>Tableau1[[#This Row],[Conso HP / jour
Cumul]]*365</f>
        <v>-83048.117478979009</v>
      </c>
      <c r="R528" s="78">
        <v>861</v>
      </c>
      <c r="S528" s="79">
        <f>Tableau1[[#This Row],[Index HC_x000D_
kWh]]-R527</f>
        <v>22</v>
      </c>
      <c r="T528" s="81">
        <f>Tableau1[[#This Row],[Différence_x000D_ HC
Instantané]]/(Tableau1[[#This Row],[Diff jour
Instantané]]*24)</f>
        <v>0.92243186583349523</v>
      </c>
      <c r="U528" s="81">
        <f>Tableau1[[#This Row],[Différence_x000D_ HC
Instantané]]/Tableau1[[#This Row],[Diff jour
Instantané]]</f>
        <v>22.138364780003887</v>
      </c>
      <c r="V528" s="81">
        <f>Tableau1[[#This Row],[Conso HC / jour_x000D_
Instantané]]*365</f>
        <v>8080.5031447014189</v>
      </c>
      <c r="W528" s="79">
        <f>Tableau1[[#This Row],[Index HC_x000D_
kWh]]-$R$5</f>
        <v>-118571</v>
      </c>
      <c r="X528" s="82">
        <f>Tableau1[[#This Row],[Différence HC
Cumul]]/(Tableau1[[#This Row],[Diff jour_x000D_
Cumul]]*24)</f>
        <v>-6.3209099503159871</v>
      </c>
      <c r="Y528" s="82">
        <f>Tableau1[[#This Row],[Différence HC
Cumul]]/Tableau1[[#This Row],[Diff jour_x000D_
Cumul]]</f>
        <v>-151.7018388075837</v>
      </c>
      <c r="Z528" s="82">
        <f>Tableau1[[#This Row],[Conso HC / jour_x000D_
Cumul]]*365</f>
        <v>-55371.171164768049</v>
      </c>
      <c r="AA528" s="79">
        <f>Tableau1[[#This Row],[Différence HP
Instantané]]+Tableau1[[#This Row],[Différence_x000D_ HC
Instantané]]</f>
        <v>64</v>
      </c>
      <c r="AB528" s="80">
        <f>Tableau1[[#This Row],[Conso HP + HC
Instantané]]/(Tableau1[[#This Row],[Diff jour
Instantané]]*24)</f>
        <v>2.6834381551519861</v>
      </c>
      <c r="AC528" s="80">
        <f>IF(ISERROR(Tableau1[[#This Row],[Date]]-A527),"",Tableau1[[#This Row],[Conso HP + HC
Instantané]]/Tableau1[[#This Row],[Diff jour
Instantané]])</f>
        <v>64.402515723647667</v>
      </c>
      <c r="AD528" s="80">
        <f>Tableau1[[#This Row],[Conso HP + HC / jour_x000D_
Instantané]]*365</f>
        <v>23506.918239131399</v>
      </c>
      <c r="AE528" s="79">
        <f>Tableau1[[#This Row],[Différence HP
Cumul]]+Tableau1[[#This Row],[Différence HC
Cumul]]</f>
        <v>-296409</v>
      </c>
      <c r="AF528" s="77">
        <f>(Tableau1[[#This Row],[Conso HP + HC
Cumul]]-AE$6)/Tableau1[[#This Row],[Diff jour_x000D_
Cumul
depuis le 24/01]]</f>
        <v>-402.11306543927572</v>
      </c>
      <c r="AG528" s="77">
        <f>(Tableau1[[#This Row],[Conso HP + HC
Cumul]]-AE$59)/Tableau1[[#This Row],[Diff jour_x000D_
Cumul
depuis
précédente facture
16/02/2021]]</f>
        <v>-416.8999194794319</v>
      </c>
      <c r="AH528" s="80">
        <f>Tableau1[[#This Row],[Conso HP + HC
Cumul]]/(Tableau1[[#This Row],[Diff jour_x000D_
Cumul]]*24)</f>
        <v>-15.801288657961992</v>
      </c>
      <c r="AI528" s="80">
        <f>Tableau1[[#This Row],[Conso HP + HC
Cumul]]/Tableau1[[#This Row],[Diff jour_x000D_
Cumul]]</f>
        <v>-379.23092779108782</v>
      </c>
      <c r="AJ528" s="80">
        <f>Tableau1[[#This Row],[Conso HP + HC / jour_x000D_
Cumul]]*365</f>
        <v>-138419.28864374704</v>
      </c>
      <c r="AK528" s="83">
        <f>(Tableau1[[#This Row],[Différence HP
Cumul]]*0.1799)+(Tableau1[[#This Row],[Différence HC
Cumul]]*0.1346)</f>
        <v>-47952.712800000001</v>
      </c>
      <c r="AL528" s="83">
        <f>Tableau1[[#This Row],[Montant
Tarif HP/HC]]/Tableau1[[#This Row],[Diff jour_x000D_
Cumul]]</f>
        <v>-61.351550611633158</v>
      </c>
      <c r="AM528" s="83">
        <f>(Tableau1[[#This Row],[Montant
Tarif HP/HC]]-AK$6)/Tableau1[[#This Row],[Diff jour_x000D_
Cumul
depuis le 24/01]]</f>
        <v>-65.064818446732559</v>
      </c>
      <c r="AN528" s="83">
        <f>(Tableau1[[#This Row],[Montant
Tarif HP/HC]]-AK$59)/Tableau1[[#This Row],[Diff jour_x000D_
Cumul
depuis
précédente facture
16/02/2021]]</f>
        <v>-67.468084311588157</v>
      </c>
      <c r="AO528" s="83">
        <f>Tableau1[[#This Row],[Conso HP + HC
Cumul]]*0.1599</f>
        <v>-47395.799099999997</v>
      </c>
      <c r="AP528" s="83">
        <f>Tableau1[[#This Row],[Montant
Tarif normal]]/Tableau1[[#This Row],[Diff jour_x000D_
Cumul]]</f>
        <v>-60.639025353794935</v>
      </c>
      <c r="AQ528" s="83">
        <f>(Tableau1[[#This Row],[Conso HP / an
Cumul]]*0.1799)+(Tableau1[[#This Row],[Conso HC / an_x000D_
Cumul]]*0.1346)</f>
        <v>-22393.315973246103</v>
      </c>
      <c r="AR528" s="83">
        <f>Tableau1[[#This Row],[Conso HP + HC / an_x000D_
Cumul]]*0.1599</f>
        <v>-22133.244254135152</v>
      </c>
      <c r="AS528" s="79">
        <f>MONTH(Tableau1[[#This Row],[Date]])</f>
        <v>2</v>
      </c>
      <c r="AT528" s="79">
        <f>YEAR(Tableau1[[#This Row],[Date]])</f>
        <v>2023</v>
      </c>
    </row>
    <row r="529" spans="1:46" x14ac:dyDescent="0.2">
      <c r="A529" s="74">
        <v>44965.373611111114</v>
      </c>
      <c r="B529" s="75"/>
      <c r="C529" s="76">
        <f>IF(ISERROR(Tableau1[[#This Row],[Date]]-A528),"",Tableau1[[#This Row],[Date]]-A528)</f>
        <v>1.0597222222277196</v>
      </c>
      <c r="D529" s="77">
        <f>IF(ISERROR(Tableau1[[#This Row],[Date]]-A528),"",Tableau1[[#This Row],[Date]]-A528)</f>
        <v>1.0597222222277196</v>
      </c>
      <c r="E529" s="76">
        <f>Tableau1[[#This Row],[Date]]-$A$5</f>
        <v>782.6652777777781</v>
      </c>
      <c r="F529" s="77">
        <f>Tableau1[[#This Row],[Date]]-$A$5</f>
        <v>782.6652777777781</v>
      </c>
      <c r="G529" s="77">
        <f>Tableau1[[#This Row],[Diff jour_x000D_
Cumul]]-F$6</f>
        <v>744.58194444444962</v>
      </c>
      <c r="H529" s="77">
        <f>Tableau1[[#This Row],[Diff jour_x000D_
Cumul]]-F$59</f>
        <v>722.0625</v>
      </c>
      <c r="I529" s="78">
        <v>1972</v>
      </c>
      <c r="J529" s="79">
        <f>IF(ISERROR(Tableau1[[#This Row],[Index HP
kWh]]-I528),"",Tableau1[[#This Row],[Index HP
kWh]]-I528)</f>
        <v>51</v>
      </c>
      <c r="K529" s="77">
        <f>IF(ISERROR(Tableau1[[#This Row],[Différence HP
Instantané]]/(Tableau1[[#This Row],[Diff jour
Instantané]]*24)),"",Tableau1[[#This Row],[Différence HP
Instantané]]/(Tableau1[[#This Row],[Diff jour
Instantané]]*24))</f>
        <v>2.005242463947658</v>
      </c>
      <c r="L529" s="77">
        <f>Tableau1[[#This Row],[Différence HP
Instantané]]/Tableau1[[#This Row],[Diff jour
Instantané]]</f>
        <v>48.125819134743793</v>
      </c>
      <c r="M529" s="77">
        <f>Tableau1[[#This Row],[Conso HP / jour
Instantané]]*365</f>
        <v>17565.923984181485</v>
      </c>
      <c r="N529" s="79">
        <f>Tableau1[[#This Row],[Index HP
kWh]]-$I$5</f>
        <v>-177787</v>
      </c>
      <c r="O529" s="80">
        <f>Tableau1[[#This Row],[Différence HP
Cumul]]/(Tableau1[[#This Row],[Diff jour_x000D_
Cumul]]*24)</f>
        <v>-9.4648272729047243</v>
      </c>
      <c r="P529" s="80">
        <f>Tableau1[[#This Row],[Différence HP
Cumul]]/Tableau1[[#This Row],[Diff jour_x000D_
Cumul]]</f>
        <v>-227.15585454971341</v>
      </c>
      <c r="Q529" s="80">
        <f>Tableau1[[#This Row],[Conso HP / jour
Cumul]]*365</f>
        <v>-82911.886910645393</v>
      </c>
      <c r="R529" s="78">
        <v>884</v>
      </c>
      <c r="S529" s="79">
        <f>Tableau1[[#This Row],[Index HC_x000D_
kWh]]-R528</f>
        <v>23</v>
      </c>
      <c r="T529" s="81">
        <f>Tableau1[[#This Row],[Différence_x000D_ HC
Instantané]]/(Tableau1[[#This Row],[Diff jour
Instantané]]*24)</f>
        <v>0.90432503276070852</v>
      </c>
      <c r="U529" s="81">
        <f>Tableau1[[#This Row],[Différence_x000D_ HC
Instantané]]/Tableau1[[#This Row],[Diff jour
Instantané]]</f>
        <v>21.703800786257002</v>
      </c>
      <c r="V529" s="81">
        <f>Tableau1[[#This Row],[Conso HC / jour_x000D_
Instantané]]*365</f>
        <v>7921.887286983806</v>
      </c>
      <c r="W529" s="79">
        <f>Tableau1[[#This Row],[Index HC_x000D_
kWh]]-$R$5</f>
        <v>-118548</v>
      </c>
      <c r="X529" s="82">
        <f>Tableau1[[#This Row],[Différence HC
Cumul]]/(Tableau1[[#This Row],[Diff jour_x000D_
Cumul]]*24)</f>
        <v>-6.3111270427438981</v>
      </c>
      <c r="Y529" s="82">
        <f>Tableau1[[#This Row],[Différence HC
Cumul]]/Tableau1[[#This Row],[Diff jour_x000D_
Cumul]]</f>
        <v>-151.46704902585356</v>
      </c>
      <c r="Z529" s="82">
        <f>Tableau1[[#This Row],[Conso HC / jour_x000D_
Cumul]]*365</f>
        <v>-55285.472894436549</v>
      </c>
      <c r="AA529" s="79">
        <f>Tableau1[[#This Row],[Différence HP
Instantané]]+Tableau1[[#This Row],[Différence_x000D_ HC
Instantané]]</f>
        <v>74</v>
      </c>
      <c r="AB529" s="80">
        <f>Tableau1[[#This Row],[Conso HP + HC
Instantané]]/(Tableau1[[#This Row],[Diff jour
Instantané]]*24)</f>
        <v>2.9095674967083665</v>
      </c>
      <c r="AC529" s="80">
        <f>IF(ISERROR(Tableau1[[#This Row],[Date]]-A528),"",Tableau1[[#This Row],[Conso HP + HC
Instantané]]/Tableau1[[#This Row],[Diff jour
Instantané]])</f>
        <v>69.829619921000798</v>
      </c>
      <c r="AD529" s="80">
        <f>Tableau1[[#This Row],[Conso HP + HC / jour_x000D_
Instantané]]*365</f>
        <v>25487.81127116529</v>
      </c>
      <c r="AE529" s="79">
        <f>Tableau1[[#This Row],[Différence HP
Cumul]]+Tableau1[[#This Row],[Différence HC
Cumul]]</f>
        <v>-296335</v>
      </c>
      <c r="AF529" s="77">
        <f>(Tableau1[[#This Row],[Conso HP + HC
Cumul]]-AE$6)/Tableau1[[#This Row],[Diff jour_x000D_
Cumul
depuis le 24/01]]</f>
        <v>-401.44137556682347</v>
      </c>
      <c r="AG529" s="77">
        <f>(Tableau1[[#This Row],[Conso HP + HC
Cumul]]-AE$59)/Tableau1[[#This Row],[Diff jour_x000D_
Cumul
depuis
précédente facture
16/02/2021]]</f>
        <v>-416.18557950315937</v>
      </c>
      <c r="AH529" s="80">
        <f>Tableau1[[#This Row],[Conso HP + HC
Cumul]]/(Tableau1[[#This Row],[Diff jour_x000D_
Cumul]]*24)</f>
        <v>-15.775954315648622</v>
      </c>
      <c r="AI529" s="80">
        <f>Tableau1[[#This Row],[Conso HP + HC
Cumul]]/Tableau1[[#This Row],[Diff jour_x000D_
Cumul]]</f>
        <v>-378.62290357556697</v>
      </c>
      <c r="AJ529" s="80">
        <f>Tableau1[[#This Row],[Conso HP + HC / jour_x000D_
Cumul]]*365</f>
        <v>-138197.35980508194</v>
      </c>
      <c r="AK529" s="83">
        <f>(Tableau1[[#This Row],[Différence HP
Cumul]]*0.1799)+(Tableau1[[#This Row],[Différence HC
Cumul]]*0.1346)</f>
        <v>-47940.4421</v>
      </c>
      <c r="AL529" s="83">
        <f>Tableau1[[#This Row],[Montant
Tarif HP/HC]]/Tableau1[[#This Row],[Diff jour_x000D_
Cumul]]</f>
        <v>-61.252803032373329</v>
      </c>
      <c r="AM529" s="83">
        <f>(Tableau1[[#This Row],[Montant
Tarif HP/HC]]-AK$6)/Tableau1[[#This Row],[Diff jour_x000D_
Cumul
depuis le 24/01]]</f>
        <v>-64.955735310082204</v>
      </c>
      <c r="AN529" s="83">
        <f>(Tableau1[[#This Row],[Montant
Tarif HP/HC]]-AK$59)/Tableau1[[#This Row],[Diff jour_x000D_
Cumul
depuis
précédente facture
16/02/2021]]</f>
        <v>-67.352072015926595</v>
      </c>
      <c r="AO529" s="83">
        <f>Tableau1[[#This Row],[Conso HP + HC
Cumul]]*0.1599</f>
        <v>-47383.966499999995</v>
      </c>
      <c r="AP529" s="83">
        <f>Tableau1[[#This Row],[Montant
Tarif normal]]/Tableau1[[#This Row],[Diff jour_x000D_
Cumul]]</f>
        <v>-60.541802281733148</v>
      </c>
      <c r="AQ529" s="83">
        <f>(Tableau1[[#This Row],[Conso HP / an
Cumul]]*0.1799)+(Tableau1[[#This Row],[Conso HC / an_x000D_
Cumul]]*0.1346)</f>
        <v>-22357.273106816265</v>
      </c>
      <c r="AR529" s="83">
        <f>Tableau1[[#This Row],[Conso HP + HC / an_x000D_
Cumul]]*0.1599</f>
        <v>-22097.757832832602</v>
      </c>
      <c r="AS529" s="79">
        <f>MONTH(Tableau1[[#This Row],[Date]])</f>
        <v>2</v>
      </c>
      <c r="AT529" s="79">
        <f>YEAR(Tableau1[[#This Row],[Date]])</f>
        <v>2023</v>
      </c>
    </row>
    <row r="530" spans="1:46" x14ac:dyDescent="0.2">
      <c r="A530" s="74">
        <v>44966.370833333334</v>
      </c>
      <c r="B530" s="75"/>
      <c r="C530" s="76">
        <f>IF(ISERROR(Tableau1[[#This Row],[Date]]-A529),"",Tableau1[[#This Row],[Date]]-A529)</f>
        <v>0.99722222222044365</v>
      </c>
      <c r="D530" s="77">
        <f>IF(ISERROR(Tableau1[[#This Row],[Date]]-A529),"",Tableau1[[#This Row],[Date]]-A529)</f>
        <v>0.99722222222044365</v>
      </c>
      <c r="E530" s="76">
        <f>Tableau1[[#This Row],[Date]]-$A$5</f>
        <v>783.66249999999854</v>
      </c>
      <c r="F530" s="77">
        <f>Tableau1[[#This Row],[Date]]-$A$5</f>
        <v>783.66249999999854</v>
      </c>
      <c r="G530" s="77">
        <f>Tableau1[[#This Row],[Diff jour_x000D_
Cumul]]-F$6</f>
        <v>745.57916666667006</v>
      </c>
      <c r="H530" s="77">
        <f>Tableau1[[#This Row],[Diff jour_x000D_
Cumul]]-F$59</f>
        <v>723.05972222222044</v>
      </c>
      <c r="I530" s="78">
        <v>2019</v>
      </c>
      <c r="J530" s="79">
        <f>IF(ISERROR(Tableau1[[#This Row],[Index HP
kWh]]-I529),"",Tableau1[[#This Row],[Index HP
kWh]]-I529)</f>
        <v>47</v>
      </c>
      <c r="K530" s="77">
        <f>IF(ISERROR(Tableau1[[#This Row],[Différence HP
Instantané]]/(Tableau1[[#This Row],[Diff jour
Instantané]]*24)),"",Tableau1[[#This Row],[Différence HP
Instantané]]/(Tableau1[[#This Row],[Diff jour
Instantané]]*24))</f>
        <v>1.963788300839157</v>
      </c>
      <c r="L530" s="77">
        <f>Tableau1[[#This Row],[Différence HP
Instantané]]/Tableau1[[#This Row],[Diff jour
Instantané]]</f>
        <v>47.130919220139766</v>
      </c>
      <c r="M530" s="77">
        <f>Tableau1[[#This Row],[Conso HP / jour
Instantané]]*365</f>
        <v>17202.785515351014</v>
      </c>
      <c r="N530" s="79">
        <f>Tableau1[[#This Row],[Index HP
kWh]]-$I$5</f>
        <v>-177740</v>
      </c>
      <c r="O530" s="80">
        <f>Tableau1[[#This Row],[Différence HP
Cumul]]/(Tableau1[[#This Row],[Diff jour_x000D_
Cumul]]*24)</f>
        <v>-9.4502841890907714</v>
      </c>
      <c r="P530" s="80">
        <f>Tableau1[[#This Row],[Différence HP
Cumul]]/Tableau1[[#This Row],[Diff jour_x000D_
Cumul]]</f>
        <v>-226.80682053817853</v>
      </c>
      <c r="Q530" s="80">
        <f>Tableau1[[#This Row],[Conso HP / jour
Cumul]]*365</f>
        <v>-82784.48949643517</v>
      </c>
      <c r="R530" s="78">
        <v>914</v>
      </c>
      <c r="S530" s="79">
        <f>Tableau1[[#This Row],[Index HC_x000D_
kWh]]-R529</f>
        <v>30</v>
      </c>
      <c r="T530" s="81">
        <f>Tableau1[[#This Row],[Différence_x000D_ HC
Instantané]]/(Tableau1[[#This Row],[Diff jour
Instantané]]*24)</f>
        <v>1.2534818941526535</v>
      </c>
      <c r="U530" s="81">
        <f>Tableau1[[#This Row],[Différence_x000D_ HC
Instantané]]/Tableau1[[#This Row],[Diff jour
Instantané]]</f>
        <v>30.083565459663681</v>
      </c>
      <c r="V530" s="81">
        <f>Tableau1[[#This Row],[Conso HC / jour_x000D_
Instantané]]*365</f>
        <v>10980.501392777243</v>
      </c>
      <c r="W530" s="79">
        <f>Tableau1[[#This Row],[Index HC_x000D_
kWh]]-$R$5</f>
        <v>-118518</v>
      </c>
      <c r="X530" s="82">
        <f>Tableau1[[#This Row],[Différence HC
Cumul]]/(Tableau1[[#This Row],[Diff jour_x000D_
Cumul]]*24)</f>
        <v>-6.30150096502003</v>
      </c>
      <c r="Y530" s="82">
        <f>Tableau1[[#This Row],[Différence HC
Cumul]]/Tableau1[[#This Row],[Diff jour_x000D_
Cumul]]</f>
        <v>-151.23602316048073</v>
      </c>
      <c r="Z530" s="82">
        <f>Tableau1[[#This Row],[Conso HC / jour_x000D_
Cumul]]*365</f>
        <v>-55201.148453575464</v>
      </c>
      <c r="AA530" s="79">
        <f>Tableau1[[#This Row],[Différence HP
Instantané]]+Tableau1[[#This Row],[Différence_x000D_ HC
Instantané]]</f>
        <v>77</v>
      </c>
      <c r="AB530" s="80">
        <f>Tableau1[[#This Row],[Conso HP + HC
Instantané]]/(Tableau1[[#This Row],[Diff jour
Instantané]]*24)</f>
        <v>3.2172701949918103</v>
      </c>
      <c r="AC530" s="80">
        <f>IF(ISERROR(Tableau1[[#This Row],[Date]]-A529),"",Tableau1[[#This Row],[Conso HP + HC
Instantané]]/Tableau1[[#This Row],[Diff jour
Instantané]])</f>
        <v>77.214484679803448</v>
      </c>
      <c r="AD530" s="80">
        <f>Tableau1[[#This Row],[Conso HP + HC / jour_x000D_
Instantané]]*365</f>
        <v>28183.286908128259</v>
      </c>
      <c r="AE530" s="79">
        <f>Tableau1[[#This Row],[Différence HP
Cumul]]+Tableau1[[#This Row],[Différence HC
Cumul]]</f>
        <v>-296258</v>
      </c>
      <c r="AF530" s="77">
        <f>(Tableau1[[#This Row],[Conso HP + HC
Cumul]]-AE$6)/Tableau1[[#This Row],[Diff jour_x000D_
Cumul
depuis le 24/01]]</f>
        <v>-400.8011668780963</v>
      </c>
      <c r="AG530" s="77">
        <f>(Tableau1[[#This Row],[Conso HP + HC
Cumul]]-AE$59)/Tableau1[[#This Row],[Diff jour_x000D_
Cumul
depuis
précédente facture
16/02/2021]]</f>
        <v>-415.50509697408683</v>
      </c>
      <c r="AH530" s="80">
        <f>Tableau1[[#This Row],[Conso HP + HC
Cumul]]/(Tableau1[[#This Row],[Diff jour_x000D_
Cumul]]*24)</f>
        <v>-15.751785154110802</v>
      </c>
      <c r="AI530" s="80">
        <f>Tableau1[[#This Row],[Conso HP + HC
Cumul]]/Tableau1[[#This Row],[Diff jour_x000D_
Cumul]]</f>
        <v>-378.04284369865923</v>
      </c>
      <c r="AJ530" s="80">
        <f>Tableau1[[#This Row],[Conso HP + HC / jour_x000D_
Cumul]]*365</f>
        <v>-137985.63795001063</v>
      </c>
      <c r="AK530" s="83">
        <f>(Tableau1[[#This Row],[Différence HP
Cumul]]*0.1799)+(Tableau1[[#This Row],[Différence HC
Cumul]]*0.1346)</f>
        <v>-47927.948799999998</v>
      </c>
      <c r="AL530" s="83">
        <f>Tableau1[[#This Row],[Montant
Tarif HP/HC]]/Tableau1[[#This Row],[Diff jour_x000D_
Cumul]]</f>
        <v>-61.158915732219022</v>
      </c>
      <c r="AM530" s="83">
        <f>(Tableau1[[#This Row],[Montant
Tarif HP/HC]]-AK$6)/Tableau1[[#This Row],[Diff jour_x000D_
Cumul
depuis le 24/01]]</f>
        <v>-64.852099631717778</v>
      </c>
      <c r="AN530" s="83">
        <f>(Tableau1[[#This Row],[Montant
Tarif HP/HC]]-AK$59)/Tableau1[[#This Row],[Diff jour_x000D_
Cumul
depuis
précédente facture
16/02/2021]]</f>
        <v>-67.241903684765717</v>
      </c>
      <c r="AO530" s="83">
        <f>Tableau1[[#This Row],[Conso HP + HC
Cumul]]*0.1599</f>
        <v>-47371.654199999997</v>
      </c>
      <c r="AP530" s="83">
        <f>Tableau1[[#This Row],[Montant
Tarif normal]]/Tableau1[[#This Row],[Diff jour_x000D_
Cumul]]</f>
        <v>-60.449050707415608</v>
      </c>
      <c r="AQ530" s="83">
        <f>(Tableau1[[#This Row],[Conso HP / an
Cumul]]*0.1799)+(Tableau1[[#This Row],[Conso HC / an_x000D_
Cumul]]*0.1346)</f>
        <v>-22323.004242259944</v>
      </c>
      <c r="AR530" s="83">
        <f>Tableau1[[#This Row],[Conso HP + HC / an_x000D_
Cumul]]*0.1599</f>
        <v>-22063.903508206698</v>
      </c>
      <c r="AS530" s="79">
        <f>MONTH(Tableau1[[#This Row],[Date]])</f>
        <v>2</v>
      </c>
      <c r="AT530" s="79">
        <f>YEAR(Tableau1[[#This Row],[Date]])</f>
        <v>2023</v>
      </c>
    </row>
    <row r="531" spans="1:46" x14ac:dyDescent="0.2">
      <c r="A531" s="74">
        <v>44967.364583333336</v>
      </c>
      <c r="B531" s="75"/>
      <c r="C531" s="76">
        <f>IF(ISERROR(Tableau1[[#This Row],[Date]]-A530),"",Tableau1[[#This Row],[Date]]-A530)</f>
        <v>0.99375000000145519</v>
      </c>
      <c r="D531" s="77">
        <f>IF(ISERROR(Tableau1[[#This Row],[Date]]-A530),"",Tableau1[[#This Row],[Date]]-A530)</f>
        <v>0.99375000000145519</v>
      </c>
      <c r="E531" s="76">
        <f>Tableau1[[#This Row],[Date]]-$A$5</f>
        <v>784.65625</v>
      </c>
      <c r="F531" s="77">
        <f>Tableau1[[#This Row],[Date]]-$A$5</f>
        <v>784.65625</v>
      </c>
      <c r="G531" s="77">
        <f>Tableau1[[#This Row],[Diff jour_x000D_
Cumul]]-F$6</f>
        <v>746.57291666667152</v>
      </c>
      <c r="H531" s="77">
        <f>Tableau1[[#This Row],[Diff jour_x000D_
Cumul]]-F$59</f>
        <v>724.0534722222219</v>
      </c>
      <c r="I531" s="78">
        <v>2059</v>
      </c>
      <c r="J531" s="79">
        <f>IF(ISERROR(Tableau1[[#This Row],[Index HP
kWh]]-I530),"",Tableau1[[#This Row],[Index HP
kWh]]-I530)</f>
        <v>40</v>
      </c>
      <c r="K531" s="77">
        <f>IF(ISERROR(Tableau1[[#This Row],[Différence HP
Instantané]]/(Tableau1[[#This Row],[Diff jour
Instantané]]*24)),"",Tableau1[[#This Row],[Différence HP
Instantané]]/(Tableau1[[#This Row],[Diff jour
Instantané]]*24))</f>
        <v>1.6771488469577118</v>
      </c>
      <c r="L531" s="77">
        <f>Tableau1[[#This Row],[Différence HP
Instantané]]/Tableau1[[#This Row],[Diff jour
Instantané]]</f>
        <v>40.251572326985084</v>
      </c>
      <c r="M531" s="77">
        <f>Tableau1[[#This Row],[Conso HP / jour
Instantané]]*365</f>
        <v>14691.823899349556</v>
      </c>
      <c r="N531" s="79">
        <f>Tableau1[[#This Row],[Index HP
kWh]]-$I$5</f>
        <v>-177700</v>
      </c>
      <c r="O531" s="80">
        <f>Tableau1[[#This Row],[Différence HP
Cumul]]/(Tableau1[[#This Row],[Diff jour_x000D_
Cumul]]*24)</f>
        <v>-9.4361915382266659</v>
      </c>
      <c r="P531" s="80">
        <f>Tableau1[[#This Row],[Différence HP
Cumul]]/Tableau1[[#This Row],[Diff jour_x000D_
Cumul]]</f>
        <v>-226.46859691743995</v>
      </c>
      <c r="Q531" s="80">
        <f>Tableau1[[#This Row],[Conso HP / jour
Cumul]]*365</f>
        <v>-82661.037874865578</v>
      </c>
      <c r="R531" s="78">
        <v>937</v>
      </c>
      <c r="S531" s="79">
        <f>Tableau1[[#This Row],[Index HC_x000D_
kWh]]-R530</f>
        <v>23</v>
      </c>
      <c r="T531" s="81">
        <f>Tableau1[[#This Row],[Différence_x000D_ HC
Instantané]]/(Tableau1[[#This Row],[Diff jour
Instantané]]*24)</f>
        <v>0.96436058700068428</v>
      </c>
      <c r="U531" s="81">
        <f>Tableau1[[#This Row],[Différence_x000D_ HC
Instantané]]/Tableau1[[#This Row],[Diff jour
Instantané]]</f>
        <v>23.144654088016424</v>
      </c>
      <c r="V531" s="81">
        <f>Tableau1[[#This Row],[Conso HC / jour_x000D_
Instantané]]*365</f>
        <v>8447.798742125995</v>
      </c>
      <c r="W531" s="79">
        <f>Tableau1[[#This Row],[Index HC_x000D_
kWh]]-$R$5</f>
        <v>-118495</v>
      </c>
      <c r="X531" s="82">
        <f>Tableau1[[#This Row],[Différence HC
Cumul]]/(Tableau1[[#This Row],[Diff jour_x000D_
Cumul]]*24)</f>
        <v>-6.2922989100853615</v>
      </c>
      <c r="Y531" s="82">
        <f>Tableau1[[#This Row],[Différence HC
Cumul]]/Tableau1[[#This Row],[Diff jour_x000D_
Cumul]]</f>
        <v>-151.01517384204865</v>
      </c>
      <c r="Z531" s="82">
        <f>Tableau1[[#This Row],[Conso HC / jour_x000D_
Cumul]]*365</f>
        <v>-55120.538452347755</v>
      </c>
      <c r="AA531" s="79">
        <f>Tableau1[[#This Row],[Différence HP
Instantané]]+Tableau1[[#This Row],[Différence_x000D_ HC
Instantané]]</f>
        <v>63</v>
      </c>
      <c r="AB531" s="80">
        <f>Tableau1[[#This Row],[Conso HP + HC
Instantané]]/(Tableau1[[#This Row],[Diff jour
Instantané]]*24)</f>
        <v>2.641509433958396</v>
      </c>
      <c r="AC531" s="80">
        <f>IF(ISERROR(Tableau1[[#This Row],[Date]]-A530),"",Tableau1[[#This Row],[Conso HP + HC
Instantané]]/Tableau1[[#This Row],[Diff jour
Instantané]])</f>
        <v>63.396226415001507</v>
      </c>
      <c r="AD531" s="80">
        <f>Tableau1[[#This Row],[Conso HP + HC / jour_x000D_
Instantané]]*365</f>
        <v>23139.622641475551</v>
      </c>
      <c r="AE531" s="79">
        <f>Tableau1[[#This Row],[Différence HP
Cumul]]+Tableau1[[#This Row],[Différence HC
Cumul]]</f>
        <v>-296195</v>
      </c>
      <c r="AF531" s="77">
        <f>(Tableau1[[#This Row],[Conso HP + HC
Cumul]]-AE$6)/Tableau1[[#This Row],[Diff jour_x000D_
Cumul
depuis le 24/01]]</f>
        <v>-400.18328194108932</v>
      </c>
      <c r="AG531" s="77">
        <f>(Tableau1[[#This Row],[Conso HP + HC
Cumul]]-AE$59)/Tableau1[[#This Row],[Diff jour_x000D_
Cumul
depuis
précédente facture
16/02/2021]]</f>
        <v>-414.84781376452224</v>
      </c>
      <c r="AH531" s="80">
        <f>Tableau1[[#This Row],[Conso HP + HC
Cumul]]/(Tableau1[[#This Row],[Diff jour_x000D_
Cumul]]*24)</f>
        <v>-15.728490448312026</v>
      </c>
      <c r="AI531" s="80">
        <f>Tableau1[[#This Row],[Conso HP + HC
Cumul]]/Tableau1[[#This Row],[Diff jour_x000D_
Cumul]]</f>
        <v>-377.48377075948861</v>
      </c>
      <c r="AJ531" s="80">
        <f>Tableau1[[#This Row],[Conso HP + HC / jour_x000D_
Cumul]]*365</f>
        <v>-137781.57632721335</v>
      </c>
      <c r="AK531" s="83">
        <f>(Tableau1[[#This Row],[Différence HP
Cumul]]*0.1799)+(Tableau1[[#This Row],[Différence HC
Cumul]]*0.1346)</f>
        <v>-47917.656999999999</v>
      </c>
      <c r="AL531" s="83">
        <f>Tableau1[[#This Row],[Montant
Tarif HP/HC]]/Tableau1[[#This Row],[Diff jour_x000D_
Cumul]]</f>
        <v>-61.068342984587197</v>
      </c>
      <c r="AM531" s="83">
        <f>(Tableau1[[#This Row],[Montant
Tarif HP/HC]]-AK$6)/Tableau1[[#This Row],[Diff jour_x000D_
Cumul
depuis le 24/01]]</f>
        <v>-64.751990757767715</v>
      </c>
      <c r="AN531" s="83">
        <f>(Tableau1[[#This Row],[Montant
Tarif HP/HC]]-AK$59)/Tableau1[[#This Row],[Diff jour_x000D_
Cumul
depuis
précédente facture
16/02/2021]]</f>
        <v>-67.135401271967169</v>
      </c>
      <c r="AO531" s="83">
        <f>Tableau1[[#This Row],[Conso HP + HC
Cumul]]*0.1599</f>
        <v>-47361.580499999996</v>
      </c>
      <c r="AP531" s="83">
        <f>Tableau1[[#This Row],[Montant
Tarif normal]]/Tableau1[[#This Row],[Diff jour_x000D_
Cumul]]</f>
        <v>-60.359654944442227</v>
      </c>
      <c r="AQ531" s="83">
        <f>(Tableau1[[#This Row],[Conso HP / an
Cumul]]*0.1799)+(Tableau1[[#This Row],[Conso HC / an_x000D_
Cumul]]*0.1346)</f>
        <v>-22289.945189374324</v>
      </c>
      <c r="AR531" s="83">
        <f>Tableau1[[#This Row],[Conso HP + HC / an_x000D_
Cumul]]*0.1599</f>
        <v>-22031.274054721413</v>
      </c>
      <c r="AS531" s="79">
        <f>MONTH(Tableau1[[#This Row],[Date]])</f>
        <v>2</v>
      </c>
      <c r="AT531" s="79">
        <f>YEAR(Tableau1[[#This Row],[Date]])</f>
        <v>2023</v>
      </c>
    </row>
    <row r="532" spans="1:46" x14ac:dyDescent="0.2">
      <c r="A532" s="74">
        <v>44968.361111111109</v>
      </c>
      <c r="B532" s="75"/>
      <c r="C532" s="76">
        <f>IF(ISERROR(Tableau1[[#This Row],[Date]]-A531),"",Tableau1[[#This Row],[Date]]-A531)</f>
        <v>0.99652777777373558</v>
      </c>
      <c r="D532" s="77">
        <f>IF(ISERROR(Tableau1[[#This Row],[Date]]-A531),"",Tableau1[[#This Row],[Date]]-A531)</f>
        <v>0.99652777777373558</v>
      </c>
      <c r="E532" s="76">
        <f>Tableau1[[#This Row],[Date]]-$A$5</f>
        <v>785.65277777777374</v>
      </c>
      <c r="F532" s="77">
        <f>Tableau1[[#This Row],[Date]]-$A$5</f>
        <v>785.65277777777374</v>
      </c>
      <c r="G532" s="77">
        <f>Tableau1[[#This Row],[Diff jour_x000D_
Cumul]]-F$6</f>
        <v>747.56944444444525</v>
      </c>
      <c r="H532" s="77">
        <f>Tableau1[[#This Row],[Diff jour_x000D_
Cumul]]-F$59</f>
        <v>725.04999999999563</v>
      </c>
      <c r="I532" s="78">
        <v>2092</v>
      </c>
      <c r="J532" s="79">
        <f>IF(ISERROR(Tableau1[[#This Row],[Index HP
kWh]]-I531),"",Tableau1[[#This Row],[Index HP
kWh]]-I531)</f>
        <v>33</v>
      </c>
      <c r="K532" s="77">
        <f>IF(ISERROR(Tableau1[[#This Row],[Différence HP
Instantané]]/(Tableau1[[#This Row],[Diff jour
Instantané]]*24)),"",Tableau1[[#This Row],[Différence HP
Instantané]]/(Tableau1[[#This Row],[Diff jour
Instantané]]*24))</f>
        <v>1.3797909407721474</v>
      </c>
      <c r="L532" s="77">
        <f>Tableau1[[#This Row],[Différence HP
Instantané]]/Tableau1[[#This Row],[Diff jour
Instantané]]</f>
        <v>33.114982578531539</v>
      </c>
      <c r="M532" s="77">
        <f>Tableau1[[#This Row],[Conso HP / jour
Instantané]]*365</f>
        <v>12086.968641164012</v>
      </c>
      <c r="N532" s="79">
        <f>Tableau1[[#This Row],[Index HP
kWh]]-$I$5</f>
        <v>-177667</v>
      </c>
      <c r="O532" s="80">
        <f>Tableau1[[#This Row],[Différence HP
Cumul]]/(Tableau1[[#This Row],[Diff jour_x000D_
Cumul]]*24)</f>
        <v>-9.4224724662789736</v>
      </c>
      <c r="P532" s="80">
        <f>Tableau1[[#This Row],[Différence HP
Cumul]]/Tableau1[[#This Row],[Diff jour_x000D_
Cumul]]</f>
        <v>-226.13933919069538</v>
      </c>
      <c r="Q532" s="80">
        <f>Tableau1[[#This Row],[Conso HP / jour
Cumul]]*365</f>
        <v>-82540.85880460382</v>
      </c>
      <c r="R532" s="78">
        <v>960</v>
      </c>
      <c r="S532" s="79">
        <f>Tableau1[[#This Row],[Index HC_x000D_
kWh]]-R531</f>
        <v>23</v>
      </c>
      <c r="T532" s="81">
        <f>Tableau1[[#This Row],[Différence_x000D_ HC
Instantané]]/(Tableau1[[#This Row],[Diff jour
Instantané]]*24)</f>
        <v>0.96167247387149668</v>
      </c>
      <c r="U532" s="81">
        <f>Tableau1[[#This Row],[Différence_x000D_ HC
Instantané]]/Tableau1[[#This Row],[Diff jour
Instantané]]</f>
        <v>23.080139372915919</v>
      </c>
      <c r="V532" s="81">
        <f>Tableau1[[#This Row],[Conso HC / jour_x000D_
Instantané]]*365</f>
        <v>8424.2508711143109</v>
      </c>
      <c r="W532" s="79">
        <f>Tableau1[[#This Row],[Index HC_x000D_
kWh]]-$R$5</f>
        <v>-118472</v>
      </c>
      <c r="X532" s="82">
        <f>Tableau1[[#This Row],[Différence HC
Cumul]]/(Tableau1[[#This Row],[Diff jour_x000D_
Cumul]]*24)</f>
        <v>-6.2830979192815919</v>
      </c>
      <c r="Y532" s="82">
        <f>Tableau1[[#This Row],[Différence HC
Cumul]]/Tableau1[[#This Row],[Diff jour_x000D_
Cumul]]</f>
        <v>-150.79435006275821</v>
      </c>
      <c r="Z532" s="82">
        <f>Tableau1[[#This Row],[Conso HC / jour_x000D_
Cumul]]*365</f>
        <v>-55039.937772906749</v>
      </c>
      <c r="AA532" s="79">
        <f>Tableau1[[#This Row],[Différence HP
Instantané]]+Tableau1[[#This Row],[Différence_x000D_ HC
Instantané]]</f>
        <v>56</v>
      </c>
      <c r="AB532" s="80">
        <f>Tableau1[[#This Row],[Conso HP + HC
Instantané]]/(Tableau1[[#This Row],[Diff jour
Instantané]]*24)</f>
        <v>2.3414634146436439</v>
      </c>
      <c r="AC532" s="80">
        <f>IF(ISERROR(Tableau1[[#This Row],[Date]]-A531),"",Tableau1[[#This Row],[Conso HP + HC
Instantané]]/Tableau1[[#This Row],[Diff jour
Instantané]])</f>
        <v>56.195121951447454</v>
      </c>
      <c r="AD532" s="80">
        <f>Tableau1[[#This Row],[Conso HP + HC / jour_x000D_
Instantané]]*365</f>
        <v>20511.21951227832</v>
      </c>
      <c r="AE532" s="79">
        <f>Tableau1[[#This Row],[Différence HP
Cumul]]+Tableau1[[#This Row],[Différence HC
Cumul]]</f>
        <v>-296139</v>
      </c>
      <c r="AF532" s="77">
        <f>(Tableau1[[#This Row],[Conso HP + HC
Cumul]]-AE$6)/Tableau1[[#This Row],[Diff jour_x000D_
Cumul
depuis le 24/01]]</f>
        <v>-399.57491871806741</v>
      </c>
      <c r="AG532" s="77">
        <f>(Tableau1[[#This Row],[Conso HP + HC
Cumul]]-AE$59)/Tableau1[[#This Row],[Diff jour_x000D_
Cumul
depuis
précédente facture
16/02/2021]]</f>
        <v>-414.20039997241821</v>
      </c>
      <c r="AH532" s="80">
        <f>Tableau1[[#This Row],[Conso HP + HC
Cumul]]/(Tableau1[[#This Row],[Diff jour_x000D_
Cumul]]*24)</f>
        <v>-15.705570385560566</v>
      </c>
      <c r="AI532" s="80">
        <f>Tableau1[[#This Row],[Conso HP + HC
Cumul]]/Tableau1[[#This Row],[Diff jour_x000D_
Cumul]]</f>
        <v>-376.93368925345362</v>
      </c>
      <c r="AJ532" s="80">
        <f>Tableau1[[#This Row],[Conso HP + HC / jour_x000D_
Cumul]]*365</f>
        <v>-137580.79657751057</v>
      </c>
      <c r="AK532" s="83">
        <f>(Tableau1[[#This Row],[Différence HP
Cumul]]*0.1799)+(Tableau1[[#This Row],[Différence HC
Cumul]]*0.1346)</f>
        <v>-47908.624500000005</v>
      </c>
      <c r="AL532" s="83">
        <f>Tableau1[[#This Row],[Montant
Tarif HP/HC]]/Tableau1[[#This Row],[Diff jour_x000D_
Cumul]]</f>
        <v>-60.979386638853363</v>
      </c>
      <c r="AM532" s="83">
        <f>(Tableau1[[#This Row],[Montant
Tarif HP/HC]]-AK$6)/Tableau1[[#This Row],[Diff jour_x000D_
Cumul
depuis le 24/01]]</f>
        <v>-64.653592330701287</v>
      </c>
      <c r="AN532" s="83">
        <f>(Tableau1[[#This Row],[Montant
Tarif HP/HC]]-AK$59)/Tableau1[[#This Row],[Diff jour_x000D_
Cumul
depuis
précédente facture
16/02/2021]]</f>
        <v>-67.030670850286597</v>
      </c>
      <c r="AO532" s="83">
        <f>Tableau1[[#This Row],[Conso HP + HC
Cumul]]*0.1599</f>
        <v>-47352.626099999994</v>
      </c>
      <c r="AP532" s="83">
        <f>Tableau1[[#This Row],[Montant
Tarif normal]]/Tableau1[[#This Row],[Diff jour_x000D_
Cumul]]</f>
        <v>-60.271696911627224</v>
      </c>
      <c r="AQ532" s="83">
        <f>(Tableau1[[#This Row],[Conso HP / an
Cumul]]*0.1799)+(Tableau1[[#This Row],[Conso HC / an_x000D_
Cumul]]*0.1346)</f>
        <v>-22257.476123181477</v>
      </c>
      <c r="AR532" s="83">
        <f>Tableau1[[#This Row],[Conso HP + HC / an_x000D_
Cumul]]*0.1599</f>
        <v>-21999.169372743938</v>
      </c>
      <c r="AS532" s="79">
        <f>MONTH(Tableau1[[#This Row],[Date]])</f>
        <v>2</v>
      </c>
      <c r="AT532" s="79">
        <f>YEAR(Tableau1[[#This Row],[Date]])</f>
        <v>2023</v>
      </c>
    </row>
    <row r="533" spans="1:46" x14ac:dyDescent="0.2">
      <c r="A533" s="74">
        <v>44969.404861111114</v>
      </c>
      <c r="B533" s="75"/>
      <c r="C533" s="76">
        <f>IF(ISERROR(Tableau1[[#This Row],[Date]]-A532),"",Tableau1[[#This Row],[Date]]-A532)</f>
        <v>1.0437500000043656</v>
      </c>
      <c r="D533" s="77">
        <f>IF(ISERROR(Tableau1[[#This Row],[Date]]-A532),"",Tableau1[[#This Row],[Date]]-A532)</f>
        <v>1.0437500000043656</v>
      </c>
      <c r="E533" s="76">
        <f>Tableau1[[#This Row],[Date]]-$A$5</f>
        <v>786.6965277777781</v>
      </c>
      <c r="F533" s="77">
        <f>Tableau1[[#This Row],[Date]]-$A$5</f>
        <v>786.6965277777781</v>
      </c>
      <c r="G533" s="77">
        <f>Tableau1[[#This Row],[Diff jour_x000D_
Cumul]]-F$6</f>
        <v>748.61319444444962</v>
      </c>
      <c r="H533" s="77">
        <f>Tableau1[[#This Row],[Diff jour_x000D_
Cumul]]-F$59</f>
        <v>726.09375</v>
      </c>
      <c r="I533" s="78">
        <v>2135</v>
      </c>
      <c r="J533" s="79">
        <f>IF(ISERROR(Tableau1[[#This Row],[Index HP
kWh]]-I532),"",Tableau1[[#This Row],[Index HP
kWh]]-I532)</f>
        <v>43</v>
      </c>
      <c r="K533" s="77">
        <f>IF(ISERROR(Tableau1[[#This Row],[Différence HP
Instantané]]/(Tableau1[[#This Row],[Diff jour
Instantané]]*24)),"",Tableau1[[#This Row],[Différence HP
Instantané]]/(Tableau1[[#This Row],[Diff jour
Instantané]]*24))</f>
        <v>1.7165668662602853</v>
      </c>
      <c r="L533" s="77">
        <f>Tableau1[[#This Row],[Différence HP
Instantané]]/Tableau1[[#This Row],[Diff jour
Instantané]]</f>
        <v>41.197604790246849</v>
      </c>
      <c r="M533" s="77">
        <f>Tableau1[[#This Row],[Conso HP / jour
Instantané]]*365</f>
        <v>15037.125748440099</v>
      </c>
      <c r="N533" s="79">
        <f>Tableau1[[#This Row],[Index HP
kWh]]-$I$5</f>
        <v>-177624</v>
      </c>
      <c r="O533" s="80">
        <f>Tableau1[[#This Row],[Différence HP
Cumul]]/(Tableau1[[#This Row],[Diff jour_x000D_
Cumul]]*24)</f>
        <v>-9.4076937404388747</v>
      </c>
      <c r="P533" s="80">
        <f>Tableau1[[#This Row],[Différence HP
Cumul]]/Tableau1[[#This Row],[Diff jour_x000D_
Cumul]]</f>
        <v>-225.78464977053298</v>
      </c>
      <c r="Q533" s="80">
        <f>Tableau1[[#This Row],[Conso HP / jour
Cumul]]*365</f>
        <v>-82411.39716624454</v>
      </c>
      <c r="R533" s="78">
        <v>984</v>
      </c>
      <c r="S533" s="79">
        <f>Tableau1[[#This Row],[Index HC_x000D_
kWh]]-R532</f>
        <v>24</v>
      </c>
      <c r="T533" s="81">
        <f>Tableau1[[#This Row],[Différence_x000D_ HC
Instantané]]/(Tableau1[[#This Row],[Diff jour
Instantané]]*24)</f>
        <v>0.9580838323313221</v>
      </c>
      <c r="U533" s="81">
        <f>Tableau1[[#This Row],[Différence_x000D_ HC
Instantané]]/Tableau1[[#This Row],[Diff jour
Instantané]]</f>
        <v>22.994011975951729</v>
      </c>
      <c r="V533" s="81">
        <f>Tableau1[[#This Row],[Conso HC / jour_x000D_
Instantané]]*365</f>
        <v>8392.8143712223809</v>
      </c>
      <c r="W533" s="79">
        <f>Tableau1[[#This Row],[Index HC_x000D_
kWh]]-$R$5</f>
        <v>-118448</v>
      </c>
      <c r="X533" s="82">
        <f>Tableau1[[#This Row],[Différence HC
Cumul]]/(Tableau1[[#This Row],[Diff jour_x000D_
Cumul]]*24)</f>
        <v>-6.2734906778785735</v>
      </c>
      <c r="Y533" s="82">
        <f>Tableau1[[#This Row],[Différence HC
Cumul]]/Tableau1[[#This Row],[Diff jour_x000D_
Cumul]]</f>
        <v>-150.56377626908576</v>
      </c>
      <c r="Z533" s="82">
        <f>Tableau1[[#This Row],[Conso HC / jour_x000D_
Cumul]]*365</f>
        <v>-54955.778338216303</v>
      </c>
      <c r="AA533" s="79">
        <f>Tableau1[[#This Row],[Différence HP
Instantané]]+Tableau1[[#This Row],[Différence_x000D_ HC
Instantané]]</f>
        <v>67</v>
      </c>
      <c r="AB533" s="80">
        <f>Tableau1[[#This Row],[Conso HP + HC
Instantané]]/(Tableau1[[#This Row],[Diff jour
Instantané]]*24)</f>
        <v>2.6746506985916074</v>
      </c>
      <c r="AC533" s="80">
        <f>IF(ISERROR(Tableau1[[#This Row],[Date]]-A532),"",Tableau1[[#This Row],[Conso HP + HC
Instantané]]/Tableau1[[#This Row],[Diff jour
Instantané]])</f>
        <v>64.191616766198578</v>
      </c>
      <c r="AD533" s="80">
        <f>Tableau1[[#This Row],[Conso HP + HC / jour_x000D_
Instantané]]*365</f>
        <v>23429.940119662482</v>
      </c>
      <c r="AE533" s="79">
        <f>Tableau1[[#This Row],[Différence HP
Cumul]]+Tableau1[[#This Row],[Différence HC
Cumul]]</f>
        <v>-296072</v>
      </c>
      <c r="AF533" s="77">
        <f>(Tableau1[[#This Row],[Conso HP + HC
Cumul]]-AE$6)/Tableau1[[#This Row],[Diff jour_x000D_
Cumul
depuis le 24/01]]</f>
        <v>-398.92831467073563</v>
      </c>
      <c r="AG533" s="77">
        <f>(Tableau1[[#This Row],[Conso HP + HC
Cumul]]-AE$59)/Tableau1[[#This Row],[Diff jour_x000D_
Cumul
depuis
précédente facture
16/02/2021]]</f>
        <v>-413.51271788250483</v>
      </c>
      <c r="AH533" s="80">
        <f>Tableau1[[#This Row],[Conso HP + HC
Cumul]]/(Tableau1[[#This Row],[Diff jour_x000D_
Cumul]]*24)</f>
        <v>-15.681184418317448</v>
      </c>
      <c r="AI533" s="80">
        <f>Tableau1[[#This Row],[Conso HP + HC
Cumul]]/Tableau1[[#This Row],[Diff jour_x000D_
Cumul]]</f>
        <v>-376.34842603961874</v>
      </c>
      <c r="AJ533" s="80">
        <f>Tableau1[[#This Row],[Conso HP + HC / jour_x000D_
Cumul]]*365</f>
        <v>-137367.17550446084</v>
      </c>
      <c r="AK533" s="83">
        <f>(Tableau1[[#This Row],[Différence HP
Cumul]]*0.1799)+(Tableau1[[#This Row],[Différence HC
Cumul]]*0.1346)</f>
        <v>-47897.6584</v>
      </c>
      <c r="AL533" s="83">
        <f>Tableau1[[#This Row],[Montant
Tarif HP/HC]]/Tableau1[[#This Row],[Diff jour_x000D_
Cumul]]</f>
        <v>-60.884542779537831</v>
      </c>
      <c r="AM533" s="83">
        <f>(Tableau1[[#This Row],[Montant
Tarif HP/HC]]-AK$6)/Tableau1[[#This Row],[Diff jour_x000D_
Cumul
depuis le 24/01]]</f>
        <v>-64.548800847492558</v>
      </c>
      <c r="AN533" s="83">
        <f>(Tableau1[[#This Row],[Montant
Tarif HP/HC]]-AK$59)/Tableau1[[#This Row],[Diff jour_x000D_
Cumul
depuis
précédente facture
16/02/2021]]</f>
        <v>-66.919212291801159</v>
      </c>
      <c r="AO533" s="83">
        <f>Tableau1[[#This Row],[Conso HP + HC
Cumul]]*0.1599</f>
        <v>-47341.912799999998</v>
      </c>
      <c r="AP533" s="83">
        <f>Tableau1[[#This Row],[Montant
Tarif normal]]/Tableau1[[#This Row],[Diff jour_x000D_
Cumul]]</f>
        <v>-60.178113323735033</v>
      </c>
      <c r="AQ533" s="83">
        <f>(Tableau1[[#This Row],[Conso HP / an
Cumul]]*0.1799)+(Tableau1[[#This Row],[Conso HC / an_x000D_
Cumul]]*0.1346)</f>
        <v>-22222.858114531307</v>
      </c>
      <c r="AR533" s="83">
        <f>Tableau1[[#This Row],[Conso HP + HC / an_x000D_
Cumul]]*0.1599</f>
        <v>-21965.011363163288</v>
      </c>
      <c r="AS533" s="79">
        <f>MONTH(Tableau1[[#This Row],[Date]])</f>
        <v>2</v>
      </c>
      <c r="AT533" s="79">
        <f>YEAR(Tableau1[[#This Row],[Date]])</f>
        <v>2023</v>
      </c>
    </row>
    <row r="534" spans="1:46" x14ac:dyDescent="0.2">
      <c r="A534" s="74">
        <v>44970.315972222219</v>
      </c>
      <c r="B534" s="75"/>
      <c r="C534" s="76">
        <f>IF(ISERROR(Tableau1[[#This Row],[Date]]-A533),"",Tableau1[[#This Row],[Date]]-A533)</f>
        <v>0.91111111110512866</v>
      </c>
      <c r="D534" s="77">
        <f>IF(ISERROR(Tableau1[[#This Row],[Date]]-A533),"",Tableau1[[#This Row],[Date]]-A533)</f>
        <v>0.91111111110512866</v>
      </c>
      <c r="E534" s="76">
        <f>Tableau1[[#This Row],[Date]]-$A$5</f>
        <v>787.60763888888323</v>
      </c>
      <c r="F534" s="77">
        <f>Tableau1[[#This Row],[Date]]-$A$5</f>
        <v>787.60763888888323</v>
      </c>
      <c r="G534" s="77">
        <f>Tableau1[[#This Row],[Diff jour_x000D_
Cumul]]-F$6</f>
        <v>749.52430555555475</v>
      </c>
      <c r="H534" s="77">
        <f>Tableau1[[#This Row],[Diff jour_x000D_
Cumul]]-F$59</f>
        <v>727.00486111110513</v>
      </c>
      <c r="I534" s="78">
        <v>2161</v>
      </c>
      <c r="J534" s="79">
        <f>IF(ISERROR(Tableau1[[#This Row],[Index HP
kWh]]-I533),"",Tableau1[[#This Row],[Index HP
kWh]]-I533)</f>
        <v>26</v>
      </c>
      <c r="K534" s="77">
        <f>IF(ISERROR(Tableau1[[#This Row],[Différence HP
Instantané]]/(Tableau1[[#This Row],[Diff jour
Instantané]]*24)),"",Tableau1[[#This Row],[Différence HP
Instantané]]/(Tableau1[[#This Row],[Diff jour
Instantané]]*24))</f>
        <v>1.1890243902517097</v>
      </c>
      <c r="L534" s="77">
        <f>Tableau1[[#This Row],[Différence HP
Instantané]]/Tableau1[[#This Row],[Diff jour
Instantané]]</f>
        <v>28.536585366041034</v>
      </c>
      <c r="M534" s="77">
        <f>Tableau1[[#This Row],[Conso HP / jour
Instantané]]*365</f>
        <v>10415.853658604978</v>
      </c>
      <c r="N534" s="79">
        <f>Tableau1[[#This Row],[Index HP
kWh]]-$I$5</f>
        <v>-177598</v>
      </c>
      <c r="O534" s="80">
        <f>Tableau1[[#This Row],[Différence HP
Cumul]]/(Tableau1[[#This Row],[Diff jour_x000D_
Cumul]]*24)</f>
        <v>-9.3954353681816656</v>
      </c>
      <c r="P534" s="80">
        <f>Tableau1[[#This Row],[Différence HP
Cumul]]/Tableau1[[#This Row],[Diff jour_x000D_
Cumul]]</f>
        <v>-225.49044883635997</v>
      </c>
      <c r="Q534" s="80">
        <f>Tableau1[[#This Row],[Conso HP / jour
Cumul]]*365</f>
        <v>-82304.013825271395</v>
      </c>
      <c r="R534" s="78">
        <v>1008</v>
      </c>
      <c r="S534" s="79">
        <f>Tableau1[[#This Row],[Index HC_x000D_
kWh]]-R533</f>
        <v>24</v>
      </c>
      <c r="T534" s="81">
        <f>Tableau1[[#This Row],[Différence_x000D_ HC
Instantané]]/(Tableau1[[#This Row],[Diff jour
Instantané]]*24)</f>
        <v>1.0975609756169629</v>
      </c>
      <c r="U534" s="81">
        <f>Tableau1[[#This Row],[Différence_x000D_ HC
Instantané]]/Tableau1[[#This Row],[Diff jour
Instantané]]</f>
        <v>26.341463414807109</v>
      </c>
      <c r="V534" s="81">
        <f>Tableau1[[#This Row],[Conso HC / jour_x000D_
Instantané]]*365</f>
        <v>9614.6341464045945</v>
      </c>
      <c r="W534" s="79">
        <f>Tableau1[[#This Row],[Index HC_x000D_
kWh]]-$R$5</f>
        <v>-118424</v>
      </c>
      <c r="X534" s="82">
        <f>Tableau1[[#This Row],[Différence HC
Cumul]]/(Tableau1[[#This Row],[Diff jour_x000D_
Cumul]]*24)</f>
        <v>-6.2649637836098693</v>
      </c>
      <c r="Y534" s="82">
        <f>Tableau1[[#This Row],[Différence HC
Cumul]]/Tableau1[[#This Row],[Diff jour_x000D_
Cumul]]</f>
        <v>-150.35913080663687</v>
      </c>
      <c r="Z534" s="82">
        <f>Tableau1[[#This Row],[Conso HC / jour_x000D_
Cumul]]*365</f>
        <v>-54881.082744422456</v>
      </c>
      <c r="AA534" s="79">
        <f>Tableau1[[#This Row],[Différence HP
Instantané]]+Tableau1[[#This Row],[Différence_x000D_ HC
Instantané]]</f>
        <v>50</v>
      </c>
      <c r="AB534" s="80">
        <f>Tableau1[[#This Row],[Conso HP + HC
Instantané]]/(Tableau1[[#This Row],[Diff jour
Instantané]]*24)</f>
        <v>2.2865853658686723</v>
      </c>
      <c r="AC534" s="80">
        <f>IF(ISERROR(Tableau1[[#This Row],[Date]]-A533),"",Tableau1[[#This Row],[Conso HP + HC
Instantané]]/Tableau1[[#This Row],[Diff jour
Instantané]])</f>
        <v>54.87804878084814</v>
      </c>
      <c r="AD534" s="80">
        <f>Tableau1[[#This Row],[Conso HP + HC / jour_x000D_
Instantané]]*365</f>
        <v>20030.487805009572</v>
      </c>
      <c r="AE534" s="79">
        <f>Tableau1[[#This Row],[Différence HP
Cumul]]+Tableau1[[#This Row],[Différence HC
Cumul]]</f>
        <v>-296022</v>
      </c>
      <c r="AF534" s="77">
        <f>(Tableau1[[#This Row],[Conso HP + HC
Cumul]]-AE$6)/Tableau1[[#This Row],[Diff jour_x000D_
Cumul
depuis le 24/01]]</f>
        <v>-398.37667409421761</v>
      </c>
      <c r="AG534" s="77">
        <f>(Tableau1[[#This Row],[Conso HP + HC
Cumul]]-AE$59)/Tableau1[[#This Row],[Diff jour_x000D_
Cumul
depuis
précédente facture
16/02/2021]]</f>
        <v>-412.925712135124</v>
      </c>
      <c r="AH534" s="80">
        <f>Tableau1[[#This Row],[Conso HP + HC
Cumul]]/(Tableau1[[#This Row],[Diff jour_x000D_
Cumul]]*24)</f>
        <v>-15.660399151791534</v>
      </c>
      <c r="AI534" s="80">
        <f>Tableau1[[#This Row],[Conso HP + HC
Cumul]]/Tableau1[[#This Row],[Diff jour_x000D_
Cumul]]</f>
        <v>-375.84957964299684</v>
      </c>
      <c r="AJ534" s="80">
        <f>Tableau1[[#This Row],[Conso HP + HC / jour_x000D_
Cumul]]*365</f>
        <v>-137185.09656969385</v>
      </c>
      <c r="AK534" s="83">
        <f>(Tableau1[[#This Row],[Différence HP
Cumul]]*0.1799)+(Tableau1[[#This Row],[Différence HC
Cumul]]*0.1346)</f>
        <v>-47889.750599999999</v>
      </c>
      <c r="AL534" s="83">
        <f>Tableau1[[#This Row],[Montant
Tarif HP/HC]]/Tableau1[[#This Row],[Diff jour_x000D_
Cumul]]</f>
        <v>-60.80407075223448</v>
      </c>
      <c r="AM534" s="83">
        <f>(Tableau1[[#This Row],[Montant
Tarif HP/HC]]-AK$6)/Tableau1[[#This Row],[Diff jour_x000D_
Cumul
depuis le 24/01]]</f>
        <v>-64.459785816003745</v>
      </c>
      <c r="AN534" s="83">
        <f>(Tableau1[[#This Row],[Montant
Tarif HP/HC]]-AK$59)/Tableau1[[#This Row],[Diff jour_x000D_
Cumul
depuis
précédente facture
16/02/2021]]</f>
        <v>-66.824469269367725</v>
      </c>
      <c r="AO534" s="83">
        <f>Tableau1[[#This Row],[Conso HP + HC
Cumul]]*0.1599</f>
        <v>-47333.917799999996</v>
      </c>
      <c r="AP534" s="83">
        <f>Tableau1[[#This Row],[Montant
Tarif normal]]/Tableau1[[#This Row],[Diff jour_x000D_
Cumul]]</f>
        <v>-60.098347784915184</v>
      </c>
      <c r="AQ534" s="83">
        <f>(Tableau1[[#This Row],[Conso HP / an
Cumul]]*0.1799)+(Tableau1[[#This Row],[Conso HC / an_x000D_
Cumul]]*0.1346)</f>
        <v>-22193.485824565585</v>
      </c>
      <c r="AR534" s="83">
        <f>Tableau1[[#This Row],[Conso HP + HC / an_x000D_
Cumul]]*0.1599</f>
        <v>-21935.896941494044</v>
      </c>
      <c r="AS534" s="79">
        <f>MONTH(Tableau1[[#This Row],[Date]])</f>
        <v>2</v>
      </c>
      <c r="AT534" s="79">
        <f>YEAR(Tableau1[[#This Row],[Date]])</f>
        <v>2023</v>
      </c>
    </row>
    <row r="535" spans="1:46" x14ac:dyDescent="0.2">
      <c r="A535" s="74">
        <v>44971.321527777778</v>
      </c>
      <c r="B535" s="75"/>
      <c r="C535" s="76">
        <f>IF(ISERROR(Tableau1[[#This Row],[Date]]-A534),"",Tableau1[[#This Row],[Date]]-A534)</f>
        <v>1.0055555555591127</v>
      </c>
      <c r="D535" s="77">
        <f>IF(ISERROR(Tableau1[[#This Row],[Date]]-A534),"",Tableau1[[#This Row],[Date]]-A534)</f>
        <v>1.0055555555591127</v>
      </c>
      <c r="E535" s="76">
        <f>Tableau1[[#This Row],[Date]]-$A$5</f>
        <v>788.61319444444234</v>
      </c>
      <c r="F535" s="77">
        <f>Tableau1[[#This Row],[Date]]-$A$5</f>
        <v>788.61319444444234</v>
      </c>
      <c r="G535" s="77">
        <f>Tableau1[[#This Row],[Diff jour_x000D_
Cumul]]-F$6</f>
        <v>750.52986111111386</v>
      </c>
      <c r="H535" s="77">
        <f>Tableau1[[#This Row],[Diff jour_x000D_
Cumul]]-F$59</f>
        <v>728.01041666666424</v>
      </c>
      <c r="I535" s="78">
        <v>2190</v>
      </c>
      <c r="J535" s="79">
        <f>IF(ISERROR(Tableau1[[#This Row],[Index HP
kWh]]-I534),"",Tableau1[[#This Row],[Index HP
kWh]]-I534)</f>
        <v>29</v>
      </c>
      <c r="K535" s="77">
        <f>IF(ISERROR(Tableau1[[#This Row],[Différence HP
Instantané]]/(Tableau1[[#This Row],[Diff jour
Instantané]]*24)),"",Tableau1[[#This Row],[Différence HP
Instantané]]/(Tableau1[[#This Row],[Diff jour
Instantané]]*24))</f>
        <v>1.201657458559285</v>
      </c>
      <c r="L535" s="77">
        <f>Tableau1[[#This Row],[Différence HP
Instantané]]/Tableau1[[#This Row],[Diff jour
Instantané]]</f>
        <v>28.839779005422841</v>
      </c>
      <c r="M535" s="77">
        <f>Tableau1[[#This Row],[Conso HP / jour
Instantané]]*365</f>
        <v>10526.519336979338</v>
      </c>
      <c r="N535" s="79">
        <f>Tableau1[[#This Row],[Index HP
kWh]]-$I$5</f>
        <v>-177569</v>
      </c>
      <c r="O535" s="80">
        <f>Tableau1[[#This Row],[Différence HP
Cumul]]/(Tableau1[[#This Row],[Diff jour_x000D_
Cumul]]*24)</f>
        <v>-9.3819230840355559</v>
      </c>
      <c r="P535" s="80">
        <f>Tableau1[[#This Row],[Différence HP
Cumul]]/Tableau1[[#This Row],[Diff jour_x000D_
Cumul]]</f>
        <v>-225.16615401685331</v>
      </c>
      <c r="Q535" s="80">
        <f>Tableau1[[#This Row],[Conso HP / jour
Cumul]]*365</f>
        <v>-82185.646216151465</v>
      </c>
      <c r="R535" s="78">
        <v>1029</v>
      </c>
      <c r="S535" s="79">
        <f>Tableau1[[#This Row],[Index HC_x000D_
kWh]]-R534</f>
        <v>21</v>
      </c>
      <c r="T535" s="81">
        <f>Tableau1[[#This Row],[Différence_x000D_ HC
Instantané]]/(Tableau1[[#This Row],[Diff jour
Instantané]]*24)</f>
        <v>0.87016574585327544</v>
      </c>
      <c r="U535" s="81">
        <f>Tableau1[[#This Row],[Différence_x000D_ HC
Instantané]]/Tableau1[[#This Row],[Diff jour
Instantané]]</f>
        <v>20.883977900478609</v>
      </c>
      <c r="V535" s="81">
        <f>Tableau1[[#This Row],[Conso HC / jour_x000D_
Instantané]]*365</f>
        <v>7622.6519336746924</v>
      </c>
      <c r="W535" s="79">
        <f>Tableau1[[#This Row],[Index HC_x000D_
kWh]]-$R$5</f>
        <v>-118403</v>
      </c>
      <c r="X535" s="82">
        <f>Tableau1[[#This Row],[Différence HC
Cumul]]/(Tableau1[[#This Row],[Diff jour_x000D_
Cumul]]*24)</f>
        <v>-6.2558658263495417</v>
      </c>
      <c r="Y535" s="82">
        <f>Tableau1[[#This Row],[Différence HC
Cumul]]/Tableau1[[#This Row],[Diff jour_x000D_
Cumul]]</f>
        <v>-150.140779832389</v>
      </c>
      <c r="Z535" s="82">
        <f>Tableau1[[#This Row],[Conso HC / jour_x000D_
Cumul]]*365</f>
        <v>-54801.384638821983</v>
      </c>
      <c r="AA535" s="79">
        <f>Tableau1[[#This Row],[Différence HP
Instantané]]+Tableau1[[#This Row],[Différence_x000D_ HC
Instantané]]</f>
        <v>50</v>
      </c>
      <c r="AB535" s="80">
        <f>Tableau1[[#This Row],[Conso HP + HC
Instantané]]/(Tableau1[[#This Row],[Diff jour
Instantané]]*24)</f>
        <v>2.0718232044125604</v>
      </c>
      <c r="AC535" s="80">
        <f>IF(ISERROR(Tableau1[[#This Row],[Date]]-A534),"",Tableau1[[#This Row],[Conso HP + HC
Instantané]]/Tableau1[[#This Row],[Diff jour
Instantané]])</f>
        <v>49.723756905901453</v>
      </c>
      <c r="AD535" s="80">
        <f>Tableau1[[#This Row],[Conso HP + HC / jour_x000D_
Instantané]]*365</f>
        <v>18149.171270654031</v>
      </c>
      <c r="AE535" s="79">
        <f>Tableau1[[#This Row],[Différence HP
Cumul]]+Tableau1[[#This Row],[Différence HC
Cumul]]</f>
        <v>-295972</v>
      </c>
      <c r="AF535" s="77">
        <f>(Tableau1[[#This Row],[Conso HP + HC
Cumul]]-AE$6)/Tableau1[[#This Row],[Diff jour_x000D_
Cumul
depuis le 24/01]]</f>
        <v>-397.77631173531887</v>
      </c>
      <c r="AG535" s="77">
        <f>(Tableau1[[#This Row],[Conso HP + HC
Cumul]]-AE$59)/Tableau1[[#This Row],[Diff jour_x000D_
Cumul
depuis
précédente facture
16/02/2021]]</f>
        <v>-412.28668316902656</v>
      </c>
      <c r="AH535" s="80">
        <f>Tableau1[[#This Row],[Conso HP + HC
Cumul]]/(Tableau1[[#This Row],[Diff jour_x000D_
Cumul]]*24)</f>
        <v>-15.637788910385098</v>
      </c>
      <c r="AI535" s="80">
        <f>Tableau1[[#This Row],[Conso HP + HC
Cumul]]/Tableau1[[#This Row],[Diff jour_x000D_
Cumul]]</f>
        <v>-375.30693384924234</v>
      </c>
      <c r="AJ535" s="80">
        <f>Tableau1[[#This Row],[Conso HP + HC / jour_x000D_
Cumul]]*365</f>
        <v>-136987.03085497345</v>
      </c>
      <c r="AK535" s="83">
        <f>(Tableau1[[#This Row],[Différence HP
Cumul]]*0.1799)+(Tableau1[[#This Row],[Différence HC
Cumul]]*0.1346)</f>
        <v>-47881.706900000005</v>
      </c>
      <c r="AL535" s="83">
        <f>Tableau1[[#This Row],[Montant
Tarif HP/HC]]/Tableau1[[#This Row],[Diff jour_x000D_
Cumul]]</f>
        <v>-60.716340073071478</v>
      </c>
      <c r="AM535" s="83">
        <f>(Tableau1[[#This Row],[Montant
Tarif HP/HC]]-AK$6)/Tableau1[[#This Row],[Diff jour_x000D_
Cumul
depuis le 24/01]]</f>
        <v>-64.362705607057009</v>
      </c>
      <c r="AN535" s="83">
        <f>(Tableau1[[#This Row],[Montant
Tarif HP/HC]]-AK$59)/Tableau1[[#This Row],[Diff jour_x000D_
Cumul
depuis
précédente facture
16/02/2021]]</f>
        <v>-66.72111990155841</v>
      </c>
      <c r="AO535" s="83">
        <f>Tableau1[[#This Row],[Conso HP + HC
Cumul]]*0.1599</f>
        <v>-47325.922799999993</v>
      </c>
      <c r="AP535" s="83">
        <f>Tableau1[[#This Row],[Montant
Tarif normal]]/Tableau1[[#This Row],[Diff jour_x000D_
Cumul]]</f>
        <v>-60.011578722493837</v>
      </c>
      <c r="AQ535" s="83">
        <f>(Tableau1[[#This Row],[Conso HP / an
Cumul]]*0.1799)+(Tableau1[[#This Row],[Conso HC / an_x000D_
Cumul]]*0.1346)</f>
        <v>-22161.46412667109</v>
      </c>
      <c r="AR535" s="83">
        <f>Tableau1[[#This Row],[Conso HP + HC / an_x000D_
Cumul]]*0.1599</f>
        <v>-21904.226233710251</v>
      </c>
      <c r="AS535" s="79">
        <f>MONTH(Tableau1[[#This Row],[Date]])</f>
        <v>2</v>
      </c>
      <c r="AT535" s="79">
        <f>YEAR(Tableau1[[#This Row],[Date]])</f>
        <v>2023</v>
      </c>
    </row>
    <row r="536" spans="1:46" x14ac:dyDescent="0.2">
      <c r="A536" s="74">
        <v>44972.308333333334</v>
      </c>
      <c r="B536" s="75"/>
      <c r="C536" s="76">
        <f>IF(ISERROR(Tableau1[[#This Row],[Date]]-A535),"",Tableau1[[#This Row],[Date]]-A535)</f>
        <v>0.98680555555620231</v>
      </c>
      <c r="D536" s="77">
        <f>IF(ISERROR(Tableau1[[#This Row],[Date]]-A535),"",Tableau1[[#This Row],[Date]]-A535)</f>
        <v>0.98680555555620231</v>
      </c>
      <c r="E536" s="76">
        <f>Tableau1[[#This Row],[Date]]-$A$5</f>
        <v>789.59999999999854</v>
      </c>
      <c r="F536" s="77">
        <f>Tableau1[[#This Row],[Date]]-$A$5</f>
        <v>789.59999999999854</v>
      </c>
      <c r="G536" s="77">
        <f>Tableau1[[#This Row],[Diff jour_x000D_
Cumul]]-F$6</f>
        <v>751.51666666667006</v>
      </c>
      <c r="H536" s="77">
        <f>Tableau1[[#This Row],[Diff jour_x000D_
Cumul]]-F$59</f>
        <v>728.99722222222044</v>
      </c>
      <c r="I536" s="78">
        <v>2216</v>
      </c>
      <c r="J536" s="79">
        <f>IF(ISERROR(Tableau1[[#This Row],[Index HP
kWh]]-I535),"",Tableau1[[#This Row],[Index HP
kWh]]-I535)</f>
        <v>26</v>
      </c>
      <c r="K536" s="77">
        <f>IF(ISERROR(Tableau1[[#This Row],[Différence HP
Instantané]]/(Tableau1[[#This Row],[Diff jour
Instantané]]*24)),"",Tableau1[[#This Row],[Différence HP
Instantané]]/(Tableau1[[#This Row],[Diff jour
Instantané]]*24))</f>
        <v>1.097818437719196</v>
      </c>
      <c r="L536" s="77">
        <f>Tableau1[[#This Row],[Différence HP
Instantané]]/Tableau1[[#This Row],[Diff jour
Instantané]]</f>
        <v>26.347642505260705</v>
      </c>
      <c r="M536" s="77">
        <f>Tableau1[[#This Row],[Conso HP / jour
Instantané]]*365</f>
        <v>9616.8895144201579</v>
      </c>
      <c r="N536" s="79">
        <f>Tableau1[[#This Row],[Index HP
kWh]]-$I$5</f>
        <v>-177543</v>
      </c>
      <c r="O536" s="80">
        <f>Tableau1[[#This Row],[Différence HP
Cumul]]/(Tableau1[[#This Row],[Diff jour_x000D_
Cumul]]*24)</f>
        <v>-9.3688259878419622</v>
      </c>
      <c r="P536" s="80">
        <f>Tableau1[[#This Row],[Différence HP
Cumul]]/Tableau1[[#This Row],[Diff jour_x000D_
Cumul]]</f>
        <v>-224.85182370820709</v>
      </c>
      <c r="Q536" s="80">
        <f>Tableau1[[#This Row],[Conso HP / jour
Cumul]]*365</f>
        <v>-82070.915653495584</v>
      </c>
      <c r="R536" s="78">
        <v>1048</v>
      </c>
      <c r="S536" s="79">
        <f>Tableau1[[#This Row],[Index HC_x000D_
kWh]]-R535</f>
        <v>19</v>
      </c>
      <c r="T536" s="81">
        <f>Tableau1[[#This Row],[Différence_x000D_ HC
Instantané]]/(Tableau1[[#This Row],[Diff jour
Instantané]]*24)</f>
        <v>0.80225193525633554</v>
      </c>
      <c r="U536" s="81">
        <f>Tableau1[[#This Row],[Différence_x000D_ HC
Instantané]]/Tableau1[[#This Row],[Diff jour
Instantané]]</f>
        <v>19.254046446152053</v>
      </c>
      <c r="V536" s="81">
        <f>Tableau1[[#This Row],[Conso HC / jour_x000D_
Instantané]]*365</f>
        <v>7027.726952845499</v>
      </c>
      <c r="W536" s="79">
        <f>Tableau1[[#This Row],[Index HC_x000D_
kWh]]-$R$5</f>
        <v>-118384</v>
      </c>
      <c r="X536" s="82">
        <f>Tableau1[[#This Row],[Différence HC
Cumul]]/(Tableau1[[#This Row],[Diff jour_x000D_
Cumul]]*24)</f>
        <v>-6.2470449172576945</v>
      </c>
      <c r="Y536" s="82">
        <f>Tableau1[[#This Row],[Différence HC
Cumul]]/Tableau1[[#This Row],[Diff jour_x000D_
Cumul]]</f>
        <v>-149.92907801418468</v>
      </c>
      <c r="Z536" s="82">
        <f>Tableau1[[#This Row],[Conso HC / jour_x000D_
Cumul]]*365</f>
        <v>-54724.113475177408</v>
      </c>
      <c r="AA536" s="79">
        <f>Tableau1[[#This Row],[Différence HP
Instantané]]+Tableau1[[#This Row],[Différence_x000D_ HC
Instantané]]</f>
        <v>45</v>
      </c>
      <c r="AB536" s="80">
        <f>Tableau1[[#This Row],[Conso HP + HC
Instantané]]/(Tableau1[[#This Row],[Diff jour
Instantané]]*24)</f>
        <v>1.9000703729755317</v>
      </c>
      <c r="AC536" s="80">
        <f>IF(ISERROR(Tableau1[[#This Row],[Date]]-A535),"",Tableau1[[#This Row],[Conso HP + HC
Instantané]]/Tableau1[[#This Row],[Diff jour
Instantané]])</f>
        <v>45.601688951412761</v>
      </c>
      <c r="AD536" s="80">
        <f>Tableau1[[#This Row],[Conso HP + HC / jour_x000D_
Instantané]]*365</f>
        <v>16644.61646726566</v>
      </c>
      <c r="AE536" s="79">
        <f>Tableau1[[#This Row],[Différence HP
Cumul]]+Tableau1[[#This Row],[Différence HC
Cumul]]</f>
        <v>-295927</v>
      </c>
      <c r="AF536" s="77">
        <f>(Tableau1[[#This Row],[Conso HP + HC
Cumul]]-AE$6)/Tableau1[[#This Row],[Diff jour_x000D_
Cumul
depuis le 24/01]]</f>
        <v>-397.19411856024306</v>
      </c>
      <c r="AG536" s="77">
        <f>(Tableau1[[#This Row],[Conso HP + HC
Cumul]]-AE$59)/Tableau1[[#This Row],[Diff jour_x000D_
Cumul
depuis
précédente facture
16/02/2021]]</f>
        <v>-411.66686353781358</v>
      </c>
      <c r="AH536" s="80">
        <f>Tableau1[[#This Row],[Conso HP + HC
Cumul]]/(Tableau1[[#This Row],[Diff jour_x000D_
Cumul]]*24)</f>
        <v>-15.615870905099657</v>
      </c>
      <c r="AI536" s="80">
        <f>Tableau1[[#This Row],[Conso HP + HC
Cumul]]/Tableau1[[#This Row],[Diff jour_x000D_
Cumul]]</f>
        <v>-374.78090172239177</v>
      </c>
      <c r="AJ536" s="80">
        <f>Tableau1[[#This Row],[Conso HP + HC / jour_x000D_
Cumul]]*365</f>
        <v>-136795.02912867299</v>
      </c>
      <c r="AK536" s="83">
        <f>(Tableau1[[#This Row],[Différence HP
Cumul]]*0.1799)+(Tableau1[[#This Row],[Différence HC
Cumul]]*0.1346)</f>
        <v>-47874.472099999999</v>
      </c>
      <c r="AL536" s="83">
        <f>Tableau1[[#This Row],[Montant
Tarif HP/HC]]/Tableau1[[#This Row],[Diff jour_x000D_
Cumul]]</f>
        <v>-60.631296985815716</v>
      </c>
      <c r="AM536" s="83">
        <f>(Tableau1[[#This Row],[Montant
Tarif HP/HC]]-AK$6)/Tableau1[[#This Row],[Diff jour_x000D_
Cumul
depuis le 24/01]]</f>
        <v>-64.268564946441359</v>
      </c>
      <c r="AN536" s="83">
        <f>(Tableau1[[#This Row],[Montant
Tarif HP/HC]]-AK$59)/Tableau1[[#This Row],[Diff jour_x000D_
Cumul
depuis
précédente facture
16/02/2021]]</f>
        <v>-66.620878680379221</v>
      </c>
      <c r="AO536" s="83">
        <f>Tableau1[[#This Row],[Conso HP + HC
Cumul]]*0.1599</f>
        <v>-47318.727299999999</v>
      </c>
      <c r="AP536" s="83">
        <f>Tableau1[[#This Row],[Montant
Tarif normal]]/Tableau1[[#This Row],[Diff jour_x000D_
Cumul]]</f>
        <v>-59.927466185410445</v>
      </c>
      <c r="AQ536" s="83">
        <f>(Tableau1[[#This Row],[Conso HP / an
Cumul]]*0.1799)+(Tableau1[[#This Row],[Conso HC / an_x000D_
Cumul]]*0.1346)</f>
        <v>-22130.423399822736</v>
      </c>
      <c r="AR536" s="83">
        <f>Tableau1[[#This Row],[Conso HP + HC / an_x000D_
Cumul]]*0.1599</f>
        <v>-21873.525157674809</v>
      </c>
      <c r="AS536" s="79">
        <f>MONTH(Tableau1[[#This Row],[Date]])</f>
        <v>2</v>
      </c>
      <c r="AT536" s="79">
        <f>YEAR(Tableau1[[#This Row],[Date]])</f>
        <v>2023</v>
      </c>
    </row>
    <row r="537" spans="1:46" x14ac:dyDescent="0.2">
      <c r="A537" s="74">
        <v>44973.42083333333</v>
      </c>
      <c r="B537" s="75"/>
      <c r="C537" s="76">
        <f>IF(ISERROR(Tableau1[[#This Row],[Date]]-A536),"",Tableau1[[#This Row],[Date]]-A536)</f>
        <v>1.1124999999956344</v>
      </c>
      <c r="D537" s="77">
        <f>IF(ISERROR(Tableau1[[#This Row],[Date]]-A536),"",Tableau1[[#This Row],[Date]]-A536)</f>
        <v>1.1124999999956344</v>
      </c>
      <c r="E537" s="76">
        <f>Tableau1[[#This Row],[Date]]-$A$5</f>
        <v>790.71249999999418</v>
      </c>
      <c r="F537" s="77">
        <f>Tableau1[[#This Row],[Date]]-$A$5</f>
        <v>790.71249999999418</v>
      </c>
      <c r="G537" s="77">
        <f>Tableau1[[#This Row],[Diff jour_x000D_
Cumul]]-F$6</f>
        <v>752.6291666666657</v>
      </c>
      <c r="H537" s="77">
        <f>Tableau1[[#This Row],[Diff jour_x000D_
Cumul]]-F$59</f>
        <v>730.10972222221608</v>
      </c>
      <c r="I537" s="78">
        <v>2246</v>
      </c>
      <c r="J537" s="79">
        <f>IF(ISERROR(Tableau1[[#This Row],[Index HP
kWh]]-I536),"",Tableau1[[#This Row],[Index HP
kWh]]-I536)</f>
        <v>30</v>
      </c>
      <c r="K537" s="77">
        <f>IF(ISERROR(Tableau1[[#This Row],[Différence HP
Instantané]]/(Tableau1[[#This Row],[Diff jour
Instantané]]*24)),"",Tableau1[[#This Row],[Différence HP
Instantané]]/(Tableau1[[#This Row],[Diff jour
Instantané]]*24))</f>
        <v>1.1235955056223867</v>
      </c>
      <c r="L537" s="77">
        <f>Tableau1[[#This Row],[Différence HP
Instantané]]/Tableau1[[#This Row],[Diff jour
Instantané]]</f>
        <v>26.96629213493728</v>
      </c>
      <c r="M537" s="77">
        <f>Tableau1[[#This Row],[Conso HP / jour
Instantané]]*365</f>
        <v>9842.6966292521065</v>
      </c>
      <c r="N537" s="79">
        <f>Tableau1[[#This Row],[Index HP
kWh]]-$I$5</f>
        <v>-177513</v>
      </c>
      <c r="O537" s="80">
        <f>Tableau1[[#This Row],[Différence HP
Cumul]]/(Tableau1[[#This Row],[Diff jour_x000D_
Cumul]]*24)</f>
        <v>-9.3540635818961437</v>
      </c>
      <c r="P537" s="80">
        <f>Tableau1[[#This Row],[Différence HP
Cumul]]/Tableau1[[#This Row],[Diff jour_x000D_
Cumul]]</f>
        <v>-224.49752596550744</v>
      </c>
      <c r="Q537" s="80">
        <f>Tableau1[[#This Row],[Conso HP / jour
Cumul]]*365</f>
        <v>-81941.596977410212</v>
      </c>
      <c r="R537" s="78">
        <v>1062</v>
      </c>
      <c r="S537" s="79">
        <f>Tableau1[[#This Row],[Index HC_x000D_
kWh]]-R536</f>
        <v>14</v>
      </c>
      <c r="T537" s="81">
        <f>Tableau1[[#This Row],[Différence_x000D_ HC
Instantané]]/(Tableau1[[#This Row],[Diff jour
Instantané]]*24)</f>
        <v>0.52434456929044715</v>
      </c>
      <c r="U537" s="81">
        <f>Tableau1[[#This Row],[Différence_x000D_ HC
Instantané]]/Tableau1[[#This Row],[Diff jour
Instantané]]</f>
        <v>12.58426966297073</v>
      </c>
      <c r="V537" s="81">
        <f>Tableau1[[#This Row],[Conso HC / jour_x000D_
Instantané]]*365</f>
        <v>4593.2584269843164</v>
      </c>
      <c r="W537" s="79">
        <f>Tableau1[[#This Row],[Index HC_x000D_
kWh]]-$R$5</f>
        <v>-118370</v>
      </c>
      <c r="X537" s="82">
        <f>Tableau1[[#This Row],[Différence HC
Cumul]]/(Tableau1[[#This Row],[Diff jour_x000D_
Cumul]]*24)</f>
        <v>-6.2375178504619182</v>
      </c>
      <c r="Y537" s="82">
        <f>Tableau1[[#This Row],[Différence HC
Cumul]]/Tableau1[[#This Row],[Diff jour_x000D_
Cumul]]</f>
        <v>-149.70042841108605</v>
      </c>
      <c r="Z537" s="82">
        <f>Tableau1[[#This Row],[Conso HC / jour_x000D_
Cumul]]*365</f>
        <v>-54640.65637004641</v>
      </c>
      <c r="AA537" s="79">
        <f>Tableau1[[#This Row],[Différence HP
Instantané]]+Tableau1[[#This Row],[Différence_x000D_ HC
Instantané]]</f>
        <v>44</v>
      </c>
      <c r="AB537" s="80">
        <f>Tableau1[[#This Row],[Conso HP + HC
Instantané]]/(Tableau1[[#This Row],[Diff jour
Instantané]]*24)</f>
        <v>1.6479400749128337</v>
      </c>
      <c r="AC537" s="80">
        <f>IF(ISERROR(Tableau1[[#This Row],[Date]]-A536),"",Tableau1[[#This Row],[Conso HP + HC
Instantané]]/Tableau1[[#This Row],[Diff jour
Instantané]])</f>
        <v>39.55056179790801</v>
      </c>
      <c r="AD537" s="80">
        <f>Tableau1[[#This Row],[Conso HP + HC / jour_x000D_
Instantané]]*365</f>
        <v>14435.955056236424</v>
      </c>
      <c r="AE537" s="79">
        <f>Tableau1[[#This Row],[Différence HP
Cumul]]+Tableau1[[#This Row],[Différence HC
Cumul]]</f>
        <v>-295883</v>
      </c>
      <c r="AF537" s="77">
        <f>(Tableau1[[#This Row],[Conso HP + HC
Cumul]]-AE$6)/Tableau1[[#This Row],[Diff jour_x000D_
Cumul
depuis le 24/01]]</f>
        <v>-396.54854371619541</v>
      </c>
      <c r="AG537" s="77">
        <f>(Tableau1[[#This Row],[Conso HP + HC
Cumul]]-AE$59)/Tableau1[[#This Row],[Diff jour_x000D_
Cumul
depuis
précédente facture
16/02/2021]]</f>
        <v>-410.97932388397066</v>
      </c>
      <c r="AH537" s="80">
        <f>Tableau1[[#This Row],[Conso HP + HC
Cumul]]/(Tableau1[[#This Row],[Diff jour_x000D_
Cumul]]*24)</f>
        <v>-15.591581432358062</v>
      </c>
      <c r="AI537" s="80">
        <f>Tableau1[[#This Row],[Conso HP + HC
Cumul]]/Tableau1[[#This Row],[Diff jour_x000D_
Cumul]]</f>
        <v>-374.19795437659349</v>
      </c>
      <c r="AJ537" s="80">
        <f>Tableau1[[#This Row],[Conso HP + HC / jour_x000D_
Cumul]]*365</f>
        <v>-136582.25334745663</v>
      </c>
      <c r="AK537" s="83">
        <f>(Tableau1[[#This Row],[Différence HP
Cumul]]*0.1799)+(Tableau1[[#This Row],[Différence HC
Cumul]]*0.1346)</f>
        <v>-47867.190699999999</v>
      </c>
      <c r="AL537" s="83">
        <f>Tableau1[[#This Row],[Montant
Tarif HP/HC]]/Tableau1[[#This Row],[Diff jour_x000D_
Cumul]]</f>
        <v>-60.536782585326968</v>
      </c>
      <c r="AM537" s="83">
        <f>(Tableau1[[#This Row],[Montant
Tarif HP/HC]]-AK$6)/Tableau1[[#This Row],[Diff jour_x000D_
Cumul
depuis le 24/01]]</f>
        <v>-64.163891646505945</v>
      </c>
      <c r="AN537" s="83">
        <f>(Tableau1[[#This Row],[Montant
Tarif HP/HC]]-AK$59)/Tableau1[[#This Row],[Diff jour_x000D_
Cumul
depuis
précédente facture
16/02/2021]]</f>
        <v>-66.509392522813911</v>
      </c>
      <c r="AO537" s="83">
        <f>Tableau1[[#This Row],[Conso HP + HC
Cumul]]*0.1599</f>
        <v>-47311.691699999996</v>
      </c>
      <c r="AP537" s="83">
        <f>Tableau1[[#This Row],[Montant
Tarif normal]]/Tableau1[[#This Row],[Diff jour_x000D_
Cumul]]</f>
        <v>-59.834252904817291</v>
      </c>
      <c r="AQ537" s="83">
        <f>(Tableau1[[#This Row],[Conso HP / an
Cumul]]*0.1799)+(Tableau1[[#This Row],[Conso HC / an_x000D_
Cumul]]*0.1346)</f>
        <v>-22095.925643644343</v>
      </c>
      <c r="AR537" s="83">
        <f>Tableau1[[#This Row],[Conso HP + HC / an_x000D_
Cumul]]*0.1599</f>
        <v>-21839.502310258315</v>
      </c>
      <c r="AS537" s="79">
        <f>MONTH(Tableau1[[#This Row],[Date]])</f>
        <v>2</v>
      </c>
      <c r="AT537" s="79">
        <f>YEAR(Tableau1[[#This Row],[Date]])</f>
        <v>2023</v>
      </c>
    </row>
    <row r="538" spans="1:46" x14ac:dyDescent="0.2">
      <c r="A538" s="74">
        <v>44974.376388888886</v>
      </c>
      <c r="B538" s="75"/>
      <c r="C538" s="76">
        <f>IF(ISERROR(Tableau1[[#This Row],[Date]]-A537),"",Tableau1[[#This Row],[Date]]-A537)</f>
        <v>0.95555555555620231</v>
      </c>
      <c r="D538" s="77">
        <f>IF(ISERROR(Tableau1[[#This Row],[Date]]-A537),"",Tableau1[[#This Row],[Date]]-A537)</f>
        <v>0.95555555555620231</v>
      </c>
      <c r="E538" s="76">
        <f>Tableau1[[#This Row],[Date]]-$A$5</f>
        <v>791.66805555555038</v>
      </c>
      <c r="F538" s="77">
        <f>Tableau1[[#This Row],[Date]]-$A$5</f>
        <v>791.66805555555038</v>
      </c>
      <c r="G538" s="77">
        <f>Tableau1[[#This Row],[Diff jour_x000D_
Cumul]]-F$6</f>
        <v>753.5847222222219</v>
      </c>
      <c r="H538" s="77">
        <f>Tableau1[[#This Row],[Diff jour_x000D_
Cumul]]-F$59</f>
        <v>731.06527777777228</v>
      </c>
      <c r="I538" s="78">
        <v>2271</v>
      </c>
      <c r="J538" s="79">
        <f>IF(ISERROR(Tableau1[[#This Row],[Index HP
kWh]]-I537),"",Tableau1[[#This Row],[Index HP
kWh]]-I537)</f>
        <v>25</v>
      </c>
      <c r="K538" s="77">
        <f>IF(ISERROR(Tableau1[[#This Row],[Différence HP
Instantané]]/(Tableau1[[#This Row],[Diff jour
Instantané]]*24)),"",Tableau1[[#This Row],[Différence HP
Instantané]]/(Tableau1[[#This Row],[Diff jour
Instantané]]*24))</f>
        <v>1.0901162790690295</v>
      </c>
      <c r="L538" s="77">
        <f>Tableau1[[#This Row],[Différence HP
Instantané]]/Tableau1[[#This Row],[Diff jour
Instantané]]</f>
        <v>26.16279069765671</v>
      </c>
      <c r="M538" s="77">
        <f>Tableau1[[#This Row],[Conso HP / jour
Instantané]]*365</f>
        <v>9549.4186046446994</v>
      </c>
      <c r="N538" s="79">
        <f>Tableau1[[#This Row],[Index HP
kWh]]-$I$5</f>
        <v>-177488</v>
      </c>
      <c r="O538" s="80">
        <f>Tableau1[[#This Row],[Différence HP
Cumul]]/(Tableau1[[#This Row],[Diff jour_x000D_
Cumul]]*24)</f>
        <v>-9.3414572956890165</v>
      </c>
      <c r="P538" s="80">
        <f>Tableau1[[#This Row],[Différence HP
Cumul]]/Tableau1[[#This Row],[Diff jour_x000D_
Cumul]]</f>
        <v>-224.19497509653638</v>
      </c>
      <c r="Q538" s="80">
        <f>Tableau1[[#This Row],[Conso HP / jour
Cumul]]*365</f>
        <v>-81831.165910235781</v>
      </c>
      <c r="R538" s="78">
        <v>1074</v>
      </c>
      <c r="S538" s="79">
        <f>Tableau1[[#This Row],[Index HC_x000D_
kWh]]-R537</f>
        <v>12</v>
      </c>
      <c r="T538" s="81">
        <f>Tableau1[[#This Row],[Différence_x000D_ HC
Instantané]]/(Tableau1[[#This Row],[Diff jour
Instantané]]*24)</f>
        <v>0.52325581395313425</v>
      </c>
      <c r="U538" s="81">
        <f>Tableau1[[#This Row],[Différence_x000D_ HC
Instantané]]/Tableau1[[#This Row],[Diff jour
Instantané]]</f>
        <v>12.55813953487522</v>
      </c>
      <c r="V538" s="81">
        <f>Tableau1[[#This Row],[Conso HC / jour_x000D_
Instantané]]*365</f>
        <v>4583.720930229455</v>
      </c>
      <c r="W538" s="79">
        <f>Tableau1[[#This Row],[Index HC_x000D_
kWh]]-$R$5</f>
        <v>-118358</v>
      </c>
      <c r="X538" s="82">
        <f>Tableau1[[#This Row],[Différence HC
Cumul]]/(Tableau1[[#This Row],[Diff jour_x000D_
Cumul]]*24)</f>
        <v>-6.2293574923553177</v>
      </c>
      <c r="Y538" s="82">
        <f>Tableau1[[#This Row],[Différence HC
Cumul]]/Tableau1[[#This Row],[Diff jour_x000D_
Cumul]]</f>
        <v>-149.50457981652761</v>
      </c>
      <c r="Z538" s="82">
        <f>Tableau1[[#This Row],[Conso HC / jour_x000D_
Cumul]]*365</f>
        <v>-54569.17163303258</v>
      </c>
      <c r="AA538" s="79">
        <f>Tableau1[[#This Row],[Différence HP
Instantané]]+Tableau1[[#This Row],[Différence_x000D_ HC
Instantané]]</f>
        <v>37</v>
      </c>
      <c r="AB538" s="80">
        <f>Tableau1[[#This Row],[Conso HP + HC
Instantané]]/(Tableau1[[#This Row],[Diff jour
Instantané]]*24)</f>
        <v>1.6133720930221638</v>
      </c>
      <c r="AC538" s="80">
        <f>IF(ISERROR(Tableau1[[#This Row],[Date]]-A537),"",Tableau1[[#This Row],[Conso HP + HC
Instantané]]/Tableau1[[#This Row],[Diff jour
Instantané]])</f>
        <v>38.720930232531934</v>
      </c>
      <c r="AD538" s="80">
        <f>Tableau1[[#This Row],[Conso HP + HC / jour_x000D_
Instantané]]*365</f>
        <v>14133.139534874155</v>
      </c>
      <c r="AE538" s="79">
        <f>Tableau1[[#This Row],[Différence HP
Cumul]]+Tableau1[[#This Row],[Différence HC
Cumul]]</f>
        <v>-295846</v>
      </c>
      <c r="AF538" s="77">
        <f>(Tableau1[[#This Row],[Conso HP + HC
Cumul]]-AE$6)/Tableau1[[#This Row],[Diff jour_x000D_
Cumul
depuis le 24/01]]</f>
        <v>-395.99661617343787</v>
      </c>
      <c r="AG538" s="77">
        <f>(Tableau1[[#This Row],[Conso HP + HC
Cumul]]-AE$59)/Tableau1[[#This Row],[Diff jour_x000D_
Cumul
depuis
précédente facture
16/02/2021]]</f>
        <v>-410.39153290385156</v>
      </c>
      <c r="AH538" s="80">
        <f>Tableau1[[#This Row],[Conso HP + HC
Cumul]]/(Tableau1[[#This Row],[Diff jour_x000D_
Cumul]]*24)</f>
        <v>-15.570814788044332</v>
      </c>
      <c r="AI538" s="80">
        <f>Tableau1[[#This Row],[Conso HP + HC
Cumul]]/Tableau1[[#This Row],[Diff jour_x000D_
Cumul]]</f>
        <v>-373.69955491306399</v>
      </c>
      <c r="AJ538" s="80">
        <f>Tableau1[[#This Row],[Conso HP + HC / jour_x000D_
Cumul]]*365</f>
        <v>-136400.33754326837</v>
      </c>
      <c r="AK538" s="83">
        <f>(Tableau1[[#This Row],[Différence HP
Cumul]]*0.1799)+(Tableau1[[#This Row],[Différence HC
Cumul]]*0.1346)</f>
        <v>-47861.078000000001</v>
      </c>
      <c r="AL538" s="83">
        <f>Tableau1[[#This Row],[Montant
Tarif HP/HC]]/Tableau1[[#This Row],[Diff jour_x000D_
Cumul]]</f>
        <v>-60.455992463171512</v>
      </c>
      <c r="AM538" s="83">
        <f>(Tableau1[[#This Row],[Montant
Tarif HP/HC]]-AK$6)/Tableau1[[#This Row],[Diff jour_x000D_
Cumul
depuis le 24/01]]</f>
        <v>-64.074419472852938</v>
      </c>
      <c r="AN538" s="83">
        <f>(Tableau1[[#This Row],[Montant
Tarif HP/HC]]-AK$59)/Tableau1[[#This Row],[Diff jour_x000D_
Cumul
depuis
précédente facture
16/02/2021]]</f>
        <v>-66.414098543412223</v>
      </c>
      <c r="AO538" s="83">
        <f>Tableau1[[#This Row],[Conso HP + HC
Cumul]]*0.1599</f>
        <v>-47305.775399999999</v>
      </c>
      <c r="AP538" s="83">
        <f>Tableau1[[#This Row],[Montant
Tarif normal]]/Tableau1[[#This Row],[Diff jour_x000D_
Cumul]]</f>
        <v>-59.754558830598931</v>
      </c>
      <c r="AQ538" s="83">
        <f>(Tableau1[[#This Row],[Conso HP / an
Cumul]]*0.1799)+(Tableau1[[#This Row],[Conso HC / an_x000D_
Cumul]]*0.1346)</f>
        <v>-22066.437249057602</v>
      </c>
      <c r="AR538" s="83">
        <f>Tableau1[[#This Row],[Conso HP + HC / an_x000D_
Cumul]]*0.1599</f>
        <v>-21810.413973168612</v>
      </c>
      <c r="AS538" s="79">
        <f>MONTH(Tableau1[[#This Row],[Date]])</f>
        <v>2</v>
      </c>
      <c r="AT538" s="79">
        <f>YEAR(Tableau1[[#This Row],[Date]])</f>
        <v>2023</v>
      </c>
    </row>
    <row r="539" spans="1:46" x14ac:dyDescent="0.2">
      <c r="A539" s="74">
        <v>44975.342361111114</v>
      </c>
      <c r="B539" s="75"/>
      <c r="C539" s="76">
        <f>IF(ISERROR(Tableau1[[#This Row],[Date]]-A538),"",Tableau1[[#This Row],[Date]]-A538)</f>
        <v>0.96597222222771961</v>
      </c>
      <c r="D539" s="77">
        <f>IF(ISERROR(Tableau1[[#This Row],[Date]]-A538),"",Tableau1[[#This Row],[Date]]-A538)</f>
        <v>0.96597222222771961</v>
      </c>
      <c r="E539" s="76">
        <f>Tableau1[[#This Row],[Date]]-$A$5</f>
        <v>792.6340277777781</v>
      </c>
      <c r="F539" s="77">
        <f>Tableau1[[#This Row],[Date]]-$A$5</f>
        <v>792.6340277777781</v>
      </c>
      <c r="G539" s="77">
        <f>Tableau1[[#This Row],[Diff jour_x000D_
Cumul]]-F$6</f>
        <v>754.55069444444962</v>
      </c>
      <c r="H539" s="77">
        <f>Tableau1[[#This Row],[Diff jour_x000D_
Cumul]]-F$59</f>
        <v>732.03125</v>
      </c>
      <c r="I539" s="78">
        <v>2292</v>
      </c>
      <c r="J539" s="79">
        <f>IF(ISERROR(Tableau1[[#This Row],[Index HP
kWh]]-I538),"",Tableau1[[#This Row],[Index HP
kWh]]-I538)</f>
        <v>21</v>
      </c>
      <c r="K539" s="77">
        <f>IF(ISERROR(Tableau1[[#This Row],[Différence HP
Instantané]]/(Tableau1[[#This Row],[Diff jour
Instantané]]*24)),"",Tableau1[[#This Row],[Différence HP
Instantané]]/(Tableau1[[#This Row],[Diff jour
Instantané]]*24))</f>
        <v>0.90582314880864789</v>
      </c>
      <c r="L539" s="77">
        <f>Tableau1[[#This Row],[Différence HP
Instantané]]/Tableau1[[#This Row],[Diff jour
Instantané]]</f>
        <v>21.739755571407549</v>
      </c>
      <c r="M539" s="77">
        <f>Tableau1[[#This Row],[Conso HP / jour
Instantané]]*365</f>
        <v>7935.0107835637555</v>
      </c>
      <c r="N539" s="79">
        <f>Tableau1[[#This Row],[Index HP
kWh]]-$I$5</f>
        <v>-177467</v>
      </c>
      <c r="O539" s="80">
        <f>Tableau1[[#This Row],[Différence HP
Cumul]]/(Tableau1[[#This Row],[Diff jour_x000D_
Cumul]]*24)</f>
        <v>-9.3289690755068548</v>
      </c>
      <c r="P539" s="80">
        <f>Tableau1[[#This Row],[Différence HP
Cumul]]/Tableau1[[#This Row],[Diff jour_x000D_
Cumul]]</f>
        <v>-223.89525781216452</v>
      </c>
      <c r="Q539" s="80">
        <f>Tableau1[[#This Row],[Conso HP / jour
Cumul]]*365</f>
        <v>-81721.769101440048</v>
      </c>
      <c r="R539" s="78">
        <v>1085</v>
      </c>
      <c r="S539" s="79">
        <f>Tableau1[[#This Row],[Index HC_x000D_
kWh]]-R538</f>
        <v>11</v>
      </c>
      <c r="T539" s="81">
        <f>Tableau1[[#This Row],[Différence_x000D_ HC
Instantané]]/(Tableau1[[#This Row],[Diff jour
Instantané]]*24)</f>
        <v>0.4744787922331013</v>
      </c>
      <c r="U539" s="81">
        <f>Tableau1[[#This Row],[Différence_x000D_ HC
Instantané]]/Tableau1[[#This Row],[Diff jour
Instantané]]</f>
        <v>11.387491013594431</v>
      </c>
      <c r="V539" s="81">
        <f>Tableau1[[#This Row],[Conso HC / jour_x000D_
Instantané]]*365</f>
        <v>4156.4342199619678</v>
      </c>
      <c r="W539" s="79">
        <f>Tableau1[[#This Row],[Index HC_x000D_
kWh]]-$R$5</f>
        <v>-118347</v>
      </c>
      <c r="X539" s="82">
        <f>Tableau1[[#This Row],[Différence HC
Cumul]]/(Tableau1[[#This Row],[Diff jour_x000D_
Cumul]]*24)</f>
        <v>-6.2211876189883739</v>
      </c>
      <c r="Y539" s="82">
        <f>Tableau1[[#This Row],[Différence HC
Cumul]]/Tableau1[[#This Row],[Diff jour_x000D_
Cumul]]</f>
        <v>-149.30850285572097</v>
      </c>
      <c r="Z539" s="82">
        <f>Tableau1[[#This Row],[Conso HC / jour_x000D_
Cumul]]*365</f>
        <v>-54497.603542338155</v>
      </c>
      <c r="AA539" s="79">
        <f>Tableau1[[#This Row],[Différence HP
Instantané]]+Tableau1[[#This Row],[Différence_x000D_ HC
Instantané]]</f>
        <v>32</v>
      </c>
      <c r="AB539" s="80">
        <f>Tableau1[[#This Row],[Conso HP + HC
Instantané]]/(Tableau1[[#This Row],[Diff jour
Instantané]]*24)</f>
        <v>1.3803019410417492</v>
      </c>
      <c r="AC539" s="80">
        <f>IF(ISERROR(Tableau1[[#This Row],[Date]]-A538),"",Tableau1[[#This Row],[Conso HP + HC
Instantané]]/Tableau1[[#This Row],[Diff jour
Instantané]])</f>
        <v>33.127246585001984</v>
      </c>
      <c r="AD539" s="80">
        <f>Tableau1[[#This Row],[Conso HP + HC / jour_x000D_
Instantané]]*365</f>
        <v>12091.445003525725</v>
      </c>
      <c r="AE539" s="79">
        <f>Tableau1[[#This Row],[Différence HP
Cumul]]+Tableau1[[#This Row],[Différence HC
Cumul]]</f>
        <v>-295814</v>
      </c>
      <c r="AF539" s="77">
        <f>(Tableau1[[#This Row],[Conso HP + HC
Cumul]]-AE$6)/Tableau1[[#This Row],[Diff jour_x000D_
Cumul
depuis le 24/01]]</f>
        <v>-395.44725383851232</v>
      </c>
      <c r="AG539" s="77">
        <f>(Tableau1[[#This Row],[Conso HP + HC
Cumul]]-AE$59)/Tableau1[[#This Row],[Diff jour_x000D_
Cumul
depuis
précédente facture
16/02/2021]]</f>
        <v>-409.80627534685163</v>
      </c>
      <c r="AH539" s="80">
        <f>Tableau1[[#This Row],[Conso HP + HC
Cumul]]/(Tableau1[[#This Row],[Diff jour_x000D_
Cumul]]*24)</f>
        <v>-15.550156694495229</v>
      </c>
      <c r="AI539" s="80">
        <f>Tableau1[[#This Row],[Conso HP + HC
Cumul]]/Tableau1[[#This Row],[Diff jour_x000D_
Cumul]]</f>
        <v>-373.20376066788549</v>
      </c>
      <c r="AJ539" s="80">
        <f>Tableau1[[#This Row],[Conso HP + HC / jour_x000D_
Cumul]]*365</f>
        <v>-136219.37264377822</v>
      </c>
      <c r="AK539" s="83">
        <f>(Tableau1[[#This Row],[Différence HP
Cumul]]*0.1799)+(Tableau1[[#This Row],[Différence HC
Cumul]]*0.1346)</f>
        <v>-47855.819499999998</v>
      </c>
      <c r="AL539" s="83">
        <f>Tableau1[[#This Row],[Montant
Tarif HP/HC]]/Tableau1[[#This Row],[Diff jour_x000D_
Cumul]]</f>
        <v>-60.375681364788434</v>
      </c>
      <c r="AM539" s="83">
        <f>(Tableau1[[#This Row],[Montant
Tarif HP/HC]]-AK$6)/Tableau1[[#This Row],[Diff jour_x000D_
Cumul
depuis le 24/01]]</f>
        <v>-63.985422656786668</v>
      </c>
      <c r="AN539" s="83">
        <f>(Tableau1[[#This Row],[Montant
Tarif HP/HC]]-AK$59)/Tableau1[[#This Row],[Diff jour_x000D_
Cumul
depuis
précédente facture
16/02/2021]]</f>
        <v>-66.319276533617924</v>
      </c>
      <c r="AO539" s="83">
        <f>Tableau1[[#This Row],[Conso HP + HC
Cumul]]*0.1599</f>
        <v>-47300.658599999995</v>
      </c>
      <c r="AP539" s="83">
        <f>Tableau1[[#This Row],[Montant
Tarif normal]]/Tableau1[[#This Row],[Diff jour_x000D_
Cumul]]</f>
        <v>-59.675281330794881</v>
      </c>
      <c r="AQ539" s="83">
        <f>(Tableau1[[#This Row],[Conso HP / an
Cumul]]*0.1799)+(Tableau1[[#This Row],[Conso HC / an_x000D_
Cumul]]*0.1346)</f>
        <v>-22037.123698147778</v>
      </c>
      <c r="AR539" s="83">
        <f>Tableau1[[#This Row],[Conso HP + HC / an_x000D_
Cumul]]*0.1599</f>
        <v>-21781.477685740134</v>
      </c>
      <c r="AS539" s="79">
        <f>MONTH(Tableau1[[#This Row],[Date]])</f>
        <v>2</v>
      </c>
      <c r="AT539" s="79">
        <f>YEAR(Tableau1[[#This Row],[Date]])</f>
        <v>2023</v>
      </c>
    </row>
    <row r="540" spans="1:46" x14ac:dyDescent="0.2">
      <c r="A540" s="74">
        <v>44976.375694444447</v>
      </c>
      <c r="B540" s="75"/>
      <c r="C540" s="76">
        <f>IF(ISERROR(Tableau1[[#This Row],[Date]]-A539),"",Tableau1[[#This Row],[Date]]-A539)</f>
        <v>1.0333333333328483</v>
      </c>
      <c r="D540" s="77">
        <f>IF(ISERROR(Tableau1[[#This Row],[Date]]-A539),"",Tableau1[[#This Row],[Date]]-A539)</f>
        <v>1.0333333333328483</v>
      </c>
      <c r="E540" s="76">
        <f>Tableau1[[#This Row],[Date]]-$A$5</f>
        <v>793.66736111111095</v>
      </c>
      <c r="F540" s="77">
        <f>Tableau1[[#This Row],[Date]]-$A$5</f>
        <v>793.66736111111095</v>
      </c>
      <c r="G540" s="77">
        <f>Tableau1[[#This Row],[Diff jour_x000D_
Cumul]]-F$6</f>
        <v>755.58402777778247</v>
      </c>
      <c r="H540" s="77">
        <f>Tableau1[[#This Row],[Diff jour_x000D_
Cumul]]-F$59</f>
        <v>733.06458333333285</v>
      </c>
      <c r="I540" s="78">
        <v>2317</v>
      </c>
      <c r="J540" s="79">
        <f>IF(ISERROR(Tableau1[[#This Row],[Index HP
kWh]]-I539),"",Tableau1[[#This Row],[Index HP
kWh]]-I539)</f>
        <v>25</v>
      </c>
      <c r="K540" s="77">
        <f>IF(ISERROR(Tableau1[[#This Row],[Différence HP
Instantané]]/(Tableau1[[#This Row],[Diff jour
Instantané]]*24)),"",Tableau1[[#This Row],[Différence HP
Instantané]]/(Tableau1[[#This Row],[Diff jour
Instantané]]*24))</f>
        <v>1.0080645161295054</v>
      </c>
      <c r="L540" s="77">
        <f>Tableau1[[#This Row],[Différence HP
Instantané]]/Tableau1[[#This Row],[Diff jour
Instantané]]</f>
        <v>24.19354838710813</v>
      </c>
      <c r="M540" s="77">
        <f>Tableau1[[#This Row],[Conso HP / jour
Instantané]]*365</f>
        <v>8830.6451612944675</v>
      </c>
      <c r="N540" s="79">
        <f>Tableau1[[#This Row],[Index HP
kWh]]-$I$5</f>
        <v>-177442</v>
      </c>
      <c r="O540" s="80">
        <f>Tableau1[[#This Row],[Différence HP
Cumul]]/(Tableau1[[#This Row],[Diff jour_x000D_
Cumul]]*24)</f>
        <v>-9.3155105387175059</v>
      </c>
      <c r="P540" s="80">
        <f>Tableau1[[#This Row],[Différence HP
Cumul]]/Tableau1[[#This Row],[Diff jour_x000D_
Cumul]]</f>
        <v>-223.57225292922016</v>
      </c>
      <c r="Q540" s="80">
        <f>Tableau1[[#This Row],[Conso HP / jour
Cumul]]*365</f>
        <v>-81603.872319165355</v>
      </c>
      <c r="R540" s="78">
        <v>1099</v>
      </c>
      <c r="S540" s="79">
        <f>Tableau1[[#This Row],[Index HC_x000D_
kWh]]-R539</f>
        <v>14</v>
      </c>
      <c r="T540" s="81">
        <f>Tableau1[[#This Row],[Différence_x000D_ HC
Instantané]]/(Tableau1[[#This Row],[Diff jour
Instantané]]*24)</f>
        <v>0.56451612903252302</v>
      </c>
      <c r="U540" s="81">
        <f>Tableau1[[#This Row],[Différence_x000D_ HC
Instantané]]/Tableau1[[#This Row],[Diff jour
Instantané]]</f>
        <v>13.548387096780553</v>
      </c>
      <c r="V540" s="81">
        <f>Tableau1[[#This Row],[Conso HC / jour_x000D_
Instantané]]*365</f>
        <v>4945.1612903249015</v>
      </c>
      <c r="W540" s="79">
        <f>Tableau1[[#This Row],[Index HC_x000D_
kWh]]-$R$5</f>
        <v>-118333</v>
      </c>
      <c r="X540" s="82">
        <f>Tableau1[[#This Row],[Différence HC
Cumul]]/(Tableau1[[#This Row],[Diff jour_x000D_
Cumul]]*24)</f>
        <v>-6.2123528171349438</v>
      </c>
      <c r="Y540" s="82">
        <f>Tableau1[[#This Row],[Différence HC
Cumul]]/Tableau1[[#This Row],[Diff jour_x000D_
Cumul]]</f>
        <v>-149.09646761123864</v>
      </c>
      <c r="Z540" s="82">
        <f>Tableau1[[#This Row],[Conso HC / jour_x000D_
Cumul]]*365</f>
        <v>-54420.210678102099</v>
      </c>
      <c r="AA540" s="79">
        <f>Tableau1[[#This Row],[Différence HP
Instantané]]+Tableau1[[#This Row],[Différence_x000D_ HC
Instantané]]</f>
        <v>39</v>
      </c>
      <c r="AB540" s="80">
        <f>Tableau1[[#This Row],[Conso HP + HC
Instantané]]/(Tableau1[[#This Row],[Diff jour
Instantané]]*24)</f>
        <v>1.5725806451620286</v>
      </c>
      <c r="AC540" s="80">
        <f>IF(ISERROR(Tableau1[[#This Row],[Date]]-A539),"",Tableau1[[#This Row],[Conso HP + HC
Instantané]]/Tableau1[[#This Row],[Diff jour
Instantané]])</f>
        <v>37.741935483888682</v>
      </c>
      <c r="AD540" s="80">
        <f>Tableau1[[#This Row],[Conso HP + HC / jour_x000D_
Instantané]]*365</f>
        <v>13775.806451619368</v>
      </c>
      <c r="AE540" s="79">
        <f>Tableau1[[#This Row],[Différence HP
Cumul]]+Tableau1[[#This Row],[Différence HC
Cumul]]</f>
        <v>-295775</v>
      </c>
      <c r="AF540" s="77">
        <f>(Tableau1[[#This Row],[Conso HP + HC
Cumul]]-AE$6)/Tableau1[[#This Row],[Diff jour_x000D_
Cumul
depuis le 24/01]]</f>
        <v>-394.85482624275863</v>
      </c>
      <c r="AG540" s="77">
        <f>(Tableau1[[#This Row],[Conso HP + HC
Cumul]]-AE$59)/Tableau1[[#This Row],[Diff jour_x000D_
Cumul
depuis
précédente facture
16/02/2021]]</f>
        <v>-409.17540803305786</v>
      </c>
      <c r="AH540" s="80">
        <f>Tableau1[[#This Row],[Conso HP + HC
Cumul]]/(Tableau1[[#This Row],[Diff jour_x000D_
Cumul]]*24)</f>
        <v>-15.52786335585245</v>
      </c>
      <c r="AI540" s="80">
        <f>Tableau1[[#This Row],[Conso HP + HC
Cumul]]/Tableau1[[#This Row],[Diff jour_x000D_
Cumul]]</f>
        <v>-372.66872054045882</v>
      </c>
      <c r="AJ540" s="80">
        <f>Tableau1[[#This Row],[Conso HP + HC / jour_x000D_
Cumul]]*365</f>
        <v>-136024.08299726748</v>
      </c>
      <c r="AK540" s="83">
        <f>(Tableau1[[#This Row],[Différence HP
Cumul]]*0.1799)+(Tableau1[[#This Row],[Différence HC
Cumul]]*0.1346)</f>
        <v>-47849.437599999997</v>
      </c>
      <c r="AL540" s="83">
        <f>Tableau1[[#This Row],[Montant
Tarif HP/HC]]/Tableau1[[#This Row],[Diff jour_x000D_
Cumul]]</f>
        <v>-60.289032842439426</v>
      </c>
      <c r="AM540" s="83">
        <f>(Tableau1[[#This Row],[Montant
Tarif HP/HC]]-AK$6)/Tableau1[[#This Row],[Diff jour_x000D_
Cumul
depuis le 24/01]]</f>
        <v>-63.889470165186395</v>
      </c>
      <c r="AN540" s="83">
        <f>(Tableau1[[#This Row],[Montant
Tarif HP/HC]]-AK$59)/Tableau1[[#This Row],[Diff jour_x000D_
Cumul
depuis
précédente facture
16/02/2021]]</f>
        <v>-66.217086602760716</v>
      </c>
      <c r="AO540" s="83">
        <f>Tableau1[[#This Row],[Conso HP + HC
Cumul]]*0.1599</f>
        <v>-47294.422499999993</v>
      </c>
      <c r="AP540" s="83">
        <f>Tableau1[[#This Row],[Montant
Tarif normal]]/Tableau1[[#This Row],[Diff jour_x000D_
Cumul]]</f>
        <v>-59.589728414419355</v>
      </c>
      <c r="AQ540" s="83">
        <f>(Tableau1[[#This Row],[Conso HP / an
Cumul]]*0.1799)+(Tableau1[[#This Row],[Conso HC / an_x000D_
Cumul]]*0.1346)</f>
        <v>-22005.496987490391</v>
      </c>
      <c r="AR540" s="83">
        <f>Tableau1[[#This Row],[Conso HP + HC / an_x000D_
Cumul]]*0.1599</f>
        <v>-21750.25087126307</v>
      </c>
      <c r="AS540" s="79">
        <f>MONTH(Tableau1[[#This Row],[Date]])</f>
        <v>2</v>
      </c>
      <c r="AT540" s="79">
        <f>YEAR(Tableau1[[#This Row],[Date]])</f>
        <v>2023</v>
      </c>
    </row>
    <row r="541" spans="1:46" x14ac:dyDescent="0.2">
      <c r="A541" s="74">
        <v>44977.34097222222</v>
      </c>
      <c r="B541" s="75"/>
      <c r="C541" s="76">
        <f>IF(ISERROR(Tableau1[[#This Row],[Date]]-A540),"",Tableau1[[#This Row],[Date]]-A540)</f>
        <v>0.96527777777373558</v>
      </c>
      <c r="D541" s="77">
        <f>IF(ISERROR(Tableau1[[#This Row],[Date]]-A540),"",Tableau1[[#This Row],[Date]]-A540)</f>
        <v>0.96527777777373558</v>
      </c>
      <c r="E541" s="76">
        <f>Tableau1[[#This Row],[Date]]-$A$5</f>
        <v>794.63263888888469</v>
      </c>
      <c r="F541" s="77">
        <f>Tableau1[[#This Row],[Date]]-$A$5</f>
        <v>794.63263888888469</v>
      </c>
      <c r="G541" s="77">
        <f>Tableau1[[#This Row],[Diff jour_x000D_
Cumul]]-F$6</f>
        <v>756.5493055555562</v>
      </c>
      <c r="H541" s="77">
        <f>Tableau1[[#This Row],[Diff jour_x000D_
Cumul]]-F$59</f>
        <v>734.02986111110658</v>
      </c>
      <c r="I541" s="78">
        <v>2344</v>
      </c>
      <c r="J541" s="79">
        <f>IF(ISERROR(Tableau1[[#This Row],[Index HP
kWh]]-I540),"",Tableau1[[#This Row],[Index HP
kWh]]-I540)</f>
        <v>27</v>
      </c>
      <c r="K541" s="77">
        <f>IF(ISERROR(Tableau1[[#This Row],[Différence HP
Instantané]]/(Tableau1[[#This Row],[Diff jour
Instantané]]*24)),"",Tableau1[[#This Row],[Différence HP
Instantané]]/(Tableau1[[#This Row],[Diff jour
Instantané]]*24))</f>
        <v>1.1654676259041612</v>
      </c>
      <c r="L541" s="77">
        <f>Tableau1[[#This Row],[Différence HP
Instantané]]/Tableau1[[#This Row],[Diff jour
Instantané]]</f>
        <v>27.971223021699867</v>
      </c>
      <c r="M541" s="77">
        <f>Tableau1[[#This Row],[Conso HP / jour
Instantané]]*365</f>
        <v>10209.496402920451</v>
      </c>
      <c r="N541" s="79">
        <f>Tableau1[[#This Row],[Index HP
kWh]]-$I$5</f>
        <v>-177415</v>
      </c>
      <c r="O541" s="80">
        <f>Tableau1[[#This Row],[Différence HP
Cumul]]/(Tableau1[[#This Row],[Diff jour_x000D_
Cumul]]*24)</f>
        <v>-9.302778799777375</v>
      </c>
      <c r="P541" s="80">
        <f>Tableau1[[#This Row],[Différence HP
Cumul]]/Tableau1[[#This Row],[Diff jour_x000D_
Cumul]]</f>
        <v>-223.266691194657</v>
      </c>
      <c r="Q541" s="80">
        <f>Tableau1[[#This Row],[Conso HP / jour
Cumul]]*365</f>
        <v>-81492.34228604981</v>
      </c>
      <c r="R541" s="78">
        <v>1118</v>
      </c>
      <c r="S541" s="79">
        <f>Tableau1[[#This Row],[Index HC_x000D_
kWh]]-R540</f>
        <v>19</v>
      </c>
      <c r="T541" s="81">
        <f>Tableau1[[#This Row],[Différence_x000D_ HC
Instantané]]/(Tableau1[[#This Row],[Diff jour
Instantané]]*24)</f>
        <v>0.82014388489552081</v>
      </c>
      <c r="U541" s="81">
        <f>Tableau1[[#This Row],[Différence_x000D_ HC
Instantané]]/Tableau1[[#This Row],[Diff jour
Instantané]]</f>
        <v>19.683453237492497</v>
      </c>
      <c r="V541" s="81">
        <f>Tableau1[[#This Row],[Conso HC / jour_x000D_
Instantané]]*365</f>
        <v>7184.4604316847617</v>
      </c>
      <c r="W541" s="79">
        <f>Tableau1[[#This Row],[Index HC_x000D_
kWh]]-$R$5</f>
        <v>-118314</v>
      </c>
      <c r="X541" s="82">
        <f>Tableau1[[#This Row],[Différence HC
Cumul]]/(Tableau1[[#This Row],[Diff jour_x000D_
Cumul]]*24)</f>
        <v>-6.2038101114159474</v>
      </c>
      <c r="Y541" s="82">
        <f>Tableau1[[#This Row],[Différence HC
Cumul]]/Tableau1[[#This Row],[Diff jour_x000D_
Cumul]]</f>
        <v>-148.89144267398274</v>
      </c>
      <c r="Z541" s="82">
        <f>Tableau1[[#This Row],[Conso HC / jour_x000D_
Cumul]]*365</f>
        <v>-54345.376576003699</v>
      </c>
      <c r="AA541" s="79">
        <f>Tableau1[[#This Row],[Différence HP
Instantané]]+Tableau1[[#This Row],[Différence_x000D_ HC
Instantané]]</f>
        <v>46</v>
      </c>
      <c r="AB541" s="80">
        <f>Tableau1[[#This Row],[Conso HP + HC
Instantané]]/(Tableau1[[#This Row],[Diff jour
Instantané]]*24)</f>
        <v>1.9856115107996819</v>
      </c>
      <c r="AC541" s="80">
        <f>IF(ISERROR(Tableau1[[#This Row],[Date]]-A540),"",Tableau1[[#This Row],[Conso HP + HC
Instantané]]/Tableau1[[#This Row],[Diff jour
Instantané]])</f>
        <v>47.654676259192364</v>
      </c>
      <c r="AD541" s="80">
        <f>Tableau1[[#This Row],[Conso HP + HC / jour_x000D_
Instantané]]*365</f>
        <v>17393.956834605211</v>
      </c>
      <c r="AE541" s="79">
        <f>Tableau1[[#This Row],[Différence HP
Cumul]]+Tableau1[[#This Row],[Différence HC
Cumul]]</f>
        <v>-295729</v>
      </c>
      <c r="AF541" s="77">
        <f>(Tableau1[[#This Row],[Conso HP + HC
Cumul]]-AE$6)/Tableau1[[#This Row],[Diff jour_x000D_
Cumul
depuis le 24/01]]</f>
        <v>-394.29023040467882</v>
      </c>
      <c r="AG541" s="77">
        <f>(Tableau1[[#This Row],[Conso HP + HC
Cumul]]-AE$59)/Tableau1[[#This Row],[Diff jour_x000D_
Cumul
depuis
précédente facture
16/02/2021]]</f>
        <v>-408.57465872850184</v>
      </c>
      <c r="AH541" s="80">
        <f>Tableau1[[#This Row],[Conso HP + HC
Cumul]]/(Tableau1[[#This Row],[Diff jour_x000D_
Cumul]]*24)</f>
        <v>-15.506588911193322</v>
      </c>
      <c r="AI541" s="80">
        <f>Tableau1[[#This Row],[Conso HP + HC
Cumul]]/Tableau1[[#This Row],[Diff jour_x000D_
Cumul]]</f>
        <v>-372.15813386863971</v>
      </c>
      <c r="AJ541" s="80">
        <f>Tableau1[[#This Row],[Conso HP + HC / jour_x000D_
Cumul]]*365</f>
        <v>-135837.7188620535</v>
      </c>
      <c r="AK541" s="83">
        <f>(Tableau1[[#This Row],[Différence HP
Cumul]]*0.1799)+(Tableau1[[#This Row],[Différence HC
Cumul]]*0.1346)</f>
        <v>-47842.022899999996</v>
      </c>
      <c r="AL541" s="83">
        <f>Tableau1[[#This Row],[Montant
Tarif HP/HC]]/Tableau1[[#This Row],[Diff jour_x000D_
Cumul]]</f>
        <v>-60.206465929836867</v>
      </c>
      <c r="AM541" s="83">
        <f>(Tableau1[[#This Row],[Montant
Tarif HP/HC]]-AK$6)/Tableau1[[#This Row],[Diff jour_x000D_
Cumul
depuis le 24/01]]</f>
        <v>-63.798153201074634</v>
      </c>
      <c r="AN541" s="83">
        <f>(Tableau1[[#This Row],[Montant
Tarif HP/HC]]-AK$59)/Tableau1[[#This Row],[Diff jour_x000D_
Cumul
depuis
précédente facture
16/02/2021]]</f>
        <v>-66.119907201777508</v>
      </c>
      <c r="AO541" s="83">
        <f>Tableau1[[#This Row],[Conso HP + HC
Cumul]]*0.1599</f>
        <v>-47287.067099999993</v>
      </c>
      <c r="AP541" s="83">
        <f>Tableau1[[#This Row],[Montant
Tarif normal]]/Tableau1[[#This Row],[Diff jour_x000D_
Cumul]]</f>
        <v>-59.508085605595483</v>
      </c>
      <c r="AQ541" s="83">
        <f>(Tableau1[[#This Row],[Conso HP / an
Cumul]]*0.1799)+(Tableau1[[#This Row],[Conso HC / an_x000D_
Cumul]]*0.1346)</f>
        <v>-21975.360064390457</v>
      </c>
      <c r="AR541" s="83">
        <f>Tableau1[[#This Row],[Conso HP + HC / an_x000D_
Cumul]]*0.1599</f>
        <v>-21720.451246042354</v>
      </c>
      <c r="AS541" s="79">
        <f>MONTH(Tableau1[[#This Row],[Date]])</f>
        <v>2</v>
      </c>
      <c r="AT541" s="79">
        <f>YEAR(Tableau1[[#This Row],[Date]])</f>
        <v>2023</v>
      </c>
    </row>
    <row r="542" spans="1:46" x14ac:dyDescent="0.2">
      <c r="A542" s="74">
        <v>44978.339583333334</v>
      </c>
      <c r="B542" s="75"/>
      <c r="C542" s="76">
        <f>IF(ISERROR(Tableau1[[#This Row],[Date]]-A541),"",Tableau1[[#This Row],[Date]]-A541)</f>
        <v>0.99861111111385981</v>
      </c>
      <c r="D542" s="77">
        <f>IF(ISERROR(Tableau1[[#This Row],[Date]]-A541),"",Tableau1[[#This Row],[Date]]-A541)</f>
        <v>0.99861111111385981</v>
      </c>
      <c r="E542" s="76">
        <f>Tableau1[[#This Row],[Date]]-$A$5</f>
        <v>795.63124999999854</v>
      </c>
      <c r="F542" s="77">
        <f>Tableau1[[#This Row],[Date]]-$A$5</f>
        <v>795.63124999999854</v>
      </c>
      <c r="G542" s="77">
        <f>Tableau1[[#This Row],[Diff jour_x000D_
Cumul]]-F$6</f>
        <v>757.54791666667006</v>
      </c>
      <c r="H542" s="77">
        <f>Tableau1[[#This Row],[Diff jour_x000D_
Cumul]]-F$59</f>
        <v>735.02847222222044</v>
      </c>
      <c r="I542" s="78">
        <v>2368</v>
      </c>
      <c r="J542" s="79">
        <f>IF(ISERROR(Tableau1[[#This Row],[Index HP
kWh]]-I541),"",Tableau1[[#This Row],[Index HP
kWh]]-I541)</f>
        <v>24</v>
      </c>
      <c r="K542" s="77">
        <f>IF(ISERROR(Tableau1[[#This Row],[Différence HP
Instantané]]/(Tableau1[[#This Row],[Diff jour
Instantané]]*24)),"",Tableau1[[#This Row],[Différence HP
Instantané]]/(Tableau1[[#This Row],[Diff jour
Instantané]]*24))</f>
        <v>1.0013908205813884</v>
      </c>
      <c r="L542" s="77">
        <f>Tableau1[[#This Row],[Différence HP
Instantané]]/Tableau1[[#This Row],[Diff jour
Instantané]]</f>
        <v>24.033379693953318</v>
      </c>
      <c r="M542" s="77">
        <f>Tableau1[[#This Row],[Conso HP / jour
Instantané]]*365</f>
        <v>8772.1835882929608</v>
      </c>
      <c r="N542" s="79">
        <f>Tableau1[[#This Row],[Index HP
kWh]]-$I$5</f>
        <v>-177391</v>
      </c>
      <c r="O542" s="80">
        <f>Tableau1[[#This Row],[Différence HP
Cumul]]/(Tableau1[[#This Row],[Diff jour_x000D_
Cumul]]*24)</f>
        <v>-9.2898458509098027</v>
      </c>
      <c r="P542" s="80">
        <f>Tableau1[[#This Row],[Différence HP
Cumul]]/Tableau1[[#This Row],[Diff jour_x000D_
Cumul]]</f>
        <v>-222.95630042183527</v>
      </c>
      <c r="Q542" s="80">
        <f>Tableau1[[#This Row],[Conso HP / jour
Cumul]]*365</f>
        <v>-81379.049653969865</v>
      </c>
      <c r="R542" s="78">
        <v>1136</v>
      </c>
      <c r="S542" s="79">
        <f>Tableau1[[#This Row],[Index HC_x000D_
kWh]]-R541</f>
        <v>18</v>
      </c>
      <c r="T542" s="81">
        <f>Tableau1[[#This Row],[Différence_x000D_ HC
Instantané]]/(Tableau1[[#This Row],[Diff jour
Instantané]]*24)</f>
        <v>0.75104311543604119</v>
      </c>
      <c r="U542" s="81">
        <f>Tableau1[[#This Row],[Différence_x000D_ HC
Instantané]]/Tableau1[[#This Row],[Diff jour
Instantané]]</f>
        <v>18.025034770464991</v>
      </c>
      <c r="V542" s="81">
        <f>Tableau1[[#This Row],[Conso HC / jour_x000D_
Instantané]]*365</f>
        <v>6579.137691219722</v>
      </c>
      <c r="W542" s="79">
        <f>Tableau1[[#This Row],[Index HC_x000D_
kWh]]-$R$5</f>
        <v>-118296</v>
      </c>
      <c r="X542" s="82">
        <f>Tableau1[[#This Row],[Différence HC
Cumul]]/(Tableau1[[#This Row],[Diff jour_x000D_
Cumul]]*24)</f>
        <v>-6.1950809498747175</v>
      </c>
      <c r="Y542" s="82">
        <f>Tableau1[[#This Row],[Différence HC
Cumul]]/Tableau1[[#This Row],[Diff jour_x000D_
Cumul]]</f>
        <v>-148.68194279699321</v>
      </c>
      <c r="Z542" s="82">
        <f>Tableau1[[#This Row],[Conso HC / jour_x000D_
Cumul]]*365</f>
        <v>-54268.909120902521</v>
      </c>
      <c r="AA542" s="79">
        <f>Tableau1[[#This Row],[Différence HP
Instantané]]+Tableau1[[#This Row],[Différence_x000D_ HC
Instantané]]</f>
        <v>42</v>
      </c>
      <c r="AB542" s="80">
        <f>Tableau1[[#This Row],[Conso HP + HC
Instantané]]/(Tableau1[[#This Row],[Diff jour
Instantané]]*24)</f>
        <v>1.7524339360174295</v>
      </c>
      <c r="AC542" s="80">
        <f>IF(ISERROR(Tableau1[[#This Row],[Date]]-A541),"",Tableau1[[#This Row],[Conso HP + HC
Instantané]]/Tableau1[[#This Row],[Diff jour
Instantané]])</f>
        <v>42.058414464418306</v>
      </c>
      <c r="AD542" s="80">
        <f>Tableau1[[#This Row],[Conso HP + HC / jour_x000D_
Instantané]]*365</f>
        <v>15351.321279512682</v>
      </c>
      <c r="AE542" s="79">
        <f>Tableau1[[#This Row],[Différence HP
Cumul]]+Tableau1[[#This Row],[Différence HC
Cumul]]</f>
        <v>-295687</v>
      </c>
      <c r="AF542" s="77">
        <f>(Tableau1[[#This Row],[Conso HP + HC
Cumul]]-AE$6)/Tableau1[[#This Row],[Diff jour_x000D_
Cumul
depuis le 24/01]]</f>
        <v>-393.71502902731498</v>
      </c>
      <c r="AG542" s="77">
        <f>(Tableau1[[#This Row],[Conso HP + HC
Cumul]]-AE$59)/Tableau1[[#This Row],[Diff jour_x000D_
Cumul
depuis
précédente facture
16/02/2021]]</f>
        <v>-407.9624277593187</v>
      </c>
      <c r="AH542" s="80">
        <f>Tableau1[[#This Row],[Conso HP + HC
Cumul]]/(Tableau1[[#This Row],[Diff jour_x000D_
Cumul]]*24)</f>
        <v>-15.484926800784521</v>
      </c>
      <c r="AI542" s="80">
        <f>Tableau1[[#This Row],[Conso HP + HC
Cumul]]/Tableau1[[#This Row],[Diff jour_x000D_
Cumul]]</f>
        <v>-371.63824321882851</v>
      </c>
      <c r="AJ542" s="80">
        <f>Tableau1[[#This Row],[Conso HP + HC / jour_x000D_
Cumul]]*365</f>
        <v>-135647.95877487242</v>
      </c>
      <c r="AK542" s="83">
        <f>(Tableau1[[#This Row],[Différence HP
Cumul]]*0.1799)+(Tableau1[[#This Row],[Différence HC
Cumul]]*0.1346)</f>
        <v>-47835.282500000001</v>
      </c>
      <c r="AL542" s="83">
        <f>Tableau1[[#This Row],[Montant
Tarif HP/HC]]/Tableau1[[#This Row],[Diff jour_x000D_
Cumul]]</f>
        <v>-60.122427946363452</v>
      </c>
      <c r="AM542" s="83">
        <f>(Tableau1[[#This Row],[Montant
Tarif HP/HC]]-AK$6)/Tableau1[[#This Row],[Diff jour_x000D_
Cumul
depuis le 24/01]]</f>
        <v>-63.705155856477447</v>
      </c>
      <c r="AN542" s="83">
        <f>(Tableau1[[#This Row],[Montant
Tarif HP/HC]]-AK$59)/Tableau1[[#This Row],[Diff jour_x000D_
Cumul
depuis
précédente facture
16/02/2021]]</f>
        <v>-66.020906310318836</v>
      </c>
      <c r="AO542" s="83">
        <f>Tableau1[[#This Row],[Conso HP + HC
Cumul]]*0.1599</f>
        <v>-47280.351299999995</v>
      </c>
      <c r="AP542" s="83">
        <f>Tableau1[[#This Row],[Montant
Tarif normal]]/Tableau1[[#This Row],[Diff jour_x000D_
Cumul]]</f>
        <v>-59.424955090690673</v>
      </c>
      <c r="AQ542" s="83">
        <f>(Tableau1[[#This Row],[Conso HP / an
Cumul]]*0.1799)+(Tableau1[[#This Row],[Conso HC / an_x000D_
Cumul]]*0.1346)</f>
        <v>-21944.686200422657</v>
      </c>
      <c r="AR542" s="83">
        <f>Tableau1[[#This Row],[Conso HP + HC / an_x000D_
Cumul]]*0.1599</f>
        <v>-21690.108608102099</v>
      </c>
      <c r="AS542" s="79">
        <f>MONTH(Tableau1[[#This Row],[Date]])</f>
        <v>2</v>
      </c>
      <c r="AT542" s="79">
        <f>YEAR(Tableau1[[#This Row],[Date]])</f>
        <v>2023</v>
      </c>
    </row>
    <row r="543" spans="1:46" x14ac:dyDescent="0.2">
      <c r="A543" s="74">
        <v>44979.334722222222</v>
      </c>
      <c r="B543" s="75"/>
      <c r="C543" s="76">
        <f>IF(ISERROR(Tableau1[[#This Row],[Date]]-A542),"",Tableau1[[#This Row],[Date]]-A542)</f>
        <v>0.99513888888759539</v>
      </c>
      <c r="D543" s="77">
        <f>IF(ISERROR(Tableau1[[#This Row],[Date]]-A542),"",Tableau1[[#This Row],[Date]]-A542)</f>
        <v>0.99513888888759539</v>
      </c>
      <c r="E543" s="76">
        <f>Tableau1[[#This Row],[Date]]-$A$5</f>
        <v>796.62638888888614</v>
      </c>
      <c r="F543" s="77">
        <f>Tableau1[[#This Row],[Date]]-$A$5</f>
        <v>796.62638888888614</v>
      </c>
      <c r="G543" s="77">
        <f>Tableau1[[#This Row],[Diff jour_x000D_
Cumul]]-F$6</f>
        <v>758.54305555555766</v>
      </c>
      <c r="H543" s="77">
        <f>Tableau1[[#This Row],[Diff jour_x000D_
Cumul]]-F$59</f>
        <v>736.02361111110804</v>
      </c>
      <c r="I543" s="78">
        <v>2388</v>
      </c>
      <c r="J543" s="79">
        <f>IF(ISERROR(Tableau1[[#This Row],[Index HP
kWh]]-I542),"",Tableau1[[#This Row],[Index HP
kWh]]-I542)</f>
        <v>20</v>
      </c>
      <c r="K543" s="77">
        <f>IF(ISERROR(Tableau1[[#This Row],[Différence HP
Instantané]]/(Tableau1[[#This Row],[Diff jour
Instantané]]*24)),"",Tableau1[[#This Row],[Différence HP
Instantané]]/(Tableau1[[#This Row],[Diff jour
Instantané]]*24))</f>
        <v>0.83740404745398445</v>
      </c>
      <c r="L543" s="77">
        <f>Tableau1[[#This Row],[Différence HP
Instantané]]/Tableau1[[#This Row],[Diff jour
Instantané]]</f>
        <v>20.097697138895629</v>
      </c>
      <c r="M543" s="77">
        <f>Tableau1[[#This Row],[Conso HP / jour
Instantané]]*365</f>
        <v>7335.6594556969048</v>
      </c>
      <c r="N543" s="79">
        <f>Tableau1[[#This Row],[Index HP
kWh]]-$I$5</f>
        <v>-177371</v>
      </c>
      <c r="O543" s="80">
        <f>Tableau1[[#This Row],[Différence HP
Cumul]]/(Tableau1[[#This Row],[Diff jour_x000D_
Cumul]]*24)</f>
        <v>-9.2771949767335133</v>
      </c>
      <c r="P543" s="80">
        <f>Tableau1[[#This Row],[Différence HP
Cumul]]/Tableau1[[#This Row],[Diff jour_x000D_
Cumul]]</f>
        <v>-222.65267944160433</v>
      </c>
      <c r="Q543" s="80">
        <f>Tableau1[[#This Row],[Conso HP / jour
Cumul]]*365</f>
        <v>-81268.227996185582</v>
      </c>
      <c r="R543" s="78">
        <v>1148</v>
      </c>
      <c r="S543" s="79">
        <f>Tableau1[[#This Row],[Index HC_x000D_
kWh]]-R542</f>
        <v>12</v>
      </c>
      <c r="T543" s="81">
        <f>Tableau1[[#This Row],[Différence_x000D_ HC
Instantané]]/(Tableau1[[#This Row],[Diff jour
Instantané]]*24)</f>
        <v>0.50244242847239073</v>
      </c>
      <c r="U543" s="81">
        <f>Tableau1[[#This Row],[Différence_x000D_ HC
Instantané]]/Tableau1[[#This Row],[Diff jour
Instantané]]</f>
        <v>12.058618283337378</v>
      </c>
      <c r="V543" s="81">
        <f>Tableau1[[#This Row],[Conso HC / jour_x000D_
Instantané]]*365</f>
        <v>4401.3956734181429</v>
      </c>
      <c r="W543" s="79">
        <f>Tableau1[[#This Row],[Index HC_x000D_
kWh]]-$R$5</f>
        <v>-118284</v>
      </c>
      <c r="X543" s="82">
        <f>Tableau1[[#This Row],[Différence HC
Cumul]]/(Tableau1[[#This Row],[Diff jour_x000D_
Cumul]]*24)</f>
        <v>-6.1867144608078375</v>
      </c>
      <c r="Y543" s="82">
        <f>Tableau1[[#This Row],[Différence HC
Cumul]]/Tableau1[[#This Row],[Diff jour_x000D_
Cumul]]</f>
        <v>-148.48114705938809</v>
      </c>
      <c r="Z543" s="82">
        <f>Tableau1[[#This Row],[Conso HC / jour_x000D_
Cumul]]*365</f>
        <v>-54195.618676676655</v>
      </c>
      <c r="AA543" s="79">
        <f>Tableau1[[#This Row],[Différence HP
Instantané]]+Tableau1[[#This Row],[Différence_x000D_ HC
Instantané]]</f>
        <v>32</v>
      </c>
      <c r="AB543" s="80">
        <f>Tableau1[[#This Row],[Conso HP + HC
Instantané]]/(Tableau1[[#This Row],[Diff jour
Instantané]]*24)</f>
        <v>1.3398464759263753</v>
      </c>
      <c r="AC543" s="80">
        <f>IF(ISERROR(Tableau1[[#This Row],[Date]]-A542),"",Tableau1[[#This Row],[Conso HP + HC
Instantané]]/Tableau1[[#This Row],[Diff jour
Instantané]])</f>
        <v>32.156315422233007</v>
      </c>
      <c r="AD543" s="80">
        <f>Tableau1[[#This Row],[Conso HP + HC / jour_x000D_
Instantané]]*365</f>
        <v>11737.055129115048</v>
      </c>
      <c r="AE543" s="79">
        <f>Tableau1[[#This Row],[Différence HP
Cumul]]+Tableau1[[#This Row],[Différence HC
Cumul]]</f>
        <v>-295655</v>
      </c>
      <c r="AF543" s="77">
        <f>(Tableau1[[#This Row],[Conso HP + HC
Cumul]]-AE$6)/Tableau1[[#This Row],[Diff jour_x000D_
Cumul
depuis le 24/01]]</f>
        <v>-393.15632489915686</v>
      </c>
      <c r="AG543" s="77">
        <f>(Tableau1[[#This Row],[Conso HP + HC
Cumul]]-AE$59)/Tableau1[[#This Row],[Diff jour_x000D_
Cumul
depuis
précédente facture
16/02/2021]]</f>
        <v>-407.36736630958188</v>
      </c>
      <c r="AH543" s="80">
        <f>Tableau1[[#This Row],[Conso HP + HC
Cumul]]/(Tableau1[[#This Row],[Diff jour_x000D_
Cumul]]*24)</f>
        <v>-15.463909437541352</v>
      </c>
      <c r="AI543" s="80">
        <f>Tableau1[[#This Row],[Conso HP + HC
Cumul]]/Tableau1[[#This Row],[Diff jour_x000D_
Cumul]]</f>
        <v>-371.13382650099243</v>
      </c>
      <c r="AJ543" s="80">
        <f>Tableau1[[#This Row],[Conso HP + HC / jour_x000D_
Cumul]]*365</f>
        <v>-135463.84667286224</v>
      </c>
      <c r="AK543" s="83">
        <f>(Tableau1[[#This Row],[Différence HP
Cumul]]*0.1799)+(Tableau1[[#This Row],[Différence HC
Cumul]]*0.1346)</f>
        <v>-47830.069300000003</v>
      </c>
      <c r="AL543" s="83">
        <f>Tableau1[[#This Row],[Montant
Tarif HP/HC]]/Tableau1[[#This Row],[Diff jour_x000D_
Cumul]]</f>
        <v>-60.040779425738265</v>
      </c>
      <c r="AM543" s="83">
        <f>(Tableau1[[#This Row],[Montant
Tarif HP/HC]]-AK$6)/Tableau1[[#This Row],[Diff jour_x000D_
Cumul
depuis le 24/01]]</f>
        <v>-63.614707888477561</v>
      </c>
      <c r="AN543" s="83">
        <f>(Tableau1[[#This Row],[Montant
Tarif HP/HC]]-AK$59)/Tableau1[[#This Row],[Diff jour_x000D_
Cumul
depuis
précédente facture
16/02/2021]]</f>
        <v>-65.924559983545493</v>
      </c>
      <c r="AO543" s="83">
        <f>Tableau1[[#This Row],[Conso HP + HC
Cumul]]*0.1599</f>
        <v>-47275.234499999999</v>
      </c>
      <c r="AP543" s="83">
        <f>Tableau1[[#This Row],[Montant
Tarif normal]]/Tableau1[[#This Row],[Diff jour_x000D_
Cumul]]</f>
        <v>-59.34429885750869</v>
      </c>
      <c r="AQ543" s="83">
        <f>(Tableau1[[#This Row],[Conso HP / an
Cumul]]*0.1799)+(Tableau1[[#This Row],[Conso HC / an_x000D_
Cumul]]*0.1346)</f>
        <v>-21914.884490394463</v>
      </c>
      <c r="AR543" s="83">
        <f>Tableau1[[#This Row],[Conso HP + HC / an_x000D_
Cumul]]*0.1599</f>
        <v>-21660.669082990669</v>
      </c>
      <c r="AS543" s="79">
        <f>MONTH(Tableau1[[#This Row],[Date]])</f>
        <v>2</v>
      </c>
      <c r="AT543" s="79">
        <f>YEAR(Tableau1[[#This Row],[Date]])</f>
        <v>2023</v>
      </c>
    </row>
    <row r="544" spans="1:46" x14ac:dyDescent="0.2">
      <c r="A544" s="74">
        <v>44980.322916666664</v>
      </c>
      <c r="B544" s="75"/>
      <c r="C544" s="76">
        <f>IF(ISERROR(Tableau1[[#This Row],[Date]]-A543),"",Tableau1[[#This Row],[Date]]-A543)</f>
        <v>0.9881944444423425</v>
      </c>
      <c r="D544" s="77">
        <f>IF(ISERROR(Tableau1[[#This Row],[Date]]-A543),"",Tableau1[[#This Row],[Date]]-A543)</f>
        <v>0.9881944444423425</v>
      </c>
      <c r="E544" s="76">
        <f>Tableau1[[#This Row],[Date]]-$A$5</f>
        <v>797.61458333332848</v>
      </c>
      <c r="F544" s="77">
        <f>Tableau1[[#This Row],[Date]]-$A$5</f>
        <v>797.61458333332848</v>
      </c>
      <c r="G544" s="77">
        <f>Tableau1[[#This Row],[Diff jour_x000D_
Cumul]]-F$6</f>
        <v>759.53125</v>
      </c>
      <c r="H544" s="77">
        <f>Tableau1[[#This Row],[Diff jour_x000D_
Cumul]]-F$59</f>
        <v>737.01180555555038</v>
      </c>
      <c r="I544" s="78">
        <v>2417</v>
      </c>
      <c r="J544" s="79">
        <f>IF(ISERROR(Tableau1[[#This Row],[Index HP
kWh]]-I543),"",Tableau1[[#This Row],[Index HP
kWh]]-I543)</f>
        <v>29</v>
      </c>
      <c r="K544" s="77">
        <f>IF(ISERROR(Tableau1[[#This Row],[Différence HP
Instantané]]/(Tableau1[[#This Row],[Diff jour
Instantané]]*24)),"",Tableau1[[#This Row],[Différence HP
Instantané]]/(Tableau1[[#This Row],[Diff jour
Instantané]]*24))</f>
        <v>1.2227687983160231</v>
      </c>
      <c r="L544" s="77">
        <f>Tableau1[[#This Row],[Différence HP
Instantané]]/Tableau1[[#This Row],[Diff jour
Instantané]]</f>
        <v>29.346451159584557</v>
      </c>
      <c r="M544" s="77">
        <f>Tableau1[[#This Row],[Conso HP / jour
Instantané]]*365</f>
        <v>10711.454673248363</v>
      </c>
      <c r="N544" s="79">
        <f>Tableau1[[#This Row],[Index HP
kWh]]-$I$5</f>
        <v>-177342</v>
      </c>
      <c r="O544" s="80">
        <f>Tableau1[[#This Row],[Différence HP
Cumul]]/(Tableau1[[#This Row],[Diff jour_x000D_
Cumul]]*24)</f>
        <v>-9.2641861801465861</v>
      </c>
      <c r="P544" s="80">
        <f>Tableau1[[#This Row],[Différence HP
Cumul]]/Tableau1[[#This Row],[Diff jour_x000D_
Cumul]]</f>
        <v>-222.34046832351808</v>
      </c>
      <c r="Q544" s="80">
        <f>Tableau1[[#This Row],[Conso HP / jour
Cumul]]*365</f>
        <v>-81154.270938084097</v>
      </c>
      <c r="R544" s="78">
        <v>1165</v>
      </c>
      <c r="S544" s="79">
        <f>Tableau1[[#This Row],[Index HC_x000D_
kWh]]-R543</f>
        <v>17</v>
      </c>
      <c r="T544" s="81">
        <f>Tableau1[[#This Row],[Différence_x000D_ HC
Instantané]]/(Tableau1[[#This Row],[Diff jour
Instantané]]*24)</f>
        <v>0.71679550246111712</v>
      </c>
      <c r="U544" s="81">
        <f>Tableau1[[#This Row],[Différence_x000D_ HC
Instantané]]/Tableau1[[#This Row],[Diff jour
Instantané]]</f>
        <v>17.203092059066808</v>
      </c>
      <c r="V544" s="81">
        <f>Tableau1[[#This Row],[Conso HC / jour_x000D_
Instantané]]*365</f>
        <v>6279.1286015593851</v>
      </c>
      <c r="W544" s="79">
        <f>Tableau1[[#This Row],[Index HC_x000D_
kWh]]-$R$5</f>
        <v>-118267</v>
      </c>
      <c r="X544" s="82">
        <f>Tableau1[[#This Row],[Différence HC
Cumul]]/(Tableau1[[#This Row],[Diff jour_x000D_
Cumul]]*24)</f>
        <v>-6.1781614449334983</v>
      </c>
      <c r="Y544" s="82">
        <f>Tableau1[[#This Row],[Différence HC
Cumul]]/Tableau1[[#This Row],[Diff jour_x000D_
Cumul]]</f>
        <v>-148.27587467840397</v>
      </c>
      <c r="Z544" s="82">
        <f>Tableau1[[#This Row],[Conso HC / jour_x000D_
Cumul]]*365</f>
        <v>-54120.694257617448</v>
      </c>
      <c r="AA544" s="79">
        <f>Tableau1[[#This Row],[Différence HP
Instantané]]+Tableau1[[#This Row],[Différence_x000D_ HC
Instantané]]</f>
        <v>46</v>
      </c>
      <c r="AB544" s="80">
        <f>Tableau1[[#This Row],[Conso HP + HC
Instantané]]/(Tableau1[[#This Row],[Diff jour
Instantané]]*24)</f>
        <v>1.9395643007771404</v>
      </c>
      <c r="AC544" s="80">
        <f>IF(ISERROR(Tableau1[[#This Row],[Date]]-A543),"",Tableau1[[#This Row],[Conso HP + HC
Instantané]]/Tableau1[[#This Row],[Diff jour
Instantané]])</f>
        <v>46.549543218651365</v>
      </c>
      <c r="AD544" s="80">
        <f>Tableau1[[#This Row],[Conso HP + HC / jour_x000D_
Instantané]]*365</f>
        <v>16990.583274807748</v>
      </c>
      <c r="AE544" s="79">
        <f>Tableau1[[#This Row],[Différence HP
Cumul]]+Tableau1[[#This Row],[Différence HC
Cumul]]</f>
        <v>-295609</v>
      </c>
      <c r="AF544" s="77">
        <f>(Tableau1[[#This Row],[Conso HP + HC
Cumul]]-AE$6)/Tableau1[[#This Row],[Diff jour_x000D_
Cumul
depuis le 24/01]]</f>
        <v>-392.58424192552974</v>
      </c>
      <c r="AG544" s="77">
        <f>(Tableau1[[#This Row],[Conso HP + HC
Cumul]]-AE$59)/Tableau1[[#This Row],[Diff jour_x000D_
Cumul
depuis
précédente facture
16/02/2021]]</f>
        <v>-406.75874896471299</v>
      </c>
      <c r="AH544" s="80">
        <f>Tableau1[[#This Row],[Conso HP + HC
Cumul]]/(Tableau1[[#This Row],[Diff jour_x000D_
Cumul]]*24)</f>
        <v>-15.442347625080085</v>
      </c>
      <c r="AI544" s="80">
        <f>Tableau1[[#This Row],[Conso HP + HC
Cumul]]/Tableau1[[#This Row],[Diff jour_x000D_
Cumul]]</f>
        <v>-370.61634300192202</v>
      </c>
      <c r="AJ544" s="80">
        <f>Tableau1[[#This Row],[Conso HP + HC / jour_x000D_
Cumul]]*365</f>
        <v>-135274.96519570154</v>
      </c>
      <c r="AK544" s="83">
        <f>(Tableau1[[#This Row],[Différence HP
Cumul]]*0.1799)+(Tableau1[[#This Row],[Différence HC
Cumul]]*0.1346)</f>
        <v>-47822.563999999998</v>
      </c>
      <c r="AL544" s="83">
        <f>Tableau1[[#This Row],[Montant
Tarif HP/HC]]/Tableau1[[#This Row],[Diff jour_x000D_
Cumul]]</f>
        <v>-59.956982983114074</v>
      </c>
      <c r="AM544" s="83">
        <f>(Tableau1[[#This Row],[Montant
Tarif HP/HC]]-AK$6)/Tableau1[[#This Row],[Diff jour_x000D_
Cumul
depuis le 24/01]]</f>
        <v>-63.52205995474182</v>
      </c>
      <c r="AN544" s="83">
        <f>(Tableau1[[#This Row],[Montant
Tarif HP/HC]]-AK$59)/Tableau1[[#This Row],[Diff jour_x000D_
Cumul
depuis
précédente facture
16/02/2021]]</f>
        <v>-65.825984108124771</v>
      </c>
      <c r="AO544" s="83">
        <f>Tableau1[[#This Row],[Conso HP + HC
Cumul]]*0.1599</f>
        <v>-47267.879099999998</v>
      </c>
      <c r="AP544" s="83">
        <f>Tableau1[[#This Row],[Montant
Tarif normal]]/Tableau1[[#This Row],[Diff jour_x000D_
Cumul]]</f>
        <v>-59.261553246007331</v>
      </c>
      <c r="AQ544" s="83">
        <f>(Tableau1[[#This Row],[Conso HP / an
Cumul]]*0.1799)+(Tableau1[[#This Row],[Conso HC / an_x000D_
Cumul]]*0.1346)</f>
        <v>-21884.298788836641</v>
      </c>
      <c r="AR544" s="83">
        <f>Tableau1[[#This Row],[Conso HP + HC / an_x000D_
Cumul]]*0.1599</f>
        <v>-21630.466934792676</v>
      </c>
      <c r="AS544" s="79">
        <f>MONTH(Tableau1[[#This Row],[Date]])</f>
        <v>2</v>
      </c>
      <c r="AT544" s="79">
        <f>YEAR(Tableau1[[#This Row],[Date]])</f>
        <v>2023</v>
      </c>
    </row>
    <row r="545" spans="1:46" x14ac:dyDescent="0.2">
      <c r="A545" s="74">
        <v>44981.324999999997</v>
      </c>
      <c r="B545" s="75"/>
      <c r="C545" s="76">
        <f>IF(ISERROR(Tableau1[[#This Row],[Date]]-A544),"",Tableau1[[#This Row],[Date]]-A544)</f>
        <v>1.0020833333328483</v>
      </c>
      <c r="D545" s="77">
        <f>IF(ISERROR(Tableau1[[#This Row],[Date]]-A544),"",Tableau1[[#This Row],[Date]]-A544)</f>
        <v>1.0020833333328483</v>
      </c>
      <c r="E545" s="76">
        <f>Tableau1[[#This Row],[Date]]-$A$5</f>
        <v>798.61666666666133</v>
      </c>
      <c r="F545" s="77">
        <f>Tableau1[[#This Row],[Date]]-$A$5</f>
        <v>798.61666666666133</v>
      </c>
      <c r="G545" s="77">
        <f>Tableau1[[#This Row],[Diff jour_x000D_
Cumul]]-F$6</f>
        <v>760.53333333333285</v>
      </c>
      <c r="H545" s="77">
        <f>Tableau1[[#This Row],[Diff jour_x000D_
Cumul]]-F$59</f>
        <v>738.01388888888323</v>
      </c>
      <c r="I545" s="78">
        <v>2455</v>
      </c>
      <c r="J545" s="79">
        <f>IF(ISERROR(Tableau1[[#This Row],[Index HP
kWh]]-I544),"",Tableau1[[#This Row],[Index HP
kWh]]-I544)</f>
        <v>38</v>
      </c>
      <c r="K545" s="77">
        <f>IF(ISERROR(Tableau1[[#This Row],[Différence HP
Instantané]]/(Tableau1[[#This Row],[Diff jour
Instantané]]*24)),"",Tableau1[[#This Row],[Différence HP
Instantané]]/(Tableau1[[#This Row],[Diff jour
Instantané]]*24))</f>
        <v>1.5800415800423449</v>
      </c>
      <c r="L545" s="77">
        <f>Tableau1[[#This Row],[Différence HP
Instantané]]/Tableau1[[#This Row],[Diff jour
Instantané]]</f>
        <v>37.92099792101628</v>
      </c>
      <c r="M545" s="77">
        <f>Tableau1[[#This Row],[Conso HP / jour
Instantané]]*365</f>
        <v>13841.164241170942</v>
      </c>
      <c r="N545" s="79">
        <f>Tableau1[[#This Row],[Index HP
kWh]]-$I$5</f>
        <v>-177304</v>
      </c>
      <c r="O545" s="80">
        <f>Tableau1[[#This Row],[Différence HP
Cumul]]/(Tableau1[[#This Row],[Diff jour_x000D_
Cumul]]*24)</f>
        <v>-9.250579126406139</v>
      </c>
      <c r="P545" s="80">
        <f>Tableau1[[#This Row],[Différence HP
Cumul]]/Tableau1[[#This Row],[Diff jour_x000D_
Cumul]]</f>
        <v>-222.01389903374732</v>
      </c>
      <c r="Q545" s="80">
        <f>Tableau1[[#This Row],[Conso HP / jour
Cumul]]*365</f>
        <v>-81035.073147317773</v>
      </c>
      <c r="R545" s="78">
        <v>1180</v>
      </c>
      <c r="S545" s="79">
        <f>Tableau1[[#This Row],[Index HC_x000D_
kWh]]-R544</f>
        <v>15</v>
      </c>
      <c r="T545" s="81">
        <f>Tableau1[[#This Row],[Différence_x000D_ HC
Instantané]]/(Tableau1[[#This Row],[Diff jour
Instantané]]*24)</f>
        <v>0.6237006237009256</v>
      </c>
      <c r="U545" s="81">
        <f>Tableau1[[#This Row],[Différence_x000D_ HC
Instantané]]/Tableau1[[#This Row],[Diff jour
Instantané]]</f>
        <v>14.968814968822215</v>
      </c>
      <c r="V545" s="81">
        <f>Tableau1[[#This Row],[Conso HC / jour_x000D_
Instantané]]*365</f>
        <v>5463.6174636201085</v>
      </c>
      <c r="W545" s="79">
        <f>Tableau1[[#This Row],[Index HC_x000D_
kWh]]-$R$5</f>
        <v>-118252</v>
      </c>
      <c r="X545" s="82">
        <f>Tableau1[[#This Row],[Différence HC
Cumul]]/(Tableau1[[#This Row],[Diff jour_x000D_
Cumul]]*24)</f>
        <v>-6.1696266460755469</v>
      </c>
      <c r="Y545" s="82">
        <f>Tableau1[[#This Row],[Différence HC
Cumul]]/Tableau1[[#This Row],[Diff jour_x000D_
Cumul]]</f>
        <v>-148.07103950581313</v>
      </c>
      <c r="Z545" s="82">
        <f>Tableau1[[#This Row],[Conso HC / jour_x000D_
Cumul]]*365</f>
        <v>-54045.929419621796</v>
      </c>
      <c r="AA545" s="79">
        <f>Tableau1[[#This Row],[Différence HP
Instantané]]+Tableau1[[#This Row],[Différence_x000D_ HC
Instantané]]</f>
        <v>53</v>
      </c>
      <c r="AB545" s="80">
        <f>Tableau1[[#This Row],[Conso HP + HC
Instantané]]/(Tableau1[[#This Row],[Diff jour
Instantané]]*24)</f>
        <v>2.2037422037432703</v>
      </c>
      <c r="AC545" s="80">
        <f>IF(ISERROR(Tableau1[[#This Row],[Date]]-A544),"",Tableau1[[#This Row],[Conso HP + HC
Instantané]]/Tableau1[[#This Row],[Diff jour
Instantané]])</f>
        <v>52.889812889838488</v>
      </c>
      <c r="AD545" s="80">
        <f>Tableau1[[#This Row],[Conso HP + HC / jour_x000D_
Instantané]]*365</f>
        <v>19304.781704791047</v>
      </c>
      <c r="AE545" s="79">
        <f>Tableau1[[#This Row],[Différence HP
Cumul]]+Tableau1[[#This Row],[Différence HC
Cumul]]</f>
        <v>-295556</v>
      </c>
      <c r="AF545" s="77">
        <f>(Tableau1[[#This Row],[Conso HP + HC
Cumul]]-AE$6)/Tableau1[[#This Row],[Diff jour_x000D_
Cumul
depuis le 24/01]]</f>
        <v>-391.99728260869591</v>
      </c>
      <c r="AG545" s="77">
        <f>(Tableau1[[#This Row],[Conso HP + HC
Cumul]]-AE$59)/Tableau1[[#This Row],[Diff jour_x000D_
Cumul
depuis
précédente facture
16/02/2021]]</f>
        <v>-406.13463311816935</v>
      </c>
      <c r="AH545" s="80">
        <f>Tableau1[[#This Row],[Conso HP + HC
Cumul]]/(Tableau1[[#This Row],[Diff jour_x000D_
Cumul]]*24)</f>
        <v>-15.420205772481685</v>
      </c>
      <c r="AI545" s="80">
        <f>Tableau1[[#This Row],[Conso HP + HC
Cumul]]/Tableau1[[#This Row],[Diff jour_x000D_
Cumul]]</f>
        <v>-370.08493853956048</v>
      </c>
      <c r="AJ545" s="80">
        <f>Tableau1[[#This Row],[Conso HP + HC / jour_x000D_
Cumul]]*365</f>
        <v>-135081.00256693957</v>
      </c>
      <c r="AK545" s="83">
        <f>(Tableau1[[#This Row],[Différence HP
Cumul]]*0.1799)+(Tableau1[[#This Row],[Différence HC
Cumul]]*0.1346)</f>
        <v>-47813.7088</v>
      </c>
      <c r="AL545" s="83">
        <f>Tableau1[[#This Row],[Montant
Tarif HP/HC]]/Tableau1[[#This Row],[Diff jour_x000D_
Cumul]]</f>
        <v>-59.870662353653593</v>
      </c>
      <c r="AM545" s="83">
        <f>(Tableau1[[#This Row],[Montant
Tarif HP/HC]]-AK$6)/Tableau1[[#This Row],[Diff jour_x000D_
Cumul
depuis le 24/01]]</f>
        <v>-63.426719495091206</v>
      </c>
      <c r="AN545" s="83">
        <f>(Tableau1[[#This Row],[Montant
Tarif HP/HC]]-AK$59)/Tableau1[[#This Row],[Diff jour_x000D_
Cumul
depuis
précédente facture
16/02/2021]]</f>
        <v>-65.724606176487697</v>
      </c>
      <c r="AO545" s="83">
        <f>Tableau1[[#This Row],[Conso HP + HC
Cumul]]*0.1599</f>
        <v>-47259.404399999999</v>
      </c>
      <c r="AP545" s="83">
        <f>Tableau1[[#This Row],[Montant
Tarif normal]]/Tableau1[[#This Row],[Diff jour_x000D_
Cumul]]</f>
        <v>-59.17658167247572</v>
      </c>
      <c r="AQ545" s="83">
        <f>(Tableau1[[#This Row],[Conso HP / an
Cumul]]*0.1799)+(Tableau1[[#This Row],[Conso HC / an_x000D_
Cumul]]*0.1346)</f>
        <v>-21852.79175908356</v>
      </c>
      <c r="AR545" s="83">
        <f>Tableau1[[#This Row],[Conso HP + HC / an_x000D_
Cumul]]*0.1599</f>
        <v>-21599.452310453635</v>
      </c>
      <c r="AS545" s="79">
        <f>MONTH(Tableau1[[#This Row],[Date]])</f>
        <v>2</v>
      </c>
      <c r="AT545" s="79">
        <f>YEAR(Tableau1[[#This Row],[Date]])</f>
        <v>2023</v>
      </c>
    </row>
    <row r="546" spans="1:46" x14ac:dyDescent="0.2">
      <c r="A546" s="74">
        <v>44982.300694444442</v>
      </c>
      <c r="B546" s="75"/>
      <c r="C546" s="76">
        <f>IF(ISERROR(Tableau1[[#This Row],[Date]]-A545),"",Tableau1[[#This Row],[Date]]-A545)</f>
        <v>0.97569444444525288</v>
      </c>
      <c r="D546" s="77">
        <f>IF(ISERROR(Tableau1[[#This Row],[Date]]-A545),"",Tableau1[[#This Row],[Date]]-A545)</f>
        <v>0.97569444444525288</v>
      </c>
      <c r="E546" s="76">
        <f>Tableau1[[#This Row],[Date]]-$A$5</f>
        <v>799.59236111110658</v>
      </c>
      <c r="F546" s="77">
        <f>Tableau1[[#This Row],[Date]]-$A$5</f>
        <v>799.59236111110658</v>
      </c>
      <c r="G546" s="77">
        <f>Tableau1[[#This Row],[Diff jour_x000D_
Cumul]]-F$6</f>
        <v>761.5090277777781</v>
      </c>
      <c r="H546" s="77">
        <f>Tableau1[[#This Row],[Diff jour_x000D_
Cumul]]-F$59</f>
        <v>738.98958333332848</v>
      </c>
      <c r="I546" s="78">
        <v>2489</v>
      </c>
      <c r="J546" s="79">
        <f>IF(ISERROR(Tableau1[[#This Row],[Index HP
kWh]]-I545),"",Tableau1[[#This Row],[Index HP
kWh]]-I545)</f>
        <v>34</v>
      </c>
      <c r="K546" s="77">
        <f>IF(ISERROR(Tableau1[[#This Row],[Différence HP
Instantané]]/(Tableau1[[#This Row],[Diff jour
Instantané]]*24)),"",Tableau1[[#This Row],[Différence HP
Instantané]]/(Tableau1[[#This Row],[Diff jour
Instantané]]*24))</f>
        <v>1.4519572953724624</v>
      </c>
      <c r="L546" s="77">
        <f>Tableau1[[#This Row],[Différence HP
Instantané]]/Tableau1[[#This Row],[Diff jour
Instantané]]</f>
        <v>34.846975088939097</v>
      </c>
      <c r="M546" s="77">
        <f>Tableau1[[#This Row],[Conso HP / jour
Instantané]]*365</f>
        <v>12719.145907462771</v>
      </c>
      <c r="N546" s="79">
        <f>Tableau1[[#This Row],[Index HP
kWh]]-$I$5</f>
        <v>-177270</v>
      </c>
      <c r="O546" s="80">
        <f>Tableau1[[#This Row],[Différence HP
Cumul]]/(Tableau1[[#This Row],[Diff jour_x000D_
Cumul]]*24)</f>
        <v>-9.2375194652136638</v>
      </c>
      <c r="P546" s="80">
        <f>Tableau1[[#This Row],[Différence HP
Cumul]]/Tableau1[[#This Row],[Diff jour_x000D_
Cumul]]</f>
        <v>-221.70046716512792</v>
      </c>
      <c r="Q546" s="80">
        <f>Tableau1[[#This Row],[Conso HP / jour
Cumul]]*365</f>
        <v>-80920.67051527169</v>
      </c>
      <c r="R546" s="78">
        <v>1198</v>
      </c>
      <c r="S546" s="79">
        <f>Tableau1[[#This Row],[Index HC_x000D_
kWh]]-R545</f>
        <v>18</v>
      </c>
      <c r="T546" s="81">
        <f>Tableau1[[#This Row],[Différence_x000D_ HC
Instantané]]/(Tableau1[[#This Row],[Diff jour
Instantané]]*24)</f>
        <v>0.76868327402071535</v>
      </c>
      <c r="U546" s="81">
        <f>Tableau1[[#This Row],[Différence_x000D_ HC
Instantané]]/Tableau1[[#This Row],[Diff jour
Instantané]]</f>
        <v>18.448398576497169</v>
      </c>
      <c r="V546" s="81">
        <f>Tableau1[[#This Row],[Conso HC / jour_x000D_
Instantané]]*365</f>
        <v>6733.6654804214668</v>
      </c>
      <c r="W546" s="79">
        <f>Tableau1[[#This Row],[Index HC_x000D_
kWh]]-$R$5</f>
        <v>-118234</v>
      </c>
      <c r="X546" s="82">
        <f>Tableau1[[#This Row],[Différence HC
Cumul]]/(Tableau1[[#This Row],[Diff jour_x000D_
Cumul]]*24)</f>
        <v>-6.1611602439785207</v>
      </c>
      <c r="Y546" s="82">
        <f>Tableau1[[#This Row],[Différence HC
Cumul]]/Tableau1[[#This Row],[Diff jour_x000D_
Cumul]]</f>
        <v>-147.86784585548449</v>
      </c>
      <c r="Z546" s="82">
        <f>Tableau1[[#This Row],[Conso HC / jour_x000D_
Cumul]]*365</f>
        <v>-53971.763737251837</v>
      </c>
      <c r="AA546" s="79">
        <f>Tableau1[[#This Row],[Différence HP
Instantané]]+Tableau1[[#This Row],[Différence_x000D_ HC
Instantané]]</f>
        <v>52</v>
      </c>
      <c r="AB546" s="80">
        <f>Tableau1[[#This Row],[Conso HP + HC
Instantané]]/(Tableau1[[#This Row],[Diff jour
Instantané]]*24)</f>
        <v>2.2206405693931779</v>
      </c>
      <c r="AC546" s="80">
        <f>IF(ISERROR(Tableau1[[#This Row],[Date]]-A545),"",Tableau1[[#This Row],[Conso HP + HC
Instantané]]/Tableau1[[#This Row],[Diff jour
Instantané]])</f>
        <v>53.295373665436266</v>
      </c>
      <c r="AD546" s="80">
        <f>Tableau1[[#This Row],[Conso HP + HC / jour_x000D_
Instantané]]*365</f>
        <v>19452.811387884238</v>
      </c>
      <c r="AE546" s="79">
        <f>Tableau1[[#This Row],[Différence HP
Cumul]]+Tableau1[[#This Row],[Différence HC
Cumul]]</f>
        <v>-295504</v>
      </c>
      <c r="AF546" s="77">
        <f>(Tableau1[[#This Row],[Conso HP + HC
Cumul]]-AE$6)/Tableau1[[#This Row],[Diff jour_x000D_
Cumul
depuis le 24/01]]</f>
        <v>-391.42674495906778</v>
      </c>
      <c r="AG546" s="77">
        <f>(Tableau1[[#This Row],[Conso HP + HC
Cumul]]-AE$59)/Tableau1[[#This Row],[Diff jour_x000D_
Cumul
depuis
précédente facture
16/02/2021]]</f>
        <v>-405.52804364067191</v>
      </c>
      <c r="AH546" s="80">
        <f>Tableau1[[#This Row],[Conso HP + HC
Cumul]]/(Tableau1[[#This Row],[Diff jour_x000D_
Cumul]]*24)</f>
        <v>-15.398679709192184</v>
      </c>
      <c r="AI546" s="80">
        <f>Tableau1[[#This Row],[Conso HP + HC
Cumul]]/Tableau1[[#This Row],[Diff jour_x000D_
Cumul]]</f>
        <v>-369.56831302061244</v>
      </c>
      <c r="AJ546" s="80">
        <f>Tableau1[[#This Row],[Conso HP + HC / jour_x000D_
Cumul]]*365</f>
        <v>-134892.43425252353</v>
      </c>
      <c r="AK546" s="83">
        <f>(Tableau1[[#This Row],[Différence HP
Cumul]]*0.1799)+(Tableau1[[#This Row],[Différence HC
Cumul]]*0.1346)</f>
        <v>-47805.169399999999</v>
      </c>
      <c r="AL546" s="83">
        <f>Tableau1[[#This Row],[Montant
Tarif HP/HC]]/Tableau1[[#This Row],[Diff jour_x000D_
Cumul]]</f>
        <v>-59.786926095154726</v>
      </c>
      <c r="AM546" s="83">
        <f>(Tableau1[[#This Row],[Montant
Tarif HP/HC]]-AK$6)/Tableau1[[#This Row],[Diff jour_x000D_
Cumul
depuis le 24/01]]</f>
        <v>-63.334239307369387</v>
      </c>
      <c r="AN546" s="83">
        <f>(Tableau1[[#This Row],[Montant
Tarif HP/HC]]-AK$59)/Tableau1[[#This Row],[Diff jour_x000D_
Cumul
depuis
précédente facture
16/02/2021]]</f>
        <v>-65.626273893125898</v>
      </c>
      <c r="AO546" s="83">
        <f>Tableau1[[#This Row],[Conso HP + HC
Cumul]]*0.1599</f>
        <v>-47251.089599999999</v>
      </c>
      <c r="AP546" s="83">
        <f>Tableau1[[#This Row],[Montant
Tarif normal]]/Tableau1[[#This Row],[Diff jour_x000D_
Cumul]]</f>
        <v>-59.093973251995926</v>
      </c>
      <c r="AQ546" s="83">
        <f>(Tableau1[[#This Row],[Conso HP / an
Cumul]]*0.1799)+(Tableau1[[#This Row],[Conso HC / an_x000D_
Cumul]]*0.1346)</f>
        <v>-21822.228024731474</v>
      </c>
      <c r="AR546" s="83">
        <f>Tableau1[[#This Row],[Conso HP + HC / an_x000D_
Cumul]]*0.1599</f>
        <v>-21569.30023697851</v>
      </c>
      <c r="AS546" s="79">
        <f>MONTH(Tableau1[[#This Row],[Date]])</f>
        <v>2</v>
      </c>
      <c r="AT546" s="79">
        <f>YEAR(Tableau1[[#This Row],[Date]])</f>
        <v>2023</v>
      </c>
    </row>
    <row r="547" spans="1:46" x14ac:dyDescent="0.2">
      <c r="A547" s="74">
        <v>44983.401388888888</v>
      </c>
      <c r="B547" s="75"/>
      <c r="C547" s="76">
        <f>IF(ISERROR(Tableau1[[#This Row],[Date]]-A546),"",Tableau1[[#This Row],[Date]]-A546)</f>
        <v>1.1006944444452529</v>
      </c>
      <c r="D547" s="77">
        <f>IF(ISERROR(Tableau1[[#This Row],[Date]]-A546),"",Tableau1[[#This Row],[Date]]-A546)</f>
        <v>1.1006944444452529</v>
      </c>
      <c r="E547" s="76">
        <f>Tableau1[[#This Row],[Date]]-$A$5</f>
        <v>800.69305555555184</v>
      </c>
      <c r="F547" s="77">
        <f>Tableau1[[#This Row],[Date]]-$A$5</f>
        <v>800.69305555555184</v>
      </c>
      <c r="G547" s="77">
        <f>Tableau1[[#This Row],[Diff jour_x000D_
Cumul]]-F$6</f>
        <v>762.60972222222335</v>
      </c>
      <c r="H547" s="77">
        <f>Tableau1[[#This Row],[Diff jour_x000D_
Cumul]]-F$59</f>
        <v>740.09027777777374</v>
      </c>
      <c r="I547" s="78">
        <v>2536</v>
      </c>
      <c r="J547" s="79">
        <f>IF(ISERROR(Tableau1[[#This Row],[Index HP
kWh]]-I546),"",Tableau1[[#This Row],[Index HP
kWh]]-I546)</f>
        <v>47</v>
      </c>
      <c r="K547" s="77">
        <f>IF(ISERROR(Tableau1[[#This Row],[Différence HP
Instantané]]/(Tableau1[[#This Row],[Diff jour
Instantané]]*24)),"",Tableau1[[#This Row],[Différence HP
Instantané]]/(Tableau1[[#This Row],[Diff jour
Instantané]]*24))</f>
        <v>1.7791798107242454</v>
      </c>
      <c r="L547" s="77">
        <f>Tableau1[[#This Row],[Différence HP
Instantané]]/Tableau1[[#This Row],[Diff jour
Instantané]]</f>
        <v>42.700315457381883</v>
      </c>
      <c r="M547" s="77">
        <f>Tableau1[[#This Row],[Conso HP / jour
Instantané]]*365</f>
        <v>15585.615141944387</v>
      </c>
      <c r="N547" s="79">
        <f>Tableau1[[#This Row],[Index HP
kWh]]-$I$5</f>
        <v>-177223</v>
      </c>
      <c r="O547" s="80">
        <f>Tableau1[[#This Row],[Différence HP
Cumul]]/(Tableau1[[#This Row],[Diff jour_x000D_
Cumul]]*24)</f>
        <v>-9.2223750604945103</v>
      </c>
      <c r="P547" s="80">
        <f>Tableau1[[#This Row],[Différence HP
Cumul]]/Tableau1[[#This Row],[Diff jour_x000D_
Cumul]]</f>
        <v>-221.33700145186825</v>
      </c>
      <c r="Q547" s="80">
        <f>Tableau1[[#This Row],[Conso HP / jour
Cumul]]*365</f>
        <v>-80788.005529931906</v>
      </c>
      <c r="R547" s="78">
        <v>1219</v>
      </c>
      <c r="S547" s="79">
        <f>Tableau1[[#This Row],[Index HC_x000D_
kWh]]-R546</f>
        <v>21</v>
      </c>
      <c r="T547" s="81">
        <f>Tableau1[[#This Row],[Différence_x000D_ HC
Instantané]]/(Tableau1[[#This Row],[Diff jour
Instantané]]*24)</f>
        <v>0.79495268138742869</v>
      </c>
      <c r="U547" s="81">
        <f>Tableau1[[#This Row],[Différence_x000D_ HC
Instantané]]/Tableau1[[#This Row],[Diff jour
Instantané]]</f>
        <v>19.07886435329829</v>
      </c>
      <c r="V547" s="81">
        <f>Tableau1[[#This Row],[Conso HC / jour_x000D_
Instantané]]*365</f>
        <v>6963.7854889538758</v>
      </c>
      <c r="W547" s="79">
        <f>Tableau1[[#This Row],[Index HC_x000D_
kWh]]-$R$5</f>
        <v>-118213</v>
      </c>
      <c r="X547" s="82">
        <f>Tableau1[[#This Row],[Différence HC
Cumul]]/(Tableau1[[#This Row],[Diff jour_x000D_
Cumul]]*24)</f>
        <v>-6.1515978345149191</v>
      </c>
      <c r="Y547" s="82">
        <f>Tableau1[[#This Row],[Différence HC
Cumul]]/Tableau1[[#This Row],[Diff jour_x000D_
Cumul]]</f>
        <v>-147.63834802835805</v>
      </c>
      <c r="Z547" s="82">
        <f>Tableau1[[#This Row],[Conso HC / jour_x000D_
Cumul]]*365</f>
        <v>-53887.997030350693</v>
      </c>
      <c r="AA547" s="79">
        <f>Tableau1[[#This Row],[Différence HP
Instantané]]+Tableau1[[#This Row],[Différence_x000D_ HC
Instantané]]</f>
        <v>68</v>
      </c>
      <c r="AB547" s="80">
        <f>Tableau1[[#This Row],[Conso HP + HC
Instantané]]/(Tableau1[[#This Row],[Diff jour
Instantané]]*24)</f>
        <v>2.5741324921116742</v>
      </c>
      <c r="AC547" s="80">
        <f>IF(ISERROR(Tableau1[[#This Row],[Date]]-A546),"",Tableau1[[#This Row],[Conso HP + HC
Instantané]]/Tableau1[[#This Row],[Diff jour
Instantané]])</f>
        <v>61.779179810680176</v>
      </c>
      <c r="AD547" s="80">
        <f>Tableau1[[#This Row],[Conso HP + HC / jour_x000D_
Instantané]]*365</f>
        <v>22549.400630898264</v>
      </c>
      <c r="AE547" s="79">
        <f>Tableau1[[#This Row],[Différence HP
Cumul]]+Tableau1[[#This Row],[Différence HC
Cumul]]</f>
        <v>-295436</v>
      </c>
      <c r="AF547" s="77">
        <f>(Tableau1[[#This Row],[Conso HP + HC
Cumul]]-AE$6)/Tableau1[[#This Row],[Diff jour_x000D_
Cumul
depuis le 24/01]]</f>
        <v>-390.77262106181382</v>
      </c>
      <c r="AG547" s="77">
        <f>(Tableau1[[#This Row],[Conso HP + HC
Cumul]]-AE$59)/Tableau1[[#This Row],[Diff jour_x000D_
Cumul
depuis
précédente facture
16/02/2021]]</f>
        <v>-404.83304401677947</v>
      </c>
      <c r="AH547" s="80">
        <f>Tableau1[[#This Row],[Conso HP + HC
Cumul]]/(Tableau1[[#This Row],[Diff jour_x000D_
Cumul]]*24)</f>
        <v>-15.37397289500943</v>
      </c>
      <c r="AI547" s="80">
        <f>Tableau1[[#This Row],[Conso HP + HC
Cumul]]/Tableau1[[#This Row],[Diff jour_x000D_
Cumul]]</f>
        <v>-368.97534948022633</v>
      </c>
      <c r="AJ547" s="80">
        <f>Tableau1[[#This Row],[Conso HP + HC / jour_x000D_
Cumul]]*365</f>
        <v>-134676.00256028262</v>
      </c>
      <c r="AK547" s="83">
        <f>(Tableau1[[#This Row],[Différence HP
Cumul]]*0.1799)+(Tableau1[[#This Row],[Différence HC
Cumul]]*0.1346)</f>
        <v>-47793.887499999997</v>
      </c>
      <c r="AL547" s="83">
        <f>Tableau1[[#This Row],[Montant
Tarif HP/HC]]/Tableau1[[#This Row],[Diff jour_x000D_
Cumul]]</f>
        <v>-59.690648205808088</v>
      </c>
      <c r="AM547" s="83">
        <f>(Tableau1[[#This Row],[Montant
Tarif HP/HC]]-AK$6)/Tableau1[[#This Row],[Diff jour_x000D_
Cumul
depuis le 24/01]]</f>
        <v>-63.228033547085118</v>
      </c>
      <c r="AN547" s="83">
        <f>(Tableau1[[#This Row],[Montant
Tarif HP/HC]]-AK$59)/Tableau1[[#This Row],[Diff jour_x000D_
Cumul
depuis
précédente facture
16/02/2021]]</f>
        <v>-65.513427693693885</v>
      </c>
      <c r="AO547" s="83">
        <f>Tableau1[[#This Row],[Conso HP + HC
Cumul]]*0.1599</f>
        <v>-47240.216399999998</v>
      </c>
      <c r="AP547" s="83">
        <f>Tableau1[[#This Row],[Montant
Tarif normal]]/Tableau1[[#This Row],[Diff jour_x000D_
Cumul]]</f>
        <v>-58.999158381888186</v>
      </c>
      <c r="AQ547" s="83">
        <f>(Tableau1[[#This Row],[Conso HP / an
Cumul]]*0.1799)+(Tableau1[[#This Row],[Conso HC / an_x000D_
Cumul]]*0.1346)</f>
        <v>-21787.086595119952</v>
      </c>
      <c r="AR547" s="83">
        <f>Tableau1[[#This Row],[Conso HP + HC / an_x000D_
Cumul]]*0.1599</f>
        <v>-21534.692809389187</v>
      </c>
      <c r="AS547" s="79">
        <f>MONTH(Tableau1[[#This Row],[Date]])</f>
        <v>2</v>
      </c>
      <c r="AT547" s="79">
        <f>YEAR(Tableau1[[#This Row],[Date]])</f>
        <v>2023</v>
      </c>
    </row>
    <row r="548" spans="1:46" x14ac:dyDescent="0.2">
      <c r="A548" s="74">
        <v>44984.334722222222</v>
      </c>
      <c r="B548" s="75"/>
      <c r="C548" s="76">
        <f>IF(ISERROR(Tableau1[[#This Row],[Date]]-A547),"",Tableau1[[#This Row],[Date]]-A547)</f>
        <v>0.93333333333430346</v>
      </c>
      <c r="D548" s="77">
        <f>IF(ISERROR(Tableau1[[#This Row],[Date]]-A547),"",Tableau1[[#This Row],[Date]]-A547)</f>
        <v>0.93333333333430346</v>
      </c>
      <c r="E548" s="76">
        <f>Tableau1[[#This Row],[Date]]-$A$5</f>
        <v>801.62638888888614</v>
      </c>
      <c r="F548" s="77">
        <f>Tableau1[[#This Row],[Date]]-$A$5</f>
        <v>801.62638888888614</v>
      </c>
      <c r="G548" s="77">
        <f>Tableau1[[#This Row],[Diff jour_x000D_
Cumul]]-F$6</f>
        <v>763.54305555555766</v>
      </c>
      <c r="H548" s="77">
        <f>Tableau1[[#This Row],[Diff jour_x000D_
Cumul]]-F$59</f>
        <v>741.02361111110804</v>
      </c>
      <c r="I548" s="78">
        <v>2577</v>
      </c>
      <c r="J548" s="79">
        <f>IF(ISERROR(Tableau1[[#This Row],[Index HP
kWh]]-I547),"",Tableau1[[#This Row],[Index HP
kWh]]-I547)</f>
        <v>41</v>
      </c>
      <c r="K548" s="77">
        <f>IF(ISERROR(Tableau1[[#This Row],[Différence HP
Instantané]]/(Tableau1[[#This Row],[Diff jour
Instantané]]*24)),"",Tableau1[[#This Row],[Différence HP
Instantané]]/(Tableau1[[#This Row],[Diff jour
Instantané]]*24))</f>
        <v>1.8303571428552403</v>
      </c>
      <c r="L548" s="77">
        <f>Tableau1[[#This Row],[Différence HP
Instantané]]/Tableau1[[#This Row],[Diff jour
Instantané]]</f>
        <v>43.928571428525771</v>
      </c>
      <c r="M548" s="77">
        <f>Tableau1[[#This Row],[Conso HP / jour
Instantané]]*365</f>
        <v>16033.928571411907</v>
      </c>
      <c r="N548" s="79">
        <f>Tableau1[[#This Row],[Index HP
kWh]]-$I$5</f>
        <v>-177182</v>
      </c>
      <c r="O548" s="80">
        <f>Tableau1[[#This Row],[Différence HP
Cumul]]/(Tableau1[[#This Row],[Diff jour_x000D_
Cumul]]*24)</f>
        <v>-9.2095063681300999</v>
      </c>
      <c r="P548" s="80">
        <f>Tableau1[[#This Row],[Différence HP
Cumul]]/Tableau1[[#This Row],[Diff jour_x000D_
Cumul]]</f>
        <v>-221.0281528351224</v>
      </c>
      <c r="Q548" s="80">
        <f>Tableau1[[#This Row],[Conso HP / jour
Cumul]]*365</f>
        <v>-80675.275784819678</v>
      </c>
      <c r="R548" s="78">
        <v>1244</v>
      </c>
      <c r="S548" s="79">
        <f>Tableau1[[#This Row],[Index HC_x000D_
kWh]]-R547</f>
        <v>25</v>
      </c>
      <c r="T548" s="81">
        <f>Tableau1[[#This Row],[Différence_x000D_ HC
Instantané]]/(Tableau1[[#This Row],[Diff jour
Instantané]]*24)</f>
        <v>1.1160714285702684</v>
      </c>
      <c r="U548" s="81">
        <f>Tableau1[[#This Row],[Différence_x000D_ HC
Instantané]]/Tableau1[[#This Row],[Diff jour
Instantané]]</f>
        <v>26.785714285686446</v>
      </c>
      <c r="V548" s="81">
        <f>Tableau1[[#This Row],[Conso HC / jour_x000D_
Instantané]]*365</f>
        <v>9776.7857142755529</v>
      </c>
      <c r="W548" s="79">
        <f>Tableau1[[#This Row],[Index HC_x000D_
kWh]]-$R$5</f>
        <v>-118188</v>
      </c>
      <c r="X548" s="82">
        <f>Tableau1[[#This Row],[Différence HC
Cumul]]/(Tableau1[[#This Row],[Diff jour_x000D_
Cumul]]*24)</f>
        <v>-6.1431360896510947</v>
      </c>
      <c r="Y548" s="82">
        <f>Tableau1[[#This Row],[Différence HC
Cumul]]/Tableau1[[#This Row],[Diff jour_x000D_
Cumul]]</f>
        <v>-147.43526615162628</v>
      </c>
      <c r="Z548" s="82">
        <f>Tableau1[[#This Row],[Conso HC / jour_x000D_
Cumul]]*365</f>
        <v>-53813.872145343594</v>
      </c>
      <c r="AA548" s="79">
        <f>Tableau1[[#This Row],[Différence HP
Instantané]]+Tableau1[[#This Row],[Différence_x000D_ HC
Instantané]]</f>
        <v>66</v>
      </c>
      <c r="AB548" s="80">
        <f>Tableau1[[#This Row],[Conso HP + HC
Instantané]]/(Tableau1[[#This Row],[Diff jour
Instantané]]*24)</f>
        <v>2.9464285714255087</v>
      </c>
      <c r="AC548" s="80">
        <f>IF(ISERROR(Tableau1[[#This Row],[Date]]-A547),"",Tableau1[[#This Row],[Conso HP + HC
Instantané]]/Tableau1[[#This Row],[Diff jour
Instantané]])</f>
        <v>70.71428571421221</v>
      </c>
      <c r="AD548" s="80">
        <f>Tableau1[[#This Row],[Conso HP + HC / jour_x000D_
Instantané]]*365</f>
        <v>25810.714285687456</v>
      </c>
      <c r="AE548" s="79">
        <f>Tableau1[[#This Row],[Différence HP
Cumul]]+Tableau1[[#This Row],[Différence HC
Cumul]]</f>
        <v>-295370</v>
      </c>
      <c r="AF548" s="77">
        <f>(Tableau1[[#This Row],[Conso HP + HC
Cumul]]-AE$6)/Tableau1[[#This Row],[Diff jour_x000D_
Cumul
depuis le 24/01]]</f>
        <v>-390.20851258114931</v>
      </c>
      <c r="AG548" s="77">
        <f>(Tableau1[[#This Row],[Conso HP + HC
Cumul]]-AE$59)/Tableau1[[#This Row],[Diff jour_x000D_
Cumul
depuis
précédente facture
16/02/2021]]</f>
        <v>-404.23408310951424</v>
      </c>
      <c r="AH548" s="80">
        <f>Tableau1[[#This Row],[Conso HP + HC
Cumul]]/(Tableau1[[#This Row],[Diff jour_x000D_
Cumul]]*24)</f>
        <v>-15.352642457781196</v>
      </c>
      <c r="AI548" s="80">
        <f>Tableau1[[#This Row],[Conso HP + HC
Cumul]]/Tableau1[[#This Row],[Diff jour_x000D_
Cumul]]</f>
        <v>-368.46341898674871</v>
      </c>
      <c r="AJ548" s="80">
        <f>Tableau1[[#This Row],[Conso HP + HC / jour_x000D_
Cumul]]*365</f>
        <v>-134489.14793016328</v>
      </c>
      <c r="AK548" s="83">
        <f>(Tableau1[[#This Row],[Différence HP
Cumul]]*0.1799)+(Tableau1[[#This Row],[Différence HC
Cumul]]*0.1346)</f>
        <v>-47783.1466</v>
      </c>
      <c r="AL548" s="83">
        <f>Tableau1[[#This Row],[Montant
Tarif HP/HC]]/Tableau1[[#This Row],[Diff jour_x000D_
Cumul]]</f>
        <v>-59.607751519047419</v>
      </c>
      <c r="AM548" s="83">
        <f>(Tableau1[[#This Row],[Montant
Tarif HP/HC]]-AK$6)/Tableau1[[#This Row],[Diff jour_x000D_
Cumul
depuis le 24/01]]</f>
        <v>-63.136678212499667</v>
      </c>
      <c r="AN548" s="83">
        <f>(Tableau1[[#This Row],[Montant
Tarif HP/HC]]-AK$59)/Tableau1[[#This Row],[Diff jour_x000D_
Cumul
depuis
précédente facture
16/02/2021]]</f>
        <v>-65.416417605527158</v>
      </c>
      <c r="AO548" s="83">
        <f>Tableau1[[#This Row],[Conso HP + HC
Cumul]]*0.1599</f>
        <v>-47229.662999999993</v>
      </c>
      <c r="AP548" s="83">
        <f>Tableau1[[#This Row],[Montant
Tarif normal]]/Tableau1[[#This Row],[Diff jour_x000D_
Cumul]]</f>
        <v>-58.917300695981105</v>
      </c>
      <c r="AQ548" s="83">
        <f>(Tableau1[[#This Row],[Conso HP / an
Cumul]]*0.1799)+(Tableau1[[#This Row],[Conso HC / an_x000D_
Cumul]]*0.1346)</f>
        <v>-21756.829304452309</v>
      </c>
      <c r="AR548" s="83">
        <f>Tableau1[[#This Row],[Conso HP + HC / an_x000D_
Cumul]]*0.1599</f>
        <v>-21504.814754033105</v>
      </c>
      <c r="AS548" s="79">
        <f>MONTH(Tableau1[[#This Row],[Date]])</f>
        <v>2</v>
      </c>
      <c r="AT548" s="79">
        <f>YEAR(Tableau1[[#This Row],[Date]])</f>
        <v>2023</v>
      </c>
    </row>
    <row r="549" spans="1:46" x14ac:dyDescent="0.2">
      <c r="A549" s="74">
        <v>44985.313194444447</v>
      </c>
      <c r="B549" s="75"/>
      <c r="C549" s="76">
        <f>IF(ISERROR(Tableau1[[#This Row],[Date]]-A548),"",Tableau1[[#This Row],[Date]]-A548)</f>
        <v>0.97847222222480923</v>
      </c>
      <c r="D549" s="77">
        <f>IF(ISERROR(Tableau1[[#This Row],[Date]]-A548),"",Tableau1[[#This Row],[Date]]-A548)</f>
        <v>0.97847222222480923</v>
      </c>
      <c r="E549" s="76">
        <f>Tableau1[[#This Row],[Date]]-$A$5</f>
        <v>802.60486111111095</v>
      </c>
      <c r="F549" s="77">
        <f>Tableau1[[#This Row],[Date]]-$A$5</f>
        <v>802.60486111111095</v>
      </c>
      <c r="G549" s="77">
        <f>Tableau1[[#This Row],[Diff jour_x000D_
Cumul]]-F$6</f>
        <v>764.52152777778247</v>
      </c>
      <c r="H549" s="77">
        <f>Tableau1[[#This Row],[Diff jour_x000D_
Cumul]]-F$59</f>
        <v>742.00208333333285</v>
      </c>
      <c r="I549" s="78">
        <v>2625</v>
      </c>
      <c r="J549" s="79">
        <f>IF(ISERROR(Tableau1[[#This Row],[Index HP
kWh]]-I548),"",Tableau1[[#This Row],[Index HP
kWh]]-I548)</f>
        <v>48</v>
      </c>
      <c r="K549" s="77">
        <f>IF(ISERROR(Tableau1[[#This Row],[Différence HP
Instantané]]/(Tableau1[[#This Row],[Diff jour
Instantané]]*24)),"",Tableau1[[#This Row],[Différence HP
Instantané]]/(Tableau1[[#This Row],[Diff jour
Instantané]]*24))</f>
        <v>2.0440028388874274</v>
      </c>
      <c r="L549" s="77">
        <f>Tableau1[[#This Row],[Différence HP
Instantané]]/Tableau1[[#This Row],[Diff jour
Instantané]]</f>
        <v>49.056068133298261</v>
      </c>
      <c r="M549" s="77">
        <f>Tableau1[[#This Row],[Conso HP / jour
Instantané]]*365</f>
        <v>17905.464868653864</v>
      </c>
      <c r="N549" s="79">
        <f>Tableau1[[#This Row],[Index HP
kWh]]-$I$5</f>
        <v>-177134</v>
      </c>
      <c r="O549" s="80">
        <f>Tableau1[[#This Row],[Différence HP
Cumul]]/(Tableau1[[#This Row],[Diff jour_x000D_
Cumul]]*24)</f>
        <v>-9.1957869817979851</v>
      </c>
      <c r="P549" s="80">
        <f>Tableau1[[#This Row],[Différence HP
Cumul]]/Tableau1[[#This Row],[Diff jour_x000D_
Cumul]]</f>
        <v>-220.69888756315163</v>
      </c>
      <c r="Q549" s="80">
        <f>Tableau1[[#This Row],[Conso HP / jour
Cumul]]*365</f>
        <v>-80555.093960550352</v>
      </c>
      <c r="R549" s="78">
        <v>1269</v>
      </c>
      <c r="S549" s="79">
        <f>Tableau1[[#This Row],[Index HC_x000D_
kWh]]-R548</f>
        <v>25</v>
      </c>
      <c r="T549" s="81">
        <f>Tableau1[[#This Row],[Différence_x000D_ HC
Instantané]]/(Tableau1[[#This Row],[Diff jour
Instantané]]*24)</f>
        <v>1.0645848119205352</v>
      </c>
      <c r="U549" s="81">
        <f>Tableau1[[#This Row],[Différence_x000D_ HC
Instantané]]/Tableau1[[#This Row],[Diff jour
Instantané]]</f>
        <v>25.550035486092845</v>
      </c>
      <c r="V549" s="81">
        <f>Tableau1[[#This Row],[Conso HC / jour_x000D_
Instantané]]*365</f>
        <v>9325.7629524238891</v>
      </c>
      <c r="W549" s="79">
        <f>Tableau1[[#This Row],[Index HC_x000D_
kWh]]-$R$5</f>
        <v>-118163</v>
      </c>
      <c r="X549" s="82">
        <f>Tableau1[[#This Row],[Différence HC
Cumul]]/(Tableau1[[#This Row],[Diff jour_x000D_
Cumul]]*24)</f>
        <v>-6.1343490077014868</v>
      </c>
      <c r="Y549" s="82">
        <f>Tableau1[[#This Row],[Différence HC
Cumul]]/Tableau1[[#This Row],[Diff jour_x000D_
Cumul]]</f>
        <v>-147.22437618483568</v>
      </c>
      <c r="Z549" s="82">
        <f>Tableau1[[#This Row],[Conso HC / jour_x000D_
Cumul]]*365</f>
        <v>-53736.89730746502</v>
      </c>
      <c r="AA549" s="79">
        <f>Tableau1[[#This Row],[Différence HP
Instantané]]+Tableau1[[#This Row],[Différence_x000D_ HC
Instantané]]</f>
        <v>73</v>
      </c>
      <c r="AB549" s="80">
        <f>Tableau1[[#This Row],[Conso HP + HC
Instantané]]/(Tableau1[[#This Row],[Diff jour
Instantané]]*24)</f>
        <v>3.1085876508079626</v>
      </c>
      <c r="AC549" s="80">
        <f>IF(ISERROR(Tableau1[[#This Row],[Date]]-A548),"",Tableau1[[#This Row],[Conso HP + HC
Instantané]]/Tableau1[[#This Row],[Diff jour
Instantané]])</f>
        <v>74.606103619391106</v>
      </c>
      <c r="AD549" s="80">
        <f>Tableau1[[#This Row],[Conso HP + HC / jour_x000D_
Instantané]]*365</f>
        <v>27231.227821077755</v>
      </c>
      <c r="AE549" s="79">
        <f>Tableau1[[#This Row],[Différence HP
Cumul]]+Tableau1[[#This Row],[Différence HC
Cumul]]</f>
        <v>-295297</v>
      </c>
      <c r="AF549" s="77">
        <f>(Tableau1[[#This Row],[Conso HP + HC
Cumul]]-AE$6)/Tableau1[[#This Row],[Diff jour_x000D_
Cumul
depuis le 24/01]]</f>
        <v>-389.61361999289443</v>
      </c>
      <c r="AG549" s="77">
        <f>(Tableau1[[#This Row],[Conso HP + HC
Cumul]]-AE$59)/Tableau1[[#This Row],[Diff jour_x000D_
Cumul
depuis
précédente facture
16/02/2021]]</f>
        <v>-403.60264037893</v>
      </c>
      <c r="AH549" s="80">
        <f>Tableau1[[#This Row],[Conso HP + HC
Cumul]]/(Tableau1[[#This Row],[Diff jour_x000D_
Cumul]]*24)</f>
        <v>-15.330135989499471</v>
      </c>
      <c r="AI549" s="80">
        <f>Tableau1[[#This Row],[Conso HP + HC
Cumul]]/Tableau1[[#This Row],[Diff jour_x000D_
Cumul]]</f>
        <v>-367.92326374798733</v>
      </c>
      <c r="AJ549" s="80">
        <f>Tableau1[[#This Row],[Conso HP + HC / jour_x000D_
Cumul]]*365</f>
        <v>-134291.99126801538</v>
      </c>
      <c r="AK549" s="83">
        <f>(Tableau1[[#This Row],[Différence HP
Cumul]]*0.1799)+(Tableau1[[#This Row],[Différence HC
Cumul]]*0.1346)</f>
        <v>-47771.146399999998</v>
      </c>
      <c r="AL549" s="83">
        <f>Tableau1[[#This Row],[Montant
Tarif HP/HC]]/Tableau1[[#This Row],[Diff jour_x000D_
Cumul]]</f>
        <v>-59.520130907089857</v>
      </c>
      <c r="AM549" s="83">
        <f>(Tableau1[[#This Row],[Montant
Tarif HP/HC]]-AK$6)/Tableau1[[#This Row],[Diff jour_x000D_
Cumul
depuis le 24/01]]</f>
        <v>-63.040176435696957</v>
      </c>
      <c r="AN549" s="83">
        <f>(Tableau1[[#This Row],[Montant
Tarif HP/HC]]-AK$59)/Tableau1[[#This Row],[Diff jour_x000D_
Cumul
depuis
précédente facture
16/02/2021]]</f>
        <v>-65.313980767125017</v>
      </c>
      <c r="AO549" s="83">
        <f>Tableau1[[#This Row],[Conso HP + HC
Cumul]]*0.1599</f>
        <v>-47217.990299999998</v>
      </c>
      <c r="AP549" s="83">
        <f>Tableau1[[#This Row],[Montant
Tarif normal]]/Tableau1[[#This Row],[Diff jour_x000D_
Cumul]]</f>
        <v>-58.83092987330317</v>
      </c>
      <c r="AQ549" s="83">
        <f>(Tableau1[[#This Row],[Conso HP / an
Cumul]]*0.1799)+(Tableau1[[#This Row],[Conso HC / an_x000D_
Cumul]]*0.1346)</f>
        <v>-21724.847781087799</v>
      </c>
      <c r="AR549" s="83">
        <f>Tableau1[[#This Row],[Conso HP + HC / an_x000D_
Cumul]]*0.1599</f>
        <v>-21473.289403755658</v>
      </c>
      <c r="AS549" s="79">
        <f>MONTH(Tableau1[[#This Row],[Date]])</f>
        <v>2</v>
      </c>
      <c r="AT549" s="79">
        <f>YEAR(Tableau1[[#This Row],[Date]])</f>
        <v>2023</v>
      </c>
    </row>
    <row r="550" spans="1:46" x14ac:dyDescent="0.2">
      <c r="A550" s="74">
        <v>44986.343055555553</v>
      </c>
      <c r="B550" s="75"/>
      <c r="C550" s="76">
        <f>IF(ISERROR(Tableau1[[#This Row],[Date]]-A549),"",Tableau1[[#This Row],[Date]]-A549)</f>
        <v>1.0298611111065838</v>
      </c>
      <c r="D550" s="77">
        <f>IF(ISERROR(Tableau1[[#This Row],[Date]]-A549),"",Tableau1[[#This Row],[Date]]-A549)</f>
        <v>1.0298611111065838</v>
      </c>
      <c r="E550" s="76">
        <f>Tableau1[[#This Row],[Date]]-$A$5</f>
        <v>803.63472222221753</v>
      </c>
      <c r="F550" s="77">
        <f>Tableau1[[#This Row],[Date]]-$A$5</f>
        <v>803.63472222221753</v>
      </c>
      <c r="G550" s="77">
        <f>Tableau1[[#This Row],[Diff jour_x000D_
Cumul]]-F$6</f>
        <v>765.55138888888905</v>
      </c>
      <c r="H550" s="77">
        <f>Tableau1[[#This Row],[Diff jour_x000D_
Cumul]]-F$59</f>
        <v>743.03194444443943</v>
      </c>
      <c r="I550" s="78">
        <v>2674</v>
      </c>
      <c r="J550" s="79">
        <f>IF(ISERROR(Tableau1[[#This Row],[Index HP
kWh]]-I549),"",Tableau1[[#This Row],[Index HP
kWh]]-I549)</f>
        <v>49</v>
      </c>
      <c r="K550" s="77">
        <f>IF(ISERROR(Tableau1[[#This Row],[Différence HP
Instantané]]/(Tableau1[[#This Row],[Diff jour
Instantané]]*24)),"",Tableau1[[#This Row],[Différence HP
Instantané]]/(Tableau1[[#This Row],[Diff jour
Instantané]]*24))</f>
        <v>1.9824679703391261</v>
      </c>
      <c r="L550" s="77">
        <f>Tableau1[[#This Row],[Différence HP
Instantané]]/Tableau1[[#This Row],[Diff jour
Instantané]]</f>
        <v>47.579231288139027</v>
      </c>
      <c r="M550" s="77">
        <f>Tableau1[[#This Row],[Conso HP / jour
Instantané]]*365</f>
        <v>17366.419420170743</v>
      </c>
      <c r="N550" s="79">
        <f>Tableau1[[#This Row],[Index HP
kWh]]-$I$5</f>
        <v>-177085</v>
      </c>
      <c r="O550" s="80">
        <f>Tableau1[[#This Row],[Différence HP
Cumul]]/(Tableau1[[#This Row],[Diff jour_x000D_
Cumul]]*24)</f>
        <v>-9.1814620033632455</v>
      </c>
      <c r="P550" s="80">
        <f>Tableau1[[#This Row],[Différence HP
Cumul]]/Tableau1[[#This Row],[Diff jour_x000D_
Cumul]]</f>
        <v>-220.35508808071788</v>
      </c>
      <c r="Q550" s="80">
        <f>Tableau1[[#This Row],[Conso HP / jour
Cumul]]*365</f>
        <v>-80429.607149462026</v>
      </c>
      <c r="R550" s="78">
        <v>1293</v>
      </c>
      <c r="S550" s="79">
        <f>Tableau1[[#This Row],[Index HC_x000D_
kWh]]-R549</f>
        <v>24</v>
      </c>
      <c r="T550" s="81">
        <f>Tableau1[[#This Row],[Différence_x000D_ HC
Instantané]]/(Tableau1[[#This Row],[Diff jour
Instantané]]*24)</f>
        <v>0.97100472016610262</v>
      </c>
      <c r="U550" s="81">
        <f>Tableau1[[#This Row],[Différence_x000D_ HC
Instantané]]/Tableau1[[#This Row],[Diff jour
Instantané]]</f>
        <v>23.304113283986464</v>
      </c>
      <c r="V550" s="81">
        <f>Tableau1[[#This Row],[Conso HC / jour_x000D_
Instantané]]*365</f>
        <v>8506.0013486550597</v>
      </c>
      <c r="W550" s="79">
        <f>Tableau1[[#This Row],[Index HC_x000D_
kWh]]-$R$5</f>
        <v>-118139</v>
      </c>
      <c r="X550" s="82">
        <f>Tableau1[[#This Row],[Différence HC
Cumul]]/(Tableau1[[#This Row],[Diff jour_x000D_
Cumul]]*24)</f>
        <v>-6.125243468477457</v>
      </c>
      <c r="Y550" s="82">
        <f>Tableau1[[#This Row],[Différence HC
Cumul]]/Tableau1[[#This Row],[Diff jour_x000D_
Cumul]]</f>
        <v>-147.00584324345897</v>
      </c>
      <c r="Z550" s="82">
        <f>Tableau1[[#This Row],[Conso HC / jour_x000D_
Cumul]]*365</f>
        <v>-53657.132783862522</v>
      </c>
      <c r="AA550" s="79">
        <f>Tableau1[[#This Row],[Différence HP
Instantané]]+Tableau1[[#This Row],[Différence_x000D_ HC
Instantané]]</f>
        <v>73</v>
      </c>
      <c r="AB550" s="80">
        <f>Tableau1[[#This Row],[Conso HP + HC
Instantané]]/(Tableau1[[#This Row],[Diff jour
Instantané]]*24)</f>
        <v>2.9534726905052291</v>
      </c>
      <c r="AC550" s="80">
        <f>IF(ISERROR(Tableau1[[#This Row],[Date]]-A549),"",Tableau1[[#This Row],[Conso HP + HC
Instantané]]/Tableau1[[#This Row],[Diff jour
Instantané]])</f>
        <v>70.883344572125495</v>
      </c>
      <c r="AD550" s="80">
        <f>Tableau1[[#This Row],[Conso HP + HC / jour_x000D_
Instantané]]*365</f>
        <v>25872.420768825807</v>
      </c>
      <c r="AE550" s="79">
        <f>Tableau1[[#This Row],[Différence HP
Cumul]]+Tableau1[[#This Row],[Différence HC
Cumul]]</f>
        <v>-295224</v>
      </c>
      <c r="AF550" s="77">
        <f>(Tableau1[[#This Row],[Conso HP + HC
Cumul]]-AE$6)/Tableau1[[#This Row],[Diff jour_x000D_
Cumul
depuis le 24/01]]</f>
        <v>-388.994134583461</v>
      </c>
      <c r="AG550" s="77">
        <f>(Tableau1[[#This Row],[Conso HP + HC
Cumul]]-AE$59)/Tableau1[[#This Row],[Diff jour_x000D_
Cumul
depuis
précédente facture
16/02/2021]]</f>
        <v>-402.94499077541053</v>
      </c>
      <c r="AH550" s="80">
        <f>Tableau1[[#This Row],[Conso HP + HC
Cumul]]/(Tableau1[[#This Row],[Diff jour_x000D_
Cumul]]*24)</f>
        <v>-15.306705471840703</v>
      </c>
      <c r="AI550" s="80">
        <f>Tableau1[[#This Row],[Conso HP + HC
Cumul]]/Tableau1[[#This Row],[Diff jour_x000D_
Cumul]]</f>
        <v>-367.36093132417687</v>
      </c>
      <c r="AJ550" s="80">
        <f>Tableau1[[#This Row],[Conso HP + HC / jour_x000D_
Cumul]]*365</f>
        <v>-134086.73993332457</v>
      </c>
      <c r="AK550" s="83">
        <f>(Tableau1[[#This Row],[Différence HP
Cumul]]*0.1799)+(Tableau1[[#This Row],[Différence HC
Cumul]]*0.1346)</f>
        <v>-47759.100900000005</v>
      </c>
      <c r="AL550" s="83">
        <f>Tableau1[[#This Row],[Montant
Tarif HP/HC]]/Tableau1[[#This Row],[Diff jour_x000D_
Cumul]]</f>
        <v>-59.428866846290731</v>
      </c>
      <c r="AM550" s="83">
        <f>(Tableau1[[#This Row],[Montant
Tarif HP/HC]]-AK$6)/Tableau1[[#This Row],[Diff jour_x000D_
Cumul
depuis le 24/01]]</f>
        <v>-62.939636971899333</v>
      </c>
      <c r="AN550" s="83">
        <f>(Tableau1[[#This Row],[Montant
Tarif HP/HC]]-AK$59)/Tableau1[[#This Row],[Diff jour_x000D_
Cumul
depuis
précédente facture
16/02/2021]]</f>
        <v>-65.207242652570713</v>
      </c>
      <c r="AO550" s="83">
        <f>Tableau1[[#This Row],[Conso HP + HC
Cumul]]*0.1599</f>
        <v>-47206.317599999995</v>
      </c>
      <c r="AP550" s="83">
        <f>Tableau1[[#This Row],[Montant
Tarif normal]]/Tableau1[[#This Row],[Diff jour_x000D_
Cumul]]</f>
        <v>-58.741012918735876</v>
      </c>
      <c r="AQ550" s="83">
        <f>(Tableau1[[#This Row],[Conso HP / an
Cumul]]*0.1799)+(Tableau1[[#This Row],[Conso HC / an_x000D_
Cumul]]*0.1346)</f>
        <v>-21691.536398896114</v>
      </c>
      <c r="AR550" s="83">
        <f>Tableau1[[#This Row],[Conso HP + HC / an_x000D_
Cumul]]*0.1599</f>
        <v>-21440.469715338597</v>
      </c>
      <c r="AS550" s="79">
        <f>MONTH(Tableau1[[#This Row],[Date]])</f>
        <v>3</v>
      </c>
      <c r="AT550" s="79">
        <f>YEAR(Tableau1[[#This Row],[Date]])</f>
        <v>2023</v>
      </c>
    </row>
    <row r="551" spans="1:46" x14ac:dyDescent="0.2">
      <c r="A551" s="74">
        <v>44987.344444444447</v>
      </c>
      <c r="B551" s="75"/>
      <c r="C551" s="76">
        <f>IF(ISERROR(Tableau1[[#This Row],[Date]]-A550),"",Tableau1[[#This Row],[Date]]-A550)</f>
        <v>1.0013888888934162</v>
      </c>
      <c r="D551" s="77">
        <f>IF(ISERROR(Tableau1[[#This Row],[Date]]-A550),"",Tableau1[[#This Row],[Date]]-A550)</f>
        <v>1.0013888888934162</v>
      </c>
      <c r="E551" s="76">
        <f>Tableau1[[#This Row],[Date]]-$A$5</f>
        <v>804.63611111111095</v>
      </c>
      <c r="F551" s="77">
        <f>Tableau1[[#This Row],[Date]]-$A$5</f>
        <v>804.63611111111095</v>
      </c>
      <c r="G551" s="77">
        <f>Tableau1[[#This Row],[Diff jour_x000D_
Cumul]]-F$6</f>
        <v>766.55277777778247</v>
      </c>
      <c r="H551" s="77">
        <f>Tableau1[[#This Row],[Diff jour_x000D_
Cumul]]-F$59</f>
        <v>744.03333333333285</v>
      </c>
      <c r="I551" s="78">
        <v>2717</v>
      </c>
      <c r="J551" s="79">
        <f>IF(ISERROR(Tableau1[[#This Row],[Index HP
kWh]]-I550),"",Tableau1[[#This Row],[Index HP
kWh]]-I550)</f>
        <v>43</v>
      </c>
      <c r="K551" s="77">
        <f>IF(ISERROR(Tableau1[[#This Row],[Différence HP
Instantané]]/(Tableau1[[#This Row],[Diff jour
Instantané]]*24)),"",Tableau1[[#This Row],[Différence HP
Instantané]]/(Tableau1[[#This Row],[Diff jour
Instantané]]*24))</f>
        <v>1.7891816920862247</v>
      </c>
      <c r="L551" s="77">
        <f>Tableau1[[#This Row],[Différence HP
Instantané]]/Tableau1[[#This Row],[Diff jour
Instantané]]</f>
        <v>42.940360610069391</v>
      </c>
      <c r="M551" s="77">
        <f>Tableau1[[#This Row],[Conso HP / jour
Instantané]]*365</f>
        <v>15673.231622675328</v>
      </c>
      <c r="N551" s="79">
        <f>Tableau1[[#This Row],[Index HP
kWh]]-$I$5</f>
        <v>-177042</v>
      </c>
      <c r="O551" s="80">
        <f>Tableau1[[#This Row],[Différence HP
Cumul]]/(Tableau1[[#This Row],[Diff jour_x000D_
Cumul]]*24)</f>
        <v>-9.1678087748430119</v>
      </c>
      <c r="P551" s="80">
        <f>Tableau1[[#This Row],[Différence HP
Cumul]]/Tableau1[[#This Row],[Diff jour_x000D_
Cumul]]</f>
        <v>-220.0274105962323</v>
      </c>
      <c r="Q551" s="80">
        <f>Tableau1[[#This Row],[Conso HP / jour
Cumul]]*365</f>
        <v>-80310.004867624782</v>
      </c>
      <c r="R551" s="78">
        <v>1318</v>
      </c>
      <c r="S551" s="79">
        <f>Tableau1[[#This Row],[Index HC_x000D_
kWh]]-R550</f>
        <v>25</v>
      </c>
      <c r="T551" s="81">
        <f>Tableau1[[#This Row],[Différence_x000D_ HC
Instantané]]/(Tableau1[[#This Row],[Diff jour
Instantané]]*24)</f>
        <v>1.0402219140036189</v>
      </c>
      <c r="U551" s="81">
        <f>Tableau1[[#This Row],[Différence_x000D_ HC
Instantané]]/Tableau1[[#This Row],[Diff jour
Instantané]]</f>
        <v>24.965325936086856</v>
      </c>
      <c r="V551" s="81">
        <f>Tableau1[[#This Row],[Conso HC / jour_x000D_
Instantané]]*365</f>
        <v>9112.3439666717022</v>
      </c>
      <c r="W551" s="79">
        <f>Tableau1[[#This Row],[Index HC_x000D_
kWh]]-$R$5</f>
        <v>-118114</v>
      </c>
      <c r="X551" s="82">
        <f>Tableau1[[#This Row],[Différence HC
Cumul]]/(Tableau1[[#This Row],[Diff jour_x000D_
Cumul]]*24)</f>
        <v>-6.1163258753957113</v>
      </c>
      <c r="Y551" s="82">
        <f>Tableau1[[#This Row],[Différence HC
Cumul]]/Tableau1[[#This Row],[Diff jour_x000D_
Cumul]]</f>
        <v>-146.79182100949708</v>
      </c>
      <c r="Z551" s="82">
        <f>Tableau1[[#This Row],[Conso HC / jour_x000D_
Cumul]]*365</f>
        <v>-53579.014668466436</v>
      </c>
      <c r="AA551" s="79">
        <f>Tableau1[[#This Row],[Différence HP
Instantané]]+Tableau1[[#This Row],[Différence_x000D_ HC
Instantané]]</f>
        <v>68</v>
      </c>
      <c r="AB551" s="80">
        <f>Tableau1[[#This Row],[Conso HP + HC
Instantané]]/(Tableau1[[#This Row],[Diff jour
Instantané]]*24)</f>
        <v>2.8294036060898438</v>
      </c>
      <c r="AC551" s="80">
        <f>IF(ISERROR(Tableau1[[#This Row],[Date]]-A550),"",Tableau1[[#This Row],[Conso HP + HC
Instantané]]/Tableau1[[#This Row],[Diff jour
Instantané]])</f>
        <v>67.905686546156247</v>
      </c>
      <c r="AD551" s="80">
        <f>Tableau1[[#This Row],[Conso HP + HC / jour_x000D_
Instantané]]*365</f>
        <v>24785.57558934703</v>
      </c>
      <c r="AE551" s="79">
        <f>Tableau1[[#This Row],[Différence HP
Cumul]]+Tableau1[[#This Row],[Différence HC
Cumul]]</f>
        <v>-295156</v>
      </c>
      <c r="AF551" s="77">
        <f>(Tableau1[[#This Row],[Conso HP + HC
Cumul]]-AE$6)/Tableau1[[#This Row],[Diff jour_x000D_
Cumul
depuis le 24/01]]</f>
        <v>-388.39726191209326</v>
      </c>
      <c r="AG551" s="77">
        <f>(Tableau1[[#This Row],[Conso HP + HC
Cumul]]-AE$59)/Tableau1[[#This Row],[Diff jour_x000D_
Cumul
depuis
précédente facture
16/02/2021]]</f>
        <v>-402.31127637650667</v>
      </c>
      <c r="AH551" s="80">
        <f>Tableau1[[#This Row],[Conso HP + HC
Cumul]]/(Tableau1[[#This Row],[Diff jour_x000D_
Cumul]]*24)</f>
        <v>-15.284134650238723</v>
      </c>
      <c r="AI551" s="80">
        <f>Tableau1[[#This Row],[Conso HP + HC
Cumul]]/Tableau1[[#This Row],[Diff jour_x000D_
Cumul]]</f>
        <v>-366.81923160572939</v>
      </c>
      <c r="AJ551" s="80">
        <f>Tableau1[[#This Row],[Conso HP + HC / jour_x000D_
Cumul]]*365</f>
        <v>-133889.01953609122</v>
      </c>
      <c r="AK551" s="83">
        <f>(Tableau1[[#This Row],[Différence HP
Cumul]]*0.1799)+(Tableau1[[#This Row],[Différence HC
Cumul]]*0.1346)</f>
        <v>-47748.000200000002</v>
      </c>
      <c r="AL551" s="83">
        <f>Tableau1[[#This Row],[Montant
Tarif HP/HC]]/Tableau1[[#This Row],[Diff jour_x000D_
Cumul]]</f>
        <v>-59.341110274140497</v>
      </c>
      <c r="AM551" s="83">
        <f>(Tableau1[[#This Row],[Montant
Tarif HP/HC]]-AK$6)/Tableau1[[#This Row],[Diff jour_x000D_
Cumul
depuis le 24/01]]</f>
        <v>-62.842934232983509</v>
      </c>
      <c r="AN551" s="83">
        <f>(Tableau1[[#This Row],[Montant
Tarif HP/HC]]-AK$59)/Tableau1[[#This Row],[Diff jour_x000D_
Cumul
depuis
précédente facture
16/02/2021]]</f>
        <v>-65.104561085972904</v>
      </c>
      <c r="AO551" s="83">
        <f>Tableau1[[#This Row],[Conso HP + HC
Cumul]]*0.1599</f>
        <v>-47195.444399999993</v>
      </c>
      <c r="AP551" s="83">
        <f>Tableau1[[#This Row],[Montant
Tarif normal]]/Tableau1[[#This Row],[Diff jour_x000D_
Cumul]]</f>
        <v>-58.654395133756118</v>
      </c>
      <c r="AQ551" s="83">
        <f>(Tableau1[[#This Row],[Conso HP / an
Cumul]]*0.1799)+(Tableau1[[#This Row],[Conso HC / an_x000D_
Cumul]]*0.1346)</f>
        <v>-21659.50525006128</v>
      </c>
      <c r="AR551" s="83">
        <f>Tableau1[[#This Row],[Conso HP + HC / an_x000D_
Cumul]]*0.1599</f>
        <v>-21408.854223820985</v>
      </c>
      <c r="AS551" s="79">
        <f>MONTH(Tableau1[[#This Row],[Date]])</f>
        <v>3</v>
      </c>
      <c r="AT551" s="79">
        <f>YEAR(Tableau1[[#This Row],[Date]])</f>
        <v>2023</v>
      </c>
    </row>
    <row r="552" spans="1:46" x14ac:dyDescent="0.2">
      <c r="A552" s="74">
        <v>44988.355555555558</v>
      </c>
      <c r="B552" s="75"/>
      <c r="C552" s="76">
        <f>IF(ISERROR(Tableau1[[#This Row],[Date]]-A551),"",Tableau1[[#This Row],[Date]]-A551)</f>
        <v>1.0111111111109494</v>
      </c>
      <c r="D552" s="77">
        <f>IF(ISERROR(Tableau1[[#This Row],[Date]]-A551),"",Tableau1[[#This Row],[Date]]-A551)</f>
        <v>1.0111111111109494</v>
      </c>
      <c r="E552" s="76">
        <f>Tableau1[[#This Row],[Date]]-$A$5</f>
        <v>805.6472222222219</v>
      </c>
      <c r="F552" s="77">
        <f>Tableau1[[#This Row],[Date]]-$A$5</f>
        <v>805.6472222222219</v>
      </c>
      <c r="G552" s="77">
        <f>Tableau1[[#This Row],[Diff jour_x000D_
Cumul]]-F$6</f>
        <v>767.56388888889342</v>
      </c>
      <c r="H552" s="77">
        <f>Tableau1[[#This Row],[Diff jour_x000D_
Cumul]]-F$59</f>
        <v>745.0444444444438</v>
      </c>
      <c r="I552" s="78">
        <v>2759</v>
      </c>
      <c r="J552" s="79">
        <f>IF(ISERROR(Tableau1[[#This Row],[Index HP
kWh]]-I551),"",Tableau1[[#This Row],[Index HP
kWh]]-I551)</f>
        <v>42</v>
      </c>
      <c r="K552" s="77">
        <f>IF(ISERROR(Tableau1[[#This Row],[Différence HP
Instantané]]/(Tableau1[[#This Row],[Diff jour
Instantané]]*24)),"",Tableau1[[#This Row],[Différence HP
Instantané]]/(Tableau1[[#This Row],[Diff jour
Instantané]]*24))</f>
        <v>1.7307692307695075</v>
      </c>
      <c r="L552" s="77">
        <f>Tableau1[[#This Row],[Différence HP
Instantané]]/Tableau1[[#This Row],[Diff jour
Instantané]]</f>
        <v>41.538461538468184</v>
      </c>
      <c r="M552" s="77">
        <f>Tableau1[[#This Row],[Conso HP / jour
Instantané]]*365</f>
        <v>15161.538461540888</v>
      </c>
      <c r="N552" s="79">
        <f>Tableau1[[#This Row],[Index HP
kWh]]-$I$5</f>
        <v>-177000</v>
      </c>
      <c r="O552" s="80">
        <f>Tableau1[[#This Row],[Différence HP
Cumul]]/(Tableau1[[#This Row],[Diff jour_x000D_
Cumul]]*24)</f>
        <v>-9.1541307368471898</v>
      </c>
      <c r="P552" s="80">
        <f>Tableau1[[#This Row],[Différence HP
Cumul]]/Tableau1[[#This Row],[Diff jour_x000D_
Cumul]]</f>
        <v>-219.69913768433256</v>
      </c>
      <c r="Q552" s="80">
        <f>Tableau1[[#This Row],[Conso HP / jour
Cumul]]*365</f>
        <v>-80190.185254781376</v>
      </c>
      <c r="R552" s="78">
        <v>1340</v>
      </c>
      <c r="S552" s="79">
        <f>Tableau1[[#This Row],[Index HC_x000D_
kWh]]-R551</f>
        <v>22</v>
      </c>
      <c r="T552" s="81">
        <f>Tableau1[[#This Row],[Différence_x000D_ HC
Instantané]]/(Tableau1[[#This Row],[Diff jour
Instantané]]*24)</f>
        <v>0.90659340659355159</v>
      </c>
      <c r="U552" s="81">
        <f>Tableau1[[#This Row],[Différence_x000D_ HC
Instantané]]/Tableau1[[#This Row],[Diff jour
Instantané]]</f>
        <v>21.758241758245237</v>
      </c>
      <c r="V552" s="81">
        <f>Tableau1[[#This Row],[Conso HC / jour_x000D_
Instantané]]*365</f>
        <v>7941.7582417595113</v>
      </c>
      <c r="W552" s="79">
        <f>Tableau1[[#This Row],[Index HC_x000D_
kWh]]-$R$5</f>
        <v>-118092</v>
      </c>
      <c r="X552" s="82">
        <f>Tableau1[[#This Row],[Différence HC
Cumul]]/(Tableau1[[#This Row],[Diff jour_x000D_
Cumul]]*24)</f>
        <v>-6.1075119038178443</v>
      </c>
      <c r="Y552" s="82">
        <f>Tableau1[[#This Row],[Différence HC
Cumul]]/Tableau1[[#This Row],[Diff jour_x000D_
Cumul]]</f>
        <v>-146.58028569162826</v>
      </c>
      <c r="Z552" s="82">
        <f>Tableau1[[#This Row],[Conso HC / jour_x000D_
Cumul]]*365</f>
        <v>-53501.804277444317</v>
      </c>
      <c r="AA552" s="79">
        <f>Tableau1[[#This Row],[Différence HP
Instantané]]+Tableau1[[#This Row],[Différence_x000D_ HC
Instantané]]</f>
        <v>64</v>
      </c>
      <c r="AB552" s="80">
        <f>Tableau1[[#This Row],[Conso HP + HC
Instantané]]/(Tableau1[[#This Row],[Diff jour
Instantané]]*24)</f>
        <v>2.6373626373630592</v>
      </c>
      <c r="AC552" s="80">
        <f>IF(ISERROR(Tableau1[[#This Row],[Date]]-A551),"",Tableau1[[#This Row],[Conso HP + HC
Instantané]]/Tableau1[[#This Row],[Diff jour
Instantané]])</f>
        <v>63.296703296713417</v>
      </c>
      <c r="AD552" s="80">
        <f>Tableau1[[#This Row],[Conso HP + HC / jour_x000D_
Instantané]]*365</f>
        <v>23103.296703300399</v>
      </c>
      <c r="AE552" s="79">
        <f>Tableau1[[#This Row],[Différence HP
Cumul]]+Tableau1[[#This Row],[Différence HC
Cumul]]</f>
        <v>-295092</v>
      </c>
      <c r="AF552" s="77">
        <f>(Tableau1[[#This Row],[Conso HP + HC
Cumul]]-AE$6)/Tableau1[[#This Row],[Diff jour_x000D_
Cumul
depuis le 24/01]]</f>
        <v>-387.80224592234219</v>
      </c>
      <c r="AG552" s="77">
        <f>(Tableau1[[#This Row],[Conso HP + HC
Cumul]]-AE$59)/Tableau1[[#This Row],[Diff jour_x000D_
Cumul
depuis
précédente facture
16/02/2021]]</f>
        <v>-401.67939272824924</v>
      </c>
      <c r="AH552" s="80">
        <f>Tableau1[[#This Row],[Conso HP + HC
Cumul]]/(Tableau1[[#This Row],[Diff jour_x000D_
Cumul]]*24)</f>
        <v>-15.261642640665034</v>
      </c>
      <c r="AI552" s="80">
        <f>Tableau1[[#This Row],[Conso HP + HC
Cumul]]/Tableau1[[#This Row],[Diff jour_x000D_
Cumul]]</f>
        <v>-366.27942337596079</v>
      </c>
      <c r="AJ552" s="80">
        <f>Tableau1[[#This Row],[Conso HP + HC / jour_x000D_
Cumul]]*365</f>
        <v>-133691.98953222568</v>
      </c>
      <c r="AK552" s="83">
        <f>(Tableau1[[#This Row],[Différence HP
Cumul]]*0.1799)+(Tableau1[[#This Row],[Différence HC
Cumul]]*0.1346)</f>
        <v>-47737.483200000002</v>
      </c>
      <c r="AL552" s="83">
        <f>Tableau1[[#This Row],[Montant
Tarif HP/HC]]/Tableau1[[#This Row],[Diff jour_x000D_
Cumul]]</f>
        <v>-59.253581323504591</v>
      </c>
      <c r="AM552" s="83">
        <f>(Tableau1[[#This Row],[Montant
Tarif HP/HC]]-AK$6)/Tableau1[[#This Row],[Diff jour_x000D_
Cumul
depuis le 24/01]]</f>
        <v>-62.746449510174322</v>
      </c>
      <c r="AN552" s="83">
        <f>(Tableau1[[#This Row],[Montant
Tarif HP/HC]]-AK$59)/Tableau1[[#This Row],[Diff jour_x000D_
Cumul
depuis
précédente facture
16/02/2021]]</f>
        <v>-65.002090762668956</v>
      </c>
      <c r="AO552" s="83">
        <f>Tableau1[[#This Row],[Conso HP + HC
Cumul]]*0.1599</f>
        <v>-47185.210799999993</v>
      </c>
      <c r="AP552" s="83">
        <f>Tableau1[[#This Row],[Montant
Tarif normal]]/Tableau1[[#This Row],[Diff jour_x000D_
Cumul]]</f>
        <v>-58.568079797816125</v>
      </c>
      <c r="AQ552" s="83">
        <f>(Tableau1[[#This Row],[Conso HP / an
Cumul]]*0.1799)+(Tableau1[[#This Row],[Conso HC / an_x000D_
Cumul]]*0.1346)</f>
        <v>-21627.557183079174</v>
      </c>
      <c r="AR552" s="83">
        <f>Tableau1[[#This Row],[Conso HP + HC / an_x000D_
Cumul]]*0.1599</f>
        <v>-21377.349126202884</v>
      </c>
      <c r="AS552" s="79">
        <f>MONTH(Tableau1[[#This Row],[Date]])</f>
        <v>3</v>
      </c>
      <c r="AT552" s="79">
        <f>YEAR(Tableau1[[#This Row],[Date]])</f>
        <v>2023</v>
      </c>
    </row>
    <row r="553" spans="1:46" x14ac:dyDescent="0.2">
      <c r="A553" s="74">
        <v>44989.372916666667</v>
      </c>
      <c r="B553" s="75"/>
      <c r="C553" s="76">
        <f>IF(ISERROR(Tableau1[[#This Row],[Date]]-A552),"",Tableau1[[#This Row],[Date]]-A552)</f>
        <v>1.0173611111094942</v>
      </c>
      <c r="D553" s="77">
        <f>IF(ISERROR(Tableau1[[#This Row],[Date]]-A552),"",Tableau1[[#This Row],[Date]]-A552)</f>
        <v>1.0173611111094942</v>
      </c>
      <c r="E553" s="76">
        <f>Tableau1[[#This Row],[Date]]-$A$5</f>
        <v>806.66458333333139</v>
      </c>
      <c r="F553" s="77">
        <f>Tableau1[[#This Row],[Date]]-$A$5</f>
        <v>806.66458333333139</v>
      </c>
      <c r="G553" s="77">
        <f>Tableau1[[#This Row],[Diff jour_x000D_
Cumul]]-F$6</f>
        <v>768.58125000000291</v>
      </c>
      <c r="H553" s="77">
        <f>Tableau1[[#This Row],[Diff jour_x000D_
Cumul]]-F$59</f>
        <v>746.06180555555329</v>
      </c>
      <c r="I553" s="78">
        <v>2800</v>
      </c>
      <c r="J553" s="79">
        <f>IF(ISERROR(Tableau1[[#This Row],[Index HP
kWh]]-I552),"",Tableau1[[#This Row],[Index HP
kWh]]-I552)</f>
        <v>41</v>
      </c>
      <c r="K553" s="77">
        <f>IF(ISERROR(Tableau1[[#This Row],[Différence HP
Instantané]]/(Tableau1[[#This Row],[Diff jour
Instantané]]*24)),"",Tableau1[[#This Row],[Différence HP
Instantané]]/(Tableau1[[#This Row],[Diff jour
Instantané]]*24))</f>
        <v>1.6791808873746823</v>
      </c>
      <c r="L553" s="77">
        <f>Tableau1[[#This Row],[Différence HP
Instantané]]/Tableau1[[#This Row],[Diff jour
Instantané]]</f>
        <v>40.300341296992379</v>
      </c>
      <c r="M553" s="77">
        <f>Tableau1[[#This Row],[Conso HP / jour
Instantané]]*365</f>
        <v>14709.624573402218</v>
      </c>
      <c r="N553" s="79">
        <f>Tableau1[[#This Row],[Index HP
kWh]]-$I$5</f>
        <v>-176959</v>
      </c>
      <c r="O553" s="80">
        <f>Tableau1[[#This Row],[Différence HP
Cumul]]/(Tableau1[[#This Row],[Diff jour_x000D_
Cumul]]*24)</f>
        <v>-9.1404678214561716</v>
      </c>
      <c r="P553" s="80">
        <f>Tableau1[[#This Row],[Différence HP
Cumul]]/Tableau1[[#This Row],[Diff jour_x000D_
Cumul]]</f>
        <v>-219.37122771494813</v>
      </c>
      <c r="Q553" s="80">
        <f>Tableau1[[#This Row],[Conso HP / jour
Cumul]]*365</f>
        <v>-80070.49811595607</v>
      </c>
      <c r="R553" s="78">
        <v>1364</v>
      </c>
      <c r="S553" s="79">
        <f>Tableau1[[#This Row],[Index HC_x000D_
kWh]]-R552</f>
        <v>24</v>
      </c>
      <c r="T553" s="81">
        <f>Tableau1[[#This Row],[Différence_x000D_ HC
Instantané]]/(Tableau1[[#This Row],[Diff jour
Instantané]]*24)</f>
        <v>0.98293515358517991</v>
      </c>
      <c r="U553" s="81">
        <f>Tableau1[[#This Row],[Différence_x000D_ HC
Instantané]]/Tableau1[[#This Row],[Diff jour
Instantané]]</f>
        <v>23.590443686044317</v>
      </c>
      <c r="V553" s="81">
        <f>Tableau1[[#This Row],[Conso HC / jour_x000D_
Instantané]]*365</f>
        <v>8610.5119454061751</v>
      </c>
      <c r="W553" s="79">
        <f>Tableau1[[#This Row],[Index HC_x000D_
kWh]]-$R$5</f>
        <v>-118068</v>
      </c>
      <c r="X553" s="82">
        <f>Tableau1[[#This Row],[Différence HC
Cumul]]/(Tableau1[[#This Row],[Diff jour_x000D_
Cumul]]*24)</f>
        <v>-6.0985694694459589</v>
      </c>
      <c r="Y553" s="82">
        <f>Tableau1[[#This Row],[Différence HC
Cumul]]/Tableau1[[#This Row],[Diff jour_x000D_
Cumul]]</f>
        <v>-146.36566726670301</v>
      </c>
      <c r="Z553" s="82">
        <f>Tableau1[[#This Row],[Conso HC / jour_x000D_
Cumul]]*365</f>
        <v>-53423.468552346603</v>
      </c>
      <c r="AA553" s="79">
        <f>Tableau1[[#This Row],[Différence HP
Instantané]]+Tableau1[[#This Row],[Différence_x000D_ HC
Instantané]]</f>
        <v>65</v>
      </c>
      <c r="AB553" s="80">
        <f>Tableau1[[#This Row],[Conso HP + HC
Instantané]]/(Tableau1[[#This Row],[Diff jour
Instantané]]*24)</f>
        <v>2.6621160409598623</v>
      </c>
      <c r="AC553" s="80">
        <f>IF(ISERROR(Tableau1[[#This Row],[Date]]-A552),"",Tableau1[[#This Row],[Conso HP + HC
Instantané]]/Tableau1[[#This Row],[Diff jour
Instantané]])</f>
        <v>63.890784983036696</v>
      </c>
      <c r="AD553" s="80">
        <f>Tableau1[[#This Row],[Conso HP + HC / jour_x000D_
Instantané]]*365</f>
        <v>23320.136518808395</v>
      </c>
      <c r="AE553" s="79">
        <f>Tableau1[[#This Row],[Différence HP
Cumul]]+Tableau1[[#This Row],[Différence HC
Cumul]]</f>
        <v>-295027</v>
      </c>
      <c r="AF553" s="77">
        <f>(Tableau1[[#This Row],[Conso HP + HC
Cumul]]-AE$6)/Tableau1[[#This Row],[Diff jour_x000D_
Cumul
depuis le 24/01]]</f>
        <v>-387.20434566937314</v>
      </c>
      <c r="AG553" s="77">
        <f>(Tableau1[[#This Row],[Conso HP + HC
Cumul]]-AE$59)/Tableau1[[#This Row],[Diff jour_x000D_
Cumul
depuis
précédente facture
16/02/2021]]</f>
        <v>-401.04452174334057</v>
      </c>
      <c r="AH553" s="80">
        <f>Tableau1[[#This Row],[Conso HP + HC
Cumul]]/(Tableau1[[#This Row],[Diff jour_x000D_
Cumul]]*24)</f>
        <v>-15.239037290902131</v>
      </c>
      <c r="AI553" s="80">
        <f>Tableau1[[#This Row],[Conso HP + HC
Cumul]]/Tableau1[[#This Row],[Diff jour_x000D_
Cumul]]</f>
        <v>-365.73689498165112</v>
      </c>
      <c r="AJ553" s="80">
        <f>Tableau1[[#This Row],[Conso HP + HC / jour_x000D_
Cumul]]*365</f>
        <v>-133493.96666830266</v>
      </c>
      <c r="AK553" s="83">
        <f>(Tableau1[[#This Row],[Différence HP
Cumul]]*0.1799)+(Tableau1[[#This Row],[Différence HC
Cumul]]*0.1346)</f>
        <v>-47726.876900000003</v>
      </c>
      <c r="AL553" s="83">
        <f>Tableau1[[#This Row],[Montant
Tarif HP/HC]]/Tableau1[[#This Row],[Diff jour_x000D_
Cumul]]</f>
        <v>-59.165702680017397</v>
      </c>
      <c r="AM553" s="83">
        <f>(Tableau1[[#This Row],[Montant
Tarif HP/HC]]-AK$6)/Tableau1[[#This Row],[Diff jour_x000D_
Cumul
depuis le 24/01]]</f>
        <v>-62.649593000089219</v>
      </c>
      <c r="AN553" s="83">
        <f>(Tableau1[[#This Row],[Montant
Tarif HP/HC]]-AK$59)/Tableau1[[#This Row],[Diff jour_x000D_
Cumul
depuis
précédente facture
16/02/2021]]</f>
        <v>-64.899234807959402</v>
      </c>
      <c r="AO553" s="83">
        <f>Tableau1[[#This Row],[Conso HP + HC
Cumul]]*0.1599</f>
        <v>-47174.817299999995</v>
      </c>
      <c r="AP553" s="83">
        <f>Tableau1[[#This Row],[Montant
Tarif normal]]/Tableau1[[#This Row],[Diff jour_x000D_
Cumul]]</f>
        <v>-58.481329507566009</v>
      </c>
      <c r="AQ553" s="83">
        <f>(Tableau1[[#This Row],[Conso HP / an
Cumul]]*0.1799)+(Tableau1[[#This Row],[Conso HC / an_x000D_
Cumul]]*0.1346)</f>
        <v>-21595.481478206351</v>
      </c>
      <c r="AR553" s="83">
        <f>Tableau1[[#This Row],[Conso HP + HC / an_x000D_
Cumul]]*0.1599</f>
        <v>-21345.685270261594</v>
      </c>
      <c r="AS553" s="79">
        <f>MONTH(Tableau1[[#This Row],[Date]])</f>
        <v>3</v>
      </c>
      <c r="AT553" s="79">
        <f>YEAR(Tableau1[[#This Row],[Date]])</f>
        <v>2023</v>
      </c>
    </row>
    <row r="554" spans="1:46" x14ac:dyDescent="0.2">
      <c r="A554" s="74">
        <v>44990.393750000003</v>
      </c>
      <c r="B554" s="75"/>
      <c r="C554" s="76">
        <f>IF(ISERROR(Tableau1[[#This Row],[Date]]-A553),"",Tableau1[[#This Row],[Date]]-A553)</f>
        <v>1.0208333333357587</v>
      </c>
      <c r="D554" s="77">
        <f>IF(ISERROR(Tableau1[[#This Row],[Date]]-A553),"",Tableau1[[#This Row],[Date]]-A553)</f>
        <v>1.0208333333357587</v>
      </c>
      <c r="E554" s="76">
        <f>Tableau1[[#This Row],[Date]]-$A$5</f>
        <v>807.68541666666715</v>
      </c>
      <c r="F554" s="77">
        <f>Tableau1[[#This Row],[Date]]-$A$5</f>
        <v>807.68541666666715</v>
      </c>
      <c r="G554" s="77">
        <f>Tableau1[[#This Row],[Diff jour_x000D_
Cumul]]-F$6</f>
        <v>769.60208333333867</v>
      </c>
      <c r="H554" s="77">
        <f>Tableau1[[#This Row],[Diff jour_x000D_
Cumul]]-F$59</f>
        <v>747.08263888888905</v>
      </c>
      <c r="I554" s="78">
        <v>2843</v>
      </c>
      <c r="J554" s="79">
        <f>IF(ISERROR(Tableau1[[#This Row],[Index HP
kWh]]-I553),"",Tableau1[[#This Row],[Index HP
kWh]]-I553)</f>
        <v>43</v>
      </c>
      <c r="K554" s="77">
        <f>IF(ISERROR(Tableau1[[#This Row],[Différence HP
Instantané]]/(Tableau1[[#This Row],[Diff jour
Instantané]]*24)),"",Tableau1[[#This Row],[Différence HP
Instantané]]/(Tableau1[[#This Row],[Diff jour
Instantané]]*24))</f>
        <v>1.7551020408121567</v>
      </c>
      <c r="L554" s="77">
        <f>Tableau1[[#This Row],[Différence HP
Instantané]]/Tableau1[[#This Row],[Diff jour
Instantané]]</f>
        <v>42.122448979491764</v>
      </c>
      <c r="M554" s="77">
        <f>Tableau1[[#This Row],[Conso HP / jour
Instantané]]*365</f>
        <v>15374.693877514494</v>
      </c>
      <c r="N554" s="79">
        <f>Tableau1[[#This Row],[Index HP
kWh]]-$I$5</f>
        <v>-176916</v>
      </c>
      <c r="O554" s="80">
        <f>Tableau1[[#This Row],[Différence HP
Cumul]]/(Tableau1[[#This Row],[Diff jour_x000D_
Cumul]]*24)</f>
        <v>-9.1266969142792238</v>
      </c>
      <c r="P554" s="80">
        <f>Tableau1[[#This Row],[Différence HP
Cumul]]/Tableau1[[#This Row],[Diff jour_x000D_
Cumul]]</f>
        <v>-219.04072594270136</v>
      </c>
      <c r="Q554" s="80">
        <f>Tableau1[[#This Row],[Conso HP / jour
Cumul]]*365</f>
        <v>-79949.864969085989</v>
      </c>
      <c r="R554" s="78">
        <v>1388</v>
      </c>
      <c r="S554" s="79">
        <f>Tableau1[[#This Row],[Index HC_x000D_
kWh]]-R553</f>
        <v>24</v>
      </c>
      <c r="T554" s="81">
        <f>Tableau1[[#This Row],[Différence_x000D_ HC
Instantané]]/(Tableau1[[#This Row],[Diff jour
Instantané]]*24)</f>
        <v>0.97959183673236649</v>
      </c>
      <c r="U554" s="81">
        <f>Tableau1[[#This Row],[Différence_x000D_ HC
Instantané]]/Tableau1[[#This Row],[Diff jour
Instantané]]</f>
        <v>23.510204081576799</v>
      </c>
      <c r="V554" s="81">
        <f>Tableau1[[#This Row],[Conso HC / jour_x000D_
Instantané]]*365</f>
        <v>8581.2244897755318</v>
      </c>
      <c r="W554" s="79">
        <f>Tableau1[[#This Row],[Index HC_x000D_
kWh]]-$R$5</f>
        <v>-118044</v>
      </c>
      <c r="X554" s="82">
        <f>Tableau1[[#This Row],[Différence HC
Cumul]]/(Tableau1[[#This Row],[Diff jour_x000D_
Cumul]]*24)</f>
        <v>-6.0896233836915634</v>
      </c>
      <c r="Y554" s="82">
        <f>Tableau1[[#This Row],[Différence HC
Cumul]]/Tableau1[[#This Row],[Diff jour_x000D_
Cumul]]</f>
        <v>-146.15096120859752</v>
      </c>
      <c r="Z554" s="82">
        <f>Tableau1[[#This Row],[Conso HC / jour_x000D_
Cumul]]*365</f>
        <v>-53345.100841138097</v>
      </c>
      <c r="AA554" s="79">
        <f>Tableau1[[#This Row],[Différence HP
Instantané]]+Tableau1[[#This Row],[Différence_x000D_ HC
Instantané]]</f>
        <v>67</v>
      </c>
      <c r="AB554" s="80">
        <f>Tableau1[[#This Row],[Conso HP + HC
Instantané]]/(Tableau1[[#This Row],[Diff jour
Instantané]]*24)</f>
        <v>2.7346938775445233</v>
      </c>
      <c r="AC554" s="80">
        <f>IF(ISERROR(Tableau1[[#This Row],[Date]]-A553),"",Tableau1[[#This Row],[Conso HP + HC
Instantané]]/Tableau1[[#This Row],[Diff jour
Instantané]])</f>
        <v>65.632653061068552</v>
      </c>
      <c r="AD554" s="80">
        <f>Tableau1[[#This Row],[Conso HP + HC / jour_x000D_
Instantané]]*365</f>
        <v>23955.918367290022</v>
      </c>
      <c r="AE554" s="79">
        <f>Tableau1[[#This Row],[Différence HP
Cumul]]+Tableau1[[#This Row],[Différence HC
Cumul]]</f>
        <v>-294960</v>
      </c>
      <c r="AF554" s="77">
        <f>(Tableau1[[#This Row],[Conso HP + HC
Cumul]]-AE$6)/Tableau1[[#This Row],[Diff jour_x000D_
Cumul
depuis le 24/01]]</f>
        <v>-386.60368318042879</v>
      </c>
      <c r="AG554" s="77">
        <f>(Tableau1[[#This Row],[Conso HP + HC
Cumul]]-AE$59)/Tableau1[[#This Row],[Diff jour_x000D_
Cumul
depuis
précédente facture
16/02/2021]]</f>
        <v>-400.40684179851434</v>
      </c>
      <c r="AH554" s="80">
        <f>Tableau1[[#This Row],[Conso HP + HC
Cumul]]/(Tableau1[[#This Row],[Diff jour_x000D_
Cumul]]*24)</f>
        <v>-15.216320297970787</v>
      </c>
      <c r="AI554" s="80">
        <f>Tableau1[[#This Row],[Conso HP + HC
Cumul]]/Tableau1[[#This Row],[Diff jour_x000D_
Cumul]]</f>
        <v>-365.19168715129888</v>
      </c>
      <c r="AJ554" s="80">
        <f>Tableau1[[#This Row],[Conso HP + HC / jour_x000D_
Cumul]]*365</f>
        <v>-133294.96581022409</v>
      </c>
      <c r="AK554" s="83">
        <f>(Tableau1[[#This Row],[Différence HP
Cumul]]*0.1799)+(Tableau1[[#This Row],[Différence HC
Cumul]]*0.1346)</f>
        <v>-47715.910799999998</v>
      </c>
      <c r="AL554" s="83">
        <f>Tableau1[[#This Row],[Montant
Tarif HP/HC]]/Tableau1[[#This Row],[Diff jour_x000D_
Cumul]]</f>
        <v>-59.077345975769198</v>
      </c>
      <c r="AM554" s="83">
        <f>(Tableau1[[#This Row],[Montant
Tarif HP/HC]]-AK$6)/Tableau1[[#This Row],[Diff jour_x000D_
Cumul
depuis le 24/01]]</f>
        <v>-62.552242831116295</v>
      </c>
      <c r="AN554" s="83">
        <f>(Tableau1[[#This Row],[Montant
Tarif HP/HC]]-AK$59)/Tableau1[[#This Row],[Diff jour_x000D_
Cumul
depuis
précédente facture
16/02/2021]]</f>
        <v>-64.795876225949257</v>
      </c>
      <c r="AO554" s="83">
        <f>Tableau1[[#This Row],[Conso HP + HC
Cumul]]*0.1599</f>
        <v>-47164.103999999999</v>
      </c>
      <c r="AP554" s="83">
        <f>Tableau1[[#This Row],[Montant
Tarif normal]]/Tableau1[[#This Row],[Diff jour_x000D_
Cumul]]</f>
        <v>-58.39415077549269</v>
      </c>
      <c r="AQ554" s="83">
        <f>(Tableau1[[#This Row],[Conso HP / an
Cumul]]*0.1799)+(Tableau1[[#This Row],[Conso HC / an_x000D_
Cumul]]*0.1346)</f>
        <v>-21563.231281155757</v>
      </c>
      <c r="AR554" s="83">
        <f>Tableau1[[#This Row],[Conso HP + HC / an_x000D_
Cumul]]*0.1599</f>
        <v>-21313.86503305483</v>
      </c>
      <c r="AS554" s="79">
        <f>MONTH(Tableau1[[#This Row],[Date]])</f>
        <v>3</v>
      </c>
      <c r="AT554" s="79">
        <f>YEAR(Tableau1[[#This Row],[Date]])</f>
        <v>2023</v>
      </c>
    </row>
    <row r="555" spans="1:46" x14ac:dyDescent="0.2">
      <c r="A555" s="74">
        <v>44991.320833333331</v>
      </c>
      <c r="B555" s="75"/>
      <c r="C555" s="76">
        <f>IF(ISERROR(Tableau1[[#This Row],[Date]]-A554),"",Tableau1[[#This Row],[Date]]-A554)</f>
        <v>0.92708333332848269</v>
      </c>
      <c r="D555" s="77">
        <f>IF(ISERROR(Tableau1[[#This Row],[Date]]-A554),"",Tableau1[[#This Row],[Date]]-A554)</f>
        <v>0.92708333332848269</v>
      </c>
      <c r="E555" s="76">
        <f>Tableau1[[#This Row],[Date]]-$A$5</f>
        <v>808.61249999999563</v>
      </c>
      <c r="F555" s="77">
        <f>Tableau1[[#This Row],[Date]]-$A$5</f>
        <v>808.61249999999563</v>
      </c>
      <c r="G555" s="77">
        <f>Tableau1[[#This Row],[Diff jour_x000D_
Cumul]]-F$6</f>
        <v>770.52916666666715</v>
      </c>
      <c r="H555" s="77">
        <f>Tableau1[[#This Row],[Diff jour_x000D_
Cumul]]-F$59</f>
        <v>748.00972222221753</v>
      </c>
      <c r="I555" s="78">
        <v>2874</v>
      </c>
      <c r="J555" s="79">
        <f>IF(ISERROR(Tableau1[[#This Row],[Index HP
kWh]]-I554),"",Tableau1[[#This Row],[Index HP
kWh]]-I554)</f>
        <v>31</v>
      </c>
      <c r="K555" s="77">
        <f>IF(ISERROR(Tableau1[[#This Row],[Différence HP
Instantané]]/(Tableau1[[#This Row],[Diff jour
Instantané]]*24)),"",Tableau1[[#This Row],[Différence HP
Instantané]]/(Tableau1[[#This Row],[Diff jour
Instantané]]*24))</f>
        <v>1.3932584269735819</v>
      </c>
      <c r="L555" s="77">
        <f>Tableau1[[#This Row],[Différence HP
Instantané]]/Tableau1[[#This Row],[Diff jour
Instantané]]</f>
        <v>33.438202247365965</v>
      </c>
      <c r="M555" s="77">
        <f>Tableau1[[#This Row],[Conso HP / jour
Instantané]]*365</f>
        <v>12204.943820288578</v>
      </c>
      <c r="N555" s="79">
        <f>Tableau1[[#This Row],[Index HP
kWh]]-$I$5</f>
        <v>-176885</v>
      </c>
      <c r="O555" s="80">
        <f>Tableau1[[#This Row],[Différence HP
Cumul]]/(Tableau1[[#This Row],[Diff jour_x000D_
Cumul]]*24)</f>
        <v>-9.1146356670634869</v>
      </c>
      <c r="P555" s="80">
        <f>Tableau1[[#This Row],[Différence HP
Cumul]]/Tableau1[[#This Row],[Diff jour_x000D_
Cumul]]</f>
        <v>-218.75125600952367</v>
      </c>
      <c r="Q555" s="80">
        <f>Tableau1[[#This Row],[Conso HP / jour
Cumul]]*365</f>
        <v>-79844.208443476135</v>
      </c>
      <c r="R555" s="78">
        <v>1411</v>
      </c>
      <c r="S555" s="79">
        <f>Tableau1[[#This Row],[Index HC_x000D_
kWh]]-R554</f>
        <v>23</v>
      </c>
      <c r="T555" s="81">
        <f>Tableau1[[#This Row],[Différence_x000D_ HC
Instantané]]/(Tableau1[[#This Row],[Diff jour
Instantané]]*24)</f>
        <v>1.0337078651739477</v>
      </c>
      <c r="U555" s="81">
        <f>Tableau1[[#This Row],[Différence_x000D_ HC
Instantané]]/Tableau1[[#This Row],[Diff jour
Instantané]]</f>
        <v>24.80898876417475</v>
      </c>
      <c r="V555" s="81">
        <f>Tableau1[[#This Row],[Conso HC / jour_x000D_
Instantané]]*365</f>
        <v>9055.2808989237838</v>
      </c>
      <c r="W555" s="79">
        <f>Tableau1[[#This Row],[Index HC_x000D_
kWh]]-$R$5</f>
        <v>-118021</v>
      </c>
      <c r="X555" s="82">
        <f>Tableau1[[#This Row],[Différence HC
Cumul]]/(Tableau1[[#This Row],[Diff jour_x000D_
Cumul]]*24)</f>
        <v>-6.0814564042315613</v>
      </c>
      <c r="Y555" s="82">
        <f>Tableau1[[#This Row],[Différence HC
Cumul]]/Tableau1[[#This Row],[Diff jour_x000D_
Cumul]]</f>
        <v>-145.95495370155746</v>
      </c>
      <c r="Z555" s="82">
        <f>Tableau1[[#This Row],[Conso HC / jour_x000D_
Cumul]]*365</f>
        <v>-53273.558101068469</v>
      </c>
      <c r="AA555" s="79">
        <f>Tableau1[[#This Row],[Différence HP
Instantané]]+Tableau1[[#This Row],[Différence_x000D_ HC
Instantané]]</f>
        <v>54</v>
      </c>
      <c r="AB555" s="80">
        <f>Tableau1[[#This Row],[Conso HP + HC
Instantané]]/(Tableau1[[#This Row],[Diff jour
Instantané]]*24)</f>
        <v>2.4269662921475299</v>
      </c>
      <c r="AC555" s="80">
        <f>IF(ISERROR(Tableau1[[#This Row],[Date]]-A554),"",Tableau1[[#This Row],[Conso HP + HC
Instantané]]/Tableau1[[#This Row],[Diff jour
Instantané]])</f>
        <v>58.247191011540714</v>
      </c>
      <c r="AD555" s="80">
        <f>Tableau1[[#This Row],[Conso HP + HC / jour_x000D_
Instantané]]*365</f>
        <v>21260.224719212361</v>
      </c>
      <c r="AE555" s="79">
        <f>Tableau1[[#This Row],[Différence HP
Cumul]]+Tableau1[[#This Row],[Différence HC
Cumul]]</f>
        <v>-294906</v>
      </c>
      <c r="AF555" s="77">
        <f>(Tableau1[[#This Row],[Conso HP + HC
Cumul]]-AE$6)/Tableau1[[#This Row],[Diff jour_x000D_
Cumul
depuis le 24/01]]</f>
        <v>-386.0684486310812</v>
      </c>
      <c r="AG555" s="77">
        <f>(Tableau1[[#This Row],[Conso HP + HC
Cumul]]-AE$59)/Tableau1[[#This Row],[Diff jour_x000D_
Cumul
depuis
précédente facture
16/02/2021]]</f>
        <v>-399.83838593898503</v>
      </c>
      <c r="AH555" s="80">
        <f>Tableau1[[#This Row],[Conso HP + HC
Cumul]]/(Tableau1[[#This Row],[Diff jour_x000D_
Cumul]]*24)</f>
        <v>-15.196092071295046</v>
      </c>
      <c r="AI555" s="80">
        <f>Tableau1[[#This Row],[Conso HP + HC
Cumul]]/Tableau1[[#This Row],[Diff jour_x000D_
Cumul]]</f>
        <v>-364.70620971108116</v>
      </c>
      <c r="AJ555" s="80">
        <f>Tableau1[[#This Row],[Conso HP + HC / jour_x000D_
Cumul]]*365</f>
        <v>-133117.76654454463</v>
      </c>
      <c r="AK555" s="83">
        <f>(Tableau1[[#This Row],[Différence HP
Cumul]]*0.1799)+(Tableau1[[#This Row],[Différence HC
Cumul]]*0.1346)</f>
        <v>-47707.238100000002</v>
      </c>
      <c r="AL555" s="83">
        <f>Tableau1[[#This Row],[Montant
Tarif HP/HC]]/Tableau1[[#This Row],[Diff jour_x000D_
Cumul]]</f>
        <v>-58.998887724342943</v>
      </c>
      <c r="AM555" s="83">
        <f>(Tableau1[[#This Row],[Montant
Tarif HP/HC]]-AK$6)/Tableau1[[#This Row],[Diff jour_x000D_
Cumul
depuis le 24/01]]</f>
        <v>-62.46572587020821</v>
      </c>
      <c r="AN555" s="83">
        <f>(Tableau1[[#This Row],[Montant
Tarif HP/HC]]-AK$59)/Tableau1[[#This Row],[Diff jour_x000D_
Cumul
depuis
précédente facture
16/02/2021]]</f>
        <v>-64.703973841695131</v>
      </c>
      <c r="AO555" s="83">
        <f>Tableau1[[#This Row],[Conso HP + HC
Cumul]]*0.1599</f>
        <v>-47155.469399999994</v>
      </c>
      <c r="AP555" s="83">
        <f>Tableau1[[#This Row],[Montant
Tarif normal]]/Tableau1[[#This Row],[Diff jour_x000D_
Cumul]]</f>
        <v>-58.316522932801867</v>
      </c>
      <c r="AQ555" s="83">
        <f>(Tableau1[[#This Row],[Conso HP / an
Cumul]]*0.1799)+(Tableau1[[#This Row],[Conso HC / an_x000D_
Cumul]]*0.1346)</f>
        <v>-21534.594019385171</v>
      </c>
      <c r="AR555" s="83">
        <f>Tableau1[[#This Row],[Conso HP + HC / an_x000D_
Cumul]]*0.1599</f>
        <v>-21285.530870472685</v>
      </c>
      <c r="AS555" s="79">
        <f>MONTH(Tableau1[[#This Row],[Date]])</f>
        <v>3</v>
      </c>
      <c r="AT555" s="79">
        <f>YEAR(Tableau1[[#This Row],[Date]])</f>
        <v>2023</v>
      </c>
    </row>
    <row r="556" spans="1:46" x14ac:dyDescent="0.2">
      <c r="A556" s="74">
        <v>44992.306944444441</v>
      </c>
      <c r="B556" s="75"/>
      <c r="C556" s="76">
        <f>IF(ISERROR(Tableau1[[#This Row],[Date]]-A555),"",Tableau1[[#This Row],[Date]]-A555)</f>
        <v>0.98611111110949423</v>
      </c>
      <c r="D556" s="77">
        <f>IF(ISERROR(Tableau1[[#This Row],[Date]]-A555),"",Tableau1[[#This Row],[Date]]-A555)</f>
        <v>0.98611111110949423</v>
      </c>
      <c r="E556" s="76">
        <f>Tableau1[[#This Row],[Date]]-$A$5</f>
        <v>809.59861111110513</v>
      </c>
      <c r="F556" s="77">
        <f>Tableau1[[#This Row],[Date]]-$A$5</f>
        <v>809.59861111110513</v>
      </c>
      <c r="G556" s="77">
        <f>Tableau1[[#This Row],[Diff jour_x000D_
Cumul]]-F$6</f>
        <v>771.51527777777665</v>
      </c>
      <c r="H556" s="77">
        <f>Tableau1[[#This Row],[Diff jour_x000D_
Cumul]]-F$59</f>
        <v>748.99583333332703</v>
      </c>
      <c r="I556" s="78">
        <v>2911</v>
      </c>
      <c r="J556" s="79">
        <f>IF(ISERROR(Tableau1[[#This Row],[Index HP
kWh]]-I555),"",Tableau1[[#This Row],[Index HP
kWh]]-I555)</f>
        <v>37</v>
      </c>
      <c r="K556" s="77">
        <f>IF(ISERROR(Tableau1[[#This Row],[Différence HP
Instantané]]/(Tableau1[[#This Row],[Diff jour
Instantané]]*24)),"",Tableau1[[#This Row],[Différence HP
Instantané]]/(Tableau1[[#This Row],[Diff jour
Instantané]]*24))</f>
        <v>1.5633802816927043</v>
      </c>
      <c r="L556" s="77">
        <f>Tableau1[[#This Row],[Différence HP
Instantané]]/Tableau1[[#This Row],[Diff jour
Instantané]]</f>
        <v>37.521126760624902</v>
      </c>
      <c r="M556" s="77">
        <f>Tableau1[[#This Row],[Conso HP / jour
Instantané]]*365</f>
        <v>13695.211267628089</v>
      </c>
      <c r="N556" s="79">
        <f>Tableau1[[#This Row],[Index HP
kWh]]-$I$5</f>
        <v>-176848</v>
      </c>
      <c r="O556" s="80">
        <f>Tableau1[[#This Row],[Différence HP
Cumul]]/(Tableau1[[#This Row],[Diff jour_x000D_
Cumul]]*24)</f>
        <v>-9.1016295798158531</v>
      </c>
      <c r="P556" s="80">
        <f>Tableau1[[#This Row],[Différence HP
Cumul]]/Tableau1[[#This Row],[Diff jour_x000D_
Cumul]]</f>
        <v>-218.4391099155805</v>
      </c>
      <c r="Q556" s="80">
        <f>Tableau1[[#This Row],[Conso HP / jour
Cumul]]*365</f>
        <v>-79730.275119186888</v>
      </c>
      <c r="R556" s="78">
        <v>1431</v>
      </c>
      <c r="S556" s="79">
        <f>Tableau1[[#This Row],[Index HC_x000D_
kWh]]-R555</f>
        <v>20</v>
      </c>
      <c r="T556" s="81">
        <f>Tableau1[[#This Row],[Différence_x000D_ HC
Instantané]]/(Tableau1[[#This Row],[Diff jour
Instantané]]*24)</f>
        <v>0.84507042253659692</v>
      </c>
      <c r="U556" s="81">
        <f>Tableau1[[#This Row],[Différence_x000D_ HC
Instantané]]/Tableau1[[#This Row],[Diff jour
Instantané]]</f>
        <v>20.281690140878325</v>
      </c>
      <c r="V556" s="81">
        <f>Tableau1[[#This Row],[Conso HC / jour_x000D_
Instantané]]*365</f>
        <v>7402.8169014205887</v>
      </c>
      <c r="W556" s="79">
        <f>Tableau1[[#This Row],[Index HC_x000D_
kWh]]-$R$5</f>
        <v>-118001</v>
      </c>
      <c r="X556" s="82">
        <f>Tableau1[[#This Row],[Différence HC
Cumul]]/(Tableau1[[#This Row],[Diff jour_x000D_
Cumul]]*24)</f>
        <v>-6.0730197234226599</v>
      </c>
      <c r="Y556" s="82">
        <f>Tableau1[[#This Row],[Différence HC
Cumul]]/Tableau1[[#This Row],[Diff jour_x000D_
Cumul]]</f>
        <v>-145.75247336214383</v>
      </c>
      <c r="Z556" s="82">
        <f>Tableau1[[#This Row],[Conso HC / jour_x000D_
Cumul]]*365</f>
        <v>-53199.652777182499</v>
      </c>
      <c r="AA556" s="79">
        <f>Tableau1[[#This Row],[Différence HP
Instantané]]+Tableau1[[#This Row],[Différence_x000D_ HC
Instantané]]</f>
        <v>57</v>
      </c>
      <c r="AB556" s="80">
        <f>Tableau1[[#This Row],[Conso HP + HC
Instantané]]/(Tableau1[[#This Row],[Diff jour
Instantané]]*24)</f>
        <v>2.4084507042293013</v>
      </c>
      <c r="AC556" s="80">
        <f>IF(ISERROR(Tableau1[[#This Row],[Date]]-A555),"",Tableau1[[#This Row],[Conso HP + HC
Instantané]]/Tableau1[[#This Row],[Diff jour
Instantané]])</f>
        <v>57.802816901503228</v>
      </c>
      <c r="AD556" s="80">
        <f>Tableau1[[#This Row],[Conso HP + HC / jour_x000D_
Instantané]]*365</f>
        <v>21098.028169048677</v>
      </c>
      <c r="AE556" s="79">
        <f>Tableau1[[#This Row],[Différence HP
Cumul]]+Tableau1[[#This Row],[Différence HC
Cumul]]</f>
        <v>-294849</v>
      </c>
      <c r="AF556" s="77">
        <f>(Tableau1[[#This Row],[Conso HP + HC
Cumul]]-AE$6)/Tableau1[[#This Row],[Diff jour_x000D_
Cumul
depuis le 24/01]]</f>
        <v>-385.50111522959025</v>
      </c>
      <c r="AG556" s="77">
        <f>(Tableau1[[#This Row],[Conso HP + HC
Cumul]]-AE$59)/Tableau1[[#This Row],[Diff jour_x000D_
Cumul
depuis
précédente facture
16/02/2021]]</f>
        <v>-399.23586579809972</v>
      </c>
      <c r="AH556" s="80">
        <f>Tableau1[[#This Row],[Conso HP + HC
Cumul]]/(Tableau1[[#This Row],[Diff jour_x000D_
Cumul]]*24)</f>
        <v>-15.174649303238514</v>
      </c>
      <c r="AI556" s="80">
        <f>Tableau1[[#This Row],[Conso HP + HC
Cumul]]/Tableau1[[#This Row],[Diff jour_x000D_
Cumul]]</f>
        <v>-364.19158327772431</v>
      </c>
      <c r="AJ556" s="80">
        <f>Tableau1[[#This Row],[Conso HP + HC / jour_x000D_
Cumul]]*365</f>
        <v>-132929.92789636937</v>
      </c>
      <c r="AK556" s="83">
        <f>(Tableau1[[#This Row],[Différence HP
Cumul]]*0.1799)+(Tableau1[[#This Row],[Différence HC
Cumul]]*0.1346)</f>
        <v>-47697.889800000004</v>
      </c>
      <c r="AL556" s="83">
        <f>Tableau1[[#This Row],[Montant
Tarif HP/HC]]/Tableau1[[#This Row],[Diff jour_x000D_
Cumul]]</f>
        <v>-58.915478788357497</v>
      </c>
      <c r="AM556" s="83">
        <f>(Tableau1[[#This Row],[Montant
Tarif HP/HC]]-AK$6)/Tableau1[[#This Row],[Diff jour_x000D_
Cumul
depuis le 24/01]]</f>
        <v>-62.373768590310291</v>
      </c>
      <c r="AN556" s="83">
        <f>(Tableau1[[#This Row],[Montant
Tarif HP/HC]]-AK$59)/Tableau1[[#This Row],[Diff jour_x000D_
Cumul
depuis
précédente facture
16/02/2021]]</f>
        <v>-64.606304930490822</v>
      </c>
      <c r="AO556" s="83">
        <f>Tableau1[[#This Row],[Conso HP + HC
Cumul]]*0.1599</f>
        <v>-47146.355099999993</v>
      </c>
      <c r="AP556" s="83">
        <f>Tableau1[[#This Row],[Montant
Tarif normal]]/Tableau1[[#This Row],[Diff jour_x000D_
Cumul]]</f>
        <v>-58.234234166108109</v>
      </c>
      <c r="AQ556" s="83">
        <f>(Tableau1[[#This Row],[Conso HP / an
Cumul]]*0.1799)+(Tableau1[[#This Row],[Conso HC / an_x000D_
Cumul]]*0.1346)</f>
        <v>-21504.149757750485</v>
      </c>
      <c r="AR556" s="83">
        <f>Tableau1[[#This Row],[Conso HP + HC / an_x000D_
Cumul]]*0.1599</f>
        <v>-21255.495470629459</v>
      </c>
      <c r="AS556" s="79">
        <f>MONTH(Tableau1[[#This Row],[Date]])</f>
        <v>3</v>
      </c>
      <c r="AT556" s="79">
        <f>YEAR(Tableau1[[#This Row],[Date]])</f>
        <v>2023</v>
      </c>
    </row>
    <row r="557" spans="1:46" x14ac:dyDescent="0.2">
      <c r="A557" s="74">
        <v>44993.34652777778</v>
      </c>
      <c r="B557" s="75"/>
      <c r="C557" s="76">
        <f>IF(ISERROR(Tableau1[[#This Row],[Date]]-A556),"",Tableau1[[#This Row],[Date]]-A556)</f>
        <v>1.039583333338669</v>
      </c>
      <c r="D557" s="77">
        <f>IF(ISERROR(Tableau1[[#This Row],[Date]]-A556),"",Tableau1[[#This Row],[Date]]-A556)</f>
        <v>1.039583333338669</v>
      </c>
      <c r="E557" s="76">
        <f>Tableau1[[#This Row],[Date]]-$A$5</f>
        <v>810.6381944444438</v>
      </c>
      <c r="F557" s="77">
        <f>Tableau1[[#This Row],[Date]]-$A$5</f>
        <v>810.6381944444438</v>
      </c>
      <c r="G557" s="77">
        <f>Tableau1[[#This Row],[Diff jour_x000D_
Cumul]]-F$6</f>
        <v>772.55486111111531</v>
      </c>
      <c r="H557" s="77">
        <f>Tableau1[[#This Row],[Diff jour_x000D_
Cumul]]-F$59</f>
        <v>750.0354166666657</v>
      </c>
      <c r="I557" s="78">
        <v>2951</v>
      </c>
      <c r="J557" s="79">
        <f>IF(ISERROR(Tableau1[[#This Row],[Index HP
kWh]]-I556),"",Tableau1[[#This Row],[Index HP
kWh]]-I556)</f>
        <v>40</v>
      </c>
      <c r="K557" s="77">
        <f>IF(ISERROR(Tableau1[[#This Row],[Différence HP
Instantané]]/(Tableau1[[#This Row],[Diff jour
Instantané]]*24)),"",Tableau1[[#This Row],[Différence HP
Instantané]]/(Tableau1[[#This Row],[Diff jour
Instantané]]*24))</f>
        <v>1.6032064128174228</v>
      </c>
      <c r="L557" s="77">
        <f>Tableau1[[#This Row],[Différence HP
Instantané]]/Tableau1[[#This Row],[Diff jour
Instantané]]</f>
        <v>38.476953907618146</v>
      </c>
      <c r="M557" s="77">
        <f>Tableau1[[#This Row],[Conso HP / jour
Instantané]]*365</f>
        <v>14044.088176280624</v>
      </c>
      <c r="N557" s="79">
        <f>Tableau1[[#This Row],[Index HP
kWh]]-$I$5</f>
        <v>-176808</v>
      </c>
      <c r="O557" s="80">
        <f>Tableau1[[#This Row],[Différence HP
Cumul]]/(Tableau1[[#This Row],[Diff jour_x000D_
Cumul]]*24)</f>
        <v>-9.0879014219763476</v>
      </c>
      <c r="P557" s="80">
        <f>Tableau1[[#This Row],[Différence HP
Cumul]]/Tableau1[[#This Row],[Diff jour_x000D_
Cumul]]</f>
        <v>-218.10963412743234</v>
      </c>
      <c r="Q557" s="80">
        <f>Tableau1[[#This Row],[Conso HP / jour
Cumul]]*365</f>
        <v>-79610.016456512807</v>
      </c>
      <c r="R557" s="78">
        <v>1448</v>
      </c>
      <c r="S557" s="79">
        <f>Tableau1[[#This Row],[Index HC_x000D_
kWh]]-R556</f>
        <v>17</v>
      </c>
      <c r="T557" s="81">
        <f>Tableau1[[#This Row],[Différence_x000D_ HC
Instantané]]/(Tableau1[[#This Row],[Diff jour
Instantané]]*24)</f>
        <v>0.68136272544740473</v>
      </c>
      <c r="U557" s="81">
        <f>Tableau1[[#This Row],[Différence_x000D_ HC
Instantané]]/Tableau1[[#This Row],[Diff jour
Instantané]]</f>
        <v>16.352705410737713</v>
      </c>
      <c r="V557" s="81">
        <f>Tableau1[[#This Row],[Conso HC / jour_x000D_
Instantané]]*365</f>
        <v>5968.737474919265</v>
      </c>
      <c r="W557" s="79">
        <f>Tableau1[[#This Row],[Index HC_x000D_
kWh]]-$R$5</f>
        <v>-117984</v>
      </c>
      <c r="X557" s="82">
        <f>Tableau1[[#This Row],[Différence HC
Cumul]]/(Tableau1[[#This Row],[Diff jour_x000D_
Cumul]]*24)</f>
        <v>-6.0643577291211788</v>
      </c>
      <c r="Y557" s="82">
        <f>Tableau1[[#This Row],[Différence HC
Cumul]]/Tableau1[[#This Row],[Diff jour_x000D_
Cumul]]</f>
        <v>-145.5445854989083</v>
      </c>
      <c r="Z557" s="82">
        <f>Tableau1[[#This Row],[Conso HC / jour_x000D_
Cumul]]*365</f>
        <v>-53123.773707101529</v>
      </c>
      <c r="AA557" s="79">
        <f>Tableau1[[#This Row],[Différence HP
Instantané]]+Tableau1[[#This Row],[Différence_x000D_ HC
Instantané]]</f>
        <v>57</v>
      </c>
      <c r="AB557" s="80">
        <f>Tableau1[[#This Row],[Conso HP + HC
Instantané]]/(Tableau1[[#This Row],[Diff jour
Instantané]]*24)</f>
        <v>2.2845691382648274</v>
      </c>
      <c r="AC557" s="80">
        <f>IF(ISERROR(Tableau1[[#This Row],[Date]]-A556),"",Tableau1[[#This Row],[Conso HP + HC
Instantané]]/Tableau1[[#This Row],[Diff jour
Instantané]])</f>
        <v>54.829659318355858</v>
      </c>
      <c r="AD557" s="80">
        <f>Tableau1[[#This Row],[Conso HP + HC / jour_x000D_
Instantané]]*365</f>
        <v>20012.825651199888</v>
      </c>
      <c r="AE557" s="79">
        <f>Tableau1[[#This Row],[Différence HP
Cumul]]+Tableau1[[#This Row],[Différence HC
Cumul]]</f>
        <v>-294792</v>
      </c>
      <c r="AF557" s="77">
        <f>(Tableau1[[#This Row],[Conso HP + HC
Cumul]]-AE$6)/Tableau1[[#This Row],[Diff jour_x000D_
Cumul
depuis le 24/01]]</f>
        <v>-384.90858703849483</v>
      </c>
      <c r="AG557" s="77">
        <f>(Tableau1[[#This Row],[Conso HP + HC
Cumul]]-AE$59)/Tableau1[[#This Row],[Diff jour_x000D_
Cumul
depuis
précédente facture
16/02/2021]]</f>
        <v>-398.60651024812768</v>
      </c>
      <c r="AH557" s="80">
        <f>Tableau1[[#This Row],[Conso HP + HC
Cumul]]/(Tableau1[[#This Row],[Diff jour_x000D_
Cumul]]*24)</f>
        <v>-15.152259151097526</v>
      </c>
      <c r="AI557" s="80">
        <f>Tableau1[[#This Row],[Conso HP + HC
Cumul]]/Tableau1[[#This Row],[Diff jour_x000D_
Cumul]]</f>
        <v>-363.65421962634065</v>
      </c>
      <c r="AJ557" s="80">
        <f>Tableau1[[#This Row],[Conso HP + HC / jour_x000D_
Cumul]]*365</f>
        <v>-132733.79016361435</v>
      </c>
      <c r="AK557" s="83">
        <f>(Tableau1[[#This Row],[Différence HP
Cumul]]*0.1799)+(Tableau1[[#This Row],[Différence HC
Cumul]]*0.1346)</f>
        <v>-47688.405599999998</v>
      </c>
      <c r="AL557" s="83">
        <f>Tableau1[[#This Row],[Montant
Tarif HP/HC]]/Tableau1[[#This Row],[Diff jour_x000D_
Cumul]]</f>
        <v>-58.828224387678134</v>
      </c>
      <c r="AM557" s="83">
        <f>(Tableau1[[#This Row],[Montant
Tarif HP/HC]]-AK$6)/Tableau1[[#This Row],[Diff jour_x000D_
Cumul
depuis le 24/01]]</f>
        <v>-62.277559331906154</v>
      </c>
      <c r="AN557" s="83">
        <f>(Tableau1[[#This Row],[Montant
Tarif HP/HC]]-AK$59)/Tableau1[[#This Row],[Diff jour_x000D_
Cumul
depuis
précédente facture
16/02/2021]]</f>
        <v>-64.504112639125452</v>
      </c>
      <c r="AO557" s="83">
        <f>Tableau1[[#This Row],[Conso HP + HC
Cumul]]*0.1599</f>
        <v>-47137.2408</v>
      </c>
      <c r="AP557" s="83">
        <f>Tableau1[[#This Row],[Montant
Tarif normal]]/Tableau1[[#This Row],[Diff jour_x000D_
Cumul]]</f>
        <v>-58.148309718251866</v>
      </c>
      <c r="AQ557" s="83">
        <f>(Tableau1[[#This Row],[Conso HP / an
Cumul]]*0.1799)+(Tableau1[[#This Row],[Conso HC / an_x000D_
Cumul]]*0.1346)</f>
        <v>-21472.30190150252</v>
      </c>
      <c r="AR557" s="83">
        <f>Tableau1[[#This Row],[Conso HP + HC / an_x000D_
Cumul]]*0.1599</f>
        <v>-21224.133047161933</v>
      </c>
      <c r="AS557" s="79">
        <f>MONTH(Tableau1[[#This Row],[Date]])</f>
        <v>3</v>
      </c>
      <c r="AT557" s="79">
        <f>YEAR(Tableau1[[#This Row],[Date]])</f>
        <v>2023</v>
      </c>
    </row>
    <row r="558" spans="1:46" x14ac:dyDescent="0.2">
      <c r="A558" s="74">
        <v>44994.368750000001</v>
      </c>
      <c r="B558" s="75"/>
      <c r="C558" s="76">
        <f>IF(ISERROR(Tableau1[[#This Row],[Date]]-A557),"",Tableau1[[#This Row],[Date]]-A557)</f>
        <v>1.0222222222218988</v>
      </c>
      <c r="D558" s="77">
        <f>IF(ISERROR(Tableau1[[#This Row],[Date]]-A557),"",Tableau1[[#This Row],[Date]]-A557)</f>
        <v>1.0222222222218988</v>
      </c>
      <c r="E558" s="76">
        <f>Tableau1[[#This Row],[Date]]-$A$5</f>
        <v>811.6604166666657</v>
      </c>
      <c r="F558" s="77">
        <f>Tableau1[[#This Row],[Date]]-$A$5</f>
        <v>811.6604166666657</v>
      </c>
      <c r="G558" s="77">
        <f>Tableau1[[#This Row],[Diff jour_x000D_
Cumul]]-F$6</f>
        <v>773.57708333333721</v>
      </c>
      <c r="H558" s="77">
        <f>Tableau1[[#This Row],[Diff jour_x000D_
Cumul]]-F$59</f>
        <v>751.0576388888876</v>
      </c>
      <c r="I558" s="78">
        <v>2979</v>
      </c>
      <c r="J558" s="79">
        <f>IF(ISERROR(Tableau1[[#This Row],[Index HP
kWh]]-I557),"",Tableau1[[#This Row],[Index HP
kWh]]-I557)</f>
        <v>28</v>
      </c>
      <c r="K558" s="77">
        <f>IF(ISERROR(Tableau1[[#This Row],[Différence HP
Instantané]]/(Tableau1[[#This Row],[Diff jour
Instantané]]*24)),"",Tableau1[[#This Row],[Différence HP
Instantané]]/(Tableau1[[#This Row],[Diff jour
Instantané]]*24))</f>
        <v>1.141304347826448</v>
      </c>
      <c r="L558" s="77">
        <f>Tableau1[[#This Row],[Différence HP
Instantané]]/Tableau1[[#This Row],[Diff jour
Instantané]]</f>
        <v>27.391304347834751</v>
      </c>
      <c r="M558" s="77">
        <f>Tableau1[[#This Row],[Conso HP / jour
Instantané]]*365</f>
        <v>9997.8260869596834</v>
      </c>
      <c r="N558" s="79">
        <f>Tableau1[[#This Row],[Index HP
kWh]]-$I$5</f>
        <v>-176780</v>
      </c>
      <c r="O558" s="80">
        <f>Tableau1[[#This Row],[Différence HP
Cumul]]/(Tableau1[[#This Row],[Diff jour_x000D_
Cumul]]*24)</f>
        <v>-9.0750185448040011</v>
      </c>
      <c r="P558" s="80">
        <f>Tableau1[[#This Row],[Différence HP
Cumul]]/Tableau1[[#This Row],[Diff jour_x000D_
Cumul]]</f>
        <v>-217.80044507529601</v>
      </c>
      <c r="Q558" s="80">
        <f>Tableau1[[#This Row],[Conso HP / jour
Cumul]]*365</f>
        <v>-79497.16245248304</v>
      </c>
      <c r="R558" s="78">
        <v>1461</v>
      </c>
      <c r="S558" s="79">
        <f>Tableau1[[#This Row],[Index HC_x000D_
kWh]]-R557</f>
        <v>13</v>
      </c>
      <c r="T558" s="81">
        <f>Tableau1[[#This Row],[Différence_x000D_ HC
Instantané]]/(Tableau1[[#This Row],[Diff jour
Instantané]]*24)</f>
        <v>0.5298913043479937</v>
      </c>
      <c r="U558" s="81">
        <f>Tableau1[[#This Row],[Différence_x000D_ HC
Instantané]]/Tableau1[[#This Row],[Diff jour
Instantané]]</f>
        <v>12.71739130435185</v>
      </c>
      <c r="V558" s="81">
        <f>Tableau1[[#This Row],[Conso HC / jour_x000D_
Instantané]]*365</f>
        <v>4641.8478260884249</v>
      </c>
      <c r="W558" s="79">
        <f>Tableau1[[#This Row],[Index HC_x000D_
kWh]]-$R$5</f>
        <v>-117971</v>
      </c>
      <c r="X558" s="82">
        <f>Tableau1[[#This Row],[Différence HC
Cumul]]/(Tableau1[[#This Row],[Diff jour_x000D_
Cumul]]*24)</f>
        <v>-6.0560527930143273</v>
      </c>
      <c r="Y558" s="82">
        <f>Tableau1[[#This Row],[Différence HC
Cumul]]/Tableau1[[#This Row],[Diff jour_x000D_
Cumul]]</f>
        <v>-145.34526703234386</v>
      </c>
      <c r="Z558" s="82">
        <f>Tableau1[[#This Row],[Conso HC / jour_x000D_
Cumul]]*365</f>
        <v>-53051.022466805509</v>
      </c>
      <c r="AA558" s="79">
        <f>Tableau1[[#This Row],[Différence HP
Instantané]]+Tableau1[[#This Row],[Différence_x000D_ HC
Instantané]]</f>
        <v>41</v>
      </c>
      <c r="AB558" s="80">
        <f>Tableau1[[#This Row],[Conso HP + HC
Instantané]]/(Tableau1[[#This Row],[Diff jour
Instantané]]*24)</f>
        <v>1.6711956521744418</v>
      </c>
      <c r="AC558" s="80">
        <f>IF(ISERROR(Tableau1[[#This Row],[Date]]-A557),"",Tableau1[[#This Row],[Conso HP + HC
Instantané]]/Tableau1[[#This Row],[Diff jour
Instantané]])</f>
        <v>40.108695652186604</v>
      </c>
      <c r="AD558" s="80">
        <f>Tableau1[[#This Row],[Conso HP + HC / jour_x000D_
Instantané]]*365</f>
        <v>14639.673913048111</v>
      </c>
      <c r="AE558" s="79">
        <f>Tableau1[[#This Row],[Différence HP
Cumul]]+Tableau1[[#This Row],[Différence HC
Cumul]]</f>
        <v>-294751</v>
      </c>
      <c r="AF558" s="77">
        <f>(Tableau1[[#This Row],[Conso HP + HC
Cumul]]-AE$6)/Tableau1[[#This Row],[Diff jour_x000D_
Cumul
depuis le 24/01]]</f>
        <v>-384.34695960594127</v>
      </c>
      <c r="AG558" s="77">
        <f>(Tableau1[[#This Row],[Conso HP + HC
Cumul]]-AE$59)/Tableau1[[#This Row],[Diff jour_x000D_
Cumul
depuis
précédente facture
16/02/2021]]</f>
        <v>-398.00939970763523</v>
      </c>
      <c r="AH558" s="80">
        <f>Tableau1[[#This Row],[Conso HP + HC
Cumul]]/(Tableau1[[#This Row],[Diff jour_x000D_
Cumul]]*24)</f>
        <v>-15.131071337818328</v>
      </c>
      <c r="AI558" s="80">
        <f>Tableau1[[#This Row],[Conso HP + HC
Cumul]]/Tableau1[[#This Row],[Diff jour_x000D_
Cumul]]</f>
        <v>-363.14571210763989</v>
      </c>
      <c r="AJ558" s="80">
        <f>Tableau1[[#This Row],[Conso HP + HC / jour_x000D_
Cumul]]*365</f>
        <v>-132548.18491928856</v>
      </c>
      <c r="AK558" s="83">
        <f>(Tableau1[[#This Row],[Différence HP
Cumul]]*0.1799)+(Tableau1[[#This Row],[Différence HC
Cumul]]*0.1346)</f>
        <v>-47681.618600000002</v>
      </c>
      <c r="AL558" s="83">
        <f>Tableau1[[#This Row],[Montant
Tarif HP/HC]]/Tableau1[[#This Row],[Diff jour_x000D_
Cumul]]</f>
        <v>-58.74577301159924</v>
      </c>
      <c r="AM558" s="83">
        <f>(Tableau1[[#This Row],[Montant
Tarif HP/HC]]-AK$6)/Tableau1[[#This Row],[Diff jour_x000D_
Cumul
depuis le 24/01]]</f>
        <v>-62.186490831284011</v>
      </c>
      <c r="AN558" s="83">
        <f>(Tableau1[[#This Row],[Montant
Tarif HP/HC]]-AK$59)/Tableau1[[#This Row],[Diff jour_x000D_
Cumul
depuis
précédente facture
16/02/2021]]</f>
        <v>-64.407283136835858</v>
      </c>
      <c r="AO558" s="83">
        <f>Tableau1[[#This Row],[Conso HP + HC
Cumul]]*0.1599</f>
        <v>-47130.684899999993</v>
      </c>
      <c r="AP558" s="83">
        <f>Tableau1[[#This Row],[Montant
Tarif normal]]/Tableau1[[#This Row],[Diff jour_x000D_
Cumul]]</f>
        <v>-58.066999366011608</v>
      </c>
      <c r="AQ558" s="83">
        <f>(Tableau1[[#This Row],[Conso HP / an
Cumul]]*0.1799)+(Tableau1[[#This Row],[Conso HC / an_x000D_
Cumul]]*0.1346)</f>
        <v>-21442.20714923372</v>
      </c>
      <c r="AR558" s="83">
        <f>Tableau1[[#This Row],[Conso HP + HC / an_x000D_
Cumul]]*0.1599</f>
        <v>-21194.454768594238</v>
      </c>
      <c r="AS558" s="79">
        <f>MONTH(Tableau1[[#This Row],[Date]])</f>
        <v>3</v>
      </c>
      <c r="AT558" s="79">
        <f>YEAR(Tableau1[[#This Row],[Date]])</f>
        <v>2023</v>
      </c>
    </row>
    <row r="559" spans="1:46" x14ac:dyDescent="0.2">
      <c r="A559" s="74">
        <v>44995.347916666666</v>
      </c>
      <c r="B559" s="75"/>
      <c r="C559" s="76">
        <f>IF(ISERROR(Tableau1[[#This Row],[Date]]-A558),"",Tableau1[[#This Row],[Date]]-A558)</f>
        <v>0.97916666666424135</v>
      </c>
      <c r="D559" s="77">
        <f>IF(ISERROR(Tableau1[[#This Row],[Date]]-A558),"",Tableau1[[#This Row],[Date]]-A558)</f>
        <v>0.97916666666424135</v>
      </c>
      <c r="E559" s="76">
        <f>Tableau1[[#This Row],[Date]]-$A$5</f>
        <v>812.63958333332994</v>
      </c>
      <c r="F559" s="77">
        <f>Tableau1[[#This Row],[Date]]-$A$5</f>
        <v>812.63958333332994</v>
      </c>
      <c r="G559" s="77">
        <f>Tableau1[[#This Row],[Diff jour_x000D_
Cumul]]-F$6</f>
        <v>774.55625000000146</v>
      </c>
      <c r="H559" s="77">
        <f>Tableau1[[#This Row],[Diff jour_x000D_
Cumul]]-F$59</f>
        <v>752.03680555555184</v>
      </c>
      <c r="I559" s="78">
        <v>3005</v>
      </c>
      <c r="J559" s="79">
        <f>IF(ISERROR(Tableau1[[#This Row],[Index HP
kWh]]-I558),"",Tableau1[[#This Row],[Index HP
kWh]]-I558)</f>
        <v>26</v>
      </c>
      <c r="K559" s="77">
        <f>IF(ISERROR(Tableau1[[#This Row],[Différence HP
Instantané]]/(Tableau1[[#This Row],[Diff jour
Instantané]]*24)),"",Tableau1[[#This Row],[Différence HP
Instantané]]/(Tableau1[[#This Row],[Diff jour
Instantané]]*24))</f>
        <v>1.1063829787261448</v>
      </c>
      <c r="L559" s="77">
        <f>Tableau1[[#This Row],[Différence HP
Instantané]]/Tableau1[[#This Row],[Diff jour
Instantané]]</f>
        <v>26.553191489427473</v>
      </c>
      <c r="M559" s="77">
        <f>Tableau1[[#This Row],[Conso HP / jour
Instantané]]*365</f>
        <v>9691.9148936410274</v>
      </c>
      <c r="N559" s="79">
        <f>Tableau1[[#This Row],[Index HP
kWh]]-$I$5</f>
        <v>-176754</v>
      </c>
      <c r="O559" s="80">
        <f>Tableau1[[#This Row],[Différence HP
Cumul]]/(Tableau1[[#This Row],[Diff jour_x000D_
Cumul]]*24)</f>
        <v>-9.0627507582031157</v>
      </c>
      <c r="P559" s="80">
        <f>Tableau1[[#This Row],[Différence HP
Cumul]]/Tableau1[[#This Row],[Diff jour_x000D_
Cumul]]</f>
        <v>-217.50601819687478</v>
      </c>
      <c r="Q559" s="80">
        <f>Tableau1[[#This Row],[Conso HP / jour
Cumul]]*365</f>
        <v>-79389.696641859293</v>
      </c>
      <c r="R559" s="78">
        <v>1475</v>
      </c>
      <c r="S559" s="79">
        <f>Tableau1[[#This Row],[Index HC_x000D_
kWh]]-R558</f>
        <v>14</v>
      </c>
      <c r="T559" s="81">
        <f>Tableau1[[#This Row],[Différence_x000D_ HC
Instantané]]/(Tableau1[[#This Row],[Diff jour
Instantané]]*24)</f>
        <v>0.5957446808525394</v>
      </c>
      <c r="U559" s="81">
        <f>Tableau1[[#This Row],[Différence_x000D_ HC
Instantané]]/Tableau1[[#This Row],[Diff jour
Instantané]]</f>
        <v>14.297872340460946</v>
      </c>
      <c r="V559" s="81">
        <f>Tableau1[[#This Row],[Conso HC / jour_x000D_
Instantané]]*365</f>
        <v>5218.7234042682458</v>
      </c>
      <c r="W559" s="79">
        <f>Tableau1[[#This Row],[Index HC_x000D_
kWh]]-$R$5</f>
        <v>-117957</v>
      </c>
      <c r="X559" s="82">
        <f>Tableau1[[#This Row],[Différence HC
Cumul]]/(Tableau1[[#This Row],[Diff jour_x000D_
Cumul]]*24)</f>
        <v>-6.0480379011811047</v>
      </c>
      <c r="Y559" s="82">
        <f>Tableau1[[#This Row],[Différence HC
Cumul]]/Tableau1[[#This Row],[Diff jour_x000D_
Cumul]]</f>
        <v>-145.15290962834649</v>
      </c>
      <c r="Z559" s="82">
        <f>Tableau1[[#This Row],[Conso HC / jour_x000D_
Cumul]]*365</f>
        <v>-52980.812014346469</v>
      </c>
      <c r="AA559" s="79">
        <f>Tableau1[[#This Row],[Différence HP
Instantané]]+Tableau1[[#This Row],[Différence_x000D_ HC
Instantané]]</f>
        <v>40</v>
      </c>
      <c r="AB559" s="80">
        <f>Tableau1[[#This Row],[Conso HP + HC
Instantané]]/(Tableau1[[#This Row],[Diff jour
Instantané]]*24)</f>
        <v>1.7021276595786841</v>
      </c>
      <c r="AC559" s="80">
        <f>IF(ISERROR(Tableau1[[#This Row],[Date]]-A558),"",Tableau1[[#This Row],[Conso HP + HC
Instantané]]/Tableau1[[#This Row],[Diff jour
Instantané]])</f>
        <v>40.851063829888417</v>
      </c>
      <c r="AD559" s="80">
        <f>Tableau1[[#This Row],[Conso HP + HC / jour_x000D_
Instantané]]*365</f>
        <v>14910.638297909272</v>
      </c>
      <c r="AE559" s="79">
        <f>Tableau1[[#This Row],[Différence HP
Cumul]]+Tableau1[[#This Row],[Différence HC
Cumul]]</f>
        <v>-294711</v>
      </c>
      <c r="AF559" s="77">
        <f>(Tableau1[[#This Row],[Conso HP + HC
Cumul]]-AE$6)/Tableau1[[#This Row],[Diff jour_x000D_
Cumul
depuis le 24/01]]</f>
        <v>-383.8094392757136</v>
      </c>
      <c r="AG559" s="77">
        <f>(Tableau1[[#This Row],[Conso HP + HC
Cumul]]-AE$59)/Tableau1[[#This Row],[Diff jour_x000D_
Cumul
depuis
précédente facture
16/02/2021]]</f>
        <v>-397.43799477899569</v>
      </c>
      <c r="AH559" s="80">
        <f>Tableau1[[#This Row],[Conso HP + HC
Cumul]]/(Tableau1[[#This Row],[Diff jour_x000D_
Cumul]]*24)</f>
        <v>-15.11078865938422</v>
      </c>
      <c r="AI559" s="80">
        <f>Tableau1[[#This Row],[Conso HP + HC
Cumul]]/Tableau1[[#This Row],[Diff jour_x000D_
Cumul]]</f>
        <v>-362.65892782522127</v>
      </c>
      <c r="AJ559" s="80">
        <f>Tableau1[[#This Row],[Conso HP + HC / jour_x000D_
Cumul]]*365</f>
        <v>-132370.50865620575</v>
      </c>
      <c r="AK559" s="83">
        <f>(Tableau1[[#This Row],[Différence HP
Cumul]]*0.1799)+(Tableau1[[#This Row],[Différence HC
Cumul]]*0.1346)</f>
        <v>-47675.056799999998</v>
      </c>
      <c r="AL559" s="83">
        <f>Tableau1[[#This Row],[Montant
Tarif HP/HC]]/Tableau1[[#This Row],[Diff jour_x000D_
Cumul]]</f>
        <v>-58.66691430959321</v>
      </c>
      <c r="AM559" s="83">
        <f>(Tableau1[[#This Row],[Montant
Tarif HP/HC]]-AK$6)/Tableau1[[#This Row],[Diff jour_x000D_
Cumul
depuis le 24/01]]</f>
        <v>-62.099405175543943</v>
      </c>
      <c r="AN559" s="83">
        <f>(Tableau1[[#This Row],[Montant
Tarif HP/HC]]-AK$59)/Tableau1[[#This Row],[Diff jour_x000D_
Cumul
depuis
précédente facture
16/02/2021]]</f>
        <v>-64.314698220481176</v>
      </c>
      <c r="AO559" s="83">
        <f>Tableau1[[#This Row],[Conso HP + HC
Cumul]]*0.1599</f>
        <v>-47124.2889</v>
      </c>
      <c r="AP559" s="83">
        <f>Tableau1[[#This Row],[Montant
Tarif normal]]/Tableau1[[#This Row],[Diff jour_x000D_
Cumul]]</f>
        <v>-57.989162559252883</v>
      </c>
      <c r="AQ559" s="83">
        <f>(Tableau1[[#This Row],[Conso HP / an
Cumul]]*0.1799)+(Tableau1[[#This Row],[Conso HC / an_x000D_
Cumul]]*0.1346)</f>
        <v>-21413.423723001521</v>
      </c>
      <c r="AR559" s="83">
        <f>Tableau1[[#This Row],[Conso HP + HC / an_x000D_
Cumul]]*0.1599</f>
        <v>-21166.044334127298</v>
      </c>
      <c r="AS559" s="79">
        <f>MONTH(Tableau1[[#This Row],[Date]])</f>
        <v>3</v>
      </c>
      <c r="AT559" s="79">
        <f>YEAR(Tableau1[[#This Row],[Date]])</f>
        <v>2023</v>
      </c>
    </row>
    <row r="560" spans="1:46" x14ac:dyDescent="0.2">
      <c r="A560" s="74">
        <v>44996.296527777777</v>
      </c>
      <c r="B560" s="75"/>
      <c r="C560" s="76">
        <f>IF(ISERROR(Tableau1[[#This Row],[Date]]-A559),"",Tableau1[[#This Row],[Date]]-A559)</f>
        <v>0.94861111111094942</v>
      </c>
      <c r="D560" s="77">
        <f>IF(ISERROR(Tableau1[[#This Row],[Date]]-A559),"",Tableau1[[#This Row],[Date]]-A559)</f>
        <v>0.94861111111094942</v>
      </c>
      <c r="E560" s="76">
        <f>Tableau1[[#This Row],[Date]]-$A$5</f>
        <v>813.58819444444089</v>
      </c>
      <c r="F560" s="77">
        <f>Tableau1[[#This Row],[Date]]-$A$5</f>
        <v>813.58819444444089</v>
      </c>
      <c r="G560" s="77">
        <f>Tableau1[[#This Row],[Diff jour_x000D_
Cumul]]-F$6</f>
        <v>775.5048611111124</v>
      </c>
      <c r="H560" s="77">
        <f>Tableau1[[#This Row],[Diff jour_x000D_
Cumul]]-F$59</f>
        <v>752.98541666666279</v>
      </c>
      <c r="I560" s="78">
        <v>3036</v>
      </c>
      <c r="J560" s="79">
        <f>IF(ISERROR(Tableau1[[#This Row],[Index HP
kWh]]-I559),"",Tableau1[[#This Row],[Index HP
kWh]]-I559)</f>
        <v>31</v>
      </c>
      <c r="K560" s="77">
        <f>IF(ISERROR(Tableau1[[#This Row],[Différence HP
Instantané]]/(Tableau1[[#This Row],[Diff jour
Instantané]]*24)),"",Tableau1[[#This Row],[Différence HP
Instantané]]/(Tableau1[[#This Row],[Diff jour
Instantané]]*24))</f>
        <v>1.3616398243047709</v>
      </c>
      <c r="L560" s="77">
        <f>Tableau1[[#This Row],[Différence HP
Instantané]]/Tableau1[[#This Row],[Diff jour
Instantané]]</f>
        <v>32.679355783314499</v>
      </c>
      <c r="M560" s="77">
        <f>Tableau1[[#This Row],[Conso HP / jour
Instantané]]*365</f>
        <v>11927.964860909791</v>
      </c>
      <c r="N560" s="79">
        <f>Tableau1[[#This Row],[Index HP
kWh]]-$I$5</f>
        <v>-176723</v>
      </c>
      <c r="O560" s="80">
        <f>Tableau1[[#This Row],[Différence HP
Cumul]]/(Tableau1[[#This Row],[Diff jour_x000D_
Cumul]]*24)</f>
        <v>-9.050596338066919</v>
      </c>
      <c r="P560" s="80">
        <f>Tableau1[[#This Row],[Différence HP
Cumul]]/Tableau1[[#This Row],[Diff jour_x000D_
Cumul]]</f>
        <v>-217.21431211360607</v>
      </c>
      <c r="Q560" s="80">
        <f>Tableau1[[#This Row],[Conso HP / jour
Cumul]]*365</f>
        <v>-79283.223921466211</v>
      </c>
      <c r="R560" s="78">
        <v>1490</v>
      </c>
      <c r="S560" s="79">
        <f>Tableau1[[#This Row],[Index HC_x000D_
kWh]]-R559</f>
        <v>15</v>
      </c>
      <c r="T560" s="81">
        <f>Tableau1[[#This Row],[Différence_x000D_ HC
Instantané]]/(Tableau1[[#This Row],[Diff jour
Instantané]]*24)</f>
        <v>0.65885797950230851</v>
      </c>
      <c r="U560" s="81">
        <f>Tableau1[[#This Row],[Différence_x000D_ HC
Instantané]]/Tableau1[[#This Row],[Diff jour
Instantané]]</f>
        <v>15.812591508055403</v>
      </c>
      <c r="V560" s="81">
        <f>Tableau1[[#This Row],[Conso HC / jour_x000D_
Instantané]]*365</f>
        <v>5771.5959004402221</v>
      </c>
      <c r="W560" s="79">
        <f>Tableau1[[#This Row],[Index HC_x000D_
kWh]]-$R$5</f>
        <v>-117942</v>
      </c>
      <c r="X560" s="82">
        <f>Tableau1[[#This Row],[Différence HC
Cumul]]/(Tableau1[[#This Row],[Diff jour_x000D_
Cumul]]*24)</f>
        <v>-6.0402179303445989</v>
      </c>
      <c r="Y560" s="82">
        <f>Tableau1[[#This Row],[Différence HC
Cumul]]/Tableau1[[#This Row],[Diff jour_x000D_
Cumul]]</f>
        <v>-144.96523032827037</v>
      </c>
      <c r="Z560" s="82">
        <f>Tableau1[[#This Row],[Conso HC / jour_x000D_
Cumul]]*365</f>
        <v>-52912.309069818686</v>
      </c>
      <c r="AA560" s="79">
        <f>Tableau1[[#This Row],[Différence HP
Instantané]]+Tableau1[[#This Row],[Différence_x000D_ HC
Instantané]]</f>
        <v>46</v>
      </c>
      <c r="AB560" s="80">
        <f>Tableau1[[#This Row],[Conso HP + HC
Instantané]]/(Tableau1[[#This Row],[Diff jour
Instantané]]*24)</f>
        <v>2.0204978038070793</v>
      </c>
      <c r="AC560" s="80">
        <f>IF(ISERROR(Tableau1[[#This Row],[Date]]-A559),"",Tableau1[[#This Row],[Conso HP + HC
Instantané]]/Tableau1[[#This Row],[Diff jour
Instantané]])</f>
        <v>48.491947291369904</v>
      </c>
      <c r="AD560" s="80">
        <f>Tableau1[[#This Row],[Conso HP + HC / jour_x000D_
Instantané]]*365</f>
        <v>17699.560761350014</v>
      </c>
      <c r="AE560" s="79">
        <f>Tableau1[[#This Row],[Différence HP
Cumul]]+Tableau1[[#This Row],[Différence HC
Cumul]]</f>
        <v>-294665</v>
      </c>
      <c r="AF560" s="77">
        <f>(Tableau1[[#This Row],[Conso HP + HC
Cumul]]-AE$6)/Tableau1[[#This Row],[Diff jour_x000D_
Cumul
depuis le 24/01]]</f>
        <v>-383.28064065792205</v>
      </c>
      <c r="AG560" s="77">
        <f>(Tableau1[[#This Row],[Conso HP + HC
Cumul]]-AE$59)/Tableau1[[#This Row],[Diff jour_x000D_
Cumul
depuis
précédente facture
16/02/2021]]</f>
        <v>-396.87621218870646</v>
      </c>
      <c r="AH560" s="80">
        <f>Tableau1[[#This Row],[Conso HP + HC
Cumul]]/(Tableau1[[#This Row],[Diff jour_x000D_
Cumul]]*24)</f>
        <v>-15.090814268411519</v>
      </c>
      <c r="AI560" s="80">
        <f>Tableau1[[#This Row],[Conso HP + HC
Cumul]]/Tableau1[[#This Row],[Diff jour_x000D_
Cumul]]</f>
        <v>-362.17954244187644</v>
      </c>
      <c r="AJ560" s="80">
        <f>Tableau1[[#This Row],[Conso HP + HC / jour_x000D_
Cumul]]*365</f>
        <v>-132195.53299128491</v>
      </c>
      <c r="AK560" s="83">
        <f>(Tableau1[[#This Row],[Différence HP
Cumul]]*0.1799)+(Tableau1[[#This Row],[Différence HC
Cumul]]*0.1346)</f>
        <v>-47667.460899999998</v>
      </c>
      <c r="AL560" s="83">
        <f>Tableau1[[#This Row],[Montant
Tarif HP/HC]]/Tableau1[[#This Row],[Diff jour_x000D_
Cumul]]</f>
        <v>-58.589174751422924</v>
      </c>
      <c r="AM560" s="83">
        <f>(Tableau1[[#This Row],[Montant
Tarif HP/HC]]-AK$6)/Tableau1[[#This Row],[Diff jour_x000D_
Cumul
depuis le 24/01]]</f>
        <v>-62.013649316260718</v>
      </c>
      <c r="AN560" s="83">
        <f>(Tableau1[[#This Row],[Montant
Tarif HP/HC]]-AK$59)/Tableau1[[#This Row],[Diff jour_x000D_
Cumul
depuis
précédente facture
16/02/2021]]</f>
        <v>-64.223586844588397</v>
      </c>
      <c r="AO560" s="83">
        <f>Tableau1[[#This Row],[Conso HP + HC
Cumul]]*0.1599</f>
        <v>-47116.933499999999</v>
      </c>
      <c r="AP560" s="83">
        <f>Tableau1[[#This Row],[Montant
Tarif normal]]/Tableau1[[#This Row],[Diff jour_x000D_
Cumul]]</f>
        <v>-57.912508836456041</v>
      </c>
      <c r="AQ560" s="83">
        <f>(Tableau1[[#This Row],[Conso HP / an
Cumul]]*0.1799)+(Tableau1[[#This Row],[Conso HC / an_x000D_
Cumul]]*0.1346)</f>
        <v>-21385.048784269369</v>
      </c>
      <c r="AR560" s="83">
        <f>Tableau1[[#This Row],[Conso HP + HC / an_x000D_
Cumul]]*0.1599</f>
        <v>-21138.065725306456</v>
      </c>
      <c r="AS560" s="79">
        <f>MONTH(Tableau1[[#This Row],[Date]])</f>
        <v>3</v>
      </c>
      <c r="AT560" s="79">
        <f>YEAR(Tableau1[[#This Row],[Date]])</f>
        <v>2023</v>
      </c>
    </row>
    <row r="561" spans="1:46" x14ac:dyDescent="0.2">
      <c r="A561" s="74">
        <v>44997.402083333334</v>
      </c>
      <c r="B561" s="75"/>
      <c r="C561" s="76">
        <f>IF(ISERROR(Tableau1[[#This Row],[Date]]-A560),"",Tableau1[[#This Row],[Date]]-A560)</f>
        <v>1.1055555555576575</v>
      </c>
      <c r="D561" s="77">
        <f>IF(ISERROR(Tableau1[[#This Row],[Date]]-A560),"",Tableau1[[#This Row],[Date]]-A560)</f>
        <v>1.1055555555576575</v>
      </c>
      <c r="E561" s="76">
        <f>Tableau1[[#This Row],[Date]]-$A$5</f>
        <v>814.69374999999854</v>
      </c>
      <c r="F561" s="77">
        <f>Tableau1[[#This Row],[Date]]-$A$5</f>
        <v>814.69374999999854</v>
      </c>
      <c r="G561" s="77">
        <f>Tableau1[[#This Row],[Diff jour_x000D_
Cumul]]-F$6</f>
        <v>776.61041666667006</v>
      </c>
      <c r="H561" s="77">
        <f>Tableau1[[#This Row],[Diff jour_x000D_
Cumul]]-F$59</f>
        <v>754.09097222222044</v>
      </c>
      <c r="I561" s="78">
        <v>3063</v>
      </c>
      <c r="J561" s="79">
        <f>IF(ISERROR(Tableau1[[#This Row],[Index HP
kWh]]-I560),"",Tableau1[[#This Row],[Index HP
kWh]]-I560)</f>
        <v>27</v>
      </c>
      <c r="K561" s="77">
        <f>IF(ISERROR(Tableau1[[#This Row],[Différence HP
Instantané]]/(Tableau1[[#This Row],[Diff jour
Instantané]]*24)),"",Tableau1[[#This Row],[Différence HP
Instantané]]/(Tableau1[[#This Row],[Diff jour
Instantané]]*24))</f>
        <v>1.0175879396965577</v>
      </c>
      <c r="L561" s="77">
        <f>Tableau1[[#This Row],[Différence HP
Instantané]]/Tableau1[[#This Row],[Diff jour
Instantané]]</f>
        <v>24.422110552717385</v>
      </c>
      <c r="M561" s="77">
        <f>Tableau1[[#This Row],[Conso HP / jour
Instantané]]*365</f>
        <v>8914.070351741846</v>
      </c>
      <c r="N561" s="79">
        <f>Tableau1[[#This Row],[Index HP
kWh]]-$I$5</f>
        <v>-176696</v>
      </c>
      <c r="O561" s="80">
        <f>Tableau1[[#This Row],[Différence HP
Cumul]]/(Tableau1[[#This Row],[Diff jour_x000D_
Cumul]]*24)</f>
        <v>-9.0369336125793858</v>
      </c>
      <c r="P561" s="80">
        <f>Tableau1[[#This Row],[Différence HP
Cumul]]/Tableau1[[#This Row],[Diff jour_x000D_
Cumul]]</f>
        <v>-216.88640670190526</v>
      </c>
      <c r="Q561" s="80">
        <f>Tableau1[[#This Row],[Conso HP / jour
Cumul]]*365</f>
        <v>-79163.538446195424</v>
      </c>
      <c r="R561" s="78">
        <v>1503</v>
      </c>
      <c r="S561" s="79">
        <f>Tableau1[[#This Row],[Index HC_x000D_
kWh]]-R560</f>
        <v>13</v>
      </c>
      <c r="T561" s="81">
        <f>Tableau1[[#This Row],[Différence_x000D_ HC
Instantané]]/(Tableau1[[#This Row],[Diff jour
Instantané]]*24)</f>
        <v>0.48994974874278707</v>
      </c>
      <c r="U561" s="81">
        <f>Tableau1[[#This Row],[Différence_x000D_ HC
Instantané]]/Tableau1[[#This Row],[Diff jour
Instantané]]</f>
        <v>11.75879396982689</v>
      </c>
      <c r="V561" s="81">
        <f>Tableau1[[#This Row],[Conso HC / jour_x000D_
Instantané]]*365</f>
        <v>4291.9597989868143</v>
      </c>
      <c r="W561" s="79">
        <f>Tableau1[[#This Row],[Index HC_x000D_
kWh]]-$R$5</f>
        <v>-117929</v>
      </c>
      <c r="X561" s="82">
        <f>Tableau1[[#This Row],[Différence HC
Cumul]]/(Tableau1[[#This Row],[Diff jour_x000D_
Cumul]]*24)</f>
        <v>-6.0313563634596949</v>
      </c>
      <c r="Y561" s="82">
        <f>Tableau1[[#This Row],[Différence HC
Cumul]]/Tableau1[[#This Row],[Diff jour_x000D_
Cumul]]</f>
        <v>-144.75255272303269</v>
      </c>
      <c r="Z561" s="82">
        <f>Tableau1[[#This Row],[Conso HC / jour_x000D_
Cumul]]*365</f>
        <v>-52834.681743906935</v>
      </c>
      <c r="AA561" s="79">
        <f>Tableau1[[#This Row],[Différence HP
Instantané]]+Tableau1[[#This Row],[Différence_x000D_ HC
Instantané]]</f>
        <v>40</v>
      </c>
      <c r="AB561" s="80">
        <f>Tableau1[[#This Row],[Conso HP + HC
Instantané]]/(Tableau1[[#This Row],[Diff jour
Instantané]]*24)</f>
        <v>1.5075376884393448</v>
      </c>
      <c r="AC561" s="80">
        <f>IF(ISERROR(Tableau1[[#This Row],[Date]]-A560),"",Tableau1[[#This Row],[Conso HP + HC
Instantané]]/Tableau1[[#This Row],[Diff jour
Instantané]])</f>
        <v>36.180904522544274</v>
      </c>
      <c r="AD561" s="80">
        <f>Tableau1[[#This Row],[Conso HP + HC / jour_x000D_
Instantané]]*365</f>
        <v>13206.03015072866</v>
      </c>
      <c r="AE561" s="79">
        <f>Tableau1[[#This Row],[Différence HP
Cumul]]+Tableau1[[#This Row],[Différence HC
Cumul]]</f>
        <v>-294625</v>
      </c>
      <c r="AF561" s="77">
        <f>(Tableau1[[#This Row],[Conso HP + HC
Cumul]]-AE$6)/Tableau1[[#This Row],[Diff jour_x000D_
Cumul
depuis le 24/01]]</f>
        <v>-382.68350980355171</v>
      </c>
      <c r="AG561" s="77">
        <f>(Tableau1[[#This Row],[Conso HP + HC
Cumul]]-AE$59)/Tableau1[[#This Row],[Diff jour_x000D_
Cumul
depuis
précédente facture
16/02/2021]]</f>
        <v>-396.2413170382672</v>
      </c>
      <c r="AH561" s="80">
        <f>Tableau1[[#This Row],[Conso HP + HC
Cumul]]/(Tableau1[[#This Row],[Diff jour_x000D_
Cumul]]*24)</f>
        <v>-15.068289976039081</v>
      </c>
      <c r="AI561" s="80">
        <f>Tableau1[[#This Row],[Conso HP + HC
Cumul]]/Tableau1[[#This Row],[Diff jour_x000D_
Cumul]]</f>
        <v>-361.63895942493792</v>
      </c>
      <c r="AJ561" s="80">
        <f>Tableau1[[#This Row],[Conso HP + HC / jour_x000D_
Cumul]]*365</f>
        <v>-131998.22019010235</v>
      </c>
      <c r="AK561" s="83">
        <f>(Tableau1[[#This Row],[Différence HP
Cumul]]*0.1799)+(Tableau1[[#This Row],[Différence HC
Cumul]]*0.1346)</f>
        <v>-47660.853799999997</v>
      </c>
      <c r="AL561" s="83">
        <f>Tableau1[[#This Row],[Montant
Tarif HP/HC]]/Tableau1[[#This Row],[Diff jour_x000D_
Cumul]]</f>
        <v>-58.50155816219295</v>
      </c>
      <c r="AM561" s="83">
        <f>(Tableau1[[#This Row],[Montant
Tarif HP/HC]]-AK$6)/Tableau1[[#This Row],[Diff jour_x000D_
Cumul
depuis le 24/01]]</f>
        <v>-61.916861231902253</v>
      </c>
      <c r="AN561" s="83">
        <f>(Tableau1[[#This Row],[Montant
Tarif HP/HC]]-AK$59)/Tableau1[[#This Row],[Diff jour_x000D_
Cumul
depuis
précédente facture
16/02/2021]]</f>
        <v>-64.120668435414018</v>
      </c>
      <c r="AO561" s="83">
        <f>Tableau1[[#This Row],[Conso HP + HC
Cumul]]*0.1599</f>
        <v>-47110.537499999999</v>
      </c>
      <c r="AP561" s="83">
        <f>Tableau1[[#This Row],[Montant
Tarif normal]]/Tableau1[[#This Row],[Diff jour_x000D_
Cumul]]</f>
        <v>-57.826069612047576</v>
      </c>
      <c r="AQ561" s="83">
        <f>(Tableau1[[#This Row],[Conso HP / an
Cumul]]*0.1799)+(Tableau1[[#This Row],[Conso HC / an_x000D_
Cumul]]*0.1346)</f>
        <v>-21353.06872920043</v>
      </c>
      <c r="AR561" s="83">
        <f>Tableau1[[#This Row],[Conso HP + HC / an_x000D_
Cumul]]*0.1599</f>
        <v>-21106.515408397365</v>
      </c>
      <c r="AS561" s="79">
        <f>MONTH(Tableau1[[#This Row],[Date]])</f>
        <v>3</v>
      </c>
      <c r="AT561" s="79">
        <f>YEAR(Tableau1[[#This Row],[Date]])</f>
        <v>2023</v>
      </c>
    </row>
    <row r="562" spans="1:46" x14ac:dyDescent="0.2">
      <c r="A562" s="74">
        <v>44998.313888888886</v>
      </c>
      <c r="B562" s="75"/>
      <c r="C562" s="76">
        <f>IF(ISERROR(Tableau1[[#This Row],[Date]]-A561),"",Tableau1[[#This Row],[Date]]-A561)</f>
        <v>0.91180555555183673</v>
      </c>
      <c r="D562" s="77">
        <f>IF(ISERROR(Tableau1[[#This Row],[Date]]-A561),"",Tableau1[[#This Row],[Date]]-A561)</f>
        <v>0.91180555555183673</v>
      </c>
      <c r="E562" s="76">
        <f>Tableau1[[#This Row],[Date]]-$A$5</f>
        <v>815.60555555555038</v>
      </c>
      <c r="F562" s="77">
        <f>Tableau1[[#This Row],[Date]]-$A$5</f>
        <v>815.60555555555038</v>
      </c>
      <c r="G562" s="77">
        <f>Tableau1[[#This Row],[Diff jour_x000D_
Cumul]]-F$6</f>
        <v>777.5222222222219</v>
      </c>
      <c r="H562" s="77">
        <f>Tableau1[[#This Row],[Diff jour_x000D_
Cumul]]-F$59</f>
        <v>755.00277777777228</v>
      </c>
      <c r="I562" s="78">
        <v>3080</v>
      </c>
      <c r="J562" s="79">
        <f>IF(ISERROR(Tableau1[[#This Row],[Index HP
kWh]]-I561),"",Tableau1[[#This Row],[Index HP
kWh]]-I561)</f>
        <v>17</v>
      </c>
      <c r="K562" s="77">
        <f>IF(ISERROR(Tableau1[[#This Row],[Différence HP
Instantané]]/(Tableau1[[#This Row],[Diff jour
Instantané]]*24)),"",Tableau1[[#This Row],[Différence HP
Instantané]]/(Tableau1[[#This Row],[Diff jour
Instantané]]*24))</f>
        <v>0.77684691546394524</v>
      </c>
      <c r="L562" s="77">
        <f>Tableau1[[#This Row],[Différence HP
Instantané]]/Tableau1[[#This Row],[Diff jour
Instantané]]</f>
        <v>18.644325971134684</v>
      </c>
      <c r="M562" s="77">
        <f>Tableau1[[#This Row],[Conso HP / jour
Instantané]]*365</f>
        <v>6805.17897946416</v>
      </c>
      <c r="N562" s="79">
        <f>Tableau1[[#This Row],[Index HP
kWh]]-$I$5</f>
        <v>-176679</v>
      </c>
      <c r="O562" s="80">
        <f>Tableau1[[#This Row],[Différence HP
Cumul]]/(Tableau1[[#This Row],[Diff jour_x000D_
Cumul]]*24)</f>
        <v>-9.0259623047633895</v>
      </c>
      <c r="P562" s="80">
        <f>Tableau1[[#This Row],[Différence HP
Cumul]]/Tableau1[[#This Row],[Diff jour_x000D_
Cumul]]</f>
        <v>-216.62309531432135</v>
      </c>
      <c r="Q562" s="80">
        <f>Tableau1[[#This Row],[Conso HP / jour
Cumul]]*365</f>
        <v>-79067.429789727292</v>
      </c>
      <c r="R562" s="78">
        <v>1516</v>
      </c>
      <c r="S562" s="79">
        <f>Tableau1[[#This Row],[Index HC_x000D_
kWh]]-R561</f>
        <v>13</v>
      </c>
      <c r="T562" s="81">
        <f>Tableau1[[#This Row],[Différence_x000D_ HC
Instantané]]/(Tableau1[[#This Row],[Diff jour
Instantané]]*24)</f>
        <v>0.59405940594301698</v>
      </c>
      <c r="U562" s="81">
        <f>Tableau1[[#This Row],[Différence_x000D_ HC
Instantané]]/Tableau1[[#This Row],[Diff jour
Instantané]]</f>
        <v>14.257425742632407</v>
      </c>
      <c r="V562" s="81">
        <f>Tableau1[[#This Row],[Conso HC / jour_x000D_
Instantané]]*365</f>
        <v>5203.9603960608283</v>
      </c>
      <c r="W562" s="79">
        <f>Tableau1[[#This Row],[Index HC_x000D_
kWh]]-$R$5</f>
        <v>-117916</v>
      </c>
      <c r="X562" s="82">
        <f>Tableau1[[#This Row],[Différence HC
Cumul]]/(Tableau1[[#This Row],[Diff jour_x000D_
Cumul]]*24)</f>
        <v>-6.0239494853858115</v>
      </c>
      <c r="Y562" s="82">
        <f>Tableau1[[#This Row],[Différence HC
Cumul]]/Tableau1[[#This Row],[Diff jour_x000D_
Cumul]]</f>
        <v>-144.57478764925949</v>
      </c>
      <c r="Z562" s="82">
        <f>Tableau1[[#This Row],[Conso HC / jour_x000D_
Cumul]]*365</f>
        <v>-52769.797491979713</v>
      </c>
      <c r="AA562" s="79">
        <f>Tableau1[[#This Row],[Différence HP
Instantané]]+Tableau1[[#This Row],[Différence_x000D_ HC
Instantané]]</f>
        <v>30</v>
      </c>
      <c r="AB562" s="80">
        <f>Tableau1[[#This Row],[Conso HP + HC
Instantané]]/(Tableau1[[#This Row],[Diff jour
Instantané]]*24)</f>
        <v>1.3709063214069621</v>
      </c>
      <c r="AC562" s="80">
        <f>IF(ISERROR(Tableau1[[#This Row],[Date]]-A561),"",Tableau1[[#This Row],[Conso HP + HC
Instantané]]/Tableau1[[#This Row],[Diff jour
Instantané]])</f>
        <v>32.901751713767091</v>
      </c>
      <c r="AD562" s="80">
        <f>Tableau1[[#This Row],[Conso HP + HC / jour_x000D_
Instantané]]*365</f>
        <v>12009.139375524988</v>
      </c>
      <c r="AE562" s="79">
        <f>Tableau1[[#This Row],[Différence HP
Cumul]]+Tableau1[[#This Row],[Différence HC
Cumul]]</f>
        <v>-294595</v>
      </c>
      <c r="AF562" s="77">
        <f>(Tableau1[[#This Row],[Conso HP + HC
Cumul]]-AE$6)/Tableau1[[#This Row],[Diff jour_x000D_
Cumul
depuis le 24/01]]</f>
        <v>-382.19615016362536</v>
      </c>
      <c r="AG562" s="77">
        <f>(Tableau1[[#This Row],[Conso HP + HC
Cumul]]-AE$59)/Tableau1[[#This Row],[Diff jour_x000D_
Cumul
depuis
précédente facture
16/02/2021]]</f>
        <v>-395.72304737657618</v>
      </c>
      <c r="AH562" s="80">
        <f>Tableau1[[#This Row],[Conso HP + HC
Cumul]]/(Tableau1[[#This Row],[Diff jour_x000D_
Cumul]]*24)</f>
        <v>-15.049911790149201</v>
      </c>
      <c r="AI562" s="80">
        <f>Tableau1[[#This Row],[Conso HP + HC
Cumul]]/Tableau1[[#This Row],[Diff jour_x000D_
Cumul]]</f>
        <v>-361.19788296358081</v>
      </c>
      <c r="AJ562" s="80">
        <f>Tableau1[[#This Row],[Conso HP + HC / jour_x000D_
Cumul]]*365</f>
        <v>-131837.22728170699</v>
      </c>
      <c r="AK562" s="83">
        <f>(Tableau1[[#This Row],[Différence HP
Cumul]]*0.1799)+(Tableau1[[#This Row],[Différence HC
Cumul]]*0.1346)</f>
        <v>-47656.045700000002</v>
      </c>
      <c r="AL562" s="83">
        <f>Tableau1[[#This Row],[Montant
Tarif HP/HC]]/Tableau1[[#This Row],[Diff jour_x000D_
Cumul]]</f>
        <v>-58.430261264636741</v>
      </c>
      <c r="AM562" s="83">
        <f>(Tableau1[[#This Row],[Montant
Tarif HP/HC]]-AK$6)/Tableau1[[#This Row],[Diff jour_x000D_
Cumul
depuis le 24/01]]</f>
        <v>-61.838067036311962</v>
      </c>
      <c r="AN562" s="83">
        <f>(Tableau1[[#This Row],[Montant
Tarif HP/HC]]-AK$59)/Tableau1[[#This Row],[Diff jour_x000D_
Cumul
depuis
précédente facture
16/02/2021]]</f>
        <v>-64.036862542816721</v>
      </c>
      <c r="AO562" s="83">
        <f>Tableau1[[#This Row],[Conso HP + HC
Cumul]]*0.1599</f>
        <v>-47105.740499999993</v>
      </c>
      <c r="AP562" s="83">
        <f>Tableau1[[#This Row],[Montant
Tarif normal]]/Tableau1[[#This Row],[Diff jour_x000D_
Cumul]]</f>
        <v>-57.755541485876563</v>
      </c>
      <c r="AQ562" s="83">
        <f>(Tableau1[[#This Row],[Conso HP / an
Cumul]]*0.1799)+(Tableau1[[#This Row],[Conso HC / an_x000D_
Cumul]]*0.1346)</f>
        <v>-21327.045361592409</v>
      </c>
      <c r="AR562" s="83">
        <f>Tableau1[[#This Row],[Conso HP + HC / an_x000D_
Cumul]]*0.1599</f>
        <v>-21080.772642344946</v>
      </c>
      <c r="AS562" s="79">
        <f>MONTH(Tableau1[[#This Row],[Date]])</f>
        <v>3</v>
      </c>
      <c r="AT562" s="79">
        <f>YEAR(Tableau1[[#This Row],[Date]])</f>
        <v>2023</v>
      </c>
    </row>
    <row r="563" spans="1:46" x14ac:dyDescent="0.2">
      <c r="A563" s="74">
        <v>44999.320138888892</v>
      </c>
      <c r="B563" s="75"/>
      <c r="C563" s="76">
        <f>IF(ISERROR(Tableau1[[#This Row],[Date]]-A562),"",Tableau1[[#This Row],[Date]]-A562)</f>
        <v>1.0062500000058208</v>
      </c>
      <c r="D563" s="77">
        <f>IF(ISERROR(Tableau1[[#This Row],[Date]]-A562),"",Tableau1[[#This Row],[Date]]-A562)</f>
        <v>1.0062500000058208</v>
      </c>
      <c r="E563" s="76">
        <f>Tableau1[[#This Row],[Date]]-$A$5</f>
        <v>816.6118055555562</v>
      </c>
      <c r="F563" s="77">
        <f>Tableau1[[#This Row],[Date]]-$A$5</f>
        <v>816.6118055555562</v>
      </c>
      <c r="G563" s="77">
        <f>Tableau1[[#This Row],[Diff jour_x000D_
Cumul]]-F$6</f>
        <v>778.52847222222772</v>
      </c>
      <c r="H563" s="77">
        <f>Tableau1[[#This Row],[Diff jour_x000D_
Cumul]]-F$59</f>
        <v>756.0090277777781</v>
      </c>
      <c r="I563" s="78">
        <v>3109</v>
      </c>
      <c r="J563" s="79">
        <f>IF(ISERROR(Tableau1[[#This Row],[Index HP
kWh]]-I562),"",Tableau1[[#This Row],[Index HP
kWh]]-I562)</f>
        <v>29</v>
      </c>
      <c r="K563" s="77">
        <f>IF(ISERROR(Tableau1[[#This Row],[Différence HP
Instantané]]/(Tableau1[[#This Row],[Diff jour
Instantané]]*24)),"",Tableau1[[#This Row],[Différence HP
Instantané]]/(Tableau1[[#This Row],[Diff jour
Instantané]]*24))</f>
        <v>1.2008281573429502</v>
      </c>
      <c r="L563" s="77">
        <f>Tableau1[[#This Row],[Différence HP
Instantané]]/Tableau1[[#This Row],[Diff jour
Instantané]]</f>
        <v>28.819875776230802</v>
      </c>
      <c r="M563" s="77">
        <f>Tableau1[[#This Row],[Conso HP / jour
Instantané]]*365</f>
        <v>10519.254658324242</v>
      </c>
      <c r="N563" s="79">
        <f>Tableau1[[#This Row],[Index HP
kWh]]-$I$5</f>
        <v>-176650</v>
      </c>
      <c r="O563" s="80">
        <f>Tableau1[[#This Row],[Différence HP
Cumul]]/(Tableau1[[#This Row],[Diff jour_x000D_
Cumul]]*24)</f>
        <v>-9.0133605914002661</v>
      </c>
      <c r="P563" s="80">
        <f>Tableau1[[#This Row],[Différence HP
Cumul]]/Tableau1[[#This Row],[Diff jour_x000D_
Cumul]]</f>
        <v>-216.32065419360637</v>
      </c>
      <c r="Q563" s="80">
        <f>Tableau1[[#This Row],[Conso HP / jour
Cumul]]*365</f>
        <v>-78957.03878066632</v>
      </c>
      <c r="R563" s="78">
        <v>1532</v>
      </c>
      <c r="S563" s="79">
        <f>Tableau1[[#This Row],[Index HC_x000D_
kWh]]-R562</f>
        <v>16</v>
      </c>
      <c r="T563" s="81">
        <f>Tableau1[[#This Row],[Différence_x000D_ HC
Instantané]]/(Tableau1[[#This Row],[Diff jour
Instantané]]*24)</f>
        <v>0.66252587991335177</v>
      </c>
      <c r="U563" s="81">
        <f>Tableau1[[#This Row],[Différence_x000D_ HC
Instantané]]/Tableau1[[#This Row],[Diff jour
Instantané]]</f>
        <v>15.900621117920444</v>
      </c>
      <c r="V563" s="81">
        <f>Tableau1[[#This Row],[Conso HC / jour_x000D_
Instantané]]*365</f>
        <v>5803.726708040962</v>
      </c>
      <c r="W563" s="79">
        <f>Tableau1[[#This Row],[Index HC_x000D_
kWh]]-$R$5</f>
        <v>-117900</v>
      </c>
      <c r="X563" s="82">
        <f>Tableau1[[#This Row],[Différence HC
Cumul]]/(Tableau1[[#This Row],[Diff jour_x000D_
Cumul]]*24)</f>
        <v>-6.015710239038162</v>
      </c>
      <c r="Y563" s="82">
        <f>Tableau1[[#This Row],[Différence HC
Cumul]]/Tableau1[[#This Row],[Diff jour_x000D_
Cumul]]</f>
        <v>-144.37704573691587</v>
      </c>
      <c r="Z563" s="82">
        <f>Tableau1[[#This Row],[Conso HC / jour_x000D_
Cumul]]*365</f>
        <v>-52697.621693974295</v>
      </c>
      <c r="AA563" s="79">
        <f>Tableau1[[#This Row],[Différence HP
Instantané]]+Tableau1[[#This Row],[Différence_x000D_ HC
Instantané]]</f>
        <v>45</v>
      </c>
      <c r="AB563" s="80">
        <f>Tableau1[[#This Row],[Conso HP + HC
Instantané]]/(Tableau1[[#This Row],[Diff jour
Instantané]]*24)</f>
        <v>1.863354037256302</v>
      </c>
      <c r="AC563" s="80">
        <f>IF(ISERROR(Tableau1[[#This Row],[Date]]-A562),"",Tableau1[[#This Row],[Conso HP + HC
Instantané]]/Tableau1[[#This Row],[Diff jour
Instantané]])</f>
        <v>44.720496894151246</v>
      </c>
      <c r="AD563" s="80">
        <f>Tableau1[[#This Row],[Conso HP + HC / jour_x000D_
Instantané]]*365</f>
        <v>16322.981366365206</v>
      </c>
      <c r="AE563" s="79">
        <f>Tableau1[[#This Row],[Différence HP
Cumul]]+Tableau1[[#This Row],[Différence HC
Cumul]]</f>
        <v>-294550</v>
      </c>
      <c r="AF563" s="77">
        <f>(Tableau1[[#This Row],[Conso HP + HC
Cumul]]-AE$6)/Tableau1[[#This Row],[Diff jour_x000D_
Cumul
depuis le 24/01]]</f>
        <v>-381.64435932818145</v>
      </c>
      <c r="AG563" s="77">
        <f>(Tableau1[[#This Row],[Conso HP + HC
Cumul]]-AE$59)/Tableau1[[#This Row],[Diff jour_x000D_
Cumul
depuis
précédente facture
16/02/2021]]</f>
        <v>-395.13681586327306</v>
      </c>
      <c r="AH563" s="80">
        <f>Tableau1[[#This Row],[Conso HP + HC
Cumul]]/(Tableau1[[#This Row],[Diff jour_x000D_
Cumul]]*24)</f>
        <v>-15.029070830438428</v>
      </c>
      <c r="AI563" s="80">
        <f>Tableau1[[#This Row],[Conso HP + HC
Cumul]]/Tableau1[[#This Row],[Diff jour_x000D_
Cumul]]</f>
        <v>-360.69769993052228</v>
      </c>
      <c r="AJ563" s="80">
        <f>Tableau1[[#This Row],[Conso HP + HC / jour_x000D_
Cumul]]*365</f>
        <v>-131654.66047464064</v>
      </c>
      <c r="AK563" s="83">
        <f>(Tableau1[[#This Row],[Différence HP
Cumul]]*0.1799)+(Tableau1[[#This Row],[Différence HC
Cumul]]*0.1346)</f>
        <v>-47648.675000000003</v>
      </c>
      <c r="AL563" s="83">
        <f>Tableau1[[#This Row],[Montant
Tarif HP/HC]]/Tableau1[[#This Row],[Diff jour_x000D_
Cumul]]</f>
        <v>-58.349236045618667</v>
      </c>
      <c r="AM563" s="83">
        <f>(Tableau1[[#This Row],[Montant
Tarif HP/HC]]-AK$6)/Tableau1[[#This Row],[Diff jour_x000D_
Cumul
depuis le 24/01]]</f>
        <v>-61.748673703326986</v>
      </c>
      <c r="AN563" s="83">
        <f>(Tableau1[[#This Row],[Montant
Tarif HP/HC]]-AK$59)/Tableau1[[#This Row],[Diff jour_x000D_
Cumul
depuis
précédente facture
16/02/2021]]</f>
        <v>-63.941879823965927</v>
      </c>
      <c r="AO563" s="83">
        <f>Tableau1[[#This Row],[Conso HP + HC
Cumul]]*0.1599</f>
        <v>-47098.544999999998</v>
      </c>
      <c r="AP563" s="83">
        <f>Tableau1[[#This Row],[Montant
Tarif normal]]/Tableau1[[#This Row],[Diff jour_x000D_
Cumul]]</f>
        <v>-57.675562218890505</v>
      </c>
      <c r="AQ563" s="83">
        <f>(Tableau1[[#This Row],[Conso HP / an
Cumul]]*0.1799)+(Tableau1[[#This Row],[Conso HC / an_x000D_
Cumul]]*0.1346)</f>
        <v>-21297.471156650812</v>
      </c>
      <c r="AR563" s="83">
        <f>Tableau1[[#This Row],[Conso HP + HC / an_x000D_
Cumul]]*0.1599</f>
        <v>-21051.580209895037</v>
      </c>
      <c r="AS563" s="79">
        <f>MONTH(Tableau1[[#This Row],[Date]])</f>
        <v>3</v>
      </c>
      <c r="AT563" s="79">
        <f>YEAR(Tableau1[[#This Row],[Date]])</f>
        <v>2023</v>
      </c>
    </row>
    <row r="564" spans="1:46" x14ac:dyDescent="0.2">
      <c r="A564" s="74">
        <v>45000.332638888889</v>
      </c>
      <c r="B564" s="75"/>
      <c r="C564" s="76">
        <f>IF(ISERROR(Tableau1[[#This Row],[Date]]-A563),"",Tableau1[[#This Row],[Date]]-A563)</f>
        <v>1.0124999999970896</v>
      </c>
      <c r="D564" s="77">
        <f>IF(ISERROR(Tableau1[[#This Row],[Date]]-A563),"",Tableau1[[#This Row],[Date]]-A563)</f>
        <v>1.0124999999970896</v>
      </c>
      <c r="E564" s="76">
        <f>Tableau1[[#This Row],[Date]]-$A$5</f>
        <v>817.62430555555329</v>
      </c>
      <c r="F564" s="77">
        <f>Tableau1[[#This Row],[Date]]-$A$5</f>
        <v>817.62430555555329</v>
      </c>
      <c r="G564" s="77">
        <f>Tableau1[[#This Row],[Diff jour_x000D_
Cumul]]-F$6</f>
        <v>779.54097222222481</v>
      </c>
      <c r="H564" s="77">
        <f>Tableau1[[#This Row],[Diff jour_x000D_
Cumul]]-F$59</f>
        <v>757.02152777777519</v>
      </c>
      <c r="I564" s="78">
        <v>3139</v>
      </c>
      <c r="J564" s="79">
        <f>IF(ISERROR(Tableau1[[#This Row],[Index HP
kWh]]-I563),"",Tableau1[[#This Row],[Index HP
kWh]]-I563)</f>
        <v>30</v>
      </c>
      <c r="K564" s="77">
        <f>IF(ISERROR(Tableau1[[#This Row],[Différence HP
Instantané]]/(Tableau1[[#This Row],[Diff jour
Instantané]]*24)),"",Tableau1[[#This Row],[Différence HP
Instantané]]/(Tableau1[[#This Row],[Diff jour
Instantané]]*24))</f>
        <v>1.2345679012381165</v>
      </c>
      <c r="L564" s="77">
        <f>Tableau1[[#This Row],[Différence HP
Instantané]]/Tableau1[[#This Row],[Diff jour
Instantané]]</f>
        <v>29.629629629714799</v>
      </c>
      <c r="M564" s="77">
        <f>Tableau1[[#This Row],[Conso HP / jour
Instantané]]*365</f>
        <v>10814.814814845902</v>
      </c>
      <c r="N564" s="79">
        <f>Tableau1[[#This Row],[Index HP
kWh]]-$I$5</f>
        <v>-176620</v>
      </c>
      <c r="O564" s="80">
        <f>Tableau1[[#This Row],[Différence HP
Cumul]]/(Tableau1[[#This Row],[Diff jour_x000D_
Cumul]]*24)</f>
        <v>-9.0006701325571701</v>
      </c>
      <c r="P564" s="80">
        <f>Tableau1[[#This Row],[Différence HP
Cumul]]/Tableau1[[#This Row],[Diff jour_x000D_
Cumul]]</f>
        <v>-216.0160831813721</v>
      </c>
      <c r="Q564" s="80">
        <f>Tableau1[[#This Row],[Conso HP / jour
Cumul]]*365</f>
        <v>-78845.87036120081</v>
      </c>
      <c r="R564" s="78">
        <v>1550</v>
      </c>
      <c r="S564" s="79">
        <f>Tableau1[[#This Row],[Index HC_x000D_
kWh]]-R563</f>
        <v>18</v>
      </c>
      <c r="T564" s="81">
        <f>Tableau1[[#This Row],[Différence_x000D_ HC
Instantané]]/(Tableau1[[#This Row],[Diff jour
Instantané]]*24)</f>
        <v>0.74074074074287</v>
      </c>
      <c r="U564" s="81">
        <f>Tableau1[[#This Row],[Différence_x000D_ HC
Instantané]]/Tableau1[[#This Row],[Diff jour
Instantané]]</f>
        <v>17.777777777828881</v>
      </c>
      <c r="V564" s="81">
        <f>Tableau1[[#This Row],[Conso HC / jour_x000D_
Instantané]]*365</f>
        <v>6488.8888889075415</v>
      </c>
      <c r="W564" s="79">
        <f>Tableau1[[#This Row],[Index HC_x000D_
kWh]]-$R$5</f>
        <v>-117882</v>
      </c>
      <c r="X564" s="82">
        <f>Tableau1[[#This Row],[Différence HC
Cumul]]/(Tableau1[[#This Row],[Diff jour_x000D_
Cumul]]*24)</f>
        <v>-6.0073434297707191</v>
      </c>
      <c r="Y564" s="82">
        <f>Tableau1[[#This Row],[Différence HC
Cumul]]/Tableau1[[#This Row],[Diff jour_x000D_
Cumul]]</f>
        <v>-144.17624231449727</v>
      </c>
      <c r="Z564" s="82">
        <f>Tableau1[[#This Row],[Conso HC / jour_x000D_
Cumul]]*365</f>
        <v>-52624.328444791507</v>
      </c>
      <c r="AA564" s="79">
        <f>Tableau1[[#This Row],[Différence HP
Instantané]]+Tableau1[[#This Row],[Différence_x000D_ HC
Instantané]]</f>
        <v>48</v>
      </c>
      <c r="AB564" s="80">
        <f>Tableau1[[#This Row],[Conso HP + HC
Instantané]]/(Tableau1[[#This Row],[Diff jour
Instantané]]*24)</f>
        <v>1.9753086419809867</v>
      </c>
      <c r="AC564" s="80">
        <f>IF(ISERROR(Tableau1[[#This Row],[Date]]-A563),"",Tableau1[[#This Row],[Conso HP + HC
Instantané]]/Tableau1[[#This Row],[Diff jour
Instantané]])</f>
        <v>47.40740740754368</v>
      </c>
      <c r="AD564" s="80">
        <f>Tableau1[[#This Row],[Conso HP + HC / jour_x000D_
Instantané]]*365</f>
        <v>17303.703703753443</v>
      </c>
      <c r="AE564" s="79">
        <f>Tableau1[[#This Row],[Différence HP
Cumul]]+Tableau1[[#This Row],[Différence HC
Cumul]]</f>
        <v>-294502</v>
      </c>
      <c r="AF564" s="77">
        <f>(Tableau1[[#This Row],[Conso HP + HC
Cumul]]-AE$6)/Tableau1[[#This Row],[Diff jour_x000D_
Cumul
depuis le 24/01]]</f>
        <v>-381.08708917908291</v>
      </c>
      <c r="AG564" s="77">
        <f>(Tableau1[[#This Row],[Conso HP + HC
Cumul]]-AE$59)/Tableau1[[#This Row],[Diff jour_x000D_
Cumul
depuis
précédente facture
16/02/2021]]</f>
        <v>-394.54492248954597</v>
      </c>
      <c r="AH564" s="80">
        <f>Tableau1[[#This Row],[Conso HP + HC
Cumul]]/(Tableau1[[#This Row],[Diff jour_x000D_
Cumul]]*24)</f>
        <v>-15.008013562327891</v>
      </c>
      <c r="AI564" s="80">
        <f>Tableau1[[#This Row],[Conso HP + HC
Cumul]]/Tableau1[[#This Row],[Diff jour_x000D_
Cumul]]</f>
        <v>-360.19232549586934</v>
      </c>
      <c r="AJ564" s="80">
        <f>Tableau1[[#This Row],[Conso HP + HC / jour_x000D_
Cumul]]*365</f>
        <v>-131470.19880599232</v>
      </c>
      <c r="AK564" s="83">
        <f>(Tableau1[[#This Row],[Différence HP
Cumul]]*0.1799)+(Tableau1[[#This Row],[Différence HC
Cumul]]*0.1346)</f>
        <v>-47640.855200000005</v>
      </c>
      <c r="AL564" s="83">
        <f>Tableau1[[#This Row],[Montant
Tarif HP/HC]]/Tableau1[[#This Row],[Diff jour_x000D_
Cumul]]</f>
        <v>-58.267415579860177</v>
      </c>
      <c r="AM564" s="83">
        <f>(Tableau1[[#This Row],[Montant
Tarif HP/HC]]-AK$6)/Tableau1[[#This Row],[Diff jour_x000D_
Cumul
depuis le 24/01]]</f>
        <v>-61.658440688474769</v>
      </c>
      <c r="AN564" s="83">
        <f>(Tableau1[[#This Row],[Montant
Tarif HP/HC]]-AK$59)/Tableau1[[#This Row],[Diff jour_x000D_
Cumul
depuis
précédente facture
16/02/2021]]</f>
        <v>-63.846029242893842</v>
      </c>
      <c r="AO564" s="83">
        <f>Tableau1[[#This Row],[Conso HP + HC
Cumul]]*0.1599</f>
        <v>-47090.869799999993</v>
      </c>
      <c r="AP564" s="83">
        <f>Tableau1[[#This Row],[Montant
Tarif normal]]/Tableau1[[#This Row],[Diff jour_x000D_
Cumul]]</f>
        <v>-57.594752846789504</v>
      </c>
      <c r="AQ564" s="83">
        <f>(Tableau1[[#This Row],[Conso HP / an
Cumul]]*0.1799)+(Tableau1[[#This Row],[Conso HC / an_x000D_
Cumul]]*0.1346)</f>
        <v>-21267.606686648964</v>
      </c>
      <c r="AR564" s="83">
        <f>Tableau1[[#This Row],[Conso HP + HC / an_x000D_
Cumul]]*0.1599</f>
        <v>-21022.08478907817</v>
      </c>
      <c r="AS564" s="79">
        <f>MONTH(Tableau1[[#This Row],[Date]])</f>
        <v>3</v>
      </c>
      <c r="AT564" s="79">
        <f>YEAR(Tableau1[[#This Row],[Date]])</f>
        <v>2023</v>
      </c>
    </row>
    <row r="565" spans="1:46" x14ac:dyDescent="0.2">
      <c r="A565" s="74">
        <v>45001.308333333334</v>
      </c>
      <c r="B565" s="75"/>
      <c r="C565" s="76">
        <f>IF(ISERROR(Tableau1[[#This Row],[Date]]-A564),"",Tableau1[[#This Row],[Date]]-A564)</f>
        <v>0.97569444444525288</v>
      </c>
      <c r="D565" s="77">
        <f>IF(ISERROR(Tableau1[[#This Row],[Date]]-A564),"",Tableau1[[#This Row],[Date]]-A564)</f>
        <v>0.97569444444525288</v>
      </c>
      <c r="E565" s="76">
        <f>Tableau1[[#This Row],[Date]]-$A$5</f>
        <v>818.59999999999854</v>
      </c>
      <c r="F565" s="77">
        <f>Tableau1[[#This Row],[Date]]-$A$5</f>
        <v>818.59999999999854</v>
      </c>
      <c r="G565" s="77">
        <f>Tableau1[[#This Row],[Diff jour_x000D_
Cumul]]-F$6</f>
        <v>780.51666666667006</v>
      </c>
      <c r="H565" s="77">
        <f>Tableau1[[#This Row],[Diff jour_x000D_
Cumul]]-F$59</f>
        <v>757.99722222222044</v>
      </c>
      <c r="I565" s="78">
        <v>3161</v>
      </c>
      <c r="J565" s="79">
        <f>IF(ISERROR(Tableau1[[#This Row],[Index HP
kWh]]-I564),"",Tableau1[[#This Row],[Index HP
kWh]]-I564)</f>
        <v>22</v>
      </c>
      <c r="K565" s="77">
        <f>IF(ISERROR(Tableau1[[#This Row],[Différence HP
Instantané]]/(Tableau1[[#This Row],[Diff jour
Instantané]]*24)),"",Tableau1[[#This Row],[Différence HP
Instantané]]/(Tableau1[[#This Row],[Diff jour
Instantané]]*24))</f>
        <v>0.9395017793586522</v>
      </c>
      <c r="L565" s="77">
        <f>Tableau1[[#This Row],[Différence HP
Instantané]]/Tableau1[[#This Row],[Diff jour
Instantané]]</f>
        <v>22.548042704607653</v>
      </c>
      <c r="M565" s="77">
        <f>Tableau1[[#This Row],[Conso HP / jour
Instantané]]*365</f>
        <v>8230.0355871817937</v>
      </c>
      <c r="N565" s="79">
        <f>Tableau1[[#This Row],[Index HP
kWh]]-$I$5</f>
        <v>-176598</v>
      </c>
      <c r="O565" s="80">
        <f>Tableau1[[#This Row],[Différence HP
Cumul]]/(Tableau1[[#This Row],[Diff jour_x000D_
Cumul]]*24)</f>
        <v>-8.9888223796726283</v>
      </c>
      <c r="P565" s="80">
        <f>Tableau1[[#This Row],[Différence HP
Cumul]]/Tableau1[[#This Row],[Diff jour_x000D_
Cumul]]</f>
        <v>-215.73173711214307</v>
      </c>
      <c r="Q565" s="80">
        <f>Tableau1[[#This Row],[Conso HP / jour
Cumul]]*365</f>
        <v>-78742.084045932221</v>
      </c>
      <c r="R565" s="78">
        <v>1566</v>
      </c>
      <c r="S565" s="79">
        <f>Tableau1[[#This Row],[Index HC_x000D_
kWh]]-R564</f>
        <v>16</v>
      </c>
      <c r="T565" s="81">
        <f>Tableau1[[#This Row],[Différence_x000D_ HC
Instantané]]/(Tableau1[[#This Row],[Diff jour
Instantané]]*24)</f>
        <v>0.68327402135174697</v>
      </c>
      <c r="U565" s="81">
        <f>Tableau1[[#This Row],[Différence_x000D_ HC
Instantané]]/Tableau1[[#This Row],[Diff jour
Instantané]]</f>
        <v>16.398576512441927</v>
      </c>
      <c r="V565" s="81">
        <f>Tableau1[[#This Row],[Conso HC / jour_x000D_
Instantané]]*365</f>
        <v>5985.4804270413033</v>
      </c>
      <c r="W565" s="79">
        <f>Tableau1[[#This Row],[Index HC_x000D_
kWh]]-$R$5</f>
        <v>-117866</v>
      </c>
      <c r="X565" s="82">
        <f>Tableau1[[#This Row],[Différence HC
Cumul]]/(Tableau1[[#This Row],[Diff jour_x000D_
Cumul]]*24)</f>
        <v>-5.9993688411108499</v>
      </c>
      <c r="Y565" s="82">
        <f>Tableau1[[#This Row],[Différence HC
Cumul]]/Tableau1[[#This Row],[Diff jour_x000D_
Cumul]]</f>
        <v>-143.98485218666042</v>
      </c>
      <c r="Z565" s="82">
        <f>Tableau1[[#This Row],[Conso HC / jour_x000D_
Cumul]]*365</f>
        <v>-52554.471048131054</v>
      </c>
      <c r="AA565" s="79">
        <f>Tableau1[[#This Row],[Différence HP
Instantané]]+Tableau1[[#This Row],[Différence_x000D_ HC
Instantané]]</f>
        <v>38</v>
      </c>
      <c r="AB565" s="80">
        <f>Tableau1[[#This Row],[Conso HP + HC
Instantané]]/(Tableau1[[#This Row],[Diff jour
Instantané]]*24)</f>
        <v>1.6227758007103992</v>
      </c>
      <c r="AC565" s="80">
        <f>IF(ISERROR(Tableau1[[#This Row],[Date]]-A564),"",Tableau1[[#This Row],[Conso HP + HC
Instantané]]/Tableau1[[#This Row],[Diff jour
Instantané]])</f>
        <v>38.94661921704958</v>
      </c>
      <c r="AD565" s="80">
        <f>Tableau1[[#This Row],[Conso HP + HC / jour_x000D_
Instantané]]*365</f>
        <v>14215.516014223096</v>
      </c>
      <c r="AE565" s="79">
        <f>Tableau1[[#This Row],[Différence HP
Cumul]]+Tableau1[[#This Row],[Différence HC
Cumul]]</f>
        <v>-294464</v>
      </c>
      <c r="AF565" s="77">
        <f>(Tableau1[[#This Row],[Conso HP + HC
Cumul]]-AE$6)/Tableau1[[#This Row],[Diff jour_x000D_
Cumul
depuis le 24/01]]</f>
        <v>-380.56202088360106</v>
      </c>
      <c r="AG565" s="77">
        <f>(Tableau1[[#This Row],[Conso HP + HC
Cumul]]-AE$59)/Tableau1[[#This Row],[Diff jour_x000D_
Cumul
depuis
précédente facture
16/02/2021]]</f>
        <v>-393.98693193686671</v>
      </c>
      <c r="AH565" s="80">
        <f>Tableau1[[#This Row],[Conso HP + HC
Cumul]]/(Tableau1[[#This Row],[Diff jour_x000D_
Cumul]]*24)</f>
        <v>-14.988191220783477</v>
      </c>
      <c r="AI565" s="80">
        <f>Tableau1[[#This Row],[Conso HP + HC
Cumul]]/Tableau1[[#This Row],[Diff jour_x000D_
Cumul]]</f>
        <v>-359.71658929880346</v>
      </c>
      <c r="AJ565" s="80">
        <f>Tableau1[[#This Row],[Conso HP + HC / jour_x000D_
Cumul]]*365</f>
        <v>-131296.55509406325</v>
      </c>
      <c r="AK565" s="83">
        <f>(Tableau1[[#This Row],[Différence HP
Cumul]]*0.1799)+(Tableau1[[#This Row],[Différence HC
Cumul]]*0.1346)</f>
        <v>-47634.743800000004</v>
      </c>
      <c r="AL565" s="83">
        <f>Tableau1[[#This Row],[Montant
Tarif HP/HC]]/Tableau1[[#This Row],[Diff jour_x000D_
Cumul]]</f>
        <v>-58.190500610799035</v>
      </c>
      <c r="AM565" s="83">
        <f>(Tableau1[[#This Row],[Montant
Tarif HP/HC]]-AK$6)/Tableau1[[#This Row],[Diff jour_x000D_
Cumul
depuis le 24/01]]</f>
        <v>-61.573533855779033</v>
      </c>
      <c r="AN565" s="83">
        <f>(Tableau1[[#This Row],[Montant
Tarif HP/HC]]-AK$59)/Tableau1[[#This Row],[Diff jour_x000D_
Cumul
depuis
précédente facture
16/02/2021]]</f>
        <v>-63.755784036148043</v>
      </c>
      <c r="AO565" s="83">
        <f>Tableau1[[#This Row],[Conso HP + HC
Cumul]]*0.1599</f>
        <v>-47084.793599999997</v>
      </c>
      <c r="AP565" s="83">
        <f>Tableau1[[#This Row],[Montant
Tarif normal]]/Tableau1[[#This Row],[Diff jour_x000D_
Cumul]]</f>
        <v>-57.518682628878672</v>
      </c>
      <c r="AQ565" s="83">
        <f>(Tableau1[[#This Row],[Conso HP / an
Cumul]]*0.1799)+(Tableau1[[#This Row],[Conso HC / an_x000D_
Cumul]]*0.1346)</f>
        <v>-21239.532722941647</v>
      </c>
      <c r="AR565" s="83">
        <f>Tableau1[[#This Row],[Conso HP + HC / an_x000D_
Cumul]]*0.1599</f>
        <v>-20994.319159540712</v>
      </c>
      <c r="AS565" s="79">
        <f>MONTH(Tableau1[[#This Row],[Date]])</f>
        <v>3</v>
      </c>
      <c r="AT565" s="79">
        <f>YEAR(Tableau1[[#This Row],[Date]])</f>
        <v>2023</v>
      </c>
    </row>
    <row r="566" spans="1:46" x14ac:dyDescent="0.2">
      <c r="A566" s="74">
        <v>45002.343055555553</v>
      </c>
      <c r="B566" s="75"/>
      <c r="C566" s="76">
        <f>IF(ISERROR(Tableau1[[#This Row],[Date]]-A565),"",Tableau1[[#This Row],[Date]]-A565)</f>
        <v>1.0347222222189885</v>
      </c>
      <c r="D566" s="77">
        <f>IF(ISERROR(Tableau1[[#This Row],[Date]]-A565),"",Tableau1[[#This Row],[Date]]-A565)</f>
        <v>1.0347222222189885</v>
      </c>
      <c r="E566" s="76">
        <f>Tableau1[[#This Row],[Date]]-$A$5</f>
        <v>819.63472222221753</v>
      </c>
      <c r="F566" s="77">
        <f>Tableau1[[#This Row],[Date]]-$A$5</f>
        <v>819.63472222221753</v>
      </c>
      <c r="G566" s="77">
        <f>Tableau1[[#This Row],[Diff jour_x000D_
Cumul]]-F$6</f>
        <v>781.55138888888905</v>
      </c>
      <c r="H566" s="77">
        <f>Tableau1[[#This Row],[Diff jour_x000D_
Cumul]]-F$59</f>
        <v>759.03194444443943</v>
      </c>
      <c r="I566" s="78">
        <v>3176</v>
      </c>
      <c r="J566" s="79">
        <f>IF(ISERROR(Tableau1[[#This Row],[Index HP
kWh]]-I565),"",Tableau1[[#This Row],[Index HP
kWh]]-I565)</f>
        <v>15</v>
      </c>
      <c r="K566" s="77">
        <f>IF(ISERROR(Tableau1[[#This Row],[Différence HP
Instantané]]/(Tableau1[[#This Row],[Diff jour
Instantané]]*24)),"",Tableau1[[#This Row],[Différence HP
Instantané]]/(Tableau1[[#This Row],[Diff jour
Instantané]]*24))</f>
        <v>0.60402684563947162</v>
      </c>
      <c r="L566" s="77">
        <f>Tableau1[[#This Row],[Différence HP
Instantané]]/Tableau1[[#This Row],[Diff jour
Instantané]]</f>
        <v>14.49664429534732</v>
      </c>
      <c r="M566" s="77">
        <f>Tableau1[[#This Row],[Conso HP / jour
Instantané]]*365</f>
        <v>5291.2751678017721</v>
      </c>
      <c r="N566" s="79">
        <f>Tableau1[[#This Row],[Index HP
kWh]]-$I$5</f>
        <v>-176583</v>
      </c>
      <c r="O566" s="80">
        <f>Tableau1[[#This Row],[Différence HP
Cumul]]/(Tableau1[[#This Row],[Diff jour_x000D_
Cumul]]*24)</f>
        <v>-8.9767121871701487</v>
      </c>
      <c r="P566" s="80">
        <f>Tableau1[[#This Row],[Différence HP
Cumul]]/Tableau1[[#This Row],[Diff jour_x000D_
Cumul]]</f>
        <v>-215.44109249208358</v>
      </c>
      <c r="Q566" s="80">
        <f>Tableau1[[#This Row],[Conso HP / jour
Cumul]]*365</f>
        <v>-78635.998759610506</v>
      </c>
      <c r="R566" s="78">
        <v>1568</v>
      </c>
      <c r="S566" s="79">
        <f>Tableau1[[#This Row],[Index HC_x000D_
kWh]]-R565</f>
        <v>2</v>
      </c>
      <c r="T566" s="81">
        <f>Tableau1[[#This Row],[Différence_x000D_ HC
Instantané]]/(Tableau1[[#This Row],[Diff jour
Instantané]]*24)</f>
        <v>8.0536912751929549E-2</v>
      </c>
      <c r="U566" s="81">
        <f>Tableau1[[#This Row],[Différence_x000D_ HC
Instantané]]/Tableau1[[#This Row],[Diff jour
Instantané]]</f>
        <v>1.9328859060463093</v>
      </c>
      <c r="V566" s="81">
        <f>Tableau1[[#This Row],[Conso HC / jour_x000D_
Instantané]]*365</f>
        <v>705.50335570690288</v>
      </c>
      <c r="W566" s="79">
        <f>Tableau1[[#This Row],[Index HC_x000D_
kWh]]-$R$5</f>
        <v>-117864</v>
      </c>
      <c r="X566" s="82">
        <f>Tableau1[[#This Row],[Différence HC
Cumul]]/(Tableau1[[#This Row],[Diff jour_x000D_
Cumul]]*24)</f>
        <v>-5.9916934542318483</v>
      </c>
      <c r="Y566" s="82">
        <f>Tableau1[[#This Row],[Différence HC
Cumul]]/Tableau1[[#This Row],[Diff jour_x000D_
Cumul]]</f>
        <v>-143.80064290156434</v>
      </c>
      <c r="Z566" s="82">
        <f>Tableau1[[#This Row],[Conso HC / jour_x000D_
Cumul]]*365</f>
        <v>-52487.234659070986</v>
      </c>
      <c r="AA566" s="79">
        <f>Tableau1[[#This Row],[Différence HP
Instantané]]+Tableau1[[#This Row],[Différence_x000D_ HC
Instantané]]</f>
        <v>17</v>
      </c>
      <c r="AB566" s="80">
        <f>Tableau1[[#This Row],[Conso HP + HC
Instantané]]/(Tableau1[[#This Row],[Diff jour
Instantané]]*24)</f>
        <v>0.68456375839140116</v>
      </c>
      <c r="AC566" s="80">
        <f>IF(ISERROR(Tableau1[[#This Row],[Date]]-A565),"",Tableau1[[#This Row],[Conso HP + HC
Instantané]]/Tableau1[[#This Row],[Diff jour
Instantané]])</f>
        <v>16.429530201393629</v>
      </c>
      <c r="AD566" s="80">
        <f>Tableau1[[#This Row],[Conso HP + HC / jour_x000D_
Instantané]]*365</f>
        <v>5996.7785235086749</v>
      </c>
      <c r="AE566" s="79">
        <f>Tableau1[[#This Row],[Différence HP
Cumul]]+Tableau1[[#This Row],[Différence HC
Cumul]]</f>
        <v>-294447</v>
      </c>
      <c r="AF566" s="77">
        <f>(Tableau1[[#This Row],[Conso HP + HC
Cumul]]-AE$6)/Tableau1[[#This Row],[Diff jour_x000D_
Cumul
depuis le 24/01]]</f>
        <v>-380.03643039040929</v>
      </c>
      <c r="AG566" s="77">
        <f>(Tableau1[[#This Row],[Conso HP + HC
Cumul]]-AE$59)/Tableau1[[#This Row],[Diff jour_x000D_
Cumul
depuis
précédente facture
16/02/2021]]</f>
        <v>-393.42744687586605</v>
      </c>
      <c r="AH566" s="80">
        <f>Tableau1[[#This Row],[Conso HP + HC
Cumul]]/(Tableau1[[#This Row],[Diff jour_x000D_
Cumul]]*24)</f>
        <v>-14.968405641401997</v>
      </c>
      <c r="AI566" s="80">
        <f>Tableau1[[#This Row],[Conso HP + HC
Cumul]]/Tableau1[[#This Row],[Diff jour_x000D_
Cumul]]</f>
        <v>-359.24173539364796</v>
      </c>
      <c r="AJ566" s="80">
        <f>Tableau1[[#This Row],[Conso HP + HC / jour_x000D_
Cumul]]*365</f>
        <v>-131123.23341868151</v>
      </c>
      <c r="AK566" s="83">
        <f>(Tableau1[[#This Row],[Différence HP
Cumul]]*0.1799)+(Tableau1[[#This Row],[Différence HC
Cumul]]*0.1346)</f>
        <v>-47631.776100000003</v>
      </c>
      <c r="AL566" s="83">
        <f>Tableau1[[#This Row],[Montant
Tarif HP/HC]]/Tableau1[[#This Row],[Diff jour_x000D_
Cumul]]</f>
        <v>-58.1134190738764</v>
      </c>
      <c r="AM566" s="83">
        <f>(Tableau1[[#This Row],[Montant
Tarif HP/HC]]-AK$6)/Tableau1[[#This Row],[Diff jour_x000D_
Cumul
depuis le 24/01]]</f>
        <v>-61.488217388136484</v>
      </c>
      <c r="AN566" s="83">
        <f>(Tableau1[[#This Row],[Montant
Tarif HP/HC]]-AK$59)/Tableau1[[#This Row],[Diff jour_x000D_
Cumul
depuis
précédente facture
16/02/2021]]</f>
        <v>-63.664961473221979</v>
      </c>
      <c r="AO566" s="83">
        <f>Tableau1[[#This Row],[Conso HP + HC
Cumul]]*0.1599</f>
        <v>-47082.075299999997</v>
      </c>
      <c r="AP566" s="83">
        <f>Tableau1[[#This Row],[Montant
Tarif normal]]/Tableau1[[#This Row],[Diff jour_x000D_
Cumul]]</f>
        <v>-57.4427534894443</v>
      </c>
      <c r="AQ566" s="83">
        <f>(Tableau1[[#This Row],[Conso HP / an
Cumul]]*0.1799)+(Tableau1[[#This Row],[Conso HC / an_x000D_
Cumul]]*0.1346)</f>
        <v>-21211.397961964885</v>
      </c>
      <c r="AR566" s="83">
        <f>Tableau1[[#This Row],[Conso HP + HC / an_x000D_
Cumul]]*0.1599</f>
        <v>-20966.605023647171</v>
      </c>
      <c r="AS566" s="79">
        <f>MONTH(Tableau1[[#This Row],[Date]])</f>
        <v>3</v>
      </c>
      <c r="AT566" s="79">
        <f>YEAR(Tableau1[[#This Row],[Date]])</f>
        <v>2023</v>
      </c>
    </row>
    <row r="567" spans="1:46" x14ac:dyDescent="0.2">
      <c r="A567" s="74">
        <v>45003.309027777781</v>
      </c>
      <c r="B567" s="75"/>
      <c r="C567" s="76">
        <f>IF(ISERROR(Tableau1[[#This Row],[Date]]-A566),"",Tableau1[[#This Row],[Date]]-A566)</f>
        <v>0.96597222222771961</v>
      </c>
      <c r="D567" s="77">
        <f>IF(ISERROR(Tableau1[[#This Row],[Date]]-A566),"",Tableau1[[#This Row],[Date]]-A566)</f>
        <v>0.96597222222771961</v>
      </c>
      <c r="E567" s="76">
        <f>Tableau1[[#This Row],[Date]]-$A$5</f>
        <v>820.60069444444525</v>
      </c>
      <c r="F567" s="77">
        <f>Tableau1[[#This Row],[Date]]-$A$5</f>
        <v>820.60069444444525</v>
      </c>
      <c r="G567" s="77">
        <f>Tableau1[[#This Row],[Diff jour_x000D_
Cumul]]-F$6</f>
        <v>782.51736111111677</v>
      </c>
      <c r="H567" s="77">
        <f>Tableau1[[#This Row],[Diff jour_x000D_
Cumul]]-F$59</f>
        <v>759.99791666666715</v>
      </c>
      <c r="I567" s="78">
        <v>3198</v>
      </c>
      <c r="J567" s="79">
        <f>IF(ISERROR(Tableau1[[#This Row],[Index HP
kWh]]-I566),"",Tableau1[[#This Row],[Index HP
kWh]]-I566)</f>
        <v>22</v>
      </c>
      <c r="K567" s="77">
        <f>IF(ISERROR(Tableau1[[#This Row],[Différence HP
Instantané]]/(Tableau1[[#This Row],[Diff jour
Instantané]]*24)),"",Tableau1[[#This Row],[Différence HP
Instantané]]/(Tableau1[[#This Row],[Diff jour
Instantané]]*24))</f>
        <v>0.9489575844662026</v>
      </c>
      <c r="L567" s="77">
        <f>Tableau1[[#This Row],[Différence HP
Instantané]]/Tableau1[[#This Row],[Diff jour
Instantané]]</f>
        <v>22.774982027188862</v>
      </c>
      <c r="M567" s="77">
        <f>Tableau1[[#This Row],[Conso HP / jour
Instantané]]*365</f>
        <v>8312.8684399239355</v>
      </c>
      <c r="N567" s="79">
        <f>Tableau1[[#This Row],[Index HP
kWh]]-$I$5</f>
        <v>-176561</v>
      </c>
      <c r="O567" s="80">
        <f>Tableau1[[#This Row],[Différence HP
Cumul]]/(Tableau1[[#This Row],[Diff jour_x000D_
Cumul]]*24)</f>
        <v>-8.9650281594191163</v>
      </c>
      <c r="P567" s="80">
        <f>Tableau1[[#This Row],[Différence HP
Cumul]]/Tableau1[[#This Row],[Diff jour_x000D_
Cumul]]</f>
        <v>-215.16067582605879</v>
      </c>
      <c r="Q567" s="80">
        <f>Tableau1[[#This Row],[Conso HP / jour
Cumul]]*365</f>
        <v>-78533.64667651146</v>
      </c>
      <c r="R567" s="78">
        <v>1583</v>
      </c>
      <c r="S567" s="79">
        <f>Tableau1[[#This Row],[Index HC_x000D_
kWh]]-R566</f>
        <v>15</v>
      </c>
      <c r="T567" s="81">
        <f>Tableau1[[#This Row],[Différence_x000D_ HC
Instantané]]/(Tableau1[[#This Row],[Diff jour
Instantané]]*24)</f>
        <v>0.64701653486332</v>
      </c>
      <c r="U567" s="81">
        <f>Tableau1[[#This Row],[Différence_x000D_ HC
Instantané]]/Tableau1[[#This Row],[Diff jour
Instantané]]</f>
        <v>15.528396836719679</v>
      </c>
      <c r="V567" s="81">
        <f>Tableau1[[#This Row],[Conso HC / jour_x000D_
Instantané]]*365</f>
        <v>5667.8648454026825</v>
      </c>
      <c r="W567" s="79">
        <f>Tableau1[[#This Row],[Index HC_x000D_
kWh]]-$R$5</f>
        <v>-117849</v>
      </c>
      <c r="X567" s="82">
        <f>Tableau1[[#This Row],[Différence HC
Cumul]]/(Tableau1[[#This Row],[Diff jour_x000D_
Cumul]]*24)</f>
        <v>-5.9838786796596271</v>
      </c>
      <c r="Y567" s="82">
        <f>Tableau1[[#This Row],[Différence HC
Cumul]]/Tableau1[[#This Row],[Diff jour_x000D_
Cumul]]</f>
        <v>-143.61308831183104</v>
      </c>
      <c r="Z567" s="82">
        <f>Tableau1[[#This Row],[Conso HC / jour_x000D_
Cumul]]*365</f>
        <v>-52418.777233818328</v>
      </c>
      <c r="AA567" s="79">
        <f>Tableau1[[#This Row],[Différence HP
Instantané]]+Tableau1[[#This Row],[Différence_x000D_ HC
Instantané]]</f>
        <v>37</v>
      </c>
      <c r="AB567" s="80">
        <f>Tableau1[[#This Row],[Conso HP + HC
Instantané]]/(Tableau1[[#This Row],[Diff jour
Instantané]]*24)</f>
        <v>1.5959741193295225</v>
      </c>
      <c r="AC567" s="80">
        <f>IF(ISERROR(Tableau1[[#This Row],[Date]]-A566),"",Tableau1[[#This Row],[Conso HP + HC
Instantané]]/Tableau1[[#This Row],[Diff jour
Instantané]])</f>
        <v>38.303378863908542</v>
      </c>
      <c r="AD567" s="80">
        <f>Tableau1[[#This Row],[Conso HP + HC / jour_x000D_
Instantané]]*365</f>
        <v>13980.733285326618</v>
      </c>
      <c r="AE567" s="79">
        <f>Tableau1[[#This Row],[Différence HP
Cumul]]+Tableau1[[#This Row],[Différence HC
Cumul]]</f>
        <v>-294410</v>
      </c>
      <c r="AF567" s="77">
        <f>(Tableau1[[#This Row],[Conso HP + HC
Cumul]]-AE$6)/Tableau1[[#This Row],[Diff jour_x000D_
Cumul
depuis le 24/01]]</f>
        <v>-379.52001419918525</v>
      </c>
      <c r="AG567" s="77">
        <f>(Tableau1[[#This Row],[Conso HP + HC
Cumul]]-AE$59)/Tableau1[[#This Row],[Diff jour_x000D_
Cumul
depuis
précédente facture
16/02/2021]]</f>
        <v>-392.87870854909119</v>
      </c>
      <c r="AH567" s="80">
        <f>Tableau1[[#This Row],[Conso HP + HC
Cumul]]/(Tableau1[[#This Row],[Diff jour_x000D_
Cumul]]*24)</f>
        <v>-14.948906839078743</v>
      </c>
      <c r="AI567" s="80">
        <f>Tableau1[[#This Row],[Conso HP + HC
Cumul]]/Tableau1[[#This Row],[Diff jour_x000D_
Cumul]]</f>
        <v>-358.77376413788983</v>
      </c>
      <c r="AJ567" s="80">
        <f>Tableau1[[#This Row],[Conso HP + HC / jour_x000D_
Cumul]]*365</f>
        <v>-130952.42391032979</v>
      </c>
      <c r="AK567" s="83">
        <f>(Tableau1[[#This Row],[Différence HP
Cumul]]*0.1799)+(Tableau1[[#This Row],[Différence HC
Cumul]]*0.1346)</f>
        <v>-47625.799299999999</v>
      </c>
      <c r="AL567" s="83">
        <f>Tableau1[[#This Row],[Montant
Tarif HP/HC]]/Tableau1[[#This Row],[Diff jour_x000D_
Cumul]]</f>
        <v>-58.037727267880435</v>
      </c>
      <c r="AM567" s="83">
        <f>(Tableau1[[#This Row],[Montant
Tarif HP/HC]]-AK$6)/Tableau1[[#This Row],[Diff jour_x000D_
Cumul
depuis le 24/01]]</f>
        <v>-61.404675842299824</v>
      </c>
      <c r="AN567" s="83">
        <f>(Tableau1[[#This Row],[Montant
Tarif HP/HC]]-AK$59)/Tableau1[[#This Row],[Diff jour_x000D_
Cumul
depuis
précédente facture
16/02/2021]]</f>
        <v>-63.576177829434798</v>
      </c>
      <c r="AO567" s="83">
        <f>Tableau1[[#This Row],[Conso HP + HC
Cumul]]*0.1599</f>
        <v>-47076.159</v>
      </c>
      <c r="AP567" s="83">
        <f>Tableau1[[#This Row],[Montant
Tarif normal]]/Tableau1[[#This Row],[Diff jour_x000D_
Cumul]]</f>
        <v>-57.367924885648584</v>
      </c>
      <c r="AQ567" s="83">
        <f>(Tableau1[[#This Row],[Conso HP / an
Cumul]]*0.1799)+(Tableau1[[#This Row],[Conso HC / an_x000D_
Cumul]]*0.1346)</f>
        <v>-21183.770452776356</v>
      </c>
      <c r="AR567" s="83">
        <f>Tableau1[[#This Row],[Conso HP + HC / an_x000D_
Cumul]]*0.1599</f>
        <v>-20939.292583261733</v>
      </c>
      <c r="AS567" s="79">
        <f>MONTH(Tableau1[[#This Row],[Date]])</f>
        <v>3</v>
      </c>
      <c r="AT567" s="79">
        <f>YEAR(Tableau1[[#This Row],[Date]])</f>
        <v>2023</v>
      </c>
    </row>
    <row r="568" spans="1:46" x14ac:dyDescent="0.2">
      <c r="A568" s="74">
        <v>45004.407638888886</v>
      </c>
      <c r="B568" s="75"/>
      <c r="C568" s="76">
        <f>IF(ISERROR(Tableau1[[#This Row],[Date]]-A567),"",Tableau1[[#This Row],[Date]]-A567)</f>
        <v>1.0986111111051287</v>
      </c>
      <c r="D568" s="77">
        <f>IF(ISERROR(Tableau1[[#This Row],[Date]]-A567),"",Tableau1[[#This Row],[Date]]-A567)</f>
        <v>1.0986111111051287</v>
      </c>
      <c r="E568" s="76">
        <f>Tableau1[[#This Row],[Date]]-$A$5</f>
        <v>821.69930555555038</v>
      </c>
      <c r="F568" s="77">
        <f>Tableau1[[#This Row],[Date]]-$A$5</f>
        <v>821.69930555555038</v>
      </c>
      <c r="G568" s="77">
        <f>Tableau1[[#This Row],[Diff jour_x000D_
Cumul]]-F$6</f>
        <v>783.6159722222219</v>
      </c>
      <c r="H568" s="77">
        <f>Tableau1[[#This Row],[Diff jour_x000D_
Cumul]]-F$59</f>
        <v>761.09652777777228</v>
      </c>
      <c r="I568" s="78">
        <v>3231</v>
      </c>
      <c r="J568" s="79">
        <f>IF(ISERROR(Tableau1[[#This Row],[Index HP
kWh]]-I567),"",Tableau1[[#This Row],[Index HP
kWh]]-I567)</f>
        <v>33</v>
      </c>
      <c r="K568" s="77">
        <f>IF(ISERROR(Tableau1[[#This Row],[Différence HP
Instantané]]/(Tableau1[[#This Row],[Diff jour
Instantané]]*24)),"",Tableau1[[#This Row],[Différence HP
Instantané]]/(Tableau1[[#This Row],[Diff jour
Instantané]]*24))</f>
        <v>1.2515802781357661</v>
      </c>
      <c r="L568" s="77">
        <f>Tableau1[[#This Row],[Différence HP
Instantané]]/Tableau1[[#This Row],[Diff jour
Instantané]]</f>
        <v>30.037926675258387</v>
      </c>
      <c r="M568" s="77">
        <f>Tableau1[[#This Row],[Conso HP / jour
Instantané]]*365</f>
        <v>10963.843236469311</v>
      </c>
      <c r="N568" s="79">
        <f>Tableau1[[#This Row],[Index HP
kWh]]-$I$5</f>
        <v>-176528</v>
      </c>
      <c r="O568" s="80">
        <f>Tableau1[[#This Row],[Différence HP
Cumul]]/(Tableau1[[#This Row],[Diff jour_x000D_
Cumul]]*24)</f>
        <v>-8.95136856463618</v>
      </c>
      <c r="P568" s="80">
        <f>Tableau1[[#This Row],[Différence HP
Cumul]]/Tableau1[[#This Row],[Diff jour_x000D_
Cumul]]</f>
        <v>-214.83284555126832</v>
      </c>
      <c r="Q568" s="80">
        <f>Tableau1[[#This Row],[Conso HP / jour
Cumul]]*365</f>
        <v>-78413.988626212944</v>
      </c>
      <c r="R568" s="78">
        <v>1597</v>
      </c>
      <c r="S568" s="79">
        <f>Tableau1[[#This Row],[Index HC_x000D_
kWh]]-R567</f>
        <v>14</v>
      </c>
      <c r="T568" s="81">
        <f>Tableau1[[#This Row],[Différence_x000D_ HC
Instantané]]/(Tableau1[[#This Row],[Diff jour
Instantané]]*24)</f>
        <v>0.53097345133032503</v>
      </c>
      <c r="U568" s="81">
        <f>Tableau1[[#This Row],[Différence_x000D_ HC
Instantané]]/Tableau1[[#This Row],[Diff jour
Instantané]]</f>
        <v>12.743362831927801</v>
      </c>
      <c r="V568" s="81">
        <f>Tableau1[[#This Row],[Conso HC / jour_x000D_
Instantané]]*365</f>
        <v>4651.3274336536469</v>
      </c>
      <c r="W568" s="79">
        <f>Tableau1[[#This Row],[Index HC_x000D_
kWh]]-$R$5</f>
        <v>-117835</v>
      </c>
      <c r="X568" s="82">
        <f>Tableau1[[#This Row],[Différence HC
Cumul]]/(Tableau1[[#This Row],[Diff jour_x000D_
Cumul]]*24)</f>
        <v>-5.9751683291823641</v>
      </c>
      <c r="Y568" s="82">
        <f>Tableau1[[#This Row],[Différence HC
Cumul]]/Tableau1[[#This Row],[Diff jour_x000D_
Cumul]]</f>
        <v>-143.40403990037674</v>
      </c>
      <c r="Z568" s="82">
        <f>Tableau1[[#This Row],[Conso HC / jour_x000D_
Cumul]]*365</f>
        <v>-52342.474563637508</v>
      </c>
      <c r="AA568" s="79">
        <f>Tableau1[[#This Row],[Différence HP
Instantané]]+Tableau1[[#This Row],[Différence_x000D_ HC
Instantané]]</f>
        <v>47</v>
      </c>
      <c r="AB568" s="80">
        <f>Tableau1[[#This Row],[Conso HP + HC
Instantané]]/(Tableau1[[#This Row],[Diff jour
Instantané]]*24)</f>
        <v>1.7825537294660911</v>
      </c>
      <c r="AC568" s="80">
        <f>IF(ISERROR(Tableau1[[#This Row],[Date]]-A567),"",Tableau1[[#This Row],[Conso HP + HC
Instantané]]/Tableau1[[#This Row],[Diff jour
Instantané]])</f>
        <v>42.781289507186187</v>
      </c>
      <c r="AD568" s="80">
        <f>Tableau1[[#This Row],[Conso HP + HC / jour_x000D_
Instantané]]*365</f>
        <v>15615.170670122958</v>
      </c>
      <c r="AE568" s="79">
        <f>Tableau1[[#This Row],[Différence HP
Cumul]]+Tableau1[[#This Row],[Différence HC
Cumul]]</f>
        <v>-294363</v>
      </c>
      <c r="AF568" s="77">
        <f>(Tableau1[[#This Row],[Conso HP + HC
Cumul]]-AE$6)/Tableau1[[#This Row],[Diff jour_x000D_
Cumul
depuis le 24/01]]</f>
        <v>-378.92795773156331</v>
      </c>
      <c r="AG568" s="77">
        <f>(Tableau1[[#This Row],[Conso HP + HC
Cumul]]-AE$59)/Tableau1[[#This Row],[Diff jour_x000D_
Cumul
depuis
précédente facture
16/02/2021]]</f>
        <v>-392.249851502632</v>
      </c>
      <c r="AH568" s="80">
        <f>Tableau1[[#This Row],[Conso HP + HC
Cumul]]/(Tableau1[[#This Row],[Diff jour_x000D_
Cumul]]*24)</f>
        <v>-14.926536893818545</v>
      </c>
      <c r="AI568" s="80">
        <f>Tableau1[[#This Row],[Conso HP + HC
Cumul]]/Tableau1[[#This Row],[Diff jour_x000D_
Cumul]]</f>
        <v>-358.23688545164509</v>
      </c>
      <c r="AJ568" s="80">
        <f>Tableau1[[#This Row],[Conso HP + HC / jour_x000D_
Cumul]]*365</f>
        <v>-130756.46318985046</v>
      </c>
      <c r="AK568" s="83">
        <f>(Tableau1[[#This Row],[Différence HP
Cumul]]*0.1799)+(Tableau1[[#This Row],[Différence HC
Cumul]]*0.1346)</f>
        <v>-47617.978199999998</v>
      </c>
      <c r="AL568" s="83">
        <f>Tableau1[[#This Row],[Montant
Tarif HP/HC]]/Tableau1[[#This Row],[Diff jour_x000D_
Cumul]]</f>
        <v>-57.950612685263877</v>
      </c>
      <c r="AM568" s="83">
        <f>(Tableau1[[#This Row],[Montant
Tarif HP/HC]]-AK$6)/Tableau1[[#This Row],[Diff jour_x000D_
Cumul
depuis le 24/01]]</f>
        <v>-61.308607153270074</v>
      </c>
      <c r="AN568" s="83">
        <f>(Tableau1[[#This Row],[Montant
Tarif HP/HC]]-AK$59)/Tableau1[[#This Row],[Diff jour_x000D_
Cumul
depuis
précédente facture
16/02/2021]]</f>
        <v>-63.474132172240985</v>
      </c>
      <c r="AO568" s="83">
        <f>Tableau1[[#This Row],[Conso HP + HC
Cumul]]*0.1599</f>
        <v>-47068.643699999993</v>
      </c>
      <c r="AP568" s="83">
        <f>Tableau1[[#This Row],[Montant
Tarif normal]]/Tableau1[[#This Row],[Diff jour_x000D_
Cumul]]</f>
        <v>-57.28207798371804</v>
      </c>
      <c r="AQ568" s="83">
        <f>(Tableau1[[#This Row],[Conso HP / an
Cumul]]*0.1799)+(Tableau1[[#This Row],[Conso HC / an_x000D_
Cumul]]*0.1346)</f>
        <v>-21151.973630121316</v>
      </c>
      <c r="AR568" s="83">
        <f>Tableau1[[#This Row],[Conso HP + HC / an_x000D_
Cumul]]*0.1599</f>
        <v>-20907.958464057087</v>
      </c>
      <c r="AS568" s="79">
        <f>MONTH(Tableau1[[#This Row],[Date]])</f>
        <v>3</v>
      </c>
      <c r="AT568" s="79">
        <f>YEAR(Tableau1[[#This Row],[Date]])</f>
        <v>2023</v>
      </c>
    </row>
    <row r="569" spans="1:46" x14ac:dyDescent="0.2">
      <c r="A569" s="74">
        <v>45005.320138888892</v>
      </c>
      <c r="B569" s="75"/>
      <c r="C569" s="76">
        <f>IF(ISERROR(Tableau1[[#This Row],[Date]]-A568),"",Tableau1[[#This Row],[Date]]-A568)</f>
        <v>0.91250000000582077</v>
      </c>
      <c r="D569" s="77">
        <f>IF(ISERROR(Tableau1[[#This Row],[Date]]-A568),"",Tableau1[[#This Row],[Date]]-A568)</f>
        <v>0.91250000000582077</v>
      </c>
      <c r="E569" s="76">
        <f>Tableau1[[#This Row],[Date]]-$A$5</f>
        <v>822.6118055555562</v>
      </c>
      <c r="F569" s="77">
        <f>Tableau1[[#This Row],[Date]]-$A$5</f>
        <v>822.6118055555562</v>
      </c>
      <c r="G569" s="77">
        <f>Tableau1[[#This Row],[Diff jour_x000D_
Cumul]]-F$6</f>
        <v>784.52847222222772</v>
      </c>
      <c r="H569" s="77">
        <f>Tableau1[[#This Row],[Diff jour_x000D_
Cumul]]-F$59</f>
        <v>762.0090277777781</v>
      </c>
      <c r="I569" s="78">
        <v>3253</v>
      </c>
      <c r="J569" s="79">
        <f>IF(ISERROR(Tableau1[[#This Row],[Index HP
kWh]]-I568),"",Tableau1[[#This Row],[Index HP
kWh]]-I568)</f>
        <v>22</v>
      </c>
      <c r="K569" s="77">
        <f>IF(ISERROR(Tableau1[[#This Row],[Différence HP
Instantané]]/(Tableau1[[#This Row],[Diff jour
Instantané]]*24)),"",Tableau1[[#This Row],[Différence HP
Instantané]]/(Tableau1[[#This Row],[Diff jour
Instantané]]*24))</f>
        <v>1.0045662100392541</v>
      </c>
      <c r="L569" s="77">
        <f>Tableau1[[#This Row],[Différence HP
Instantané]]/Tableau1[[#This Row],[Diff jour
Instantané]]</f>
        <v>24.109589040942097</v>
      </c>
      <c r="M569" s="77">
        <f>Tableau1[[#This Row],[Conso HP / jour
Instantané]]*365</f>
        <v>8799.999999943866</v>
      </c>
      <c r="N569" s="79">
        <f>Tableau1[[#This Row],[Index HP
kWh]]-$I$5</f>
        <v>-176506</v>
      </c>
      <c r="O569" s="80">
        <f>Tableau1[[#This Row],[Différence HP
Cumul]]/(Tableau1[[#This Row],[Diff jour_x000D_
Cumul]]*24)</f>
        <v>-8.9403247278949678</v>
      </c>
      <c r="P569" s="80">
        <f>Tableau1[[#This Row],[Différence HP
Cumul]]/Tableau1[[#This Row],[Diff jour_x000D_
Cumul]]</f>
        <v>-214.56779346947926</v>
      </c>
      <c r="Q569" s="80">
        <f>Tableau1[[#This Row],[Conso HP / jour
Cumul]]*365</f>
        <v>-78317.244616359923</v>
      </c>
      <c r="R569" s="78">
        <v>1613</v>
      </c>
      <c r="S569" s="79">
        <f>Tableau1[[#This Row],[Index HC_x000D_
kWh]]-R568</f>
        <v>16</v>
      </c>
      <c r="T569" s="81">
        <f>Tableau1[[#This Row],[Différence_x000D_ HC
Instantané]]/(Tableau1[[#This Row],[Diff jour
Instantané]]*24)</f>
        <v>0.73059360730127565</v>
      </c>
      <c r="U569" s="81">
        <f>Tableau1[[#This Row],[Différence_x000D_ HC
Instantané]]/Tableau1[[#This Row],[Diff jour
Instantané]]</f>
        <v>17.534246575230615</v>
      </c>
      <c r="V569" s="81">
        <f>Tableau1[[#This Row],[Conso HC / jour_x000D_
Instantané]]*365</f>
        <v>6399.9999999591746</v>
      </c>
      <c r="W569" s="79">
        <f>Tableau1[[#This Row],[Index HC_x000D_
kWh]]-$R$5</f>
        <v>-117819</v>
      </c>
      <c r="X569" s="82">
        <f>Tableau1[[#This Row],[Différence HC
Cumul]]/(Tableau1[[#This Row],[Diff jour_x000D_
Cumul]]*24)</f>
        <v>-5.9677298172065383</v>
      </c>
      <c r="Y569" s="82">
        <f>Tableau1[[#This Row],[Différence HC
Cumul]]/Tableau1[[#This Row],[Diff jour_x000D_
Cumul]]</f>
        <v>-143.22551561295691</v>
      </c>
      <c r="Z569" s="82">
        <f>Tableau1[[#This Row],[Conso HC / jour_x000D_
Cumul]]*365</f>
        <v>-52277.313198729273</v>
      </c>
      <c r="AA569" s="79">
        <f>Tableau1[[#This Row],[Différence HP
Instantané]]+Tableau1[[#This Row],[Différence_x000D_ HC
Instantané]]</f>
        <v>38</v>
      </c>
      <c r="AB569" s="80">
        <f>Tableau1[[#This Row],[Conso HP + HC
Instantané]]/(Tableau1[[#This Row],[Diff jour
Instantané]]*24)</f>
        <v>1.7351598173405298</v>
      </c>
      <c r="AC569" s="80">
        <f>IF(ISERROR(Tableau1[[#This Row],[Date]]-A568),"",Tableau1[[#This Row],[Conso HP + HC
Instantané]]/Tableau1[[#This Row],[Diff jour
Instantané]])</f>
        <v>41.643835616172716</v>
      </c>
      <c r="AD569" s="80">
        <f>Tableau1[[#This Row],[Conso HP + HC / jour_x000D_
Instantané]]*365</f>
        <v>15199.999999903041</v>
      </c>
      <c r="AE569" s="79">
        <f>Tableau1[[#This Row],[Différence HP
Cumul]]+Tableau1[[#This Row],[Différence HC
Cumul]]</f>
        <v>-294325</v>
      </c>
      <c r="AF569" s="77">
        <f>(Tableau1[[#This Row],[Conso HP + HC
Cumul]]-AE$6)/Tableau1[[#This Row],[Diff jour_x000D_
Cumul
depuis le 24/01]]</f>
        <v>-378.43878267288738</v>
      </c>
      <c r="AG569" s="77">
        <f>(Tableau1[[#This Row],[Conso HP + HC
Cumul]]-AE$59)/Tableau1[[#This Row],[Diff jour_x000D_
Cumul
depuis
précédente facture
16/02/2021]]</f>
        <v>-391.7302671209967</v>
      </c>
      <c r="AH569" s="80">
        <f>Tableau1[[#This Row],[Conso HP + HC
Cumul]]/(Tableau1[[#This Row],[Diff jour_x000D_
Cumul]]*24)</f>
        <v>-14.908054545101507</v>
      </c>
      <c r="AI569" s="80">
        <f>Tableau1[[#This Row],[Conso HP + HC
Cumul]]/Tableau1[[#This Row],[Diff jour_x000D_
Cumul]]</f>
        <v>-357.79330908243617</v>
      </c>
      <c r="AJ569" s="80">
        <f>Tableau1[[#This Row],[Conso HP + HC / jour_x000D_
Cumul]]*365</f>
        <v>-130594.5578150892</v>
      </c>
      <c r="AK569" s="83">
        <f>(Tableau1[[#This Row],[Différence HP
Cumul]]*0.1799)+(Tableau1[[#This Row],[Différence HC
Cumul]]*0.1346)</f>
        <v>-47611.866800000003</v>
      </c>
      <c r="AL569" s="83">
        <f>Tableau1[[#This Row],[Montant
Tarif HP/HC]]/Tableau1[[#This Row],[Diff jour_x000D_
Cumul]]</f>
        <v>-57.878900446663323</v>
      </c>
      <c r="AM569" s="83">
        <f>(Tableau1[[#This Row],[Montant
Tarif HP/HC]]-AK$6)/Tableau1[[#This Row],[Diff jour_x000D_
Cumul
depuis le 24/01]]</f>
        <v>-61.229508043135894</v>
      </c>
      <c r="AN569" s="83">
        <f>(Tableau1[[#This Row],[Montant
Tarif HP/HC]]-AK$59)/Tableau1[[#This Row],[Diff jour_x000D_
Cumul
depuis
précédente facture
16/02/2021]]</f>
        <v>-63.390102268035953</v>
      </c>
      <c r="AO569" s="83">
        <f>Tableau1[[#This Row],[Conso HP + HC
Cumul]]*0.1599</f>
        <v>-47062.567499999997</v>
      </c>
      <c r="AP569" s="83">
        <f>Tableau1[[#This Row],[Montant
Tarif normal]]/Tableau1[[#This Row],[Diff jour_x000D_
Cumul]]</f>
        <v>-57.211150122281538</v>
      </c>
      <c r="AQ569" s="83">
        <f>(Tableau1[[#This Row],[Conso HP / an
Cumul]]*0.1799)+(Tableau1[[#This Row],[Conso HC / an_x000D_
Cumul]]*0.1346)</f>
        <v>-21125.79866303211</v>
      </c>
      <c r="AR569" s="83">
        <f>Tableau1[[#This Row],[Conso HP + HC / an_x000D_
Cumul]]*0.1599</f>
        <v>-20882.06979463276</v>
      </c>
      <c r="AS569" s="79">
        <f>MONTH(Tableau1[[#This Row],[Date]])</f>
        <v>3</v>
      </c>
      <c r="AT569" s="79">
        <f>YEAR(Tableau1[[#This Row],[Date]])</f>
        <v>2023</v>
      </c>
    </row>
    <row r="570" spans="1:46" x14ac:dyDescent="0.2">
      <c r="A570" s="74">
        <v>45006.311111111114</v>
      </c>
      <c r="B570" s="75"/>
      <c r="C570" s="76">
        <f>IF(ISERROR(Tableau1[[#This Row],[Date]]-A569),"",Tableau1[[#This Row],[Date]]-A569)</f>
        <v>0.99097222222189885</v>
      </c>
      <c r="D570" s="77">
        <f>IF(ISERROR(Tableau1[[#This Row],[Date]]-A569),"",Tableau1[[#This Row],[Date]]-A569)</f>
        <v>0.99097222222189885</v>
      </c>
      <c r="E570" s="76">
        <f>Tableau1[[#This Row],[Date]]-$A$5</f>
        <v>823.6027777777781</v>
      </c>
      <c r="F570" s="77">
        <f>Tableau1[[#This Row],[Date]]-$A$5</f>
        <v>823.6027777777781</v>
      </c>
      <c r="G570" s="77">
        <f>Tableau1[[#This Row],[Diff jour_x000D_
Cumul]]-F$6</f>
        <v>785.51944444444962</v>
      </c>
      <c r="H570" s="77">
        <f>Tableau1[[#This Row],[Diff jour_x000D_
Cumul]]-F$59</f>
        <v>763</v>
      </c>
      <c r="I570" s="78">
        <v>3274</v>
      </c>
      <c r="J570" s="79">
        <f>IF(ISERROR(Tableau1[[#This Row],[Index HP
kWh]]-I569),"",Tableau1[[#This Row],[Index HP
kWh]]-I569)</f>
        <v>21</v>
      </c>
      <c r="K570" s="77">
        <f>IF(ISERROR(Tableau1[[#This Row],[Différence HP
Instantané]]/(Tableau1[[#This Row],[Diff jour
Instantané]]*24)),"",Tableau1[[#This Row],[Différence HP
Instantané]]/(Tableau1[[#This Row],[Diff jour
Instantané]]*24))</f>
        <v>0.88297126839552287</v>
      </c>
      <c r="L570" s="77">
        <f>Tableau1[[#This Row],[Différence HP
Instantané]]/Tableau1[[#This Row],[Diff jour
Instantané]]</f>
        <v>21.191310441492551</v>
      </c>
      <c r="M570" s="77">
        <f>Tableau1[[#This Row],[Conso HP / jour
Instantané]]*365</f>
        <v>7734.8283111447809</v>
      </c>
      <c r="N570" s="79">
        <f>Tableau1[[#This Row],[Index HP
kWh]]-$I$5</f>
        <v>-176485</v>
      </c>
      <c r="O570" s="80">
        <f>Tableau1[[#This Row],[Différence HP
Cumul]]/(Tableau1[[#This Row],[Diff jour_x000D_
Cumul]]*24)</f>
        <v>-8.9285051788045031</v>
      </c>
      <c r="P570" s="80">
        <f>Tableau1[[#This Row],[Différence HP
Cumul]]/Tableau1[[#This Row],[Diff jour_x000D_
Cumul]]</f>
        <v>-214.2841242913081</v>
      </c>
      <c r="Q570" s="80">
        <f>Tableau1[[#This Row],[Conso HP / jour
Cumul]]*365</f>
        <v>-78213.705366327456</v>
      </c>
      <c r="R570" s="78">
        <v>1627</v>
      </c>
      <c r="S570" s="79">
        <f>Tableau1[[#This Row],[Index HC_x000D_
kWh]]-R569</f>
        <v>14</v>
      </c>
      <c r="T570" s="81">
        <f>Tableau1[[#This Row],[Différence_x000D_ HC
Instantané]]/(Tableau1[[#This Row],[Diff jour
Instantané]]*24)</f>
        <v>0.58864751226368195</v>
      </c>
      <c r="U570" s="81">
        <f>Tableau1[[#This Row],[Différence_x000D_ HC
Instantané]]/Tableau1[[#This Row],[Diff jour
Instantané]]</f>
        <v>14.127540294328366</v>
      </c>
      <c r="V570" s="81">
        <f>Tableau1[[#This Row],[Conso HC / jour_x000D_
Instantané]]*365</f>
        <v>5156.5522074298533</v>
      </c>
      <c r="W570" s="79">
        <f>Tableau1[[#This Row],[Index HC_x000D_
kWh]]-$R$5</f>
        <v>-117805</v>
      </c>
      <c r="X570" s="82">
        <f>Tableau1[[#This Row],[Différence HC
Cumul]]/(Tableau1[[#This Row],[Diff jour_x000D_
Cumul]]*24)</f>
        <v>-5.9598410776500241</v>
      </c>
      <c r="Y570" s="82">
        <f>Tableau1[[#This Row],[Différence HC
Cumul]]/Tableau1[[#This Row],[Diff jour_x000D_
Cumul]]</f>
        <v>-143.03618586360059</v>
      </c>
      <c r="Z570" s="82">
        <f>Tableau1[[#This Row],[Conso HC / jour_x000D_
Cumul]]*365</f>
        <v>-52208.207840214214</v>
      </c>
      <c r="AA570" s="79">
        <f>Tableau1[[#This Row],[Différence HP
Instantané]]+Tableau1[[#This Row],[Différence_x000D_ HC
Instantané]]</f>
        <v>35</v>
      </c>
      <c r="AB570" s="80">
        <f>Tableau1[[#This Row],[Conso HP + HC
Instantané]]/(Tableau1[[#This Row],[Diff jour
Instantané]]*24)</f>
        <v>1.4716187806592049</v>
      </c>
      <c r="AC570" s="80">
        <f>IF(ISERROR(Tableau1[[#This Row],[Date]]-A569),"",Tableau1[[#This Row],[Conso HP + HC
Instantané]]/Tableau1[[#This Row],[Diff jour
Instantané]])</f>
        <v>35.318850735820916</v>
      </c>
      <c r="AD570" s="80">
        <f>Tableau1[[#This Row],[Conso HP + HC / jour_x000D_
Instantané]]*365</f>
        <v>12891.380518574635</v>
      </c>
      <c r="AE570" s="79">
        <f>Tableau1[[#This Row],[Différence HP
Cumul]]+Tableau1[[#This Row],[Différence HC
Cumul]]</f>
        <v>-294290</v>
      </c>
      <c r="AF570" s="77">
        <f>(Tableau1[[#This Row],[Conso HP + HC
Cumul]]-AE$6)/Tableau1[[#This Row],[Diff jour_x000D_
Cumul
depuis le 24/01]]</f>
        <v>-377.9168066424528</v>
      </c>
      <c r="AG570" s="77">
        <f>(Tableau1[[#This Row],[Conso HP + HC
Cumul]]-AE$59)/Tableau1[[#This Row],[Diff jour_x000D_
Cumul
depuis
précédente facture
16/02/2021]]</f>
        <v>-391.17562254259502</v>
      </c>
      <c r="AH570" s="80">
        <f>Tableau1[[#This Row],[Conso HP + HC
Cumul]]/(Tableau1[[#This Row],[Diff jour_x000D_
Cumul]]*24)</f>
        <v>-14.888346256454529</v>
      </c>
      <c r="AI570" s="80">
        <f>Tableau1[[#This Row],[Conso HP + HC
Cumul]]/Tableau1[[#This Row],[Diff jour_x000D_
Cumul]]</f>
        <v>-357.32031015490867</v>
      </c>
      <c r="AJ570" s="80">
        <f>Tableau1[[#This Row],[Conso HP + HC / jour_x000D_
Cumul]]*365</f>
        <v>-130421.91320654166</v>
      </c>
      <c r="AK570" s="83">
        <f>(Tableau1[[#This Row],[Différence HP
Cumul]]*0.1799)+(Tableau1[[#This Row],[Différence HC
Cumul]]*0.1346)</f>
        <v>-47606.2045</v>
      </c>
      <c r="AL570" s="83">
        <f>Tableau1[[#This Row],[Montant
Tarif HP/HC]]/Tableau1[[#This Row],[Diff jour_x000D_
Cumul]]</f>
        <v>-57.802384577246961</v>
      </c>
      <c r="AM570" s="83">
        <f>(Tableau1[[#This Row],[Montant
Tarif HP/HC]]-AK$6)/Tableau1[[#This Row],[Diff jour_x000D_
Cumul
depuis le 24/01]]</f>
        <v>-61.145055593078489</v>
      </c>
      <c r="AN570" s="83">
        <f>(Tableau1[[#This Row],[Montant
Tarif HP/HC]]-AK$59)/Tableau1[[#This Row],[Diff jour_x000D_
Cumul
depuis
précédente facture
16/02/2021]]</f>
        <v>-63.300351114023591</v>
      </c>
      <c r="AO570" s="83">
        <f>Tableau1[[#This Row],[Conso HP + HC
Cumul]]*0.1599</f>
        <v>-47056.970999999998</v>
      </c>
      <c r="AP570" s="83">
        <f>Tableau1[[#This Row],[Montant
Tarif normal]]/Tableau1[[#This Row],[Diff jour_x000D_
Cumul]]</f>
        <v>-57.135517593769897</v>
      </c>
      <c r="AQ570" s="83">
        <f>(Tableau1[[#This Row],[Conso HP / an
Cumul]]*0.1799)+(Tableau1[[#This Row],[Conso HC / an_x000D_
Cumul]]*0.1346)</f>
        <v>-21097.870370695142</v>
      </c>
      <c r="AR570" s="83">
        <f>Tableau1[[#This Row],[Conso HP + HC / an_x000D_
Cumul]]*0.1599</f>
        <v>-20854.463921726012</v>
      </c>
      <c r="AS570" s="79">
        <f>MONTH(Tableau1[[#This Row],[Date]])</f>
        <v>3</v>
      </c>
      <c r="AT570" s="79">
        <f>YEAR(Tableau1[[#This Row],[Date]])</f>
        <v>2023</v>
      </c>
    </row>
    <row r="571" spans="1:46" x14ac:dyDescent="0.2">
      <c r="A571" s="74">
        <v>45007.395833333336</v>
      </c>
      <c r="B571" s="75"/>
      <c r="C571" s="76">
        <f>IF(ISERROR(Tableau1[[#This Row],[Date]]-A570),"",Tableau1[[#This Row],[Date]]-A570)</f>
        <v>1.0847222222218988</v>
      </c>
      <c r="D571" s="77">
        <f>IF(ISERROR(Tableau1[[#This Row],[Date]]-A570),"",Tableau1[[#This Row],[Date]]-A570)</f>
        <v>1.0847222222218988</v>
      </c>
      <c r="E571" s="76">
        <f>Tableau1[[#This Row],[Date]]-$A$5</f>
        <v>824.6875</v>
      </c>
      <c r="F571" s="77">
        <f>Tableau1[[#This Row],[Date]]-$A$5</f>
        <v>824.6875</v>
      </c>
      <c r="G571" s="77">
        <f>Tableau1[[#This Row],[Diff jour_x000D_
Cumul]]-F$6</f>
        <v>786.60416666667152</v>
      </c>
      <c r="H571" s="77">
        <f>Tableau1[[#This Row],[Diff jour_x000D_
Cumul]]-F$59</f>
        <v>764.0847222222219</v>
      </c>
      <c r="I571" s="78">
        <v>3291</v>
      </c>
      <c r="J571" s="79">
        <f>IF(ISERROR(Tableau1[[#This Row],[Index HP
kWh]]-I570),"",Tableau1[[#This Row],[Index HP
kWh]]-I570)</f>
        <v>17</v>
      </c>
      <c r="K571" s="77">
        <f>IF(ISERROR(Tableau1[[#This Row],[Différence HP
Instantané]]/(Tableau1[[#This Row],[Diff jour
Instantané]]*24)),"",Tableau1[[#This Row],[Différence HP
Instantané]]/(Tableau1[[#This Row],[Diff jour
Instantané]]*24))</f>
        <v>0.65300896286831245</v>
      </c>
      <c r="L571" s="77">
        <f>Tableau1[[#This Row],[Différence HP
Instantané]]/Tableau1[[#This Row],[Diff jour
Instantané]]</f>
        <v>15.672215108839499</v>
      </c>
      <c r="M571" s="77">
        <f>Tableau1[[#This Row],[Conso HP / jour
Instantané]]*365</f>
        <v>5720.3585147264166</v>
      </c>
      <c r="N571" s="79">
        <f>Tableau1[[#This Row],[Index HP
kWh]]-$I$5</f>
        <v>-176468</v>
      </c>
      <c r="O571" s="80">
        <f>Tableau1[[#This Row],[Différence HP
Cumul]]/(Tableau1[[#This Row],[Diff jour_x000D_
Cumul]]*24)</f>
        <v>-8.9159024883162807</v>
      </c>
      <c r="P571" s="80">
        <f>Tableau1[[#This Row],[Différence HP
Cumul]]/Tableau1[[#This Row],[Diff jour_x000D_
Cumul]]</f>
        <v>-213.98165971959077</v>
      </c>
      <c r="Q571" s="80">
        <f>Tableau1[[#This Row],[Conso HP / jour
Cumul]]*365</f>
        <v>-78103.305797650624</v>
      </c>
      <c r="R571" s="78">
        <v>1641</v>
      </c>
      <c r="S571" s="79">
        <f>Tableau1[[#This Row],[Index HC_x000D_
kWh]]-R570</f>
        <v>14</v>
      </c>
      <c r="T571" s="81">
        <f>Tableau1[[#This Row],[Différence_x000D_ HC
Instantané]]/(Tableau1[[#This Row],[Diff jour
Instantané]]*24)</f>
        <v>0.53777208706802204</v>
      </c>
      <c r="U571" s="81">
        <f>Tableau1[[#This Row],[Différence_x000D_ HC
Instantané]]/Tableau1[[#This Row],[Diff jour
Instantané]]</f>
        <v>12.906530089632529</v>
      </c>
      <c r="V571" s="81">
        <f>Tableau1[[#This Row],[Conso HC / jour_x000D_
Instantané]]*365</f>
        <v>4710.8834827158735</v>
      </c>
      <c r="W571" s="79">
        <f>Tableau1[[#This Row],[Index HC_x000D_
kWh]]-$R$5</f>
        <v>-117791</v>
      </c>
      <c r="X571" s="82">
        <f>Tableau1[[#This Row],[Différence HC
Cumul]]/(Tableau1[[#This Row],[Diff jour_x000D_
Cumul]]*24)</f>
        <v>-5.9512946823291655</v>
      </c>
      <c r="Y571" s="82">
        <f>Tableau1[[#This Row],[Différence HC
Cumul]]/Tableau1[[#This Row],[Diff jour_x000D_
Cumul]]</f>
        <v>-142.83107237589996</v>
      </c>
      <c r="Z571" s="82">
        <f>Tableau1[[#This Row],[Conso HC / jour_x000D_
Cumul]]*365</f>
        <v>-52133.34141720349</v>
      </c>
      <c r="AA571" s="79">
        <f>Tableau1[[#This Row],[Différence HP
Instantané]]+Tableau1[[#This Row],[Différence_x000D_ HC
Instantané]]</f>
        <v>31</v>
      </c>
      <c r="AB571" s="80">
        <f>Tableau1[[#This Row],[Conso HP + HC
Instantané]]/(Tableau1[[#This Row],[Diff jour
Instantané]]*24)</f>
        <v>1.1907810499363345</v>
      </c>
      <c r="AC571" s="80">
        <f>IF(ISERROR(Tableau1[[#This Row],[Date]]-A570),"",Tableau1[[#This Row],[Conso HP + HC
Instantané]]/Tableau1[[#This Row],[Diff jour
Instantané]])</f>
        <v>28.578745198472028</v>
      </c>
      <c r="AD571" s="80">
        <f>Tableau1[[#This Row],[Conso HP + HC / jour_x000D_
Instantané]]*365</f>
        <v>10431.24199744229</v>
      </c>
      <c r="AE571" s="79">
        <f>Tableau1[[#This Row],[Différence HP
Cumul]]+Tableau1[[#This Row],[Différence HC
Cumul]]</f>
        <v>-294259</v>
      </c>
      <c r="AF571" s="77">
        <f>(Tableau1[[#This Row],[Conso HP + HC
Cumul]]-AE$6)/Tableau1[[#This Row],[Diff jour_x000D_
Cumul
depuis le 24/01]]</f>
        <v>-377.35625182085209</v>
      </c>
      <c r="AG571" s="77">
        <f>(Tableau1[[#This Row],[Conso HP + HC
Cumul]]-AE$59)/Tableau1[[#This Row],[Diff jour_x000D_
Cumul
depuis
précédente facture
16/02/2021]]</f>
        <v>-390.57972410709272</v>
      </c>
      <c r="AH571" s="80">
        <f>Tableau1[[#This Row],[Conso HP + HC
Cumul]]/(Tableau1[[#This Row],[Diff jour_x000D_
Cumul]]*24)</f>
        <v>-14.867197170645447</v>
      </c>
      <c r="AI571" s="80">
        <f>Tableau1[[#This Row],[Conso HP + HC
Cumul]]/Tableau1[[#This Row],[Diff jour_x000D_
Cumul]]</f>
        <v>-356.81273209549073</v>
      </c>
      <c r="AJ571" s="80">
        <f>Tableau1[[#This Row],[Conso HP + HC / jour_x000D_
Cumul]]*365</f>
        <v>-130236.64721485412</v>
      </c>
      <c r="AK571" s="83">
        <f>(Tableau1[[#This Row],[Différence HP
Cumul]]*0.1799)+(Tableau1[[#This Row],[Différence HC
Cumul]]*0.1346)</f>
        <v>-47601.2618</v>
      </c>
      <c r="AL571" s="83">
        <f>Tableau1[[#This Row],[Montant
Tarif HP/HC]]/Tableau1[[#This Row],[Diff jour_x000D_
Cumul]]</f>
        <v>-57.720362925350514</v>
      </c>
      <c r="AM571" s="83">
        <f>(Tableau1[[#This Row],[Montant
Tarif HP/HC]]-AK$6)/Tableau1[[#This Row],[Diff jour_x000D_
Cumul
depuis le 24/01]]</f>
        <v>-61.054453351696004</v>
      </c>
      <c r="AN571" s="83">
        <f>(Tableau1[[#This Row],[Montant
Tarif HP/HC]]-AK$59)/Tableau1[[#This Row],[Diff jour_x000D_
Cumul
depuis
précédente facture
16/02/2021]]</f>
        <v>-63.204018867890262</v>
      </c>
      <c r="AO571" s="83">
        <f>Tableau1[[#This Row],[Conso HP + HC
Cumul]]*0.1599</f>
        <v>-47052.014099999993</v>
      </c>
      <c r="AP571" s="83">
        <f>Tableau1[[#This Row],[Montant
Tarif normal]]/Tableau1[[#This Row],[Diff jour_x000D_
Cumul]]</f>
        <v>-57.054355862068959</v>
      </c>
      <c r="AQ571" s="83">
        <f>(Tableau1[[#This Row],[Conso HP / an
Cumul]]*0.1799)+(Tableau1[[#This Row],[Conso HC / an_x000D_
Cumul]]*0.1346)</f>
        <v>-21067.932467752937</v>
      </c>
      <c r="AR571" s="83">
        <f>Tableau1[[#This Row],[Conso HP + HC / an_x000D_
Cumul]]*0.1599</f>
        <v>-20824.839889655173</v>
      </c>
      <c r="AS571" s="79">
        <f>MONTH(Tableau1[[#This Row],[Date]])</f>
        <v>3</v>
      </c>
      <c r="AT571" s="79">
        <f>YEAR(Tableau1[[#This Row],[Date]])</f>
        <v>2023</v>
      </c>
    </row>
    <row r="572" spans="1:46" x14ac:dyDescent="0.2">
      <c r="A572" s="74">
        <v>45008.327777777777</v>
      </c>
      <c r="B572" s="75"/>
      <c r="C572" s="76">
        <f>IF(ISERROR(Tableau1[[#This Row],[Date]]-A571),"",Tableau1[[#This Row],[Date]]-A571)</f>
        <v>0.93194444444088731</v>
      </c>
      <c r="D572" s="77">
        <f>IF(ISERROR(Tableau1[[#This Row],[Date]]-A571),"",Tableau1[[#This Row],[Date]]-A571)</f>
        <v>0.93194444444088731</v>
      </c>
      <c r="E572" s="76">
        <f>Tableau1[[#This Row],[Date]]-$A$5</f>
        <v>825.61944444444089</v>
      </c>
      <c r="F572" s="77">
        <f>Tableau1[[#This Row],[Date]]-$A$5</f>
        <v>825.61944444444089</v>
      </c>
      <c r="G572" s="77">
        <f>Tableau1[[#This Row],[Diff jour_x000D_
Cumul]]-F$6</f>
        <v>787.5361111111124</v>
      </c>
      <c r="H572" s="77">
        <f>Tableau1[[#This Row],[Diff jour_x000D_
Cumul]]-F$59</f>
        <v>765.01666666666279</v>
      </c>
      <c r="I572" s="78">
        <v>3313</v>
      </c>
      <c r="J572" s="79">
        <f>IF(ISERROR(Tableau1[[#This Row],[Index HP
kWh]]-I571),"",Tableau1[[#This Row],[Index HP
kWh]]-I571)</f>
        <v>22</v>
      </c>
      <c r="K572" s="77">
        <f>IF(ISERROR(Tableau1[[#This Row],[Différence HP
Instantané]]/(Tableau1[[#This Row],[Diff jour
Instantané]]*24)),"",Tableau1[[#This Row],[Différence HP
Instantané]]/(Tableau1[[#This Row],[Diff jour
Instantané]]*24))</f>
        <v>0.98360655738080349</v>
      </c>
      <c r="L572" s="77">
        <f>Tableau1[[#This Row],[Différence HP
Instantané]]/Tableau1[[#This Row],[Diff jour
Instantané]]</f>
        <v>23.606557377139286</v>
      </c>
      <c r="M572" s="77">
        <f>Tableau1[[#This Row],[Conso HP / jour
Instantané]]*365</f>
        <v>8616.393442655839</v>
      </c>
      <c r="N572" s="79">
        <f>Tableau1[[#This Row],[Index HP
kWh]]-$I$5</f>
        <v>-176446</v>
      </c>
      <c r="O572" s="80">
        <f>Tableau1[[#This Row],[Différence HP
Cumul]]/(Tableau1[[#This Row],[Diff jour_x000D_
Cumul]]*24)</f>
        <v>-8.9047280997769729</v>
      </c>
      <c r="P572" s="80">
        <f>Tableau1[[#This Row],[Différence HP
Cumul]]/Tableau1[[#This Row],[Diff jour_x000D_
Cumul]]</f>
        <v>-213.71347439464736</v>
      </c>
      <c r="Q572" s="80">
        <f>Tableau1[[#This Row],[Conso HP / jour
Cumul]]*365</f>
        <v>-78005.418154046289</v>
      </c>
      <c r="R572" s="78">
        <v>1653</v>
      </c>
      <c r="S572" s="79">
        <f>Tableau1[[#This Row],[Index HC_x000D_
kWh]]-R571</f>
        <v>12</v>
      </c>
      <c r="T572" s="81">
        <f>Tableau1[[#This Row],[Différence_x000D_ HC
Instantané]]/(Tableau1[[#This Row],[Diff jour
Instantané]]*24)</f>
        <v>0.53651266766225647</v>
      </c>
      <c r="U572" s="81">
        <f>Tableau1[[#This Row],[Différence_x000D_ HC
Instantané]]/Tableau1[[#This Row],[Diff jour
Instantané]]</f>
        <v>12.876304023894155</v>
      </c>
      <c r="V572" s="81">
        <f>Tableau1[[#This Row],[Conso HC / jour_x000D_
Instantané]]*365</f>
        <v>4699.8509687213664</v>
      </c>
      <c r="W572" s="79">
        <f>Tableau1[[#This Row],[Index HC_x000D_
kWh]]-$R$5</f>
        <v>-117779</v>
      </c>
      <c r="X572" s="82">
        <f>Tableau1[[#This Row],[Différence HC
Cumul]]/(Tableau1[[#This Row],[Diff jour_x000D_
Cumul]]*24)</f>
        <v>-5.943971361570294</v>
      </c>
      <c r="Y572" s="82">
        <f>Tableau1[[#This Row],[Différence HC
Cumul]]/Tableau1[[#This Row],[Diff jour_x000D_
Cumul]]</f>
        <v>-142.65531267768708</v>
      </c>
      <c r="Z572" s="82">
        <f>Tableau1[[#This Row],[Conso HC / jour_x000D_
Cumul]]*365</f>
        <v>-52069.189127355785</v>
      </c>
      <c r="AA572" s="79">
        <f>Tableau1[[#This Row],[Différence HP
Instantané]]+Tableau1[[#This Row],[Différence_x000D_ HC
Instantané]]</f>
        <v>34</v>
      </c>
      <c r="AB572" s="80">
        <f>Tableau1[[#This Row],[Conso HP + HC
Instantané]]/(Tableau1[[#This Row],[Diff jour
Instantané]]*24)</f>
        <v>1.52011922504306</v>
      </c>
      <c r="AC572" s="80">
        <f>IF(ISERROR(Tableau1[[#This Row],[Date]]-A571),"",Tableau1[[#This Row],[Conso HP + HC
Instantané]]/Tableau1[[#This Row],[Diff jour
Instantané]])</f>
        <v>36.482861401033439</v>
      </c>
      <c r="AD572" s="80">
        <f>Tableau1[[#This Row],[Conso HP + HC / jour_x000D_
Instantané]]*365</f>
        <v>13316.244411377205</v>
      </c>
      <c r="AE572" s="79">
        <f>Tableau1[[#This Row],[Différence HP
Cumul]]+Tableau1[[#This Row],[Différence HC
Cumul]]</f>
        <v>-294225</v>
      </c>
      <c r="AF572" s="77">
        <f>(Tableau1[[#This Row],[Conso HP + HC
Cumul]]-AE$6)/Tableau1[[#This Row],[Diff jour_x000D_
Cumul
depuis le 24/01]]</f>
        <v>-376.86652816625633</v>
      </c>
      <c r="AG572" s="77">
        <f>(Tableau1[[#This Row],[Conso HP + HC
Cumul]]-AE$59)/Tableau1[[#This Row],[Diff jour_x000D_
Cumul
depuis
précédente facture
16/02/2021]]</f>
        <v>-390.05947582841532</v>
      </c>
      <c r="AH572" s="80">
        <f>Tableau1[[#This Row],[Conso HP + HC
Cumul]]/(Tableau1[[#This Row],[Diff jour_x000D_
Cumul]]*24)</f>
        <v>-14.848699461347268</v>
      </c>
      <c r="AI572" s="80">
        <f>Tableau1[[#This Row],[Conso HP + HC
Cumul]]/Tableau1[[#This Row],[Diff jour_x000D_
Cumul]]</f>
        <v>-356.36878707233444</v>
      </c>
      <c r="AJ572" s="80">
        <f>Tableau1[[#This Row],[Conso HP + HC / jour_x000D_
Cumul]]*365</f>
        <v>-130074.60728140207</v>
      </c>
      <c r="AK572" s="83">
        <f>(Tableau1[[#This Row],[Différence HP
Cumul]]*0.1799)+(Tableau1[[#This Row],[Différence HC
Cumul]]*0.1346)</f>
        <v>-47595.688799999996</v>
      </c>
      <c r="AL572" s="83">
        <f>Tableau1[[#This Row],[Montant
Tarif HP/HC]]/Tableau1[[#This Row],[Diff jour_x000D_
Cumul]]</f>
        <v>-57.648459130013734</v>
      </c>
      <c r="AM572" s="83">
        <f>(Tableau1[[#This Row],[Montant
Tarif HP/HC]]-AK$6)/Tableau1[[#This Row],[Diff jour_x000D_
Cumul
depuis le 24/01]]</f>
        <v>-60.975127010048823</v>
      </c>
      <c r="AN572" s="83">
        <f>(Tableau1[[#This Row],[Montant
Tarif HP/HC]]-AK$59)/Tableau1[[#This Row],[Diff jour_x000D_
Cumul
depuis
précédente facture
16/02/2021]]</f>
        <v>-63.11973882921972</v>
      </c>
      <c r="AO572" s="83">
        <f>Tableau1[[#This Row],[Conso HP + HC
Cumul]]*0.1599</f>
        <v>-47046.577499999999</v>
      </c>
      <c r="AP572" s="83">
        <f>Tableau1[[#This Row],[Montant
Tarif normal]]/Tableau1[[#This Row],[Diff jour_x000D_
Cumul]]</f>
        <v>-56.983369052866273</v>
      </c>
      <c r="AQ572" s="83">
        <f>(Tableau1[[#This Row],[Conso HP / an
Cumul]]*0.1799)+(Tableau1[[#This Row],[Conso HC / an_x000D_
Cumul]]*0.1346)</f>
        <v>-21041.687582455015</v>
      </c>
      <c r="AR572" s="83">
        <f>Tableau1[[#This Row],[Conso HP + HC / an_x000D_
Cumul]]*0.1599</f>
        <v>-20798.929704296192</v>
      </c>
      <c r="AS572" s="79">
        <f>MONTH(Tableau1[[#This Row],[Date]])</f>
        <v>3</v>
      </c>
      <c r="AT572" s="79">
        <f>YEAR(Tableau1[[#This Row],[Date]])</f>
        <v>2023</v>
      </c>
    </row>
    <row r="573" spans="1:46" x14ac:dyDescent="0.2">
      <c r="A573" s="74">
        <v>45009.348611111112</v>
      </c>
      <c r="B573" s="75"/>
      <c r="C573" s="76">
        <f>IF(ISERROR(Tableau1[[#This Row],[Date]]-A572),"",Tableau1[[#This Row],[Date]]-A572)</f>
        <v>1.0208333333357587</v>
      </c>
      <c r="D573" s="77">
        <f>IF(ISERROR(Tableau1[[#This Row],[Date]]-A572),"",Tableau1[[#This Row],[Date]]-A572)</f>
        <v>1.0208333333357587</v>
      </c>
      <c r="E573" s="76">
        <f>Tableau1[[#This Row],[Date]]-$A$5</f>
        <v>826.64027777777665</v>
      </c>
      <c r="F573" s="77">
        <f>Tableau1[[#This Row],[Date]]-$A$5</f>
        <v>826.64027777777665</v>
      </c>
      <c r="G573" s="77">
        <f>Tableau1[[#This Row],[Diff jour_x000D_
Cumul]]-F$6</f>
        <v>788.55694444444816</v>
      </c>
      <c r="H573" s="77">
        <f>Tableau1[[#This Row],[Diff jour_x000D_
Cumul]]-F$59</f>
        <v>766.03749999999854</v>
      </c>
      <c r="I573" s="78">
        <v>3336</v>
      </c>
      <c r="J573" s="79">
        <f>IF(ISERROR(Tableau1[[#This Row],[Index HP
kWh]]-I572),"",Tableau1[[#This Row],[Index HP
kWh]]-I572)</f>
        <v>23</v>
      </c>
      <c r="K573" s="77">
        <f>IF(ISERROR(Tableau1[[#This Row],[Différence HP
Instantané]]/(Tableau1[[#This Row],[Diff jour
Instantané]]*24)),"",Tableau1[[#This Row],[Différence HP
Instantané]]/(Tableau1[[#This Row],[Diff jour
Instantané]]*24))</f>
        <v>0.93877551020185124</v>
      </c>
      <c r="L573" s="77">
        <f>Tableau1[[#This Row],[Différence HP
Instantané]]/Tableau1[[#This Row],[Diff jour
Instantané]]</f>
        <v>22.530612244844431</v>
      </c>
      <c r="M573" s="77">
        <f>Tableau1[[#This Row],[Conso HP / jour
Instantané]]*365</f>
        <v>8223.6734693682174</v>
      </c>
      <c r="N573" s="79">
        <f>Tableau1[[#This Row],[Index HP
kWh]]-$I$5</f>
        <v>-176423</v>
      </c>
      <c r="O573" s="80">
        <f>Tableau1[[#This Row],[Différence HP
Cumul]]/(Tableau1[[#This Row],[Diff jour_x000D_
Cumul]]*24)</f>
        <v>-8.8925721755230889</v>
      </c>
      <c r="P573" s="80">
        <f>Tableau1[[#This Row],[Différence HP
Cumul]]/Tableau1[[#This Row],[Diff jour_x000D_
Cumul]]</f>
        <v>-213.42173221255413</v>
      </c>
      <c r="Q573" s="80">
        <f>Tableau1[[#This Row],[Conso HP / jour
Cumul]]*365</f>
        <v>-77898.932257582259</v>
      </c>
      <c r="R573" s="78">
        <v>1664</v>
      </c>
      <c r="S573" s="79">
        <f>Tableau1[[#This Row],[Index HC_x000D_
kWh]]-R572</f>
        <v>11</v>
      </c>
      <c r="T573" s="81">
        <f>Tableau1[[#This Row],[Différence_x000D_ HC
Instantané]]/(Tableau1[[#This Row],[Diff jour
Instantané]]*24)</f>
        <v>0.44897959183566799</v>
      </c>
      <c r="U573" s="81">
        <f>Tableau1[[#This Row],[Différence_x000D_ HC
Instantané]]/Tableau1[[#This Row],[Diff jour
Instantané]]</f>
        <v>10.775510204056031</v>
      </c>
      <c r="V573" s="81">
        <f>Tableau1[[#This Row],[Conso HC / jour_x000D_
Instantané]]*365</f>
        <v>3933.0612244804515</v>
      </c>
      <c r="W573" s="79">
        <f>Tableau1[[#This Row],[Index HC_x000D_
kWh]]-$R$5</f>
        <v>-117768</v>
      </c>
      <c r="X573" s="82">
        <f>Tableau1[[#This Row],[Différence HC
Cumul]]/(Tableau1[[#This Row],[Diff jour_x000D_
Cumul]]*24)</f>
        <v>-5.9360765884663742</v>
      </c>
      <c r="Y573" s="82">
        <f>Tableau1[[#This Row],[Différence HC
Cumul]]/Tableau1[[#This Row],[Diff jour_x000D_
Cumul]]</f>
        <v>-142.46583812319298</v>
      </c>
      <c r="Z573" s="82">
        <f>Tableau1[[#This Row],[Conso HC / jour_x000D_
Cumul]]*365</f>
        <v>-52000.030914965435</v>
      </c>
      <c r="AA573" s="79">
        <f>Tableau1[[#This Row],[Différence HP
Instantané]]+Tableau1[[#This Row],[Différence_x000D_ HC
Instantané]]</f>
        <v>34</v>
      </c>
      <c r="AB573" s="80">
        <f>Tableau1[[#This Row],[Conso HP + HC
Instantané]]/(Tableau1[[#This Row],[Diff jour
Instantané]]*24)</f>
        <v>1.3877551020375192</v>
      </c>
      <c r="AC573" s="80">
        <f>IF(ISERROR(Tableau1[[#This Row],[Date]]-A572),"",Tableau1[[#This Row],[Conso HP + HC
Instantané]]/Tableau1[[#This Row],[Diff jour
Instantané]])</f>
        <v>33.30612244890046</v>
      </c>
      <c r="AD573" s="80">
        <f>Tableau1[[#This Row],[Conso HP + HC / jour_x000D_
Instantané]]*365</f>
        <v>12156.734693848668</v>
      </c>
      <c r="AE573" s="79">
        <f>Tableau1[[#This Row],[Différence HP
Cumul]]+Tableau1[[#This Row],[Différence HC
Cumul]]</f>
        <v>-294191</v>
      </c>
      <c r="AF573" s="77">
        <f>(Tableau1[[#This Row],[Conso HP + HC
Cumul]]-AE$6)/Tableau1[[#This Row],[Diff jour_x000D_
Cumul
depuis le 24/01]]</f>
        <v>-376.33553555104874</v>
      </c>
      <c r="AG573" s="77">
        <f>(Tableau1[[#This Row],[Conso HP + HC
Cumul]]-AE$59)/Tableau1[[#This Row],[Diff jour_x000D_
Cumul
depuis
précédente facture
16/02/2021]]</f>
        <v>-389.49529233229515</v>
      </c>
      <c r="AH573" s="80">
        <f>Tableau1[[#This Row],[Conso HP + HC
Cumul]]/(Tableau1[[#This Row],[Diff jour_x000D_
Cumul]]*24)</f>
        <v>-14.828648763989461</v>
      </c>
      <c r="AI573" s="80">
        <f>Tableau1[[#This Row],[Conso HP + HC
Cumul]]/Tableau1[[#This Row],[Diff jour_x000D_
Cumul]]</f>
        <v>-355.88757033574711</v>
      </c>
      <c r="AJ573" s="80">
        <f>Tableau1[[#This Row],[Conso HP + HC / jour_x000D_
Cumul]]*365</f>
        <v>-129898.96317254769</v>
      </c>
      <c r="AK573" s="83">
        <f>(Tableau1[[#This Row],[Différence HP
Cumul]]*0.1799)+(Tableau1[[#This Row],[Différence HC
Cumul]]*0.1346)</f>
        <v>-47590.070500000002</v>
      </c>
      <c r="AL573" s="83">
        <f>Tableau1[[#This Row],[Montant
Tarif HP/HC]]/Tableau1[[#This Row],[Diff jour_x000D_
Cumul]]</f>
        <v>-57.570471436420263</v>
      </c>
      <c r="AM573" s="83">
        <f>(Tableau1[[#This Row],[Montant
Tarif HP/HC]]-AK$6)/Tableau1[[#This Row],[Diff jour_x000D_
Cumul
depuis le 24/01]]</f>
        <v>-60.889066336010821</v>
      </c>
      <c r="AN573" s="83">
        <f>(Tableau1[[#This Row],[Montant
Tarif HP/HC]]-AK$59)/Tableau1[[#This Row],[Diff jour_x000D_
Cumul
depuis
précédente facture
16/02/2021]]</f>
        <v>-63.028290259941706</v>
      </c>
      <c r="AO573" s="83">
        <f>Tableau1[[#This Row],[Conso HP + HC
Cumul]]*0.1599</f>
        <v>-47041.140899999999</v>
      </c>
      <c r="AP573" s="83">
        <f>Tableau1[[#This Row],[Montant
Tarif normal]]/Tableau1[[#This Row],[Diff jour_x000D_
Cumul]]</f>
        <v>-56.906422496685956</v>
      </c>
      <c r="AQ573" s="83">
        <f>(Tableau1[[#This Row],[Conso HP / an
Cumul]]*0.1799)+(Tableau1[[#This Row],[Conso HC / an_x000D_
Cumul]]*0.1346)</f>
        <v>-21013.222074293397</v>
      </c>
      <c r="AR573" s="83">
        <f>Tableau1[[#This Row],[Conso HP + HC / an_x000D_
Cumul]]*0.1599</f>
        <v>-20770.844211290376</v>
      </c>
      <c r="AS573" s="79">
        <f>MONTH(Tableau1[[#This Row],[Date]])</f>
        <v>3</v>
      </c>
      <c r="AT573" s="79">
        <f>YEAR(Tableau1[[#This Row],[Date]])</f>
        <v>2023</v>
      </c>
    </row>
    <row r="574" spans="1:46" x14ac:dyDescent="0.2">
      <c r="A574" s="74">
        <v>45010.462500000001</v>
      </c>
      <c r="B574" s="75"/>
      <c r="C574" s="76">
        <f>IF(ISERROR(Tableau1[[#This Row],[Date]]-A573),"",Tableau1[[#This Row],[Date]]-A573)</f>
        <v>1.1138888888890506</v>
      </c>
      <c r="D574" s="77">
        <f>IF(ISERROR(Tableau1[[#This Row],[Date]]-A573),"",Tableau1[[#This Row],[Date]]-A573)</f>
        <v>1.1138888888890506</v>
      </c>
      <c r="E574" s="76">
        <f>Tableau1[[#This Row],[Date]]-$A$5</f>
        <v>827.7541666666657</v>
      </c>
      <c r="F574" s="77">
        <f>Tableau1[[#This Row],[Date]]-$A$5</f>
        <v>827.7541666666657</v>
      </c>
      <c r="G574" s="77">
        <f>Tableau1[[#This Row],[Diff jour_x000D_
Cumul]]-F$6</f>
        <v>789.67083333333721</v>
      </c>
      <c r="H574" s="77">
        <f>Tableau1[[#This Row],[Diff jour_x000D_
Cumul]]-F$59</f>
        <v>767.1513888888876</v>
      </c>
      <c r="I574" s="78">
        <v>3363</v>
      </c>
      <c r="J574" s="79">
        <f>IF(ISERROR(Tableau1[[#This Row],[Index HP
kWh]]-I573),"",Tableau1[[#This Row],[Index HP
kWh]]-I573)</f>
        <v>27</v>
      </c>
      <c r="K574" s="77">
        <f>IF(ISERROR(Tableau1[[#This Row],[Différence HP
Instantané]]/(Tableau1[[#This Row],[Diff jour
Instantané]]*24)),"",Tableau1[[#This Row],[Différence HP
Instantané]]/(Tableau1[[#This Row],[Diff jour
Instantané]]*24))</f>
        <v>1.0099750623439931</v>
      </c>
      <c r="L574" s="77">
        <f>Tableau1[[#This Row],[Différence HP
Instantané]]/Tableau1[[#This Row],[Diff jour
Instantané]]</f>
        <v>24.239401496255834</v>
      </c>
      <c r="M574" s="77">
        <f>Tableau1[[#This Row],[Conso HP / jour
Instantané]]*365</f>
        <v>8847.3815461333797</v>
      </c>
      <c r="N574" s="79">
        <f>Tableau1[[#This Row],[Index HP
kWh]]-$I$5</f>
        <v>-176396</v>
      </c>
      <c r="O574" s="80">
        <f>Tableau1[[#This Row],[Différence HP
Cumul]]/(Tableau1[[#This Row],[Diff jour_x000D_
Cumul]]*24)</f>
        <v>-8.8792465556903579</v>
      </c>
      <c r="P574" s="80">
        <f>Tableau1[[#This Row],[Différence HP
Cumul]]/Tableau1[[#This Row],[Diff jour_x000D_
Cumul]]</f>
        <v>-213.10191733656856</v>
      </c>
      <c r="Q574" s="80">
        <f>Tableau1[[#This Row],[Conso HP / jour
Cumul]]*365</f>
        <v>-77782.199827847522</v>
      </c>
      <c r="R574" s="78">
        <v>1678</v>
      </c>
      <c r="S574" s="79">
        <f>Tableau1[[#This Row],[Index HC_x000D_
kWh]]-R573</f>
        <v>14</v>
      </c>
      <c r="T574" s="81">
        <f>Tableau1[[#This Row],[Différence_x000D_ HC
Instantané]]/(Tableau1[[#This Row],[Diff jour
Instantané]]*24)</f>
        <v>0.52369077306725564</v>
      </c>
      <c r="U574" s="81">
        <f>Tableau1[[#This Row],[Différence_x000D_ HC
Instantané]]/Tableau1[[#This Row],[Diff jour
Instantané]]</f>
        <v>12.568578553614136</v>
      </c>
      <c r="V574" s="81">
        <f>Tableau1[[#This Row],[Conso HC / jour_x000D_
Instantané]]*365</f>
        <v>4587.5311720691598</v>
      </c>
      <c r="W574" s="79">
        <f>Tableau1[[#This Row],[Index HC_x000D_
kWh]]-$R$5</f>
        <v>-117754</v>
      </c>
      <c r="X574" s="82">
        <f>Tableau1[[#This Row],[Différence HC
Cumul]]/(Tableau1[[#This Row],[Diff jour_x000D_
Cumul]]*24)</f>
        <v>-5.9273838347738179</v>
      </c>
      <c r="Y574" s="82">
        <f>Tableau1[[#This Row],[Différence HC
Cumul]]/Tableau1[[#This Row],[Diff jour_x000D_
Cumul]]</f>
        <v>-142.25721203457161</v>
      </c>
      <c r="Z574" s="82">
        <f>Tableau1[[#This Row],[Conso HC / jour_x000D_
Cumul]]*365</f>
        <v>-51923.882392618638</v>
      </c>
      <c r="AA574" s="79">
        <f>Tableau1[[#This Row],[Différence HP
Instantané]]+Tableau1[[#This Row],[Différence_x000D_ HC
Instantané]]</f>
        <v>41</v>
      </c>
      <c r="AB574" s="80">
        <f>Tableau1[[#This Row],[Conso HP + HC
Instantané]]/(Tableau1[[#This Row],[Diff jour
Instantané]]*24)</f>
        <v>1.5336658354112487</v>
      </c>
      <c r="AC574" s="80">
        <f>IF(ISERROR(Tableau1[[#This Row],[Date]]-A573),"",Tableau1[[#This Row],[Conso HP + HC
Instantané]]/Tableau1[[#This Row],[Diff jour
Instantané]])</f>
        <v>36.807980049869968</v>
      </c>
      <c r="AD574" s="80">
        <f>Tableau1[[#This Row],[Conso HP + HC / jour_x000D_
Instantané]]*365</f>
        <v>13434.912718202539</v>
      </c>
      <c r="AE574" s="79">
        <f>Tableau1[[#This Row],[Différence HP
Cumul]]+Tableau1[[#This Row],[Différence HC
Cumul]]</f>
        <v>-294150</v>
      </c>
      <c r="AF574" s="77">
        <f>(Tableau1[[#This Row],[Conso HP + HC
Cumul]]-AE$6)/Tableau1[[#This Row],[Diff jour_x000D_
Cumul
depuis le 24/01]]</f>
        <v>-375.75276618422049</v>
      </c>
      <c r="AG574" s="77">
        <f>(Tableau1[[#This Row],[Conso HP + HC
Cumul]]-AE$59)/Tableau1[[#This Row],[Diff jour_x000D_
Cumul
depuis
précédente facture
16/02/2021]]</f>
        <v>-388.87630827610872</v>
      </c>
      <c r="AH574" s="80">
        <f>Tableau1[[#This Row],[Conso HP + HC
Cumul]]/(Tableau1[[#This Row],[Diff jour_x000D_
Cumul]]*24)</f>
        <v>-14.806630390464175</v>
      </c>
      <c r="AI574" s="80">
        <f>Tableau1[[#This Row],[Conso HP + HC
Cumul]]/Tableau1[[#This Row],[Diff jour_x000D_
Cumul]]</f>
        <v>-355.35912937114017</v>
      </c>
      <c r="AJ574" s="80">
        <f>Tableau1[[#This Row],[Conso HP + HC / jour_x000D_
Cumul]]*365</f>
        <v>-129706.08222046617</v>
      </c>
      <c r="AK574" s="83">
        <f>(Tableau1[[#This Row],[Différence HP
Cumul]]*0.1799)+(Tableau1[[#This Row],[Différence HC
Cumul]]*0.1346)</f>
        <v>-47583.328800000003</v>
      </c>
      <c r="AL574" s="83">
        <f>Tableau1[[#This Row],[Montant
Tarif HP/HC]]/Tableau1[[#This Row],[Diff jour_x000D_
Cumul]]</f>
        <v>-57.484855668702032</v>
      </c>
      <c r="AM574" s="83">
        <f>(Tableau1[[#This Row],[Montant
Tarif HP/HC]]-AK$6)/Tableau1[[#This Row],[Diff jour_x000D_
Cumul
depuis le 24/01]]</f>
        <v>-60.794640467283017</v>
      </c>
      <c r="AN574" s="83">
        <f>(Tableau1[[#This Row],[Montant
Tarif HP/HC]]-AK$59)/Tableau1[[#This Row],[Diff jour_x000D_
Cumul
depuis
précédente facture
16/02/2021]]</f>
        <v>-62.927986443353859</v>
      </c>
      <c r="AO574" s="83">
        <f>Tableau1[[#This Row],[Conso HP + HC
Cumul]]*0.1599</f>
        <v>-47034.584999999999</v>
      </c>
      <c r="AP574" s="83">
        <f>Tableau1[[#This Row],[Montant
Tarif normal]]/Tableau1[[#This Row],[Diff jour_x000D_
Cumul]]</f>
        <v>-56.821924786445315</v>
      </c>
      <c r="AQ574" s="83">
        <f>(Tableau1[[#This Row],[Conso HP / an
Cumul]]*0.1799)+(Tableau1[[#This Row],[Conso HC / an_x000D_
Cumul]]*0.1346)</f>
        <v>-20981.972319076238</v>
      </c>
      <c r="AR574" s="83">
        <f>Tableau1[[#This Row],[Conso HP + HC / an_x000D_
Cumul]]*0.1599</f>
        <v>-20740.00254705254</v>
      </c>
      <c r="AS574" s="79">
        <f>MONTH(Tableau1[[#This Row],[Date]])</f>
        <v>3</v>
      </c>
      <c r="AT574" s="79">
        <f>YEAR(Tableau1[[#This Row],[Date]])</f>
        <v>2023</v>
      </c>
    </row>
    <row r="575" spans="1:46" x14ac:dyDescent="0.2">
      <c r="A575" s="74">
        <v>45011.392361111109</v>
      </c>
      <c r="B575" s="75"/>
      <c r="C575" s="76">
        <f>IF(ISERROR(Tableau1[[#This Row],[Date]]-A574),"",Tableau1[[#This Row],[Date]]-A574)</f>
        <v>0.92986111110803904</v>
      </c>
      <c r="D575" s="77">
        <f>IF(ISERROR(Tableau1[[#This Row],[Date]]-A574),"",Tableau1[[#This Row],[Date]]-A574)</f>
        <v>0.92986111110803904</v>
      </c>
      <c r="E575" s="76">
        <f>Tableau1[[#This Row],[Date]]-$A$5</f>
        <v>828.68402777777374</v>
      </c>
      <c r="F575" s="77">
        <f>Tableau1[[#This Row],[Date]]-$A$5</f>
        <v>828.68402777777374</v>
      </c>
      <c r="G575" s="77">
        <f>Tableau1[[#This Row],[Diff jour_x000D_
Cumul]]-F$6</f>
        <v>790.60069444444525</v>
      </c>
      <c r="H575" s="77">
        <f>Tableau1[[#This Row],[Diff jour_x000D_
Cumul]]-F$59</f>
        <v>768.08124999999563</v>
      </c>
      <c r="I575" s="78">
        <v>3386</v>
      </c>
      <c r="J575" s="79">
        <f>IF(ISERROR(Tableau1[[#This Row],[Index HP
kWh]]-I574),"",Tableau1[[#This Row],[Index HP
kWh]]-I574)</f>
        <v>23</v>
      </c>
      <c r="K575" s="77">
        <f>IF(ISERROR(Tableau1[[#This Row],[Différence HP
Instantané]]/(Tableau1[[#This Row],[Diff jour
Instantané]]*24)),"",Tableau1[[#This Row],[Différence HP
Instantané]]/(Tableau1[[#This Row],[Diff jour
Instantané]]*24))</f>
        <v>1.0306198655747267</v>
      </c>
      <c r="L575" s="77">
        <f>Tableau1[[#This Row],[Différence HP
Instantané]]/Tableau1[[#This Row],[Diff jour
Instantané]]</f>
        <v>24.734876773793445</v>
      </c>
      <c r="M575" s="77">
        <f>Tableau1[[#This Row],[Conso HP / jour
Instantané]]*365</f>
        <v>9028.2300224346072</v>
      </c>
      <c r="N575" s="79">
        <f>Tableau1[[#This Row],[Index HP
kWh]]-$I$5</f>
        <v>-176373</v>
      </c>
      <c r="O575" s="80">
        <f>Tableau1[[#This Row],[Différence HP
Cumul]]/(Tableau1[[#This Row],[Diff jour_x000D_
Cumul]]*24)</f>
        <v>-8.868126757199585</v>
      </c>
      <c r="P575" s="80">
        <f>Tableau1[[#This Row],[Différence HP
Cumul]]/Tableau1[[#This Row],[Diff jour_x000D_
Cumul]]</f>
        <v>-212.83504217279005</v>
      </c>
      <c r="Q575" s="80">
        <f>Tableau1[[#This Row],[Conso HP / jour
Cumul]]*365</f>
        <v>-77684.790393068368</v>
      </c>
      <c r="R575" s="78">
        <v>1692</v>
      </c>
      <c r="S575" s="79">
        <f>Tableau1[[#This Row],[Index HC_x000D_
kWh]]-R574</f>
        <v>14</v>
      </c>
      <c r="T575" s="81">
        <f>Tableau1[[#This Row],[Différence_x000D_ HC
Instantané]]/(Tableau1[[#This Row],[Diff jour
Instantané]]*24)</f>
        <v>0.6273338312193989</v>
      </c>
      <c r="U575" s="81">
        <f>Tableau1[[#This Row],[Différence_x000D_ HC
Instantané]]/Tableau1[[#This Row],[Diff jour
Instantané]]</f>
        <v>15.056011949265574</v>
      </c>
      <c r="V575" s="81">
        <f>Tableau1[[#This Row],[Conso HC / jour_x000D_
Instantané]]*365</f>
        <v>5495.4443614819347</v>
      </c>
      <c r="W575" s="79">
        <f>Tableau1[[#This Row],[Index HC_x000D_
kWh]]-$R$5</f>
        <v>-117740</v>
      </c>
      <c r="X575" s="82">
        <f>Tableau1[[#This Row],[Différence HC
Cumul]]/(Tableau1[[#This Row],[Diff jour_x000D_
Cumul]]*24)</f>
        <v>-5.9200288275001229</v>
      </c>
      <c r="Y575" s="82">
        <f>Tableau1[[#This Row],[Différence HC
Cumul]]/Tableau1[[#This Row],[Diff jour_x000D_
Cumul]]</f>
        <v>-142.08069186000296</v>
      </c>
      <c r="Z575" s="82">
        <f>Tableau1[[#This Row],[Conso HC / jour_x000D_
Cumul]]*365</f>
        <v>-51859.452528901078</v>
      </c>
      <c r="AA575" s="79">
        <f>Tableau1[[#This Row],[Différence HP
Instantané]]+Tableau1[[#This Row],[Différence_x000D_ HC
Instantané]]</f>
        <v>37</v>
      </c>
      <c r="AB575" s="80">
        <f>Tableau1[[#This Row],[Conso HP + HC
Instantané]]/(Tableau1[[#This Row],[Diff jour
Instantané]]*24)</f>
        <v>1.6579536967941257</v>
      </c>
      <c r="AC575" s="80">
        <f>IF(ISERROR(Tableau1[[#This Row],[Date]]-A574),"",Tableau1[[#This Row],[Conso HP + HC
Instantané]]/Tableau1[[#This Row],[Diff jour
Instantané]])</f>
        <v>39.79088872305902</v>
      </c>
      <c r="AD575" s="80">
        <f>Tableau1[[#This Row],[Conso HP + HC / jour_x000D_
Instantané]]*365</f>
        <v>14523.674383916543</v>
      </c>
      <c r="AE575" s="79">
        <f>Tableau1[[#This Row],[Différence HP
Cumul]]+Tableau1[[#This Row],[Différence HC
Cumul]]</f>
        <v>-294113</v>
      </c>
      <c r="AF575" s="77">
        <f>(Tableau1[[#This Row],[Conso HP + HC
Cumul]]-AE$6)/Tableau1[[#This Row],[Diff jour_x000D_
Cumul
depuis le 24/01]]</f>
        <v>-375.26402656208103</v>
      </c>
      <c r="AG575" s="77">
        <f>(Tableau1[[#This Row],[Conso HP + HC
Cumul]]-AE$59)/Tableau1[[#This Row],[Diff jour_x000D_
Cumul
depuis
précédente facture
16/02/2021]]</f>
        <v>-388.35735151717569</v>
      </c>
      <c r="AH575" s="80">
        <f>Tableau1[[#This Row],[Conso HP + HC
Cumul]]/(Tableau1[[#This Row],[Diff jour_x000D_
Cumul]]*24)</f>
        <v>-14.788155584699709</v>
      </c>
      <c r="AI575" s="80">
        <f>Tableau1[[#This Row],[Conso HP + HC
Cumul]]/Tableau1[[#This Row],[Diff jour_x000D_
Cumul]]</f>
        <v>-354.91573403279301</v>
      </c>
      <c r="AJ575" s="80">
        <f>Tableau1[[#This Row],[Conso HP + HC / jour_x000D_
Cumul]]*365</f>
        <v>-129544.24292196945</v>
      </c>
      <c r="AK575" s="83">
        <f>(Tableau1[[#This Row],[Différence HP
Cumul]]*0.1799)+(Tableau1[[#This Row],[Différence HC
Cumul]]*0.1346)</f>
        <v>-47577.306700000001</v>
      </c>
      <c r="AL575" s="83">
        <f>Tableau1[[#This Row],[Montant
Tarif HP/HC]]/Tableau1[[#This Row],[Diff jour_x000D_
Cumul]]</f>
        <v>-57.413085211241331</v>
      </c>
      <c r="AM575" s="83">
        <f>(Tableau1[[#This Row],[Montant
Tarif HP/HC]]-AK$6)/Tableau1[[#This Row],[Diff jour_x000D_
Cumul
depuis le 24/01]]</f>
        <v>-60.715520030918768</v>
      </c>
      <c r="AN575" s="83">
        <f>(Tableau1[[#This Row],[Montant
Tarif HP/HC]]-AK$59)/Tableau1[[#This Row],[Diff jour_x000D_
Cumul
depuis
précédente facture
16/02/2021]]</f>
        <v>-62.843963578072341</v>
      </c>
      <c r="AO575" s="83">
        <f>Tableau1[[#This Row],[Conso HP + HC
Cumul]]*0.1599</f>
        <v>-47028.668699999995</v>
      </c>
      <c r="AP575" s="83">
        <f>Tableau1[[#This Row],[Montant
Tarif normal]]/Tableau1[[#This Row],[Diff jour_x000D_
Cumul]]</f>
        <v>-56.751025871843595</v>
      </c>
      <c r="AQ575" s="83">
        <f>(Tableau1[[#This Row],[Conso HP / an
Cumul]]*0.1799)+(Tableau1[[#This Row],[Conso HC / an_x000D_
Cumul]]*0.1346)</f>
        <v>-20955.776102103082</v>
      </c>
      <c r="AR575" s="83">
        <f>Tableau1[[#This Row],[Conso HP + HC / an_x000D_
Cumul]]*0.1599</f>
        <v>-20714.124443222914</v>
      </c>
      <c r="AS575" s="79">
        <f>MONTH(Tableau1[[#This Row],[Date]])</f>
        <v>3</v>
      </c>
      <c r="AT575" s="79">
        <f>YEAR(Tableau1[[#This Row],[Date]])</f>
        <v>2023</v>
      </c>
    </row>
    <row r="576" spans="1:46" x14ac:dyDescent="0.2">
      <c r="A576" s="74">
        <v>45012.320833333331</v>
      </c>
      <c r="B576" s="75"/>
      <c r="C576" s="76">
        <f>IF(ISERROR(Tableau1[[#This Row],[Date]]-A575),"",Tableau1[[#This Row],[Date]]-A575)</f>
        <v>0.92847222222189885</v>
      </c>
      <c r="D576" s="77">
        <f>IF(ISERROR(Tableau1[[#This Row],[Date]]-A575),"",Tableau1[[#This Row],[Date]]-A575)</f>
        <v>0.92847222222189885</v>
      </c>
      <c r="E576" s="76">
        <f>Tableau1[[#This Row],[Date]]-$A$5</f>
        <v>829.61249999999563</v>
      </c>
      <c r="F576" s="77">
        <f>Tableau1[[#This Row],[Date]]-$A$5</f>
        <v>829.61249999999563</v>
      </c>
      <c r="G576" s="77">
        <f>Tableau1[[#This Row],[Diff jour_x000D_
Cumul]]-F$6</f>
        <v>791.52916666666715</v>
      </c>
      <c r="H576" s="77">
        <f>Tableau1[[#This Row],[Diff jour_x000D_
Cumul]]-F$59</f>
        <v>769.00972222221753</v>
      </c>
      <c r="I576" s="78">
        <v>3412</v>
      </c>
      <c r="J576" s="79">
        <f>IF(ISERROR(Tableau1[[#This Row],[Index HP
kWh]]-I575),"",Tableau1[[#This Row],[Index HP
kWh]]-I575)</f>
        <v>26</v>
      </c>
      <c r="K576" s="77">
        <f>IF(ISERROR(Tableau1[[#This Row],[Différence HP
Instantané]]/(Tableau1[[#This Row],[Diff jour
Instantané]]*24)),"",Tableau1[[#This Row],[Différence HP
Instantané]]/(Tableau1[[#This Row],[Diff jour
Instantané]]*24))</f>
        <v>1.1667913238597931</v>
      </c>
      <c r="L576" s="77">
        <f>Tableau1[[#This Row],[Différence HP
Instantané]]/Tableau1[[#This Row],[Diff jour
Instantané]]</f>
        <v>28.002991772635035</v>
      </c>
      <c r="M576" s="77">
        <f>Tableau1[[#This Row],[Conso HP / jour
Instantané]]*365</f>
        <v>10221.091997011788</v>
      </c>
      <c r="N576" s="79">
        <f>Tableau1[[#This Row],[Index HP
kWh]]-$I$5</f>
        <v>-176347</v>
      </c>
      <c r="O576" s="80">
        <f>Tableau1[[#This Row],[Différence HP
Cumul]]/(Tableau1[[#This Row],[Diff jour_x000D_
Cumul]]*24)</f>
        <v>-8.8568960408223187</v>
      </c>
      <c r="P576" s="80">
        <f>Tableau1[[#This Row],[Différence HP
Cumul]]/Tableau1[[#This Row],[Diff jour_x000D_
Cumul]]</f>
        <v>-212.56550497973564</v>
      </c>
      <c r="Q576" s="80">
        <f>Tableau1[[#This Row],[Conso HP / jour
Cumul]]*365</f>
        <v>-77586.409317603509</v>
      </c>
      <c r="R576" s="78">
        <v>1707</v>
      </c>
      <c r="S576" s="79">
        <f>Tableau1[[#This Row],[Index HC_x000D_
kWh]]-R575</f>
        <v>15</v>
      </c>
      <c r="T576" s="81">
        <f>Tableau1[[#This Row],[Différence_x000D_ HC
Instantané]]/(Tableau1[[#This Row],[Diff jour
Instantané]]*24)</f>
        <v>0.67314884068834213</v>
      </c>
      <c r="U576" s="81">
        <f>Tableau1[[#This Row],[Différence_x000D_ HC
Instantané]]/Tableau1[[#This Row],[Diff jour
Instantané]]</f>
        <v>16.155572176520213</v>
      </c>
      <c r="V576" s="81">
        <f>Tableau1[[#This Row],[Conso HC / jour_x000D_
Instantané]]*365</f>
        <v>5896.7838444298777</v>
      </c>
      <c r="W576" s="79">
        <f>Tableau1[[#This Row],[Index HC_x000D_
kWh]]-$R$5</f>
        <v>-117725</v>
      </c>
      <c r="X576" s="82">
        <f>Tableau1[[#This Row],[Différence HC
Cumul]]/(Tableau1[[#This Row],[Diff jour_x000D_
Cumul]]*24)</f>
        <v>-5.9126499821704215</v>
      </c>
      <c r="Y576" s="82">
        <f>Tableau1[[#This Row],[Différence HC
Cumul]]/Tableau1[[#This Row],[Diff jour_x000D_
Cumul]]</f>
        <v>-141.90359957209012</v>
      </c>
      <c r="Z576" s="82">
        <f>Tableau1[[#This Row],[Conso HC / jour_x000D_
Cumul]]*365</f>
        <v>-51794.813843812895</v>
      </c>
      <c r="AA576" s="79">
        <f>Tableau1[[#This Row],[Différence HP
Instantané]]+Tableau1[[#This Row],[Différence_x000D_ HC
Instantané]]</f>
        <v>41</v>
      </c>
      <c r="AB576" s="80">
        <f>Tableau1[[#This Row],[Conso HP + HC
Instantané]]/(Tableau1[[#This Row],[Diff jour
Instantané]]*24)</f>
        <v>1.8399401645481352</v>
      </c>
      <c r="AC576" s="80">
        <f>IF(ISERROR(Tableau1[[#This Row],[Date]]-A575),"",Tableau1[[#This Row],[Conso HP + HC
Instantané]]/Tableau1[[#This Row],[Diff jour
Instantané]])</f>
        <v>44.158563949155244</v>
      </c>
      <c r="AD576" s="80">
        <f>Tableau1[[#This Row],[Conso HP + HC / jour_x000D_
Instantané]]*365</f>
        <v>16117.875841441664</v>
      </c>
      <c r="AE576" s="79">
        <f>Tableau1[[#This Row],[Différence HP
Cumul]]+Tableau1[[#This Row],[Différence HC
Cumul]]</f>
        <v>-294072</v>
      </c>
      <c r="AF576" s="77">
        <f>(Tableau1[[#This Row],[Conso HP + HC
Cumul]]-AE$6)/Tableau1[[#This Row],[Diff jour_x000D_
Cumul
depuis le 24/01]]</f>
        <v>-374.7720393542034</v>
      </c>
      <c r="AG576" s="77">
        <f>(Tableau1[[#This Row],[Conso HP + HC
Cumul]]-AE$59)/Tableau1[[#This Row],[Diff jour_x000D_
Cumul
depuis
précédente facture
16/02/2021]]</f>
        <v>-387.83514873927203</v>
      </c>
      <c r="AH576" s="80">
        <f>Tableau1[[#This Row],[Conso HP + HC
Cumul]]/(Tableau1[[#This Row],[Diff jour_x000D_
Cumul]]*24)</f>
        <v>-14.76954602299274</v>
      </c>
      <c r="AI576" s="80">
        <f>Tableau1[[#This Row],[Conso HP + HC
Cumul]]/Tableau1[[#This Row],[Diff jour_x000D_
Cumul]]</f>
        <v>-354.46910455182575</v>
      </c>
      <c r="AJ576" s="80">
        <f>Tableau1[[#This Row],[Conso HP + HC / jour_x000D_
Cumul]]*365</f>
        <v>-129381.2231614164</v>
      </c>
      <c r="AK576" s="83">
        <f>(Tableau1[[#This Row],[Différence HP
Cumul]]*0.1799)+(Tableau1[[#This Row],[Différence HC
Cumul]]*0.1346)</f>
        <v>-47570.6103</v>
      </c>
      <c r="AL576" s="83">
        <f>Tableau1[[#This Row],[Montant
Tarif HP/HC]]/Tableau1[[#This Row],[Diff jour_x000D_
Cumul]]</f>
        <v>-57.340758848257771</v>
      </c>
      <c r="AM576" s="83">
        <f>(Tableau1[[#This Row],[Montant
Tarif HP/HC]]-AK$6)/Tableau1[[#This Row],[Diff jour_x000D_
Cumul
depuis le 24/01]]</f>
        <v>-60.635839993261953</v>
      </c>
      <c r="AN576" s="83">
        <f>(Tableau1[[#This Row],[Montant
Tarif HP/HC]]-AK$59)/Tableau1[[#This Row],[Diff jour_x000D_
Cumul
depuis
précédente facture
16/02/2021]]</f>
        <v>-62.759380415289165</v>
      </c>
      <c r="AO576" s="83">
        <f>Tableau1[[#This Row],[Conso HP + HC
Cumul]]*0.1599</f>
        <v>-47022.112799999995</v>
      </c>
      <c r="AP576" s="83">
        <f>Tableau1[[#This Row],[Montant
Tarif normal]]/Tableau1[[#This Row],[Diff jour_x000D_
Cumul]]</f>
        <v>-56.679609817836933</v>
      </c>
      <c r="AQ576" s="83">
        <f>(Tableau1[[#This Row],[Conso HP / an
Cumul]]*0.1799)+(Tableau1[[#This Row],[Conso HC / an_x000D_
Cumul]]*0.1346)</f>
        <v>-20929.376979614088</v>
      </c>
      <c r="AR576" s="83">
        <f>Tableau1[[#This Row],[Conso HP + HC / an_x000D_
Cumul]]*0.1599</f>
        <v>-20688.057583510483</v>
      </c>
      <c r="AS576" s="79">
        <f>MONTH(Tableau1[[#This Row],[Date]])</f>
        <v>3</v>
      </c>
      <c r="AT576" s="79">
        <f>YEAR(Tableau1[[#This Row],[Date]])</f>
        <v>2023</v>
      </c>
    </row>
    <row r="577" spans="1:46" x14ac:dyDescent="0.2">
      <c r="A577" s="74">
        <v>45013.374305555553</v>
      </c>
      <c r="B577" s="75"/>
      <c r="C577" s="76">
        <f>IF(ISERROR(Tableau1[[#This Row],[Date]]-A576),"",Tableau1[[#This Row],[Date]]-A576)</f>
        <v>1.0534722222218988</v>
      </c>
      <c r="D577" s="77">
        <f>IF(ISERROR(Tableau1[[#This Row],[Date]]-A576),"",Tableau1[[#This Row],[Date]]-A576)</f>
        <v>1.0534722222218988</v>
      </c>
      <c r="E577" s="76">
        <f>Tableau1[[#This Row],[Date]]-$A$5</f>
        <v>830.66597222221753</v>
      </c>
      <c r="F577" s="77">
        <f>Tableau1[[#This Row],[Date]]-$A$5</f>
        <v>830.66597222221753</v>
      </c>
      <c r="G577" s="77">
        <f>Tableau1[[#This Row],[Diff jour_x000D_
Cumul]]-F$6</f>
        <v>792.58263888888905</v>
      </c>
      <c r="H577" s="77">
        <f>Tableau1[[#This Row],[Diff jour_x000D_
Cumul]]-F$59</f>
        <v>770.06319444443943</v>
      </c>
      <c r="I577" s="78">
        <v>3435</v>
      </c>
      <c r="J577" s="79">
        <f>IF(ISERROR(Tableau1[[#This Row],[Index HP
kWh]]-I576),"",Tableau1[[#This Row],[Index HP
kWh]]-I576)</f>
        <v>23</v>
      </c>
      <c r="K577" s="77">
        <f>IF(ISERROR(Tableau1[[#This Row],[Différence HP
Instantané]]/(Tableau1[[#This Row],[Diff jour
Instantané]]*24)),"",Tableau1[[#This Row],[Différence HP
Instantané]]/(Tableau1[[#This Row],[Diff jour
Instantané]]*24))</f>
        <v>0.90969017798314011</v>
      </c>
      <c r="L577" s="77">
        <f>Tableau1[[#This Row],[Différence HP
Instantané]]/Tableau1[[#This Row],[Diff jour
Instantané]]</f>
        <v>21.832564271595363</v>
      </c>
      <c r="M577" s="77">
        <f>Tableau1[[#This Row],[Conso HP / jour
Instantané]]*365</f>
        <v>7968.8859591323071</v>
      </c>
      <c r="N577" s="79">
        <f>Tableau1[[#This Row],[Index HP
kWh]]-$I$5</f>
        <v>-176324</v>
      </c>
      <c r="O577" s="80">
        <f>Tableau1[[#This Row],[Différence HP
Cumul]]/(Tableau1[[#This Row],[Diff jour_x000D_
Cumul]]*24)</f>
        <v>-8.8445098017906147</v>
      </c>
      <c r="P577" s="80">
        <f>Tableau1[[#This Row],[Différence HP
Cumul]]/Tableau1[[#This Row],[Diff jour_x000D_
Cumul]]</f>
        <v>-212.26823524297475</v>
      </c>
      <c r="Q577" s="80">
        <f>Tableau1[[#This Row],[Conso HP / jour
Cumul]]*365</f>
        <v>-77477.905863685781</v>
      </c>
      <c r="R577" s="78">
        <v>1726</v>
      </c>
      <c r="S577" s="79">
        <f>Tableau1[[#This Row],[Index HC_x000D_
kWh]]-R576</f>
        <v>19</v>
      </c>
      <c r="T577" s="81">
        <f>Tableau1[[#This Row],[Différence_x000D_ HC
Instantané]]/(Tableau1[[#This Row],[Diff jour
Instantané]]*24)</f>
        <v>0.75148319050781143</v>
      </c>
      <c r="U577" s="81">
        <f>Tableau1[[#This Row],[Différence_x000D_ HC
Instantané]]/Tableau1[[#This Row],[Diff jour
Instantané]]</f>
        <v>18.035596572187476</v>
      </c>
      <c r="V577" s="81">
        <f>Tableau1[[#This Row],[Conso HC / jour_x000D_
Instantané]]*365</f>
        <v>6582.9927488484291</v>
      </c>
      <c r="W577" s="79">
        <f>Tableau1[[#This Row],[Index HC_x000D_
kWh]]-$R$5</f>
        <v>-117706</v>
      </c>
      <c r="X577" s="82">
        <f>Tableau1[[#This Row],[Différence HC
Cumul]]/(Tableau1[[#This Row],[Diff jour_x000D_
Cumul]]*24)</f>
        <v>-5.9041983549010126</v>
      </c>
      <c r="Y577" s="82">
        <f>Tableau1[[#This Row],[Différence HC
Cumul]]/Tableau1[[#This Row],[Diff jour_x000D_
Cumul]]</f>
        <v>-141.7007605176243</v>
      </c>
      <c r="Z577" s="82">
        <f>Tableau1[[#This Row],[Conso HC / jour_x000D_
Cumul]]*365</f>
        <v>-51720.77758893287</v>
      </c>
      <c r="AA577" s="79">
        <f>Tableau1[[#This Row],[Différence HP
Instantané]]+Tableau1[[#This Row],[Différence_x000D_ HC
Instantané]]</f>
        <v>42</v>
      </c>
      <c r="AB577" s="80">
        <f>Tableau1[[#This Row],[Conso HP + HC
Instantané]]/(Tableau1[[#This Row],[Diff jour
Instantané]]*24)</f>
        <v>1.6611733684909515</v>
      </c>
      <c r="AC577" s="80">
        <f>IF(ISERROR(Tableau1[[#This Row],[Date]]-A576),"",Tableau1[[#This Row],[Conso HP + HC
Instantané]]/Tableau1[[#This Row],[Diff jour
Instantané]])</f>
        <v>39.868160843782839</v>
      </c>
      <c r="AD577" s="80">
        <f>Tableau1[[#This Row],[Conso HP + HC / jour_x000D_
Instantané]]*365</f>
        <v>14551.878707980735</v>
      </c>
      <c r="AE577" s="79">
        <f>Tableau1[[#This Row],[Différence HP
Cumul]]+Tableau1[[#This Row],[Différence HC
Cumul]]</f>
        <v>-294030</v>
      </c>
      <c r="AF577" s="77">
        <f>(Tableau1[[#This Row],[Conso HP + HC
Cumul]]-AE$6)/Tableau1[[#This Row],[Diff jour_x000D_
Cumul
depuis le 24/01]]</f>
        <v>-374.22091457340139</v>
      </c>
      <c r="AG577" s="77">
        <f>(Tableau1[[#This Row],[Conso HP + HC
Cumul]]-AE$59)/Tableau1[[#This Row],[Diff jour_x000D_
Cumul
depuis
précédente facture
16/02/2021]]</f>
        <v>-387.2500362975286</v>
      </c>
      <c r="AH577" s="80">
        <f>Tableau1[[#This Row],[Conso HP + HC
Cumul]]/(Tableau1[[#This Row],[Diff jour_x000D_
Cumul]]*24)</f>
        <v>-14.748708156691627</v>
      </c>
      <c r="AI577" s="80">
        <f>Tableau1[[#This Row],[Conso HP + HC
Cumul]]/Tableau1[[#This Row],[Diff jour_x000D_
Cumul]]</f>
        <v>-353.96899576059906</v>
      </c>
      <c r="AJ577" s="80">
        <f>Tableau1[[#This Row],[Conso HP + HC / jour_x000D_
Cumul]]*365</f>
        <v>-129198.68345261866</v>
      </c>
      <c r="AK577" s="83">
        <f>(Tableau1[[#This Row],[Différence HP
Cumul]]*0.1799)+(Tableau1[[#This Row],[Différence HC
Cumul]]*0.1346)</f>
        <v>-47563.915200000003</v>
      </c>
      <c r="AL577" s="83">
        <f>Tableau1[[#This Row],[Montant
Tarif HP/HC]]/Tableau1[[#This Row],[Diff jour_x000D_
Cumul]]</f>
        <v>-57.259977885883394</v>
      </c>
      <c r="AM577" s="83">
        <f>(Tableau1[[#This Row],[Montant
Tarif HP/HC]]-AK$6)/Tableau1[[#This Row],[Diff jour_x000D_
Cumul
depuis le 24/01]]</f>
        <v>-60.546797829528813</v>
      </c>
      <c r="AN577" s="83">
        <f>(Tableau1[[#This Row],[Montant
Tarif HP/HC]]-AK$59)/Tableau1[[#This Row],[Diff jour_x000D_
Cumul
depuis
précédente facture
16/02/2021]]</f>
        <v>-62.664829260946711</v>
      </c>
      <c r="AO577" s="83">
        <f>Tableau1[[#This Row],[Conso HP + HC
Cumul]]*0.1599</f>
        <v>-47015.396999999997</v>
      </c>
      <c r="AP577" s="83">
        <f>Tableau1[[#This Row],[Montant
Tarif normal]]/Tableau1[[#This Row],[Diff jour_x000D_
Cumul]]</f>
        <v>-56.599642422119786</v>
      </c>
      <c r="AQ577" s="83">
        <f>(Tableau1[[#This Row],[Conso HP / an
Cumul]]*0.1799)+(Tableau1[[#This Row],[Conso HC / an_x000D_
Cumul]]*0.1346)</f>
        <v>-20899.891928347439</v>
      </c>
      <c r="AR577" s="83">
        <f>Tableau1[[#This Row],[Conso HP + HC / an_x000D_
Cumul]]*0.1599</f>
        <v>-20658.869484073723</v>
      </c>
      <c r="AS577" s="79">
        <f>MONTH(Tableau1[[#This Row],[Date]])</f>
        <v>3</v>
      </c>
      <c r="AT577" s="79">
        <f>YEAR(Tableau1[[#This Row],[Date]])</f>
        <v>2023</v>
      </c>
    </row>
    <row r="578" spans="1:46" x14ac:dyDescent="0.2">
      <c r="A578" s="74">
        <v>45014.367361111108</v>
      </c>
      <c r="B578" s="75"/>
      <c r="C578" s="76">
        <f>IF(ISERROR(Tableau1[[#This Row],[Date]]-A577),"",Tableau1[[#This Row],[Date]]-A577)</f>
        <v>0.99305555555474712</v>
      </c>
      <c r="D578" s="77">
        <f>IF(ISERROR(Tableau1[[#This Row],[Date]]-A577),"",Tableau1[[#This Row],[Date]]-A577)</f>
        <v>0.99305555555474712</v>
      </c>
      <c r="E578" s="76">
        <f>Tableau1[[#This Row],[Date]]-$A$5</f>
        <v>831.65902777777228</v>
      </c>
      <c r="F578" s="77">
        <f>Tableau1[[#This Row],[Date]]-$A$5</f>
        <v>831.65902777777228</v>
      </c>
      <c r="G578" s="77">
        <f>Tableau1[[#This Row],[Diff jour_x000D_
Cumul]]-F$6</f>
        <v>793.5756944444438</v>
      </c>
      <c r="H578" s="77">
        <f>Tableau1[[#This Row],[Diff jour_x000D_
Cumul]]-F$59</f>
        <v>771.05624999999418</v>
      </c>
      <c r="I578" s="78">
        <v>3456</v>
      </c>
      <c r="J578" s="79">
        <f>IF(ISERROR(Tableau1[[#This Row],[Index HP
kWh]]-I577),"",Tableau1[[#This Row],[Index HP
kWh]]-I577)</f>
        <v>21</v>
      </c>
      <c r="K578" s="77">
        <f>IF(ISERROR(Tableau1[[#This Row],[Différence HP
Instantané]]/(Tableau1[[#This Row],[Diff jour
Instantané]]*24)),"",Tableau1[[#This Row],[Différence HP
Instantané]]/(Tableau1[[#This Row],[Diff jour
Instantané]]*24))</f>
        <v>0.88111888111959846</v>
      </c>
      <c r="L578" s="77">
        <f>Tableau1[[#This Row],[Différence HP
Instantané]]/Tableau1[[#This Row],[Diff jour
Instantané]]</f>
        <v>21.146853146870363</v>
      </c>
      <c r="M578" s="77">
        <f>Tableau1[[#This Row],[Conso HP / jour
Instantané]]*365</f>
        <v>7718.6013986076823</v>
      </c>
      <c r="N578" s="79">
        <f>Tableau1[[#This Row],[Index HP
kWh]]-$I$5</f>
        <v>-176303</v>
      </c>
      <c r="O578" s="80">
        <f>Tableau1[[#This Row],[Différence HP
Cumul]]/(Tableau1[[#This Row],[Diff jour_x000D_
Cumul]]*24)</f>
        <v>-8.8328967617438625</v>
      </c>
      <c r="P578" s="80">
        <f>Tableau1[[#This Row],[Différence HP
Cumul]]/Tableau1[[#This Row],[Diff jour_x000D_
Cumul]]</f>
        <v>-211.98952228185269</v>
      </c>
      <c r="Q578" s="80">
        <f>Tableau1[[#This Row],[Conso HP / jour
Cumul]]*365</f>
        <v>-77376.175632876228</v>
      </c>
      <c r="R578" s="78">
        <v>1738</v>
      </c>
      <c r="S578" s="79">
        <f>Tableau1[[#This Row],[Index HC_x000D_
kWh]]-R577</f>
        <v>12</v>
      </c>
      <c r="T578" s="81">
        <f>Tableau1[[#This Row],[Différence_x000D_ HC
Instantané]]/(Tableau1[[#This Row],[Diff jour
Instantané]]*24)</f>
        <v>0.50349650349691344</v>
      </c>
      <c r="U578" s="81">
        <f>Tableau1[[#This Row],[Différence_x000D_ HC
Instantané]]/Tableau1[[#This Row],[Diff jour
Instantané]]</f>
        <v>12.083916083925921</v>
      </c>
      <c r="V578" s="81">
        <f>Tableau1[[#This Row],[Conso HC / jour_x000D_
Instantané]]*365</f>
        <v>4410.6293706329607</v>
      </c>
      <c r="W578" s="79">
        <f>Tableau1[[#This Row],[Index HC_x000D_
kWh]]-$R$5</f>
        <v>-117694</v>
      </c>
      <c r="X578" s="82">
        <f>Tableau1[[#This Row],[Différence HC
Cumul]]/(Tableau1[[#This Row],[Diff jour_x000D_
Cumul]]*24)</f>
        <v>-5.896547145974159</v>
      </c>
      <c r="Y578" s="82">
        <f>Tableau1[[#This Row],[Différence HC
Cumul]]/Tableau1[[#This Row],[Diff jour_x000D_
Cumul]]</f>
        <v>-141.5171315033798</v>
      </c>
      <c r="Z578" s="82">
        <f>Tableau1[[#This Row],[Conso HC / jour_x000D_
Cumul]]*365</f>
        <v>-51653.752998733624</v>
      </c>
      <c r="AA578" s="79">
        <f>Tableau1[[#This Row],[Différence HP
Instantané]]+Tableau1[[#This Row],[Différence_x000D_ HC
Instantané]]</f>
        <v>33</v>
      </c>
      <c r="AB578" s="80">
        <f>Tableau1[[#This Row],[Conso HP + HC
Instantané]]/(Tableau1[[#This Row],[Diff jour
Instantané]]*24)</f>
        <v>1.3846153846165119</v>
      </c>
      <c r="AC578" s="80">
        <f>IF(ISERROR(Tableau1[[#This Row],[Date]]-A577),"",Tableau1[[#This Row],[Conso HP + HC
Instantané]]/Tableau1[[#This Row],[Diff jour
Instantané]])</f>
        <v>33.230769230796284</v>
      </c>
      <c r="AD578" s="80">
        <f>Tableau1[[#This Row],[Conso HP + HC / jour_x000D_
Instantané]]*365</f>
        <v>12129.230769240643</v>
      </c>
      <c r="AE578" s="79">
        <f>Tableau1[[#This Row],[Différence HP
Cumul]]+Tableau1[[#This Row],[Différence HC
Cumul]]</f>
        <v>-293997</v>
      </c>
      <c r="AF578" s="77">
        <f>(Tableau1[[#This Row],[Conso HP + HC
Cumul]]-AE$6)/Tableau1[[#This Row],[Diff jour_x000D_
Cumul
depuis le 24/01]]</f>
        <v>-373.71104240738811</v>
      </c>
      <c r="AG578" s="77">
        <f>(Tableau1[[#This Row],[Conso HP + HC
Cumul]]-AE$59)/Tableau1[[#This Row],[Diff jour_x000D_
Cumul
depuis
précédente facture
16/02/2021]]</f>
        <v>-386.70849240895495</v>
      </c>
      <c r="AH578" s="80">
        <f>Tableau1[[#This Row],[Conso HP + HC
Cumul]]/(Tableau1[[#This Row],[Diff jour_x000D_
Cumul]]*24)</f>
        <v>-14.729443907718021</v>
      </c>
      <c r="AI578" s="80">
        <f>Tableau1[[#This Row],[Conso HP + HC
Cumul]]/Tableau1[[#This Row],[Diff jour_x000D_
Cumul]]</f>
        <v>-353.50665378523252</v>
      </c>
      <c r="AJ578" s="80">
        <f>Tableau1[[#This Row],[Conso HP + HC / jour_x000D_
Cumul]]*365</f>
        <v>-129029.92863160987</v>
      </c>
      <c r="AK578" s="83">
        <f>(Tableau1[[#This Row],[Différence HP
Cumul]]*0.1799)+(Tableau1[[#This Row],[Différence HC
Cumul]]*0.1346)</f>
        <v>-47558.522100000002</v>
      </c>
      <c r="AL578" s="83">
        <f>Tableau1[[#This Row],[Montant
Tarif HP/HC]]/Tableau1[[#This Row],[Diff jour_x000D_
Cumul]]</f>
        <v>-57.185120958860225</v>
      </c>
      <c r="AM578" s="83">
        <f>(Tableau1[[#This Row],[Montant
Tarif HP/HC]]-AK$6)/Tableau1[[#This Row],[Diff jour_x000D_
Cumul
depuis le 24/01]]</f>
        <v>-60.464235530287105</v>
      </c>
      <c r="AN578" s="83">
        <f>(Tableau1[[#This Row],[Montant
Tarif HP/HC]]-AK$59)/Tableau1[[#This Row],[Diff jour_x000D_
Cumul
depuis
précédente facture
16/02/2021]]</f>
        <v>-62.577127803581604</v>
      </c>
      <c r="AO578" s="83">
        <f>Tableau1[[#This Row],[Conso HP + HC
Cumul]]*0.1599</f>
        <v>-47010.120299999995</v>
      </c>
      <c r="AP578" s="83">
        <f>Tableau1[[#This Row],[Montant
Tarif normal]]/Tableau1[[#This Row],[Diff jour_x000D_
Cumul]]</f>
        <v>-56.525713940258669</v>
      </c>
      <c r="AQ578" s="83">
        <f>(Tableau1[[#This Row],[Conso HP / an
Cumul]]*0.1799)+(Tableau1[[#This Row],[Conso HC / an_x000D_
Cumul]]*0.1346)</f>
        <v>-20872.569149983981</v>
      </c>
      <c r="AR578" s="83">
        <f>Tableau1[[#This Row],[Conso HP + HC / an_x000D_
Cumul]]*0.1599</f>
        <v>-20631.885588194418</v>
      </c>
      <c r="AS578" s="79">
        <f>MONTH(Tableau1[[#This Row],[Date]])</f>
        <v>3</v>
      </c>
      <c r="AT578" s="79">
        <f>YEAR(Tableau1[[#This Row],[Date]])</f>
        <v>2023</v>
      </c>
    </row>
    <row r="579" spans="1:46" x14ac:dyDescent="0.2">
      <c r="A579" s="74">
        <v>45015.330555555556</v>
      </c>
      <c r="B579" s="75"/>
      <c r="C579" s="76">
        <f>IF(ISERROR(Tableau1[[#This Row],[Date]]-A578),"",Tableau1[[#This Row],[Date]]-A578)</f>
        <v>0.96319444444816327</v>
      </c>
      <c r="D579" s="77">
        <f>IF(ISERROR(Tableau1[[#This Row],[Date]]-A578),"",Tableau1[[#This Row],[Date]]-A578)</f>
        <v>0.96319444444816327</v>
      </c>
      <c r="E579" s="76">
        <f>Tableau1[[#This Row],[Date]]-$A$5</f>
        <v>832.62222222222044</v>
      </c>
      <c r="F579" s="77">
        <f>Tableau1[[#This Row],[Date]]-$A$5</f>
        <v>832.62222222222044</v>
      </c>
      <c r="G579" s="77">
        <f>Tableau1[[#This Row],[Diff jour_x000D_
Cumul]]-F$6</f>
        <v>794.53888888889196</v>
      </c>
      <c r="H579" s="77">
        <f>Tableau1[[#This Row],[Diff jour_x000D_
Cumul]]-F$59</f>
        <v>772.01944444444234</v>
      </c>
      <c r="I579" s="78">
        <v>3470</v>
      </c>
      <c r="J579" s="79">
        <f>IF(ISERROR(Tableau1[[#This Row],[Index HP
kWh]]-I578),"",Tableau1[[#This Row],[Index HP
kWh]]-I578)</f>
        <v>14</v>
      </c>
      <c r="K579" s="77">
        <f>IF(ISERROR(Tableau1[[#This Row],[Différence HP
Instantané]]/(Tableau1[[#This Row],[Diff jour
Instantané]]*24)),"",Tableau1[[#This Row],[Différence HP
Instantané]]/(Tableau1[[#This Row],[Diff jour
Instantané]]*24))</f>
        <v>0.60562364815916137</v>
      </c>
      <c r="L579" s="77">
        <f>Tableau1[[#This Row],[Différence HP
Instantané]]/Tableau1[[#This Row],[Diff jour
Instantané]]</f>
        <v>14.534967555819874</v>
      </c>
      <c r="M579" s="77">
        <f>Tableau1[[#This Row],[Conso HP / jour
Instantané]]*365</f>
        <v>5305.2631578742539</v>
      </c>
      <c r="N579" s="79">
        <f>Tableau1[[#This Row],[Index HP
kWh]]-$I$5</f>
        <v>-176289</v>
      </c>
      <c r="O579" s="80">
        <f>Tableau1[[#This Row],[Différence HP
Cumul]]/(Tableau1[[#This Row],[Diff jour_x000D_
Cumul]]*24)</f>
        <v>-8.821978087968418</v>
      </c>
      <c r="P579" s="80">
        <f>Tableau1[[#This Row],[Différence HP
Cumul]]/Tableau1[[#This Row],[Diff jour_x000D_
Cumul]]</f>
        <v>-211.72747411124203</v>
      </c>
      <c r="Q579" s="80">
        <f>Tableau1[[#This Row],[Conso HP / jour
Cumul]]*365</f>
        <v>-77280.528050603345</v>
      </c>
      <c r="R579" s="78">
        <v>1740</v>
      </c>
      <c r="S579" s="79">
        <f>Tableau1[[#This Row],[Index HC_x000D_
kWh]]-R578</f>
        <v>2</v>
      </c>
      <c r="T579" s="81">
        <f>Tableau1[[#This Row],[Différence_x000D_ HC
Instantané]]/(Tableau1[[#This Row],[Diff jour
Instantané]]*24)</f>
        <v>8.6517664022737334E-2</v>
      </c>
      <c r="U579" s="81">
        <f>Tableau1[[#This Row],[Différence_x000D_ HC
Instantané]]/Tableau1[[#This Row],[Diff jour
Instantané]]</f>
        <v>2.0764239365456962</v>
      </c>
      <c r="V579" s="81">
        <f>Tableau1[[#This Row],[Conso HC / jour_x000D_
Instantané]]*365</f>
        <v>757.89473683917913</v>
      </c>
      <c r="W579" s="79">
        <f>Tableau1[[#This Row],[Index HC_x000D_
kWh]]-$R$5</f>
        <v>-117692</v>
      </c>
      <c r="X579" s="82">
        <f>Tableau1[[#This Row],[Différence HC
Cumul]]/(Tableau1[[#This Row],[Diff jour_x000D_
Cumul]]*24)</f>
        <v>-5.8896258140279834</v>
      </c>
      <c r="Y579" s="82">
        <f>Tableau1[[#This Row],[Différence HC
Cumul]]/Tableau1[[#This Row],[Diff jour_x000D_
Cumul]]</f>
        <v>-141.3510195366716</v>
      </c>
      <c r="Z579" s="82">
        <f>Tableau1[[#This Row],[Conso HC / jour_x000D_
Cumul]]*365</f>
        <v>-51593.122130885131</v>
      </c>
      <c r="AA579" s="79">
        <f>Tableau1[[#This Row],[Différence HP
Instantané]]+Tableau1[[#This Row],[Différence_x000D_ HC
Instantané]]</f>
        <v>16</v>
      </c>
      <c r="AB579" s="80">
        <f>Tableau1[[#This Row],[Conso HP + HC
Instantané]]/(Tableau1[[#This Row],[Diff jour
Instantané]]*24)</f>
        <v>0.69214131218189867</v>
      </c>
      <c r="AC579" s="80">
        <f>IF(ISERROR(Tableau1[[#This Row],[Date]]-A578),"",Tableau1[[#This Row],[Conso HP + HC
Instantané]]/Tableau1[[#This Row],[Diff jour
Instantané]])</f>
        <v>16.61139149236557</v>
      </c>
      <c r="AD579" s="80">
        <f>Tableau1[[#This Row],[Conso HP + HC / jour_x000D_
Instantané]]*365</f>
        <v>6063.1578947134331</v>
      </c>
      <c r="AE579" s="79">
        <f>Tableau1[[#This Row],[Différence HP
Cumul]]+Tableau1[[#This Row],[Différence HC
Cumul]]</f>
        <v>-293981</v>
      </c>
      <c r="AF579" s="77">
        <f>(Tableau1[[#This Row],[Conso HP + HC
Cumul]]-AE$6)/Tableau1[[#This Row],[Diff jour_x000D_
Cumul
depuis le 24/01]]</f>
        <v>-373.2378668270191</v>
      </c>
      <c r="AG579" s="77">
        <f>(Tableau1[[#This Row],[Conso HP + HC
Cumul]]-AE$59)/Tableau1[[#This Row],[Diff jour_x000D_
Cumul
depuis
précédente facture
16/02/2021]]</f>
        <v>-386.20529851363955</v>
      </c>
      <c r="AH579" s="80">
        <f>Tableau1[[#This Row],[Conso HP + HC
Cumul]]/(Tableau1[[#This Row],[Diff jour_x000D_
Cumul]]*24)</f>
        <v>-14.711603901996401</v>
      </c>
      <c r="AI579" s="80">
        <f>Tableau1[[#This Row],[Conso HP + HC
Cumul]]/Tableau1[[#This Row],[Diff jour_x000D_
Cumul]]</f>
        <v>-353.07849364791366</v>
      </c>
      <c r="AJ579" s="80">
        <f>Tableau1[[#This Row],[Conso HP + HC / jour_x000D_
Cumul]]*365</f>
        <v>-128873.65018148848</v>
      </c>
      <c r="AK579" s="83">
        <f>(Tableau1[[#This Row],[Différence HP
Cumul]]*0.1799)+(Tableau1[[#This Row],[Différence HC
Cumul]]*0.1346)</f>
        <v>-47555.734299999996</v>
      </c>
      <c r="AL579" s="83">
        <f>Tableau1[[#This Row],[Montant
Tarif HP/HC]]/Tableau1[[#This Row],[Diff jour_x000D_
Cumul]]</f>
        <v>-57.115619822248433</v>
      </c>
      <c r="AM579" s="83">
        <f>(Tableau1[[#This Row],[Montant
Tarif HP/HC]]-AK$6)/Tableau1[[#This Row],[Diff jour_x000D_
Cumul
depuis le 24/01]]</f>
        <v>-60.387427942132518</v>
      </c>
      <c r="AN579" s="83">
        <f>(Tableau1[[#This Row],[Montant
Tarif HP/HC]]-AK$59)/Tableau1[[#This Row],[Diff jour_x000D_
Cumul
depuis
précédente facture
16/02/2021]]</f>
        <v>-62.495443666862329</v>
      </c>
      <c r="AO579" s="83">
        <f>Tableau1[[#This Row],[Conso HP + HC
Cumul]]*0.1599</f>
        <v>-47007.561899999993</v>
      </c>
      <c r="AP579" s="83">
        <f>Tableau1[[#This Row],[Montant
Tarif normal]]/Tableau1[[#This Row],[Diff jour_x000D_
Cumul]]</f>
        <v>-56.45725113430138</v>
      </c>
      <c r="AQ579" s="83">
        <f>(Tableau1[[#This Row],[Conso HP / an
Cumul]]*0.1799)+(Tableau1[[#This Row],[Conso HC / an_x000D_
Cumul]]*0.1346)</f>
        <v>-20847.201235120679</v>
      </c>
      <c r="AR579" s="83">
        <f>Tableau1[[#This Row],[Conso HP + HC / an_x000D_
Cumul]]*0.1599</f>
        <v>-20606.896664020005</v>
      </c>
      <c r="AS579" s="79">
        <f>MONTH(Tableau1[[#This Row],[Date]])</f>
        <v>3</v>
      </c>
      <c r="AT579" s="79">
        <f>YEAR(Tableau1[[#This Row],[Date]])</f>
        <v>2023</v>
      </c>
    </row>
    <row r="580" spans="1:46" x14ac:dyDescent="0.2">
      <c r="A580" s="74">
        <v>45017.319444444445</v>
      </c>
      <c r="B580" s="75"/>
      <c r="C580" s="76">
        <f>IF(ISERROR(Tableau1[[#This Row],[Date]]-A579),"",Tableau1[[#This Row],[Date]]-A579)</f>
        <v>1.9888888888890506</v>
      </c>
      <c r="D580" s="77">
        <f>IF(ISERROR(Tableau1[[#This Row],[Date]]-A579),"",Tableau1[[#This Row],[Date]]-A579)</f>
        <v>1.9888888888890506</v>
      </c>
      <c r="E580" s="76">
        <f>Tableau1[[#This Row],[Date]]-$A$5</f>
        <v>834.61111111110949</v>
      </c>
      <c r="F580" s="77">
        <f>Tableau1[[#This Row],[Date]]-$A$5</f>
        <v>834.61111111110949</v>
      </c>
      <c r="G580" s="77">
        <f>Tableau1[[#This Row],[Diff jour_x000D_
Cumul]]-F$6</f>
        <v>796.52777777778101</v>
      </c>
      <c r="H580" s="77">
        <f>Tableau1[[#This Row],[Diff jour_x000D_
Cumul]]-F$59</f>
        <v>774.00833333333139</v>
      </c>
      <c r="I580" s="78">
        <v>3509</v>
      </c>
      <c r="J580" s="79">
        <f>IF(ISERROR(Tableau1[[#This Row],[Index HP
kWh]]-I579),"",Tableau1[[#This Row],[Index HP
kWh]]-I579)</f>
        <v>39</v>
      </c>
      <c r="K580" s="77">
        <f>IF(ISERROR(Tableau1[[#This Row],[Différence HP
Instantané]]/(Tableau1[[#This Row],[Diff jour
Instantané]]*24)),"",Tableau1[[#This Row],[Différence HP
Instantané]]/(Tableau1[[#This Row],[Diff jour
Instantané]]*24))</f>
        <v>0.81703910614518493</v>
      </c>
      <c r="L580" s="77">
        <f>Tableau1[[#This Row],[Différence HP
Instantané]]/Tableau1[[#This Row],[Diff jour
Instantané]]</f>
        <v>19.608938547484438</v>
      </c>
      <c r="M580" s="77">
        <f>Tableau1[[#This Row],[Conso HP / jour
Instantané]]*365</f>
        <v>7157.2625698318197</v>
      </c>
      <c r="N580" s="79">
        <f>Tableau1[[#This Row],[Index HP
kWh]]-$I$5</f>
        <v>-176250</v>
      </c>
      <c r="O580" s="80">
        <f>Tableau1[[#This Row],[Différence HP
Cumul]]/(Tableau1[[#This Row],[Diff jour_x000D_
Cumul]]*24)</f>
        <v>-8.7990081874459332</v>
      </c>
      <c r="P580" s="80">
        <f>Tableau1[[#This Row],[Différence HP
Cumul]]/Tableau1[[#This Row],[Diff jour_x000D_
Cumul]]</f>
        <v>-211.17619649870241</v>
      </c>
      <c r="Q580" s="80">
        <f>Tableau1[[#This Row],[Conso HP / jour
Cumul]]*365</f>
        <v>-77079.311722026381</v>
      </c>
      <c r="R580" s="78">
        <v>1765</v>
      </c>
      <c r="S580" s="79">
        <f>Tableau1[[#This Row],[Index HC_x000D_
kWh]]-R579</f>
        <v>25</v>
      </c>
      <c r="T580" s="81">
        <f>Tableau1[[#This Row],[Différence_x000D_ HC
Instantané]]/(Tableau1[[#This Row],[Diff jour
Instantané]]*24)</f>
        <v>0.523743016759734</v>
      </c>
      <c r="U580" s="81">
        <f>Tableau1[[#This Row],[Différence_x000D_ HC
Instantané]]/Tableau1[[#This Row],[Diff jour
Instantané]]</f>
        <v>12.569832402233615</v>
      </c>
      <c r="V580" s="81">
        <f>Tableau1[[#This Row],[Conso HC / jour_x000D_
Instantané]]*365</f>
        <v>4587.9888268152699</v>
      </c>
      <c r="W580" s="79">
        <f>Tableau1[[#This Row],[Index HC_x000D_
kWh]]-$R$5</f>
        <v>-117667</v>
      </c>
      <c r="X580" s="82">
        <f>Tableau1[[#This Row],[Différence HC
Cumul]]/(Tableau1[[#This Row],[Diff jour_x000D_
Cumul]]*24)</f>
        <v>-5.8743426745656775</v>
      </c>
      <c r="Y580" s="82">
        <f>Tableau1[[#This Row],[Différence HC
Cumul]]/Tableau1[[#This Row],[Diff jour_x000D_
Cumul]]</f>
        <v>-140.98422418957625</v>
      </c>
      <c r="Z580" s="82">
        <f>Tableau1[[#This Row],[Conso HC / jour_x000D_
Cumul]]*365</f>
        <v>-51459.241829195329</v>
      </c>
      <c r="AA580" s="79">
        <f>Tableau1[[#This Row],[Différence HP
Instantané]]+Tableau1[[#This Row],[Différence_x000D_ HC
Instantané]]</f>
        <v>64</v>
      </c>
      <c r="AB580" s="80">
        <f>Tableau1[[#This Row],[Conso HP + HC
Instantané]]/(Tableau1[[#This Row],[Diff jour
Instantané]]*24)</f>
        <v>1.3407821229049188</v>
      </c>
      <c r="AC580" s="80">
        <f>IF(ISERROR(Tableau1[[#This Row],[Date]]-A579),"",Tableau1[[#This Row],[Conso HP + HC
Instantané]]/Tableau1[[#This Row],[Diff jour
Instantané]])</f>
        <v>32.178770949718057</v>
      </c>
      <c r="AD580" s="80">
        <f>Tableau1[[#This Row],[Conso HP + HC / jour_x000D_
Instantané]]*365</f>
        <v>11745.251396647091</v>
      </c>
      <c r="AE580" s="79">
        <f>Tableau1[[#This Row],[Différence HP
Cumul]]+Tableau1[[#This Row],[Différence HC
Cumul]]</f>
        <v>-293917</v>
      </c>
      <c r="AF580" s="77">
        <f>(Tableau1[[#This Row],[Conso HP + HC
Cumul]]-AE$6)/Tableau1[[#This Row],[Diff jour_x000D_
Cumul
depuis le 24/01]]</f>
        <v>-372.22556233652858</v>
      </c>
      <c r="AG580" s="77">
        <f>(Tableau1[[#This Row],[Conso HP + HC
Cumul]]-AE$59)/Tableau1[[#This Row],[Diff jour_x000D_
Cumul
depuis
précédente facture
16/02/2021]]</f>
        <v>-385.13022038953164</v>
      </c>
      <c r="AH580" s="80">
        <f>Tableau1[[#This Row],[Conso HP + HC
Cumul]]/(Tableau1[[#This Row],[Diff jour_x000D_
Cumul]]*24)</f>
        <v>-14.673350862011612</v>
      </c>
      <c r="AI580" s="80">
        <f>Tableau1[[#This Row],[Conso HP + HC
Cumul]]/Tableau1[[#This Row],[Diff jour_x000D_
Cumul]]</f>
        <v>-352.16042068827863</v>
      </c>
      <c r="AJ580" s="80">
        <f>Tableau1[[#This Row],[Conso HP + HC / jour_x000D_
Cumul]]*365</f>
        <v>-128538.5535512217</v>
      </c>
      <c r="AK580" s="83">
        <f>(Tableau1[[#This Row],[Différence HP
Cumul]]*0.1799)+(Tableau1[[#This Row],[Différence HC
Cumul]]*0.1346)</f>
        <v>-47545.353199999998</v>
      </c>
      <c r="AL580" s="83">
        <f>Tableau1[[#This Row],[Montant
Tarif HP/HC]]/Tableau1[[#This Row],[Diff jour_x000D_
Cumul]]</f>
        <v>-56.967074326033526</v>
      </c>
      <c r="AM580" s="83">
        <f>(Tableau1[[#This Row],[Montant
Tarif HP/HC]]-AK$6)/Tableau1[[#This Row],[Diff jour_x000D_
Cumul
depuis le 24/01]]</f>
        <v>-60.223610699215101</v>
      </c>
      <c r="AN580" s="83">
        <f>(Tableau1[[#This Row],[Montant
Tarif HP/HC]]-AK$59)/Tableau1[[#This Row],[Diff jour_x000D_
Cumul
depuis
précédente facture
16/02/2021]]</f>
        <v>-62.321443481444149</v>
      </c>
      <c r="AO580" s="83">
        <f>Tableau1[[#This Row],[Conso HP + HC
Cumul]]*0.1599</f>
        <v>-46997.328299999994</v>
      </c>
      <c r="AP580" s="83">
        <f>Tableau1[[#This Row],[Montant
Tarif normal]]/Tableau1[[#This Row],[Diff jour_x000D_
Cumul]]</f>
        <v>-56.310451268055751</v>
      </c>
      <c r="AQ580" s="83">
        <f>(Tableau1[[#This Row],[Conso HP / an
Cumul]]*0.1799)+(Tableau1[[#This Row],[Conso HC / an_x000D_
Cumul]]*0.1346)</f>
        <v>-20792.982129002237</v>
      </c>
      <c r="AR580" s="83">
        <f>Tableau1[[#This Row],[Conso HP + HC / an_x000D_
Cumul]]*0.1599</f>
        <v>-20553.314712840347</v>
      </c>
      <c r="AS580" s="79">
        <f>MONTH(Tableau1[[#This Row],[Date]])</f>
        <v>4</v>
      </c>
      <c r="AT580" s="79">
        <f>YEAR(Tableau1[[#This Row],[Date]])</f>
        <v>2023</v>
      </c>
    </row>
    <row r="581" spans="1:46" x14ac:dyDescent="0.2">
      <c r="A581" s="74">
        <v>45018.392361111109</v>
      </c>
      <c r="B581" s="75"/>
      <c r="C581" s="76">
        <f>IF(ISERROR(Tableau1[[#This Row],[Date]]-A580),"",Tableau1[[#This Row],[Date]]-A580)</f>
        <v>1.0729166666642413</v>
      </c>
      <c r="D581" s="77">
        <f>IF(ISERROR(Tableau1[[#This Row],[Date]]-A580),"",Tableau1[[#This Row],[Date]]-A580)</f>
        <v>1.0729166666642413</v>
      </c>
      <c r="E581" s="76">
        <f>Tableau1[[#This Row],[Date]]-$A$5</f>
        <v>835.68402777777374</v>
      </c>
      <c r="F581" s="77">
        <f>Tableau1[[#This Row],[Date]]-$A$5</f>
        <v>835.68402777777374</v>
      </c>
      <c r="G581" s="77">
        <f>Tableau1[[#This Row],[Diff jour_x000D_
Cumul]]-F$6</f>
        <v>797.60069444444525</v>
      </c>
      <c r="H581" s="77">
        <f>Tableau1[[#This Row],[Diff jour_x000D_
Cumul]]-F$59</f>
        <v>775.08124999999563</v>
      </c>
      <c r="I581" s="78">
        <v>3542</v>
      </c>
      <c r="J581" s="79">
        <f>IF(ISERROR(Tableau1[[#This Row],[Index HP
kWh]]-I580),"",Tableau1[[#This Row],[Index HP
kWh]]-I580)</f>
        <v>33</v>
      </c>
      <c r="K581" s="77">
        <f>IF(ISERROR(Tableau1[[#This Row],[Différence HP
Instantané]]/(Tableau1[[#This Row],[Diff jour
Instantané]]*24)),"",Tableau1[[#This Row],[Différence HP
Instantané]]/(Tableau1[[#This Row],[Diff jour
Instantané]]*24))</f>
        <v>1.2815533980611493</v>
      </c>
      <c r="L581" s="77">
        <f>Tableau1[[#This Row],[Différence HP
Instantané]]/Tableau1[[#This Row],[Diff jour
Instantané]]</f>
        <v>30.757281553467585</v>
      </c>
      <c r="M581" s="77">
        <f>Tableau1[[#This Row],[Conso HP / jour
Instantané]]*365</f>
        <v>11226.407767015669</v>
      </c>
      <c r="N581" s="79">
        <f>Tableau1[[#This Row],[Index HP
kWh]]-$I$5</f>
        <v>-176217</v>
      </c>
      <c r="O581" s="80">
        <f>Tableau1[[#This Row],[Différence HP
Cumul]]/(Tableau1[[#This Row],[Diff jour_x000D_
Cumul]]*24)</f>
        <v>-8.7860659722366918</v>
      </c>
      <c r="P581" s="80">
        <f>Tableau1[[#This Row],[Différence HP
Cumul]]/Tableau1[[#This Row],[Diff jour_x000D_
Cumul]]</f>
        <v>-210.8655833336806</v>
      </c>
      <c r="Q581" s="80">
        <f>Tableau1[[#This Row],[Conso HP / jour
Cumul]]*365</f>
        <v>-76965.937916793424</v>
      </c>
      <c r="R581" s="78">
        <v>1780</v>
      </c>
      <c r="S581" s="79">
        <f>Tableau1[[#This Row],[Index HC_x000D_
kWh]]-R580</f>
        <v>15</v>
      </c>
      <c r="T581" s="81">
        <f>Tableau1[[#This Row],[Différence_x000D_ HC
Instantané]]/(Tableau1[[#This Row],[Diff jour
Instantané]]*24)</f>
        <v>0.58252427184597699</v>
      </c>
      <c r="U581" s="81">
        <f>Tableau1[[#This Row],[Différence_x000D_ HC
Instantané]]/Tableau1[[#This Row],[Diff jour
Instantané]]</f>
        <v>13.980582524303447</v>
      </c>
      <c r="V581" s="81">
        <f>Tableau1[[#This Row],[Conso HC / jour_x000D_
Instantané]]*365</f>
        <v>5102.9126213707577</v>
      </c>
      <c r="W581" s="79">
        <f>Tableau1[[#This Row],[Index HC_x000D_
kWh]]-$R$5</f>
        <v>-117652</v>
      </c>
      <c r="X581" s="82">
        <f>Tableau1[[#This Row],[Différence HC
Cumul]]/(Tableau1[[#This Row],[Diff jour_x000D_
Cumul]]*24)</f>
        <v>-5.8660528426065088</v>
      </c>
      <c r="Y581" s="82">
        <f>Tableau1[[#This Row],[Différence HC
Cumul]]/Tableau1[[#This Row],[Diff jour_x000D_
Cumul]]</f>
        <v>-140.78526822255623</v>
      </c>
      <c r="Z581" s="82">
        <f>Tableau1[[#This Row],[Conso HC / jour_x000D_
Cumul]]*365</f>
        <v>-51386.622901233022</v>
      </c>
      <c r="AA581" s="79">
        <f>Tableau1[[#This Row],[Différence HP
Instantané]]+Tableau1[[#This Row],[Différence_x000D_ HC
Instantané]]</f>
        <v>48</v>
      </c>
      <c r="AB581" s="80">
        <f>Tableau1[[#This Row],[Conso HP + HC
Instantané]]/(Tableau1[[#This Row],[Diff jour
Instantané]]*24)</f>
        <v>1.8640776699071264</v>
      </c>
      <c r="AC581" s="80">
        <f>IF(ISERROR(Tableau1[[#This Row],[Date]]-A580),"",Tableau1[[#This Row],[Conso HP + HC
Instantané]]/Tableau1[[#This Row],[Diff jour
Instantané]])</f>
        <v>44.737864077771036</v>
      </c>
      <c r="AD581" s="80">
        <f>Tableau1[[#This Row],[Conso HP + HC / jour_x000D_
Instantané]]*365</f>
        <v>16329.320388386428</v>
      </c>
      <c r="AE581" s="79">
        <f>Tableau1[[#This Row],[Différence HP
Cumul]]+Tableau1[[#This Row],[Différence HC
Cumul]]</f>
        <v>-293869</v>
      </c>
      <c r="AF581" s="77">
        <f>(Tableau1[[#This Row],[Conso HP + HC
Cumul]]-AE$6)/Tableau1[[#This Row],[Diff jour_x000D_
Cumul
depuis le 24/01]]</f>
        <v>-371.66467138858258</v>
      </c>
      <c r="AG581" s="77">
        <f>(Tableau1[[#This Row],[Conso HP + HC
Cumul]]-AE$59)/Tableau1[[#This Row],[Diff jour_x000D_
Cumul
depuis
précédente facture
16/02/2021]]</f>
        <v>-384.53516969995297</v>
      </c>
      <c r="AH581" s="80">
        <f>Tableau1[[#This Row],[Conso HP + HC
Cumul]]/(Tableau1[[#This Row],[Diff jour_x000D_
Cumul]]*24)</f>
        <v>-14.652118814843201</v>
      </c>
      <c r="AI581" s="80">
        <f>Tableau1[[#This Row],[Conso HP + HC
Cumul]]/Tableau1[[#This Row],[Diff jour_x000D_
Cumul]]</f>
        <v>-351.65085155623683</v>
      </c>
      <c r="AJ581" s="80">
        <f>Tableau1[[#This Row],[Conso HP + HC / jour_x000D_
Cumul]]*365</f>
        <v>-128352.56081802644</v>
      </c>
      <c r="AK581" s="83">
        <f>(Tableau1[[#This Row],[Différence HP
Cumul]]*0.1799)+(Tableau1[[#This Row],[Différence HC
Cumul]]*0.1346)</f>
        <v>-47537.397499999999</v>
      </c>
      <c r="AL581" s="83">
        <f>Tableau1[[#This Row],[Montant
Tarif HP/HC]]/Tableau1[[#This Row],[Diff jour_x000D_
Cumul]]</f>
        <v>-56.884415544485208</v>
      </c>
      <c r="AM581" s="83">
        <f>(Tableau1[[#This Row],[Montant
Tarif HP/HC]]-AK$6)/Tableau1[[#This Row],[Diff jour_x000D_
Cumul
depuis le 24/01]]</f>
        <v>-60.132624550191707</v>
      </c>
      <c r="AN581" s="83">
        <f>(Tableau1[[#This Row],[Montant
Tarif HP/HC]]-AK$59)/Tableau1[[#This Row],[Diff jour_x000D_
Cumul
depuis
précédente facture
16/02/2021]]</f>
        <v>-62.224909840097759</v>
      </c>
      <c r="AO581" s="83">
        <f>Tableau1[[#This Row],[Conso HP + HC
Cumul]]*0.1599</f>
        <v>-46989.653099999996</v>
      </c>
      <c r="AP581" s="83">
        <f>Tableau1[[#This Row],[Montant
Tarif normal]]/Tableau1[[#This Row],[Diff jour_x000D_
Cumul]]</f>
        <v>-56.22897116384226</v>
      </c>
      <c r="AQ581" s="83">
        <f>(Tableau1[[#This Row],[Conso HP / an
Cumul]]*0.1799)+(Tableau1[[#This Row],[Conso HC / an_x000D_
Cumul]]*0.1346)</f>
        <v>-20762.811673737102</v>
      </c>
      <c r="AR581" s="83">
        <f>Tableau1[[#This Row],[Conso HP + HC / an_x000D_
Cumul]]*0.1599</f>
        <v>-20523.574474802426</v>
      </c>
      <c r="AS581" s="79">
        <f>MONTH(Tableau1[[#This Row],[Date]])</f>
        <v>4</v>
      </c>
      <c r="AT581" s="79">
        <f>YEAR(Tableau1[[#This Row],[Date]])</f>
        <v>2023</v>
      </c>
    </row>
    <row r="582" spans="1:46" x14ac:dyDescent="0.2">
      <c r="A582" s="74">
        <v>45019.330555555556</v>
      </c>
      <c r="B582" s="75"/>
      <c r="C582" s="76">
        <f>IF(ISERROR(Tableau1[[#This Row],[Date]]-A581),"",Tableau1[[#This Row],[Date]]-A581)</f>
        <v>0.93819444444670808</v>
      </c>
      <c r="D582" s="77">
        <f>IF(ISERROR(Tableau1[[#This Row],[Date]]-A581),"",Tableau1[[#This Row],[Date]]-A581)</f>
        <v>0.93819444444670808</v>
      </c>
      <c r="E582" s="76">
        <f>Tableau1[[#This Row],[Date]]-$A$5</f>
        <v>836.62222222222044</v>
      </c>
      <c r="F582" s="77">
        <f>Tableau1[[#This Row],[Date]]-$A$5</f>
        <v>836.62222222222044</v>
      </c>
      <c r="G582" s="77">
        <f>Tableau1[[#This Row],[Diff jour_x000D_
Cumul]]-F$6</f>
        <v>798.53888888889196</v>
      </c>
      <c r="H582" s="77">
        <f>Tableau1[[#This Row],[Diff jour_x000D_
Cumul]]-F$59</f>
        <v>776.01944444444234</v>
      </c>
      <c r="I582" s="78">
        <v>3567</v>
      </c>
      <c r="J582" s="79">
        <f>IF(ISERROR(Tableau1[[#This Row],[Index HP
kWh]]-I581),"",Tableau1[[#This Row],[Index HP
kWh]]-I581)</f>
        <v>25</v>
      </c>
      <c r="K582" s="77">
        <f>IF(ISERROR(Tableau1[[#This Row],[Différence HP
Instantané]]/(Tableau1[[#This Row],[Diff jour
Instantané]]*24)),"",Tableau1[[#This Row],[Différence HP
Instantané]]/(Tableau1[[#This Row],[Diff jour
Instantané]]*24))</f>
        <v>1.1102886750528356</v>
      </c>
      <c r="L582" s="77">
        <f>Tableau1[[#This Row],[Différence HP
Instantané]]/Tableau1[[#This Row],[Diff jour
Instantané]]</f>
        <v>26.646928201268054</v>
      </c>
      <c r="M582" s="77">
        <f>Tableau1[[#This Row],[Conso HP / jour
Instantané]]*365</f>
        <v>9726.1287934628399</v>
      </c>
      <c r="N582" s="79">
        <f>Tableau1[[#This Row],[Index HP
kWh]]-$I$5</f>
        <v>-176192</v>
      </c>
      <c r="O582" s="80">
        <f>Tableau1[[#This Row],[Différence HP
Cumul]]/(Tableau1[[#This Row],[Diff jour_x000D_
Cumul]]*24)</f>
        <v>-8.7749681257968746</v>
      </c>
      <c r="P582" s="80">
        <f>Tableau1[[#This Row],[Différence HP
Cumul]]/Tableau1[[#This Row],[Diff jour_x000D_
Cumul]]</f>
        <v>-210.59923501912496</v>
      </c>
      <c r="Q582" s="80">
        <f>Tableau1[[#This Row],[Conso HP / jour
Cumul]]*365</f>
        <v>-76868.720781980606</v>
      </c>
      <c r="R582" s="78">
        <v>1798</v>
      </c>
      <c r="S582" s="79">
        <f>Tableau1[[#This Row],[Index HC_x000D_
kWh]]-R581</f>
        <v>18</v>
      </c>
      <c r="T582" s="81">
        <f>Tableau1[[#This Row],[Différence_x000D_ HC
Instantané]]/(Tableau1[[#This Row],[Diff jour
Instantané]]*24)</f>
        <v>0.7994078460380416</v>
      </c>
      <c r="U582" s="81">
        <f>Tableau1[[#This Row],[Différence_x000D_ HC
Instantané]]/Tableau1[[#This Row],[Diff jour
Instantané]]</f>
        <v>19.185788304913</v>
      </c>
      <c r="V582" s="81">
        <f>Tableau1[[#This Row],[Conso HC / jour_x000D_
Instantané]]*365</f>
        <v>7002.8127312932447</v>
      </c>
      <c r="W582" s="79">
        <f>Tableau1[[#This Row],[Index HC_x000D_
kWh]]-$R$5</f>
        <v>-117634</v>
      </c>
      <c r="X582" s="82">
        <f>Tableau1[[#This Row],[Différence HC
Cumul]]/(Tableau1[[#This Row],[Diff jour_x000D_
Cumul]]*24)</f>
        <v>-5.8585781449213892</v>
      </c>
      <c r="Y582" s="82">
        <f>Tableau1[[#This Row],[Différence HC
Cumul]]/Tableau1[[#This Row],[Diff jour_x000D_
Cumul]]</f>
        <v>-140.60587547811335</v>
      </c>
      <c r="Z582" s="82">
        <f>Tableau1[[#This Row],[Conso HC / jour_x000D_
Cumul]]*365</f>
        <v>-51321.144549511373</v>
      </c>
      <c r="AA582" s="79">
        <f>Tableau1[[#This Row],[Différence HP
Instantané]]+Tableau1[[#This Row],[Différence_x000D_ HC
Instantané]]</f>
        <v>43</v>
      </c>
      <c r="AB582" s="80">
        <f>Tableau1[[#This Row],[Conso HP + HC
Instantané]]/(Tableau1[[#This Row],[Diff jour
Instantané]]*24)</f>
        <v>1.9096965210908772</v>
      </c>
      <c r="AC582" s="80">
        <f>IF(ISERROR(Tableau1[[#This Row],[Date]]-A581),"",Tableau1[[#This Row],[Conso HP + HC
Instantané]]/Tableau1[[#This Row],[Diff jour
Instantané]])</f>
        <v>45.83271650618105</v>
      </c>
      <c r="AD582" s="80">
        <f>Tableau1[[#This Row],[Conso HP + HC / jour_x000D_
Instantané]]*365</f>
        <v>16728.941524756083</v>
      </c>
      <c r="AE582" s="79">
        <f>Tableau1[[#This Row],[Différence HP
Cumul]]+Tableau1[[#This Row],[Différence HC
Cumul]]</f>
        <v>-293826</v>
      </c>
      <c r="AF582" s="77">
        <f>(Tableau1[[#This Row],[Conso HP + HC
Cumul]]-AE$6)/Tableau1[[#This Row],[Diff jour_x000D_
Cumul
depuis le 24/01]]</f>
        <v>-371.17415835866751</v>
      </c>
      <c r="AG582" s="77">
        <f>(Tableau1[[#This Row],[Conso HP + HC
Cumul]]-AE$59)/Tableau1[[#This Row],[Diff jour_x000D_
Cumul
depuis
précédente facture
16/02/2021]]</f>
        <v>-384.01486217055088</v>
      </c>
      <c r="AH582" s="80">
        <f>Tableau1[[#This Row],[Conso HP + HC
Cumul]]/(Tableau1[[#This Row],[Diff jour_x000D_
Cumul]]*24)</f>
        <v>-14.633546270718263</v>
      </c>
      <c r="AI582" s="80">
        <f>Tableau1[[#This Row],[Conso HP + HC
Cumul]]/Tableau1[[#This Row],[Diff jour_x000D_
Cumul]]</f>
        <v>-351.20511049723831</v>
      </c>
      <c r="AJ582" s="80">
        <f>Tableau1[[#This Row],[Conso HP + HC / jour_x000D_
Cumul]]*365</f>
        <v>-128189.86533149198</v>
      </c>
      <c r="AK582" s="83">
        <f>(Tableau1[[#This Row],[Différence HP
Cumul]]*0.1799)+(Tableau1[[#This Row],[Différence HC
Cumul]]*0.1346)</f>
        <v>-47530.477200000001</v>
      </c>
      <c r="AL582" s="83">
        <f>Tableau1[[#This Row],[Montant
Tarif HP/HC]]/Tableau1[[#This Row],[Diff jour_x000D_
Cumul]]</f>
        <v>-56.812353219294643</v>
      </c>
      <c r="AM582" s="83">
        <f>(Tableau1[[#This Row],[Montant
Tarif HP/HC]]-AK$6)/Tableau1[[#This Row],[Diff jour_x000D_
Cumul
depuis le 24/01]]</f>
        <v>-60.053309196657558</v>
      </c>
      <c r="AN582" s="83">
        <f>(Tableau1[[#This Row],[Montant
Tarif HP/HC]]-AK$59)/Tableau1[[#This Row],[Diff jour_x000D_
Cumul
depuis
précédente facture
16/02/2021]]</f>
        <v>-62.140763282707148</v>
      </c>
      <c r="AO582" s="83">
        <f>Tableau1[[#This Row],[Conso HP + HC
Cumul]]*0.1599</f>
        <v>-46982.777399999999</v>
      </c>
      <c r="AP582" s="83">
        <f>Tableau1[[#This Row],[Montant
Tarif normal]]/Tableau1[[#This Row],[Diff jour_x000D_
Cumul]]</f>
        <v>-56.157697168508406</v>
      </c>
      <c r="AQ582" s="83">
        <f>(Tableau1[[#This Row],[Conso HP / an
Cumul]]*0.1799)+(Tableau1[[#This Row],[Conso HC / an_x000D_
Cumul]]*0.1346)</f>
        <v>-20736.508925042544</v>
      </c>
      <c r="AR582" s="83">
        <f>Tableau1[[#This Row],[Conso HP + HC / an_x000D_
Cumul]]*0.1599</f>
        <v>-20497.559466505565</v>
      </c>
      <c r="AS582" s="79">
        <f>MONTH(Tableau1[[#This Row],[Date]])</f>
        <v>4</v>
      </c>
      <c r="AT582" s="79">
        <f>YEAR(Tableau1[[#This Row],[Date]])</f>
        <v>2023</v>
      </c>
    </row>
    <row r="583" spans="1:46" x14ac:dyDescent="0.2">
      <c r="A583" s="74">
        <v>45020.318749999999</v>
      </c>
      <c r="B583" s="75"/>
      <c r="C583" s="76">
        <f>IF(ISERROR(Tableau1[[#This Row],[Date]]-A582),"",Tableau1[[#This Row],[Date]]-A582)</f>
        <v>0.9881944444423425</v>
      </c>
      <c r="D583" s="77">
        <f>IF(ISERROR(Tableau1[[#This Row],[Date]]-A582),"",Tableau1[[#This Row],[Date]]-A582)</f>
        <v>0.9881944444423425</v>
      </c>
      <c r="E583" s="76">
        <f>Tableau1[[#This Row],[Date]]-$A$5</f>
        <v>837.61041666666279</v>
      </c>
      <c r="F583" s="77">
        <f>Tableau1[[#This Row],[Date]]-$A$5</f>
        <v>837.61041666666279</v>
      </c>
      <c r="G583" s="77">
        <f>Tableau1[[#This Row],[Diff jour_x000D_
Cumul]]-F$6</f>
        <v>799.5270833333343</v>
      </c>
      <c r="H583" s="77">
        <f>Tableau1[[#This Row],[Diff jour_x000D_
Cumul]]-F$59</f>
        <v>777.00763888888469</v>
      </c>
      <c r="I583" s="78">
        <v>3600</v>
      </c>
      <c r="J583" s="79">
        <f>IF(ISERROR(Tableau1[[#This Row],[Index HP
kWh]]-I582),"",Tableau1[[#This Row],[Index HP
kWh]]-I582)</f>
        <v>33</v>
      </c>
      <c r="K583" s="77">
        <f>IF(ISERROR(Tableau1[[#This Row],[Différence HP
Instantané]]/(Tableau1[[#This Row],[Diff jour
Instantané]]*24)),"",Tableau1[[#This Row],[Différence HP
Instantané]]/(Tableau1[[#This Row],[Diff jour
Instantané]]*24))</f>
        <v>1.3914265636009919</v>
      </c>
      <c r="L583" s="77">
        <f>Tableau1[[#This Row],[Différence HP
Instantané]]/Tableau1[[#This Row],[Diff jour
Instantané]]</f>
        <v>33.394237526423808</v>
      </c>
      <c r="M583" s="77">
        <f>Tableau1[[#This Row],[Conso HP / jour
Instantané]]*365</f>
        <v>12188.89669714469</v>
      </c>
      <c r="N583" s="79">
        <f>Tableau1[[#This Row],[Index HP
kWh]]-$I$5</f>
        <v>-176159</v>
      </c>
      <c r="O583" s="80">
        <f>Tableau1[[#This Row],[Différence HP
Cumul]]/(Tableau1[[#This Row],[Diff jour_x000D_
Cumul]]*24)</f>
        <v>-8.7629740357614949</v>
      </c>
      <c r="P583" s="80">
        <f>Tableau1[[#This Row],[Différence HP
Cumul]]/Tableau1[[#This Row],[Diff jour_x000D_
Cumul]]</f>
        <v>-210.31137685827588</v>
      </c>
      <c r="Q583" s="80">
        <f>Tableau1[[#This Row],[Conso HP / jour
Cumul]]*365</f>
        <v>-76763.652553270702</v>
      </c>
      <c r="R583" s="78">
        <v>1818</v>
      </c>
      <c r="S583" s="79">
        <f>Tableau1[[#This Row],[Index HC_x000D_
kWh]]-R582</f>
        <v>20</v>
      </c>
      <c r="T583" s="81">
        <f>Tableau1[[#This Row],[Différence_x000D_ HC
Instantané]]/(Tableau1[[#This Row],[Diff jour
Instantané]]*24)</f>
        <v>0.8432888264248436</v>
      </c>
      <c r="U583" s="81">
        <f>Tableau1[[#This Row],[Différence_x000D_ HC
Instantané]]/Tableau1[[#This Row],[Diff jour
Instantané]]</f>
        <v>20.238931834196247</v>
      </c>
      <c r="V583" s="81">
        <f>Tableau1[[#This Row],[Conso HC / jour_x000D_
Instantané]]*365</f>
        <v>7387.2101194816305</v>
      </c>
      <c r="W583" s="79">
        <f>Tableau1[[#This Row],[Index HC_x000D_
kWh]]-$R$5</f>
        <v>-117614</v>
      </c>
      <c r="X583" s="82">
        <f>Tableau1[[#This Row],[Différence HC
Cumul]]/(Tableau1[[#This Row],[Diff jour_x000D_
Cumul]]*24)</f>
        <v>-5.8506714288912427</v>
      </c>
      <c r="Y583" s="82">
        <f>Tableau1[[#This Row],[Différence HC
Cumul]]/Tableau1[[#This Row],[Diff jour_x000D_
Cumul]]</f>
        <v>-140.41611429338982</v>
      </c>
      <c r="Z583" s="82">
        <f>Tableau1[[#This Row],[Conso HC / jour_x000D_
Cumul]]*365</f>
        <v>-51251.881717087286</v>
      </c>
      <c r="AA583" s="79">
        <f>Tableau1[[#This Row],[Différence HP
Instantané]]+Tableau1[[#This Row],[Différence_x000D_ HC
Instantané]]</f>
        <v>53</v>
      </c>
      <c r="AB583" s="80">
        <f>Tableau1[[#This Row],[Conso HP + HC
Instantané]]/(Tableau1[[#This Row],[Diff jour
Instantané]]*24)</f>
        <v>2.2347153900258356</v>
      </c>
      <c r="AC583" s="80">
        <f>IF(ISERROR(Tableau1[[#This Row],[Date]]-A582),"",Tableau1[[#This Row],[Conso HP + HC
Instantané]]/Tableau1[[#This Row],[Diff jour
Instantané]])</f>
        <v>53.633169360620052</v>
      </c>
      <c r="AD583" s="80">
        <f>Tableau1[[#This Row],[Conso HP + HC / jour_x000D_
Instantané]]*365</f>
        <v>19576.106816626318</v>
      </c>
      <c r="AE583" s="79">
        <f>Tableau1[[#This Row],[Différence HP
Cumul]]+Tableau1[[#This Row],[Différence HC
Cumul]]</f>
        <v>-293773</v>
      </c>
      <c r="AF583" s="77">
        <f>(Tableau1[[#This Row],[Conso HP + HC
Cumul]]-AE$6)/Tableau1[[#This Row],[Diff jour_x000D_
Cumul
depuis le 24/01]]</f>
        <v>-370.64910767563072</v>
      </c>
      <c r="AG583" s="77">
        <f>(Tableau1[[#This Row],[Conso HP + HC
Cumul]]-AE$59)/Tableau1[[#This Row],[Diff jour_x000D_
Cumul
depuis
précédente facture
16/02/2021]]</f>
        <v>-383.45826358421181</v>
      </c>
      <c r="AH583" s="80">
        <f>Tableau1[[#This Row],[Conso HP + HC
Cumul]]/(Tableau1[[#This Row],[Diff jour_x000D_
Cumul]]*24)</f>
        <v>-14.613645464652738</v>
      </c>
      <c r="AI583" s="80">
        <f>Tableau1[[#This Row],[Conso HP + HC
Cumul]]/Tableau1[[#This Row],[Diff jour_x000D_
Cumul]]</f>
        <v>-350.72749115166573</v>
      </c>
      <c r="AJ583" s="80">
        <f>Tableau1[[#This Row],[Conso HP + HC / jour_x000D_
Cumul]]*365</f>
        <v>-128015.534270358</v>
      </c>
      <c r="AK583" s="83">
        <f>(Tableau1[[#This Row],[Différence HP
Cumul]]*0.1799)+(Tableau1[[#This Row],[Différence HC
Cumul]]*0.1346)</f>
        <v>-47521.8485</v>
      </c>
      <c r="AL583" s="83">
        <f>Tableau1[[#This Row],[Montant
Tarif HP/HC]]/Tableau1[[#This Row],[Diff jour_x000D_
Cumul]]</f>
        <v>-56.7350256806941</v>
      </c>
      <c r="AM583" s="83">
        <f>(Tableau1[[#This Row],[Montant
Tarif HP/HC]]-AK$6)/Tableau1[[#This Row],[Diff jour_x000D_
Cumul
depuis le 24/01]]</f>
        <v>-59.968292631321049</v>
      </c>
      <c r="AN583" s="83">
        <f>(Tableau1[[#This Row],[Montant
Tarif HP/HC]]-AK$59)/Tableau1[[#This Row],[Diff jour_x000D_
Cumul
depuis
précédente facture
16/02/2021]]</f>
        <v>-62.050627930692421</v>
      </c>
      <c r="AO583" s="83">
        <f>Tableau1[[#This Row],[Conso HP + HC
Cumul]]*0.1599</f>
        <v>-46974.302699999993</v>
      </c>
      <c r="AP583" s="83">
        <f>Tableau1[[#This Row],[Montant
Tarif normal]]/Tableau1[[#This Row],[Diff jour_x000D_
Cumul]]</f>
        <v>-56.08132583515134</v>
      </c>
      <c r="AQ583" s="83">
        <f>(Tableau1[[#This Row],[Conso HP / an
Cumul]]*0.1799)+(Tableau1[[#This Row],[Conso HC / an_x000D_
Cumul]]*0.1346)</f>
        <v>-20708.284373453345</v>
      </c>
      <c r="AR583" s="83">
        <f>Tableau1[[#This Row],[Conso HP + HC / an_x000D_
Cumul]]*0.1599</f>
        <v>-20469.68392983024</v>
      </c>
      <c r="AS583" s="79">
        <f>MONTH(Tableau1[[#This Row],[Date]])</f>
        <v>4</v>
      </c>
      <c r="AT583" s="79">
        <f>YEAR(Tableau1[[#This Row],[Date]])</f>
        <v>2023</v>
      </c>
    </row>
    <row r="584" spans="1:46" x14ac:dyDescent="0.2">
      <c r="A584" s="74">
        <v>45021.370833333334</v>
      </c>
      <c r="B584" s="75"/>
      <c r="C584" s="76">
        <f>IF(ISERROR(Tableau1[[#This Row],[Date]]-A583),"",Tableau1[[#This Row],[Date]]-A583)</f>
        <v>1.0520833333357587</v>
      </c>
      <c r="D584" s="77">
        <f>IF(ISERROR(Tableau1[[#This Row],[Date]]-A583),"",Tableau1[[#This Row],[Date]]-A583)</f>
        <v>1.0520833333357587</v>
      </c>
      <c r="E584" s="76">
        <f>Tableau1[[#This Row],[Date]]-$A$5</f>
        <v>838.66249999999854</v>
      </c>
      <c r="F584" s="77">
        <f>Tableau1[[#This Row],[Date]]-$A$5</f>
        <v>838.66249999999854</v>
      </c>
      <c r="G584" s="77">
        <f>Tableau1[[#This Row],[Diff jour_x000D_
Cumul]]-F$6</f>
        <v>800.57916666667006</v>
      </c>
      <c r="H584" s="77">
        <f>Tableau1[[#This Row],[Diff jour_x000D_
Cumul]]-F$59</f>
        <v>778.05972222222044</v>
      </c>
      <c r="I584" s="78">
        <v>3618</v>
      </c>
      <c r="J584" s="79">
        <f>IF(ISERROR(Tableau1[[#This Row],[Index HP
kWh]]-I583),"",Tableau1[[#This Row],[Index HP
kWh]]-I583)</f>
        <v>18</v>
      </c>
      <c r="K584" s="77">
        <f>IF(ISERROR(Tableau1[[#This Row],[Différence HP
Instantané]]/(Tableau1[[#This Row],[Diff jour
Instantané]]*24)),"",Tableau1[[#This Row],[Différence HP
Instantané]]/(Tableau1[[#This Row],[Diff jour
Instantané]]*24))</f>
        <v>0.71287128712706949</v>
      </c>
      <c r="L584" s="77">
        <f>Tableau1[[#This Row],[Différence HP
Instantané]]/Tableau1[[#This Row],[Diff jour
Instantané]]</f>
        <v>17.108910891049668</v>
      </c>
      <c r="M584" s="77">
        <f>Tableau1[[#This Row],[Conso HP / jour
Instantané]]*365</f>
        <v>6244.7524752331283</v>
      </c>
      <c r="N584" s="79">
        <f>Tableau1[[#This Row],[Index HP
kWh]]-$I$5</f>
        <v>-176141</v>
      </c>
      <c r="O584" s="80">
        <f>Tableau1[[#This Row],[Différence HP
Cumul]]/(Tableau1[[#This Row],[Diff jour_x000D_
Cumul]]*24)</f>
        <v>-8.7510867999145621</v>
      </c>
      <c r="P584" s="80">
        <f>Tableau1[[#This Row],[Différence HP
Cumul]]/Tableau1[[#This Row],[Diff jour_x000D_
Cumul]]</f>
        <v>-210.02608319794948</v>
      </c>
      <c r="Q584" s="80">
        <f>Tableau1[[#This Row],[Conso HP / jour
Cumul]]*365</f>
        <v>-76659.520367251564</v>
      </c>
      <c r="R584" s="78">
        <v>1838</v>
      </c>
      <c r="S584" s="79">
        <f>Tableau1[[#This Row],[Index HC_x000D_
kWh]]-R583</f>
        <v>20</v>
      </c>
      <c r="T584" s="81">
        <f>Tableau1[[#This Row],[Différence_x000D_ HC
Instantané]]/(Tableau1[[#This Row],[Diff jour
Instantané]]*24)</f>
        <v>0.79207920791896613</v>
      </c>
      <c r="U584" s="81">
        <f>Tableau1[[#This Row],[Différence_x000D_ HC
Instantané]]/Tableau1[[#This Row],[Diff jour
Instantané]]</f>
        <v>19.009900990055186</v>
      </c>
      <c r="V584" s="81">
        <f>Tableau1[[#This Row],[Conso HC / jour_x000D_
Instantané]]*365</f>
        <v>6938.6138613701432</v>
      </c>
      <c r="W584" s="79">
        <f>Tableau1[[#This Row],[Index HC_x000D_
kWh]]-$R$5</f>
        <v>-117594</v>
      </c>
      <c r="X584" s="82">
        <f>Tableau1[[#This Row],[Différence HC
Cumul]]/(Tableau1[[#This Row],[Diff jour_x000D_
Cumul]]*24)</f>
        <v>-5.8423382469110141</v>
      </c>
      <c r="Y584" s="82">
        <f>Tableau1[[#This Row],[Différence HC
Cumul]]/Tableau1[[#This Row],[Diff jour_x000D_
Cumul]]</f>
        <v>-140.21611792586435</v>
      </c>
      <c r="Z584" s="82">
        <f>Tableau1[[#This Row],[Conso HC / jour_x000D_
Cumul]]*365</f>
        <v>-51178.883042940492</v>
      </c>
      <c r="AA584" s="79">
        <f>Tableau1[[#This Row],[Différence HP
Instantané]]+Tableau1[[#This Row],[Différence_x000D_ HC
Instantané]]</f>
        <v>38</v>
      </c>
      <c r="AB584" s="80">
        <f>Tableau1[[#This Row],[Conso HP + HC
Instantané]]/(Tableau1[[#This Row],[Diff jour
Instantané]]*24)</f>
        <v>1.5049504950460357</v>
      </c>
      <c r="AC584" s="80">
        <f>IF(ISERROR(Tableau1[[#This Row],[Date]]-A583),"",Tableau1[[#This Row],[Conso HP + HC
Instantané]]/Tableau1[[#This Row],[Diff jour
Instantané]])</f>
        <v>36.118811881104854</v>
      </c>
      <c r="AD584" s="80">
        <f>Tableau1[[#This Row],[Conso HP + HC / jour_x000D_
Instantané]]*365</f>
        <v>13183.366336603272</v>
      </c>
      <c r="AE584" s="79">
        <f>Tableau1[[#This Row],[Différence HP
Cumul]]+Tableau1[[#This Row],[Différence HC
Cumul]]</f>
        <v>-293735</v>
      </c>
      <c r="AF584" s="77">
        <f>(Tableau1[[#This Row],[Conso HP + HC
Cumul]]-AE$6)/Tableau1[[#This Row],[Diff jour_x000D_
Cumul
depuis le 24/01]]</f>
        <v>-370.11455248543865</v>
      </c>
      <c r="AG584" s="77">
        <f>(Tableau1[[#This Row],[Conso HP + HC
Cumul]]-AE$59)/Tableau1[[#This Row],[Diff jour_x000D_
Cumul
depuis
précédente facture
16/02/2021]]</f>
        <v>-382.89091632854604</v>
      </c>
      <c r="AH584" s="80">
        <f>Tableau1[[#This Row],[Conso HP + HC
Cumul]]/(Tableau1[[#This Row],[Diff jour_x000D_
Cumul]]*24)</f>
        <v>-14.593425046825576</v>
      </c>
      <c r="AI584" s="80">
        <f>Tableau1[[#This Row],[Conso HP + HC
Cumul]]/Tableau1[[#This Row],[Diff jour_x000D_
Cumul]]</f>
        <v>-350.2422011238138</v>
      </c>
      <c r="AJ584" s="80">
        <f>Tableau1[[#This Row],[Conso HP + HC / jour_x000D_
Cumul]]*365</f>
        <v>-127838.40341019204</v>
      </c>
      <c r="AK584" s="83">
        <f>(Tableau1[[#This Row],[Différence HP
Cumul]]*0.1799)+(Tableau1[[#This Row],[Différence HC
Cumul]]*0.1346)</f>
        <v>-47515.918300000005</v>
      </c>
      <c r="AL584" s="83">
        <f>Tableau1[[#This Row],[Montant
Tarif HP/HC]]/Tableau1[[#This Row],[Diff jour_x000D_
Cumul]]</f>
        <v>-56.65678184013246</v>
      </c>
      <c r="AM584" s="83">
        <f>(Tableau1[[#This Row],[Montant
Tarif HP/HC]]-AK$6)/Tableau1[[#This Row],[Diff jour_x000D_
Cumul
depuis le 24/01]]</f>
        <v>-59.88207774579837</v>
      </c>
      <c r="AN584" s="83">
        <f>(Tableau1[[#This Row],[Montant
Tarif HP/HC]]-AK$59)/Tableau1[[#This Row],[Diff jour_x000D_
Cumul
depuis
précédente facture
16/02/2021]]</f>
        <v>-61.959102011235359</v>
      </c>
      <c r="AO584" s="83">
        <f>Tableau1[[#This Row],[Conso HP + HC
Cumul]]*0.1599</f>
        <v>-46968.226499999997</v>
      </c>
      <c r="AP584" s="83">
        <f>Tableau1[[#This Row],[Montant
Tarif normal]]/Tableau1[[#This Row],[Diff jour_x000D_
Cumul]]</f>
        <v>-56.003727959697827</v>
      </c>
      <c r="AQ584" s="83">
        <f>(Tableau1[[#This Row],[Conso HP / an
Cumul]]*0.1799)+(Tableau1[[#This Row],[Conso HC / an_x000D_
Cumul]]*0.1346)</f>
        <v>-20679.725371648346</v>
      </c>
      <c r="AR584" s="83">
        <f>Tableau1[[#This Row],[Conso HP + HC / an_x000D_
Cumul]]*0.1599</f>
        <v>-20441.360705289706</v>
      </c>
      <c r="AS584" s="79">
        <f>MONTH(Tableau1[[#This Row],[Date]])</f>
        <v>4</v>
      </c>
      <c r="AT584" s="79">
        <f>YEAR(Tableau1[[#This Row],[Date]])</f>
        <v>2023</v>
      </c>
    </row>
    <row r="585" spans="1:46" x14ac:dyDescent="0.2">
      <c r="A585" s="74">
        <v>45022.338888888888</v>
      </c>
      <c r="B585" s="75"/>
      <c r="C585" s="76">
        <f>IF(ISERROR(Tableau1[[#This Row],[Date]]-A584),"",Tableau1[[#This Row],[Date]]-A584)</f>
        <v>0.96805555555329192</v>
      </c>
      <c r="D585" s="77">
        <f>IF(ISERROR(Tableau1[[#This Row],[Date]]-A584),"",Tableau1[[#This Row],[Date]]-A584)</f>
        <v>0.96805555555329192</v>
      </c>
      <c r="E585" s="76">
        <f>Tableau1[[#This Row],[Date]]-$A$5</f>
        <v>839.63055555555184</v>
      </c>
      <c r="F585" s="77">
        <f>Tableau1[[#This Row],[Date]]-$A$5</f>
        <v>839.63055555555184</v>
      </c>
      <c r="G585" s="77">
        <f>Tableau1[[#This Row],[Diff jour_x000D_
Cumul]]-F$6</f>
        <v>801.54722222222335</v>
      </c>
      <c r="H585" s="77">
        <f>Tableau1[[#This Row],[Diff jour_x000D_
Cumul]]-F$59</f>
        <v>779.02777777777374</v>
      </c>
      <c r="I585" s="78">
        <v>3638</v>
      </c>
      <c r="J585" s="79">
        <f>IF(ISERROR(Tableau1[[#This Row],[Index HP
kWh]]-I584),"",Tableau1[[#This Row],[Index HP
kWh]]-I584)</f>
        <v>20</v>
      </c>
      <c r="K585" s="77">
        <f>IF(ISERROR(Tableau1[[#This Row],[Différence HP
Instantané]]/(Tableau1[[#This Row],[Diff jour
Instantané]]*24)),"",Tableau1[[#This Row],[Différence HP
Instantané]]/(Tableau1[[#This Row],[Diff jour
Instantané]]*24))</f>
        <v>0.86083213773515499</v>
      </c>
      <c r="L585" s="77">
        <f>Tableau1[[#This Row],[Différence HP
Instantané]]/Tableau1[[#This Row],[Diff jour
Instantané]]</f>
        <v>20.659971305643719</v>
      </c>
      <c r="M585" s="77">
        <f>Tableau1[[#This Row],[Conso HP / jour
Instantané]]*365</f>
        <v>7540.8895265599576</v>
      </c>
      <c r="N585" s="79">
        <f>Tableau1[[#This Row],[Index HP
kWh]]-$I$5</f>
        <v>-176121</v>
      </c>
      <c r="O585" s="80">
        <f>Tableau1[[#This Row],[Différence HP
Cumul]]/(Tableau1[[#This Row],[Diff jour_x000D_
Cumul]]*24)</f>
        <v>-8.7400046978334114</v>
      </c>
      <c r="P585" s="80">
        <f>Tableau1[[#This Row],[Différence HP
Cumul]]/Tableau1[[#This Row],[Diff jour_x000D_
Cumul]]</f>
        <v>-209.76011274800186</v>
      </c>
      <c r="Q585" s="80">
        <f>Tableau1[[#This Row],[Conso HP / jour
Cumul]]*365</f>
        <v>-76562.441153020685</v>
      </c>
      <c r="R585" s="78">
        <v>1853</v>
      </c>
      <c r="S585" s="79">
        <f>Tableau1[[#This Row],[Index HC_x000D_
kWh]]-R584</f>
        <v>15</v>
      </c>
      <c r="T585" s="81">
        <f>Tableau1[[#This Row],[Différence_x000D_ HC
Instantané]]/(Tableau1[[#This Row],[Diff jour
Instantané]]*24)</f>
        <v>0.64562410330136621</v>
      </c>
      <c r="U585" s="81">
        <f>Tableau1[[#This Row],[Différence_x000D_ HC
Instantané]]/Tableau1[[#This Row],[Diff jour
Instantané]]</f>
        <v>15.494978479232788</v>
      </c>
      <c r="V585" s="81">
        <f>Tableau1[[#This Row],[Conso HC / jour_x000D_
Instantané]]*365</f>
        <v>5655.6671449199675</v>
      </c>
      <c r="W585" s="79">
        <f>Tableau1[[#This Row],[Index HC_x000D_
kWh]]-$R$5</f>
        <v>-117579</v>
      </c>
      <c r="X585" s="82">
        <f>Tableau1[[#This Row],[Différence HC
Cumul]]/(Tableau1[[#This Row],[Diff jour_x000D_
Cumul]]*24)</f>
        <v>-5.8348579236238418</v>
      </c>
      <c r="Y585" s="82">
        <f>Tableau1[[#This Row],[Différence HC
Cumul]]/Tableau1[[#This Row],[Diff jour_x000D_
Cumul]]</f>
        <v>-140.03659016697222</v>
      </c>
      <c r="Z585" s="82">
        <f>Tableau1[[#This Row],[Conso HC / jour_x000D_
Cumul]]*365</f>
        <v>-51113.35541094486</v>
      </c>
      <c r="AA585" s="79">
        <f>Tableau1[[#This Row],[Différence HP
Instantané]]+Tableau1[[#This Row],[Différence_x000D_ HC
Instantané]]</f>
        <v>35</v>
      </c>
      <c r="AB585" s="80">
        <f>Tableau1[[#This Row],[Conso HP + HC
Instantané]]/(Tableau1[[#This Row],[Diff jour
Instantané]]*24)</f>
        <v>1.5064562410365212</v>
      </c>
      <c r="AC585" s="80">
        <f>IF(ISERROR(Tableau1[[#This Row],[Date]]-A584),"",Tableau1[[#This Row],[Conso HP + HC
Instantané]]/Tableau1[[#This Row],[Diff jour
Instantané]])</f>
        <v>36.154949784876507</v>
      </c>
      <c r="AD585" s="80">
        <f>Tableau1[[#This Row],[Conso HP + HC / jour_x000D_
Instantané]]*365</f>
        <v>13196.556671479924</v>
      </c>
      <c r="AE585" s="79">
        <f>Tableau1[[#This Row],[Différence HP
Cumul]]+Tableau1[[#This Row],[Différence HC
Cumul]]</f>
        <v>-293700</v>
      </c>
      <c r="AF585" s="77">
        <f>(Tableau1[[#This Row],[Conso HP + HC
Cumul]]-AE$6)/Tableau1[[#This Row],[Diff jour_x000D_
Cumul
depuis le 24/01]]</f>
        <v>-369.62388713495028</v>
      </c>
      <c r="AG585" s="77">
        <f>(Tableau1[[#This Row],[Conso HP + HC
Cumul]]-AE$59)/Tableau1[[#This Row],[Diff jour_x000D_
Cumul
depuis
précédente facture
16/02/2021]]</f>
        <v>-382.37019076484421</v>
      </c>
      <c r="AH585" s="80">
        <f>Tableau1[[#This Row],[Conso HP + HC
Cumul]]/(Tableau1[[#This Row],[Diff jour_x000D_
Cumul]]*24)</f>
        <v>-14.574862621457253</v>
      </c>
      <c r="AI585" s="80">
        <f>Tableau1[[#This Row],[Conso HP + HC
Cumul]]/Tableau1[[#This Row],[Diff jour_x000D_
Cumul]]</f>
        <v>-349.79670291497405</v>
      </c>
      <c r="AJ585" s="80">
        <f>Tableau1[[#This Row],[Conso HP + HC / jour_x000D_
Cumul]]*365</f>
        <v>-127675.79656396553</v>
      </c>
      <c r="AK585" s="83">
        <f>(Tableau1[[#This Row],[Différence HP
Cumul]]*0.1799)+(Tableau1[[#This Row],[Différence HC
Cumul]]*0.1346)</f>
        <v>-47510.301299999999</v>
      </c>
      <c r="AL585" s="83">
        <f>Tableau1[[#This Row],[Montant
Tarif HP/HC]]/Tableau1[[#This Row],[Diff jour_x000D_
Cumul]]</f>
        <v>-56.584769319839992</v>
      </c>
      <c r="AM585" s="83">
        <f>(Tableau1[[#This Row],[Montant
Tarif HP/HC]]-AK$6)/Tableau1[[#This Row],[Diff jour_x000D_
Cumul
depuis le 24/01]]</f>
        <v>-59.802748448313423</v>
      </c>
      <c r="AN585" s="83">
        <f>(Tableau1[[#This Row],[Montant
Tarif HP/HC]]-AK$59)/Tableau1[[#This Row],[Diff jour_x000D_
Cumul
depuis
précédente facture
16/02/2021]]</f>
        <v>-61.874898527367051</v>
      </c>
      <c r="AO585" s="83">
        <f>Tableau1[[#This Row],[Conso HP + HC
Cumul]]*0.1599</f>
        <v>-46962.63</v>
      </c>
      <c r="AP585" s="83">
        <f>Tableau1[[#This Row],[Montant
Tarif normal]]/Tableau1[[#This Row],[Diff jour_x000D_
Cumul]]</f>
        <v>-55.932492796104349</v>
      </c>
      <c r="AQ585" s="83">
        <f>(Tableau1[[#This Row],[Conso HP / an
Cumul]]*0.1799)+(Tableau1[[#This Row],[Conso HC / an_x000D_
Cumul]]*0.1346)</f>
        <v>-20653.440801741599</v>
      </c>
      <c r="AR585" s="83">
        <f>Tableau1[[#This Row],[Conso HP + HC / an_x000D_
Cumul]]*0.1599</f>
        <v>-20415.359870578086</v>
      </c>
      <c r="AS585" s="79">
        <f>MONTH(Tableau1[[#This Row],[Date]])</f>
        <v>4</v>
      </c>
      <c r="AT585" s="79">
        <f>YEAR(Tableau1[[#This Row],[Date]])</f>
        <v>2023</v>
      </c>
    </row>
    <row r="586" spans="1:46" x14ac:dyDescent="0.2">
      <c r="A586" s="74">
        <v>45023.336111111108</v>
      </c>
      <c r="B586" s="75"/>
      <c r="C586" s="76">
        <f>IF(ISERROR(Tableau1[[#This Row],[Date]]-A585),"",Tableau1[[#This Row],[Date]]-A585)</f>
        <v>0.99722222222044365</v>
      </c>
      <c r="D586" s="77">
        <f>IF(ISERROR(Tableau1[[#This Row],[Date]]-A585),"",Tableau1[[#This Row],[Date]]-A585)</f>
        <v>0.99722222222044365</v>
      </c>
      <c r="E586" s="76">
        <f>Tableau1[[#This Row],[Date]]-$A$5</f>
        <v>840.62777777777228</v>
      </c>
      <c r="F586" s="77">
        <f>Tableau1[[#This Row],[Date]]-$A$5</f>
        <v>840.62777777777228</v>
      </c>
      <c r="G586" s="77">
        <f>Tableau1[[#This Row],[Diff jour_x000D_
Cumul]]-F$6</f>
        <v>802.5444444444438</v>
      </c>
      <c r="H586" s="77">
        <f>Tableau1[[#This Row],[Diff jour_x000D_
Cumul]]-F$59</f>
        <v>780.02499999999418</v>
      </c>
      <c r="I586" s="78">
        <v>3655</v>
      </c>
      <c r="J586" s="79">
        <f>IF(ISERROR(Tableau1[[#This Row],[Index HP
kWh]]-I585),"",Tableau1[[#This Row],[Index HP
kWh]]-I585)</f>
        <v>17</v>
      </c>
      <c r="K586" s="77">
        <f>IF(ISERROR(Tableau1[[#This Row],[Différence HP
Instantané]]/(Tableau1[[#This Row],[Diff jour
Instantané]]*24)),"",Tableau1[[#This Row],[Différence HP
Instantané]]/(Tableau1[[#This Row],[Diff jour
Instantané]]*24))</f>
        <v>0.71030640668650358</v>
      </c>
      <c r="L586" s="77">
        <f>Tableau1[[#This Row],[Différence HP
Instantané]]/Tableau1[[#This Row],[Diff jour
Instantané]]</f>
        <v>17.047353760476089</v>
      </c>
      <c r="M586" s="77">
        <f>Tableau1[[#This Row],[Conso HP / jour
Instantané]]*365</f>
        <v>6222.284122573772</v>
      </c>
      <c r="N586" s="79">
        <f>Tableau1[[#This Row],[Index HP
kWh]]-$I$5</f>
        <v>-176104</v>
      </c>
      <c r="O586" s="80">
        <f>Tableau1[[#This Row],[Différence HP
Cumul]]/(Tableau1[[#This Row],[Diff jour_x000D_
Cumul]]*24)</f>
        <v>-8.7287939568973503</v>
      </c>
      <c r="P586" s="80">
        <f>Tableau1[[#This Row],[Différence HP
Cumul]]/Tableau1[[#This Row],[Diff jour_x000D_
Cumul]]</f>
        <v>-209.49105496553639</v>
      </c>
      <c r="Q586" s="80">
        <f>Tableau1[[#This Row],[Conso HP / jour
Cumul]]*365</f>
        <v>-76464.23506242079</v>
      </c>
      <c r="R586" s="78">
        <v>1865</v>
      </c>
      <c r="S586" s="79">
        <f>Tableau1[[#This Row],[Index HC_x000D_
kWh]]-R585</f>
        <v>12</v>
      </c>
      <c r="T586" s="81">
        <f>Tableau1[[#This Row],[Différence_x000D_ HC
Instantané]]/(Tableau1[[#This Row],[Diff jour
Instantané]]*24)</f>
        <v>0.50139275766106139</v>
      </c>
      <c r="U586" s="81">
        <f>Tableau1[[#This Row],[Différence_x000D_ HC
Instantané]]/Tableau1[[#This Row],[Diff jour
Instantané]]</f>
        <v>12.033426183865473</v>
      </c>
      <c r="V586" s="81">
        <f>Tableau1[[#This Row],[Conso HC / jour_x000D_
Instantané]]*365</f>
        <v>4392.2005571108975</v>
      </c>
      <c r="W586" s="79">
        <f>Tableau1[[#This Row],[Index HC_x000D_
kWh]]-$R$5</f>
        <v>-117567</v>
      </c>
      <c r="X586" s="82">
        <f>Tableau1[[#This Row],[Différence HC
Cumul]]/(Tableau1[[#This Row],[Diff jour_x000D_
Cumul]]*24)</f>
        <v>-5.8273413388142838</v>
      </c>
      <c r="Y586" s="82">
        <f>Tableau1[[#This Row],[Différence HC
Cumul]]/Tableau1[[#This Row],[Diff jour_x000D_
Cumul]]</f>
        <v>-139.85619213154283</v>
      </c>
      <c r="Z586" s="82">
        <f>Tableau1[[#This Row],[Conso HC / jour_x000D_
Cumul]]*365</f>
        <v>-51047.510128013135</v>
      </c>
      <c r="AA586" s="79">
        <f>Tableau1[[#This Row],[Différence HP
Instantané]]+Tableau1[[#This Row],[Différence_x000D_ HC
Instantané]]</f>
        <v>29</v>
      </c>
      <c r="AB586" s="80">
        <f>Tableau1[[#This Row],[Conso HP + HC
Instantané]]/(Tableau1[[#This Row],[Diff jour
Instantané]]*24)</f>
        <v>1.211699164347565</v>
      </c>
      <c r="AC586" s="80">
        <f>IF(ISERROR(Tableau1[[#This Row],[Date]]-A585),"",Tableau1[[#This Row],[Conso HP + HC
Instantané]]/Tableau1[[#This Row],[Diff jour
Instantané]])</f>
        <v>29.080779944341561</v>
      </c>
      <c r="AD586" s="80">
        <f>Tableau1[[#This Row],[Conso HP + HC / jour_x000D_
Instantané]]*365</f>
        <v>10614.48467968467</v>
      </c>
      <c r="AE586" s="79">
        <f>Tableau1[[#This Row],[Différence HP
Cumul]]+Tableau1[[#This Row],[Différence HC
Cumul]]</f>
        <v>-293671</v>
      </c>
      <c r="AF586" s="77">
        <f>(Tableau1[[#This Row],[Conso HP + HC
Cumul]]-AE$6)/Tableau1[[#This Row],[Diff jour_x000D_
Cumul
depuis le 24/01]]</f>
        <v>-369.1284664054607</v>
      </c>
      <c r="AG586" s="77">
        <f>(Tableau1[[#This Row],[Conso HP + HC
Cumul]]-AE$59)/Tableau1[[#This Row],[Diff jour_x000D_
Cumul
depuis
précédente facture
16/02/2021]]</f>
        <v>-381.84417166116754</v>
      </c>
      <c r="AH586" s="80">
        <f>Tableau1[[#This Row],[Conso HP + HC
Cumul]]/(Tableau1[[#This Row],[Diff jour_x000D_
Cumul]]*24)</f>
        <v>-14.556135295711634</v>
      </c>
      <c r="AI586" s="80">
        <f>Tableau1[[#This Row],[Conso HP + HC
Cumul]]/Tableau1[[#This Row],[Diff jour_x000D_
Cumul]]</f>
        <v>-349.34724709707922</v>
      </c>
      <c r="AJ586" s="80">
        <f>Tableau1[[#This Row],[Conso HP + HC / jour_x000D_
Cumul]]*365</f>
        <v>-127511.74519043391</v>
      </c>
      <c r="AK586" s="83">
        <f>(Tableau1[[#This Row],[Différence HP
Cumul]]*0.1799)+(Tableau1[[#This Row],[Différence HC
Cumul]]*0.1346)</f>
        <v>-47505.627800000002</v>
      </c>
      <c r="AL586" s="83">
        <f>Tableau1[[#This Row],[Montant
Tarif HP/HC]]/Tableau1[[#This Row],[Diff jour_x000D_
Cumul]]</f>
        <v>-56.512084249205664</v>
      </c>
      <c r="AM586" s="83">
        <f>(Tableau1[[#This Row],[Montant
Tarif HP/HC]]-AK$6)/Tableau1[[#This Row],[Diff jour_x000D_
Cumul
depuis le 24/01]]</f>
        <v>-59.722615652992616</v>
      </c>
      <c r="AN586" s="83">
        <f>(Tableau1[[#This Row],[Montant
Tarif HP/HC]]-AK$59)/Tableau1[[#This Row],[Diff jour_x000D_
Cumul
depuis
précédente facture
16/02/2021]]</f>
        <v>-61.789803147335483</v>
      </c>
      <c r="AO586" s="83">
        <f>Tableau1[[#This Row],[Conso HP + HC
Cumul]]*0.1599</f>
        <v>-46957.992899999997</v>
      </c>
      <c r="AP586" s="83">
        <f>Tableau1[[#This Row],[Montant
Tarif normal]]/Tableau1[[#This Row],[Diff jour_x000D_
Cumul]]</f>
        <v>-55.860624810822962</v>
      </c>
      <c r="AQ586" s="83">
        <f>(Tableau1[[#This Row],[Conso HP / an
Cumul]]*0.1799)+(Tableau1[[#This Row],[Conso HC / an_x000D_
Cumul]]*0.1346)</f>
        <v>-20626.910750960069</v>
      </c>
      <c r="AR586" s="83">
        <f>Tableau1[[#This Row],[Conso HP + HC / an_x000D_
Cumul]]*0.1599</f>
        <v>-20389.128055950379</v>
      </c>
      <c r="AS586" s="79">
        <f>MONTH(Tableau1[[#This Row],[Date]])</f>
        <v>4</v>
      </c>
      <c r="AT586" s="79">
        <f>YEAR(Tableau1[[#This Row],[Date]])</f>
        <v>2023</v>
      </c>
    </row>
    <row r="587" spans="1:46" x14ac:dyDescent="0.2">
      <c r="A587" s="74">
        <v>45024.552777777775</v>
      </c>
      <c r="B587" s="75"/>
      <c r="C587" s="76">
        <f>IF(ISERROR(Tableau1[[#This Row],[Date]]-A586),"",Tableau1[[#This Row],[Date]]-A586)</f>
        <v>1.2166666666671517</v>
      </c>
      <c r="D587" s="77">
        <f>IF(ISERROR(Tableau1[[#This Row],[Date]]-A586),"",Tableau1[[#This Row],[Date]]-A586)</f>
        <v>1.2166666666671517</v>
      </c>
      <c r="E587" s="76">
        <f>Tableau1[[#This Row],[Date]]-$A$5</f>
        <v>841.84444444443943</v>
      </c>
      <c r="F587" s="77">
        <f>Tableau1[[#This Row],[Date]]-$A$5</f>
        <v>841.84444444443943</v>
      </c>
      <c r="G587" s="77">
        <f>Tableau1[[#This Row],[Diff jour_x000D_
Cumul]]-F$6</f>
        <v>803.76111111111095</v>
      </c>
      <c r="H587" s="77">
        <f>Tableau1[[#This Row],[Diff jour_x000D_
Cumul]]-F$59</f>
        <v>781.24166666666133</v>
      </c>
      <c r="I587" s="78">
        <v>3679</v>
      </c>
      <c r="J587" s="79">
        <f>IF(ISERROR(Tableau1[[#This Row],[Index HP
kWh]]-I586),"",Tableau1[[#This Row],[Index HP
kWh]]-I586)</f>
        <v>24</v>
      </c>
      <c r="K587" s="77">
        <f>IF(ISERROR(Tableau1[[#This Row],[Différence HP
Instantané]]/(Tableau1[[#This Row],[Diff jour
Instantané]]*24)),"",Tableau1[[#This Row],[Différence HP
Instantané]]/(Tableau1[[#This Row],[Diff jour
Instantané]]*24))</f>
        <v>0.82191780821885041</v>
      </c>
      <c r="L587" s="77">
        <f>Tableau1[[#This Row],[Différence HP
Instantané]]/Tableau1[[#This Row],[Diff jour
Instantané]]</f>
        <v>19.726027397252409</v>
      </c>
      <c r="M587" s="77">
        <f>Tableau1[[#This Row],[Conso HP / jour
Instantané]]*365</f>
        <v>7199.9999999971296</v>
      </c>
      <c r="N587" s="79">
        <f>Tableau1[[#This Row],[Index HP
kWh]]-$I$5</f>
        <v>-176080</v>
      </c>
      <c r="O587" s="80">
        <f>Tableau1[[#This Row],[Différence HP
Cumul]]/(Tableau1[[#This Row],[Diff jour_x000D_
Cumul]]*24)</f>
        <v>-8.7149908930127484</v>
      </c>
      <c r="P587" s="80">
        <f>Tableau1[[#This Row],[Différence HP
Cumul]]/Tableau1[[#This Row],[Diff jour_x000D_
Cumul]]</f>
        <v>-209.15978143230598</v>
      </c>
      <c r="Q587" s="80">
        <f>Tableau1[[#This Row],[Conso HP / jour
Cumul]]*365</f>
        <v>-76343.320222791677</v>
      </c>
      <c r="R587" s="78">
        <v>1880</v>
      </c>
      <c r="S587" s="79">
        <f>Tableau1[[#This Row],[Index HC_x000D_
kWh]]-R586</f>
        <v>15</v>
      </c>
      <c r="T587" s="81">
        <f>Tableau1[[#This Row],[Différence_x000D_ HC
Instantané]]/(Tableau1[[#This Row],[Diff jour
Instantané]]*24)</f>
        <v>0.51369863013678152</v>
      </c>
      <c r="U587" s="81">
        <f>Tableau1[[#This Row],[Différence_x000D_ HC
Instantané]]/Tableau1[[#This Row],[Diff jour
Instantané]]</f>
        <v>12.328767123282756</v>
      </c>
      <c r="V587" s="81">
        <f>Tableau1[[#This Row],[Conso HC / jour_x000D_
Instantané]]*365</f>
        <v>4499.9999999982056</v>
      </c>
      <c r="W587" s="79">
        <f>Tableau1[[#This Row],[Index HC_x000D_
kWh]]-$R$5</f>
        <v>-117552</v>
      </c>
      <c r="X587" s="82">
        <f>Tableau1[[#This Row],[Différence HC
Cumul]]/(Tableau1[[#This Row],[Diff jour_x000D_
Cumul]]*24)</f>
        <v>-5.818177018715553</v>
      </c>
      <c r="Y587" s="82">
        <f>Tableau1[[#This Row],[Différence HC
Cumul]]/Tableau1[[#This Row],[Diff jour_x000D_
Cumul]]</f>
        <v>-139.63624844917328</v>
      </c>
      <c r="Z587" s="82">
        <f>Tableau1[[#This Row],[Conso HC / jour_x000D_
Cumul]]*365</f>
        <v>-50967.230683948248</v>
      </c>
      <c r="AA587" s="79">
        <f>Tableau1[[#This Row],[Différence HP
Instantané]]+Tableau1[[#This Row],[Différence_x000D_ HC
Instantané]]</f>
        <v>39</v>
      </c>
      <c r="AB587" s="80">
        <f>Tableau1[[#This Row],[Conso HP + HC
Instantané]]/(Tableau1[[#This Row],[Diff jour
Instantané]]*24)</f>
        <v>1.3356164383556319</v>
      </c>
      <c r="AC587" s="80">
        <f>IF(ISERROR(Tableau1[[#This Row],[Date]]-A586),"",Tableau1[[#This Row],[Conso HP + HC
Instantané]]/Tableau1[[#This Row],[Diff jour
Instantané]])</f>
        <v>32.054794520535168</v>
      </c>
      <c r="AD587" s="80">
        <f>Tableau1[[#This Row],[Conso HP + HC / jour_x000D_
Instantané]]*365</f>
        <v>11699.999999995336</v>
      </c>
      <c r="AE587" s="79">
        <f>Tableau1[[#This Row],[Différence HP
Cumul]]+Tableau1[[#This Row],[Différence HC
Cumul]]</f>
        <v>-293632</v>
      </c>
      <c r="AF587" s="77">
        <f>(Tableau1[[#This Row],[Conso HP + HC
Cumul]]-AE$6)/Tableau1[[#This Row],[Diff jour_x000D_
Cumul
depuis le 24/01]]</f>
        <v>-368.52118857869607</v>
      </c>
      <c r="AG587" s="77">
        <f>(Tableau1[[#This Row],[Conso HP + HC
Cumul]]-AE$59)/Tableau1[[#This Row],[Diff jour_x000D_
Cumul
depuis
précédente facture
16/02/2021]]</f>
        <v>-381.19958612892134</v>
      </c>
      <c r="AH587" s="80">
        <f>Tableau1[[#This Row],[Conso HP + HC
Cumul]]/(Tableau1[[#This Row],[Diff jour_x000D_
Cumul]]*24)</f>
        <v>-14.533167911728302</v>
      </c>
      <c r="AI587" s="80">
        <f>Tableau1[[#This Row],[Conso HP + HC
Cumul]]/Tableau1[[#This Row],[Diff jour_x000D_
Cumul]]</f>
        <v>-348.79602988147923</v>
      </c>
      <c r="AJ587" s="80">
        <f>Tableau1[[#This Row],[Conso HP + HC / jour_x000D_
Cumul]]*365</f>
        <v>-127310.55090673993</v>
      </c>
      <c r="AK587" s="83">
        <f>(Tableau1[[#This Row],[Différence HP
Cumul]]*0.1799)+(Tableau1[[#This Row],[Différence HC
Cumul]]*0.1346)</f>
        <v>-47499.2912</v>
      </c>
      <c r="AL587" s="83">
        <f>Tableau1[[#This Row],[Montant
Tarif HP/HC]]/Tableau1[[#This Row],[Diff jour_x000D_
Cumul]]</f>
        <v>-56.422883720930571</v>
      </c>
      <c r="AM587" s="83">
        <f>(Tableau1[[#This Row],[Montant
Tarif HP/HC]]-AK$6)/Tableau1[[#This Row],[Diff jour_x000D_
Cumul
depuis le 24/01]]</f>
        <v>-59.624328842870682</v>
      </c>
      <c r="AN587" s="83">
        <f>(Tableau1[[#This Row],[Montant
Tarif HP/HC]]-AK$59)/Tableau1[[#This Row],[Diff jour_x000D_
Cumul
depuis
précédente facture
16/02/2021]]</f>
        <v>-61.685463866281665</v>
      </c>
      <c r="AO587" s="83">
        <f>Tableau1[[#This Row],[Conso HP + HC
Cumul]]*0.1599</f>
        <v>-46951.756799999996</v>
      </c>
      <c r="AP587" s="83">
        <f>Tableau1[[#This Row],[Montant
Tarif normal]]/Tableau1[[#This Row],[Diff jour_x000D_
Cumul]]</f>
        <v>-55.772485178048527</v>
      </c>
      <c r="AQ587" s="83">
        <f>(Tableau1[[#This Row],[Conso HP / an
Cumul]]*0.1799)+(Tableau1[[#This Row],[Conso HC / an_x000D_
Cumul]]*0.1346)</f>
        <v>-20594.352558139657</v>
      </c>
      <c r="AR587" s="83">
        <f>Tableau1[[#This Row],[Conso HP + HC / an_x000D_
Cumul]]*0.1599</f>
        <v>-20356.957089987711</v>
      </c>
      <c r="AS587" s="79">
        <f>MONTH(Tableau1[[#This Row],[Date]])</f>
        <v>4</v>
      </c>
      <c r="AT587" s="79">
        <f>YEAR(Tableau1[[#This Row],[Date]])</f>
        <v>2023</v>
      </c>
    </row>
    <row r="588" spans="1:46" x14ac:dyDescent="0.2">
      <c r="A588" s="74">
        <v>45026.377083333333</v>
      </c>
      <c r="B588" s="75"/>
      <c r="C588" s="76">
        <f>IF(ISERROR(Tableau1[[#This Row],[Date]]-A587),"",Tableau1[[#This Row],[Date]]-A587)</f>
        <v>1.8243055555576575</v>
      </c>
      <c r="D588" s="77">
        <f>IF(ISERROR(Tableau1[[#This Row],[Date]]-A587),"",Tableau1[[#This Row],[Date]]-A587)</f>
        <v>1.8243055555576575</v>
      </c>
      <c r="E588" s="76">
        <f>Tableau1[[#This Row],[Date]]-$A$5</f>
        <v>843.66874999999709</v>
      </c>
      <c r="F588" s="77">
        <f>Tableau1[[#This Row],[Date]]-$A$5</f>
        <v>843.66874999999709</v>
      </c>
      <c r="G588" s="77">
        <f>Tableau1[[#This Row],[Diff jour_x000D_
Cumul]]-F$6</f>
        <v>805.58541666666861</v>
      </c>
      <c r="H588" s="77">
        <f>Tableau1[[#This Row],[Diff jour_x000D_
Cumul]]-F$59</f>
        <v>783.06597222221899</v>
      </c>
      <c r="I588" s="78">
        <v>3695</v>
      </c>
      <c r="J588" s="79">
        <f>IF(ISERROR(Tableau1[[#This Row],[Index HP
kWh]]-I587),"",Tableau1[[#This Row],[Index HP
kWh]]-I587)</f>
        <v>16</v>
      </c>
      <c r="K588" s="77">
        <f>IF(ISERROR(Tableau1[[#This Row],[Différence HP
Instantané]]/(Tableau1[[#This Row],[Diff jour
Instantané]]*24)),"",Tableau1[[#This Row],[Différence HP
Instantané]]/(Tableau1[[#This Row],[Diff jour
Instantané]]*24))</f>
        <v>0.36543585839318382</v>
      </c>
      <c r="L588" s="77">
        <f>Tableau1[[#This Row],[Différence HP
Instantané]]/Tableau1[[#This Row],[Diff jour
Instantané]]</f>
        <v>8.7704606014364117</v>
      </c>
      <c r="M588" s="77">
        <f>Tableau1[[#This Row],[Conso HP / jour
Instantané]]*365</f>
        <v>3201.2181195242902</v>
      </c>
      <c r="N588" s="79">
        <f>Tableau1[[#This Row],[Index HP
kWh]]-$I$5</f>
        <v>-176064</v>
      </c>
      <c r="O588" s="80">
        <f>Tableau1[[#This Row],[Différence HP
Cumul]]/(Tableau1[[#This Row],[Diff jour_x000D_
Cumul]]*24)</f>
        <v>-8.6953558490817926</v>
      </c>
      <c r="P588" s="80">
        <f>Tableau1[[#This Row],[Différence HP
Cumul]]/Tableau1[[#This Row],[Diff jour_x000D_
Cumul]]</f>
        <v>-208.68854037796305</v>
      </c>
      <c r="Q588" s="80">
        <f>Tableau1[[#This Row],[Conso HP / jour
Cumul]]*365</f>
        <v>-76171.317237956508</v>
      </c>
      <c r="R588" s="78">
        <v>1895</v>
      </c>
      <c r="S588" s="79">
        <f>Tableau1[[#This Row],[Index HC_x000D_
kWh]]-R587</f>
        <v>15</v>
      </c>
      <c r="T588" s="81">
        <f>Tableau1[[#This Row],[Différence_x000D_ HC
Instantané]]/(Tableau1[[#This Row],[Diff jour
Instantané]]*24)</f>
        <v>0.34259611724360983</v>
      </c>
      <c r="U588" s="81">
        <f>Tableau1[[#This Row],[Différence_x000D_ HC
Instantané]]/Tableau1[[#This Row],[Diff jour
Instantané]]</f>
        <v>8.222306813846636</v>
      </c>
      <c r="V588" s="81">
        <f>Tableau1[[#This Row],[Conso HC / jour_x000D_
Instantané]]*365</f>
        <v>3001.1419870540221</v>
      </c>
      <c r="W588" s="79">
        <f>Tableau1[[#This Row],[Index HC_x000D_
kWh]]-$R$5</f>
        <v>-117537</v>
      </c>
      <c r="X588" s="82">
        <f>Tableau1[[#This Row],[Différence HC
Cumul]]/(Tableau1[[#This Row],[Diff jour_x000D_
Cumul]]*24)</f>
        <v>-5.8048552823605437</v>
      </c>
      <c r="Y588" s="82">
        <f>Tableau1[[#This Row],[Différence HC
Cumul]]/Tableau1[[#This Row],[Diff jour_x000D_
Cumul]]</f>
        <v>-139.31652677665303</v>
      </c>
      <c r="Z588" s="82">
        <f>Tableau1[[#This Row],[Conso HC / jour_x000D_
Cumul]]*365</f>
        <v>-50850.532273478355</v>
      </c>
      <c r="AA588" s="79">
        <f>Tableau1[[#This Row],[Différence HP
Instantané]]+Tableau1[[#This Row],[Différence_x000D_ HC
Instantané]]</f>
        <v>31</v>
      </c>
      <c r="AB588" s="80">
        <f>Tableau1[[#This Row],[Conso HP + HC
Instantané]]/(Tableau1[[#This Row],[Diff jour
Instantané]]*24)</f>
        <v>0.70803197563679365</v>
      </c>
      <c r="AC588" s="80">
        <f>IF(ISERROR(Tableau1[[#This Row],[Date]]-A587),"",Tableau1[[#This Row],[Conso HP + HC
Instantané]]/Tableau1[[#This Row],[Diff jour
Instantané]])</f>
        <v>16.992767415283048</v>
      </c>
      <c r="AD588" s="80">
        <f>Tableau1[[#This Row],[Conso HP + HC / jour_x000D_
Instantané]]*365</f>
        <v>6202.3601065783123</v>
      </c>
      <c r="AE588" s="79">
        <f>Tableau1[[#This Row],[Différence HP
Cumul]]+Tableau1[[#This Row],[Différence HC
Cumul]]</f>
        <v>-293601</v>
      </c>
      <c r="AF588" s="77">
        <f>(Tableau1[[#This Row],[Conso HP + HC
Cumul]]-AE$6)/Tableau1[[#This Row],[Diff jour_x000D_
Cumul
depuis le 24/01]]</f>
        <v>-367.64816476630517</v>
      </c>
      <c r="AG588" s="77">
        <f>(Tableau1[[#This Row],[Conso HP + HC
Cumul]]-AE$59)/Tableau1[[#This Row],[Diff jour_x000D_
Cumul
depuis
précédente facture
16/02/2021]]</f>
        <v>-380.27191905038666</v>
      </c>
      <c r="AH588" s="80">
        <f>Tableau1[[#This Row],[Conso HP + HC
Cumul]]/(Tableau1[[#This Row],[Diff jour_x000D_
Cumul]]*24)</f>
        <v>-14.500211131442336</v>
      </c>
      <c r="AI588" s="80">
        <f>Tableau1[[#This Row],[Conso HP + HC
Cumul]]/Tableau1[[#This Row],[Diff jour_x000D_
Cumul]]</f>
        <v>-348.00506715461609</v>
      </c>
      <c r="AJ588" s="80">
        <f>Tableau1[[#This Row],[Conso HP + HC / jour_x000D_
Cumul]]*365</f>
        <v>-127021.84951143488</v>
      </c>
      <c r="AK588" s="83">
        <f>(Tableau1[[#This Row],[Différence HP
Cumul]]*0.1799)+(Tableau1[[#This Row],[Différence HC
Cumul]]*0.1346)</f>
        <v>-47494.393799999998</v>
      </c>
      <c r="AL588" s="83">
        <f>Tableau1[[#This Row],[Montant
Tarif HP/HC]]/Tableau1[[#This Row],[Diff jour_x000D_
Cumul]]</f>
        <v>-56.295072918133052</v>
      </c>
      <c r="AM588" s="83">
        <f>(Tableau1[[#This Row],[Montant
Tarif HP/HC]]-AK$6)/Tableau1[[#This Row],[Diff jour_x000D_
Cumul
depuis le 24/01]]</f>
        <v>-59.483225997656838</v>
      </c>
      <c r="AN588" s="83">
        <f>(Tableau1[[#This Row],[Montant
Tarif HP/HC]]-AK$59)/Tableau1[[#This Row],[Diff jour_x000D_
Cumul
depuis
précédente facture
16/02/2021]]</f>
        <v>-61.535501361723888</v>
      </c>
      <c r="AO588" s="83">
        <f>Tableau1[[#This Row],[Conso HP + HC
Cumul]]*0.1599</f>
        <v>-46946.799899999998</v>
      </c>
      <c r="AP588" s="83">
        <f>Tableau1[[#This Row],[Montant
Tarif normal]]/Tableau1[[#This Row],[Diff jour_x000D_
Cumul]]</f>
        <v>-55.646010238023109</v>
      </c>
      <c r="AQ588" s="83">
        <f>(Tableau1[[#This Row],[Conso HP / an
Cumul]]*0.1799)+(Tableau1[[#This Row],[Conso HC / an_x000D_
Cumul]]*0.1346)</f>
        <v>-20547.701615118563</v>
      </c>
      <c r="AR588" s="83">
        <f>Tableau1[[#This Row],[Conso HP + HC / an_x000D_
Cumul]]*0.1599</f>
        <v>-20310.793736878437</v>
      </c>
      <c r="AS588" s="79">
        <f>MONTH(Tableau1[[#This Row],[Date]])</f>
        <v>4</v>
      </c>
      <c r="AT588" s="79">
        <f>YEAR(Tableau1[[#This Row],[Date]])</f>
        <v>2023</v>
      </c>
    </row>
    <row r="589" spans="1:46" x14ac:dyDescent="0.2">
      <c r="A589" s="74">
        <v>45027.325694444444</v>
      </c>
      <c r="B589" s="75"/>
      <c r="C589" s="76">
        <f>IF(ISERROR(Tableau1[[#This Row],[Date]]-A588),"",Tableau1[[#This Row],[Date]]-A588)</f>
        <v>0.94861111111094942</v>
      </c>
      <c r="D589" s="77">
        <f>IF(ISERROR(Tableau1[[#This Row],[Date]]-A588),"",Tableau1[[#This Row],[Date]]-A588)</f>
        <v>0.94861111111094942</v>
      </c>
      <c r="E589" s="76">
        <f>Tableau1[[#This Row],[Date]]-$A$5</f>
        <v>844.61736111110804</v>
      </c>
      <c r="F589" s="77">
        <f>Tableau1[[#This Row],[Date]]-$A$5</f>
        <v>844.61736111110804</v>
      </c>
      <c r="G589" s="77">
        <f>Tableau1[[#This Row],[Diff jour_x000D_
Cumul]]-F$6</f>
        <v>806.53402777777956</v>
      </c>
      <c r="H589" s="77">
        <f>Tableau1[[#This Row],[Diff jour_x000D_
Cumul]]-F$59</f>
        <v>784.01458333332994</v>
      </c>
      <c r="I589" s="78">
        <v>3716</v>
      </c>
      <c r="J589" s="79">
        <f>IF(ISERROR(Tableau1[[#This Row],[Index HP
kWh]]-I588),"",Tableau1[[#This Row],[Index HP
kWh]]-I588)</f>
        <v>21</v>
      </c>
      <c r="K589" s="77">
        <f>IF(ISERROR(Tableau1[[#This Row],[Différence HP
Instantané]]/(Tableau1[[#This Row],[Diff jour
Instantané]]*24)),"",Tableau1[[#This Row],[Différence HP
Instantané]]/(Tableau1[[#This Row],[Diff jour
Instantané]]*24))</f>
        <v>0.92240117130323185</v>
      </c>
      <c r="L589" s="77">
        <f>Tableau1[[#This Row],[Différence HP
Instantané]]/Tableau1[[#This Row],[Diff jour
Instantané]]</f>
        <v>22.137628111277564</v>
      </c>
      <c r="M589" s="77">
        <f>Tableau1[[#This Row],[Conso HP / jour
Instantané]]*365</f>
        <v>8080.2342606163111</v>
      </c>
      <c r="N589" s="79">
        <f>Tableau1[[#This Row],[Index HP
kWh]]-$I$5</f>
        <v>-176043</v>
      </c>
      <c r="O589" s="80">
        <f>Tableau1[[#This Row],[Différence HP
Cumul]]/(Tableau1[[#This Row],[Diff jour_x000D_
Cumul]]*24)</f>
        <v>-8.684553903024824</v>
      </c>
      <c r="P589" s="80">
        <f>Tableau1[[#This Row],[Différence HP
Cumul]]/Tableau1[[#This Row],[Diff jour_x000D_
Cumul]]</f>
        <v>-208.42929367259575</v>
      </c>
      <c r="Q589" s="80">
        <f>Tableau1[[#This Row],[Conso HP / jour
Cumul]]*365</f>
        <v>-76076.692190497444</v>
      </c>
      <c r="R589" s="78">
        <v>1906</v>
      </c>
      <c r="S589" s="79">
        <f>Tableau1[[#This Row],[Index HC_x000D_
kWh]]-R588</f>
        <v>11</v>
      </c>
      <c r="T589" s="81">
        <f>Tableau1[[#This Row],[Différence_x000D_ HC
Instantané]]/(Tableau1[[#This Row],[Diff jour
Instantané]]*24)</f>
        <v>0.48316251830169288</v>
      </c>
      <c r="U589" s="81">
        <f>Tableau1[[#This Row],[Différence_x000D_ HC
Instantané]]/Tableau1[[#This Row],[Diff jour
Instantané]]</f>
        <v>11.59590043924063</v>
      </c>
      <c r="V589" s="81">
        <f>Tableau1[[#This Row],[Conso HC / jour_x000D_
Instantané]]*365</f>
        <v>4232.50366032283</v>
      </c>
      <c r="W589" s="79">
        <f>Tableau1[[#This Row],[Index HC_x000D_
kWh]]-$R$5</f>
        <v>-117526</v>
      </c>
      <c r="X589" s="82">
        <f>Tableau1[[#This Row],[Différence HC
Cumul]]/(Tableau1[[#This Row],[Diff jour_x000D_
Cumul]]*24)</f>
        <v>-5.7977930506006796</v>
      </c>
      <c r="Y589" s="82">
        <f>Tableau1[[#This Row],[Différence HC
Cumul]]/Tableau1[[#This Row],[Diff jour_x000D_
Cumul]]</f>
        <v>-139.1470332144163</v>
      </c>
      <c r="Z589" s="82">
        <f>Tableau1[[#This Row],[Conso HC / jour_x000D_
Cumul]]*365</f>
        <v>-50788.667123261948</v>
      </c>
      <c r="AA589" s="79">
        <f>Tableau1[[#This Row],[Différence HP
Instantané]]+Tableau1[[#This Row],[Différence_x000D_ HC
Instantané]]</f>
        <v>32</v>
      </c>
      <c r="AB589" s="80">
        <f>Tableau1[[#This Row],[Conso HP + HC
Instantané]]/(Tableau1[[#This Row],[Diff jour
Instantané]]*24)</f>
        <v>1.4055636896049248</v>
      </c>
      <c r="AC589" s="80">
        <f>IF(ISERROR(Tableau1[[#This Row],[Date]]-A588),"",Tableau1[[#This Row],[Conso HP + HC
Instantané]]/Tableau1[[#This Row],[Diff jour
Instantané]])</f>
        <v>33.733528550518194</v>
      </c>
      <c r="AD589" s="80">
        <f>Tableau1[[#This Row],[Conso HP + HC / jour_x000D_
Instantané]]*365</f>
        <v>12312.73792093914</v>
      </c>
      <c r="AE589" s="79">
        <f>Tableau1[[#This Row],[Différence HP
Cumul]]+Tableau1[[#This Row],[Différence HC
Cumul]]</f>
        <v>-293569</v>
      </c>
      <c r="AF589" s="77">
        <f>(Tableau1[[#This Row],[Conso HP + HC
Cumul]]-AE$6)/Tableau1[[#This Row],[Diff jour_x000D_
Cumul
depuis le 24/01]]</f>
        <v>-367.17607664483319</v>
      </c>
      <c r="AG589" s="77">
        <f>(Tableau1[[#This Row],[Conso HP + HC
Cumul]]-AE$59)/Tableau1[[#This Row],[Diff jour_x000D_
Cumul
depuis
précédente facture
16/02/2021]]</f>
        <v>-379.77099703183831</v>
      </c>
      <c r="AH589" s="80">
        <f>Tableau1[[#This Row],[Conso HP + HC
Cumul]]/(Tableau1[[#This Row],[Diff jour_x000D_
Cumul]]*24)</f>
        <v>-14.482346953625502</v>
      </c>
      <c r="AI589" s="80">
        <f>Tableau1[[#This Row],[Conso HP + HC
Cumul]]/Tableau1[[#This Row],[Diff jour_x000D_
Cumul]]</f>
        <v>-347.57632688701204</v>
      </c>
      <c r="AJ589" s="80">
        <f>Tableau1[[#This Row],[Conso HP + HC / jour_x000D_
Cumul]]*365</f>
        <v>-126865.3593137594</v>
      </c>
      <c r="AK589" s="83">
        <f>(Tableau1[[#This Row],[Différence HP
Cumul]]*0.1799)+(Tableau1[[#This Row],[Différence HC
Cumul]]*0.1346)</f>
        <v>-47489.135300000002</v>
      </c>
      <c r="AL589" s="83">
        <f>Tableau1[[#This Row],[Montant
Tarif HP/HC]]/Tableau1[[#This Row],[Diff jour_x000D_
Cumul]]</f>
        <v>-56.225620602360415</v>
      </c>
      <c r="AM589" s="83">
        <f>(Tableau1[[#This Row],[Montant
Tarif HP/HC]]-AK$6)/Tableau1[[#This Row],[Diff jour_x000D_
Cumul
depuis le 24/01]]</f>
        <v>-59.406744476751818</v>
      </c>
      <c r="AN589" s="83">
        <f>(Tableau1[[#This Row],[Montant
Tarif HP/HC]]-AK$59)/Tableau1[[#This Row],[Diff jour_x000D_
Cumul
depuis
précédente facture
16/02/2021]]</f>
        <v>-61.454339911832264</v>
      </c>
      <c r="AO589" s="83">
        <f>Tableau1[[#This Row],[Conso HP + HC
Cumul]]*0.1599</f>
        <v>-46941.683099999995</v>
      </c>
      <c r="AP589" s="83">
        <f>Tableau1[[#This Row],[Montant
Tarif normal]]/Tableau1[[#This Row],[Diff jour_x000D_
Cumul]]</f>
        <v>-55.577454669233227</v>
      </c>
      <c r="AQ589" s="83">
        <f>(Tableau1[[#This Row],[Conso HP / an
Cumul]]*0.1799)+(Tableau1[[#This Row],[Conso HC / an_x000D_
Cumul]]*0.1346)</f>
        <v>-20522.35151986155</v>
      </c>
      <c r="AR589" s="83">
        <f>Tableau1[[#This Row],[Conso HP + HC / an_x000D_
Cumul]]*0.1599</f>
        <v>-20285.770954270127</v>
      </c>
      <c r="AS589" s="79">
        <f>MONTH(Tableau1[[#This Row],[Date]])</f>
        <v>4</v>
      </c>
      <c r="AT589" s="79">
        <f>YEAR(Tableau1[[#This Row],[Date]])</f>
        <v>2023</v>
      </c>
    </row>
    <row r="590" spans="1:46" x14ac:dyDescent="0.2">
      <c r="A590" s="74">
        <v>45028.390277777777</v>
      </c>
      <c r="B590" s="75"/>
      <c r="C590" s="76">
        <f>IF(ISERROR(Tableau1[[#This Row],[Date]]-A589),"",Tableau1[[#This Row],[Date]]-A589)</f>
        <v>1.0645833333328483</v>
      </c>
      <c r="D590" s="77">
        <f>IF(ISERROR(Tableau1[[#This Row],[Date]]-A589),"",Tableau1[[#This Row],[Date]]-A589)</f>
        <v>1.0645833333328483</v>
      </c>
      <c r="E590" s="76">
        <f>Tableau1[[#This Row],[Date]]-$A$5</f>
        <v>845.68194444444089</v>
      </c>
      <c r="F590" s="77">
        <f>Tableau1[[#This Row],[Date]]-$A$5</f>
        <v>845.68194444444089</v>
      </c>
      <c r="G590" s="77">
        <f>Tableau1[[#This Row],[Diff jour_x000D_
Cumul]]-F$6</f>
        <v>807.5986111111124</v>
      </c>
      <c r="H590" s="77">
        <f>Tableau1[[#This Row],[Diff jour_x000D_
Cumul]]-F$59</f>
        <v>785.07916666666279</v>
      </c>
      <c r="I590" s="78">
        <v>3738</v>
      </c>
      <c r="J590" s="79">
        <f>IF(ISERROR(Tableau1[[#This Row],[Index HP
kWh]]-I589),"",Tableau1[[#This Row],[Index HP
kWh]]-I589)</f>
        <v>22</v>
      </c>
      <c r="K590" s="77">
        <f>IF(ISERROR(Tableau1[[#This Row],[Différence HP
Instantané]]/(Tableau1[[#This Row],[Diff jour
Instantané]]*24)),"",Tableau1[[#This Row],[Différence HP
Instantané]]/(Tableau1[[#This Row],[Diff jour
Instantané]]*24))</f>
        <v>0.86105675146810268</v>
      </c>
      <c r="L590" s="77">
        <f>Tableau1[[#This Row],[Différence HP
Instantané]]/Tableau1[[#This Row],[Diff jour
Instantané]]</f>
        <v>20.665362035234466</v>
      </c>
      <c r="M590" s="77">
        <f>Tableau1[[#This Row],[Conso HP / jour
Instantané]]*365</f>
        <v>7542.8571428605801</v>
      </c>
      <c r="N590" s="79">
        <f>Tableau1[[#This Row],[Index HP
kWh]]-$I$5</f>
        <v>-176021</v>
      </c>
      <c r="O590" s="80">
        <f>Tableau1[[#This Row],[Différence HP
Cumul]]/(Tableau1[[#This Row],[Diff jour_x000D_
Cumul]]*24)</f>
        <v>-8.6725374492315073</v>
      </c>
      <c r="P590" s="80">
        <f>Tableau1[[#This Row],[Différence HP
Cumul]]/Tableau1[[#This Row],[Diff jour_x000D_
Cumul]]</f>
        <v>-208.14089878155619</v>
      </c>
      <c r="Q590" s="80">
        <f>Tableau1[[#This Row],[Conso HP / jour
Cumul]]*365</f>
        <v>-75971.428055268014</v>
      </c>
      <c r="R590" s="78">
        <v>1920</v>
      </c>
      <c r="S590" s="79">
        <f>Tableau1[[#This Row],[Index HC_x000D_
kWh]]-R589</f>
        <v>14</v>
      </c>
      <c r="T590" s="81">
        <f>Tableau1[[#This Row],[Différence_x000D_ HC
Instantané]]/(Tableau1[[#This Row],[Diff jour
Instantané]]*24)</f>
        <v>0.54794520547970171</v>
      </c>
      <c r="U590" s="81">
        <f>Tableau1[[#This Row],[Différence_x000D_ HC
Instantané]]/Tableau1[[#This Row],[Diff jour
Instantané]]</f>
        <v>13.150684931512842</v>
      </c>
      <c r="V590" s="81">
        <f>Tableau1[[#This Row],[Conso HC / jour_x000D_
Instantané]]*365</f>
        <v>4800.0000000021873</v>
      </c>
      <c r="W590" s="79">
        <f>Tableau1[[#This Row],[Index HC_x000D_
kWh]]-$R$5</f>
        <v>-117512</v>
      </c>
      <c r="X590" s="82">
        <f>Tableau1[[#This Row],[Différence HC
Cumul]]/(Tableau1[[#This Row],[Diff jour_x000D_
Cumul]]*24)</f>
        <v>-5.7898047433777391</v>
      </c>
      <c r="Y590" s="82">
        <f>Tableau1[[#This Row],[Différence HC
Cumul]]/Tableau1[[#This Row],[Diff jour_x000D_
Cumul]]</f>
        <v>-138.95531384106573</v>
      </c>
      <c r="Z590" s="82">
        <f>Tableau1[[#This Row],[Conso HC / jour_x000D_
Cumul]]*365</f>
        <v>-50718.689551988995</v>
      </c>
      <c r="AA590" s="79">
        <f>Tableau1[[#This Row],[Différence HP
Instantané]]+Tableau1[[#This Row],[Différence_x000D_ HC
Instantané]]</f>
        <v>36</v>
      </c>
      <c r="AB590" s="80">
        <f>Tableau1[[#This Row],[Conso HP + HC
Instantané]]/(Tableau1[[#This Row],[Diff jour
Instantané]]*24)</f>
        <v>1.4090019569478045</v>
      </c>
      <c r="AC590" s="80">
        <f>IF(ISERROR(Tableau1[[#This Row],[Date]]-A589),"",Tableau1[[#This Row],[Conso HP + HC
Instantané]]/Tableau1[[#This Row],[Diff jour
Instantané]])</f>
        <v>33.816046966747308</v>
      </c>
      <c r="AD590" s="80">
        <f>Tableau1[[#This Row],[Conso HP + HC / jour_x000D_
Instantané]]*365</f>
        <v>12342.857142862767</v>
      </c>
      <c r="AE590" s="79">
        <f>Tableau1[[#This Row],[Différence HP
Cumul]]+Tableau1[[#This Row],[Différence HC
Cumul]]</f>
        <v>-293533</v>
      </c>
      <c r="AF590" s="77">
        <f>(Tableau1[[#This Row],[Conso HP + HC
Cumul]]-AE$6)/Tableau1[[#This Row],[Diff jour_x000D_
Cumul
depuis le 24/01]]</f>
        <v>-366.64748542919534</v>
      </c>
      <c r="AG590" s="77">
        <f>(Tableau1[[#This Row],[Conso HP + HC
Cumul]]-AE$59)/Tableau1[[#This Row],[Diff jour_x000D_
Cumul
depuis
précédente facture
16/02/2021]]</f>
        <v>-379.21016458000707</v>
      </c>
      <c r="AH590" s="80">
        <f>Tableau1[[#This Row],[Conso HP + HC
Cumul]]/(Tableau1[[#This Row],[Diff jour_x000D_
Cumul]]*24)</f>
        <v>-14.462342192609247</v>
      </c>
      <c r="AI590" s="80">
        <f>Tableau1[[#This Row],[Conso HP + HC
Cumul]]/Tableau1[[#This Row],[Diff jour_x000D_
Cumul]]</f>
        <v>-347.09621262262192</v>
      </c>
      <c r="AJ590" s="80">
        <f>Tableau1[[#This Row],[Conso HP + HC / jour_x000D_
Cumul]]*365</f>
        <v>-126690.11760725699</v>
      </c>
      <c r="AK590" s="83">
        <f>(Tableau1[[#This Row],[Différence HP
Cumul]]*0.1799)+(Tableau1[[#This Row],[Différence HC
Cumul]]*0.1346)</f>
        <v>-47483.293100000003</v>
      </c>
      <c r="AL590" s="83">
        <f>Tableau1[[#This Row],[Montant
Tarif HP/HC]]/Tableau1[[#This Row],[Diff jour_x000D_
Cumul]]</f>
        <v>-56.147932933809408</v>
      </c>
      <c r="AM590" s="83">
        <f>(Tableau1[[#This Row],[Montant
Tarif HP/HC]]-AK$6)/Tableau1[[#This Row],[Diff jour_x000D_
Cumul
depuis le 24/01]]</f>
        <v>-59.321199963540657</v>
      </c>
      <c r="AN590" s="83">
        <f>(Tableau1[[#This Row],[Montant
Tarif HP/HC]]-AK$59)/Tableau1[[#This Row],[Diff jour_x000D_
Cumul
depuis
précédente facture
16/02/2021]]</f>
        <v>-61.363565033250673</v>
      </c>
      <c r="AO590" s="83">
        <f>Tableau1[[#This Row],[Conso HP + HC
Cumul]]*0.1599</f>
        <v>-46935.926699999996</v>
      </c>
      <c r="AP590" s="83">
        <f>Tableau1[[#This Row],[Montant
Tarif normal]]/Tableau1[[#This Row],[Diff jour_x000D_
Cumul]]</f>
        <v>-55.500684398357244</v>
      </c>
      <c r="AQ590" s="83">
        <f>(Tableau1[[#This Row],[Conso HP / an
Cumul]]*0.1799)+(Tableau1[[#This Row],[Conso HC / an_x000D_
Cumul]]*0.1346)</f>
        <v>-20493.995520840435</v>
      </c>
      <c r="AR590" s="83">
        <f>Tableau1[[#This Row],[Conso HP + HC / an_x000D_
Cumul]]*0.1599</f>
        <v>-20257.749805400392</v>
      </c>
      <c r="AS590" s="79">
        <f>MONTH(Tableau1[[#This Row],[Date]])</f>
        <v>4</v>
      </c>
      <c r="AT590" s="79">
        <f>YEAR(Tableau1[[#This Row],[Date]])</f>
        <v>2023</v>
      </c>
    </row>
    <row r="591" spans="1:46" x14ac:dyDescent="0.2">
      <c r="A591" s="74">
        <v>45029.321527777778</v>
      </c>
      <c r="B591" s="75"/>
      <c r="C591" s="76">
        <f>IF(ISERROR(Tableau1[[#This Row],[Date]]-A590),"",Tableau1[[#This Row],[Date]]-A590)</f>
        <v>0.93125000000145519</v>
      </c>
      <c r="D591" s="77">
        <f>IF(ISERROR(Tableau1[[#This Row],[Date]]-A590),"",Tableau1[[#This Row],[Date]]-A590)</f>
        <v>0.93125000000145519</v>
      </c>
      <c r="E591" s="76">
        <f>Tableau1[[#This Row],[Date]]-$A$5</f>
        <v>846.61319444444234</v>
      </c>
      <c r="F591" s="77">
        <f>Tableau1[[#This Row],[Date]]-$A$5</f>
        <v>846.61319444444234</v>
      </c>
      <c r="G591" s="77">
        <f>Tableau1[[#This Row],[Diff jour_x000D_
Cumul]]-F$6</f>
        <v>808.52986111111386</v>
      </c>
      <c r="H591" s="77">
        <f>Tableau1[[#This Row],[Diff jour_x000D_
Cumul]]-F$59</f>
        <v>786.01041666666424</v>
      </c>
      <c r="I591" s="78">
        <v>3761</v>
      </c>
      <c r="J591" s="79">
        <f>IF(ISERROR(Tableau1[[#This Row],[Index HP
kWh]]-I590),"",Tableau1[[#This Row],[Index HP
kWh]]-I590)</f>
        <v>23</v>
      </c>
      <c r="K591" s="77">
        <f>IF(ISERROR(Tableau1[[#This Row],[Différence HP
Instantané]]/(Tableau1[[#This Row],[Diff jour
Instantané]]*24)),"",Tableau1[[#This Row],[Différence HP
Instantané]]/(Tableau1[[#This Row],[Diff jour
Instantané]]*24))</f>
        <v>1.029082774047609</v>
      </c>
      <c r="L591" s="77">
        <f>Tableau1[[#This Row],[Différence HP
Instantané]]/Tableau1[[#This Row],[Diff jour
Instantané]]</f>
        <v>24.697986577142615</v>
      </c>
      <c r="M591" s="77">
        <f>Tableau1[[#This Row],[Conso HP / jour
Instantané]]*365</f>
        <v>9014.7651006570541</v>
      </c>
      <c r="N591" s="79">
        <f>Tableau1[[#This Row],[Index HP
kWh]]-$I$5</f>
        <v>-175998</v>
      </c>
      <c r="O591" s="80">
        <f>Tableau1[[#This Row],[Différence HP
Cumul]]/(Tableau1[[#This Row],[Diff jour_x000D_
Cumul]]*24)</f>
        <v>-8.6618659478986331</v>
      </c>
      <c r="P591" s="80">
        <f>Tableau1[[#This Row],[Différence HP
Cumul]]/Tableau1[[#This Row],[Diff jour_x000D_
Cumul]]</f>
        <v>-207.88478274956722</v>
      </c>
      <c r="Q591" s="80">
        <f>Tableau1[[#This Row],[Conso HP / jour
Cumul]]*365</f>
        <v>-75877.945703592035</v>
      </c>
      <c r="R591" s="78">
        <v>1938</v>
      </c>
      <c r="S591" s="79">
        <f>Tableau1[[#This Row],[Index HC_x000D_
kWh]]-R590</f>
        <v>18</v>
      </c>
      <c r="T591" s="81">
        <f>Tableau1[[#This Row],[Différence_x000D_ HC
Instantané]]/(Tableau1[[#This Row],[Diff jour
Instantané]]*24)</f>
        <v>0.80536912751552003</v>
      </c>
      <c r="U591" s="81">
        <f>Tableau1[[#This Row],[Différence_x000D_ HC
Instantané]]/Tableau1[[#This Row],[Diff jour
Instantané]]</f>
        <v>19.32885906037248</v>
      </c>
      <c r="V591" s="81">
        <f>Tableau1[[#This Row],[Conso HC / jour_x000D_
Instantané]]*365</f>
        <v>7055.0335570359548</v>
      </c>
      <c r="W591" s="79">
        <f>Tableau1[[#This Row],[Index HC_x000D_
kWh]]-$R$5</f>
        <v>-117494</v>
      </c>
      <c r="X591" s="82">
        <f>Tableau1[[#This Row],[Différence HC
Cumul]]/(Tableau1[[#This Row],[Diff jour_x000D_
Cumul]]*24)</f>
        <v>-5.7825502430845921</v>
      </c>
      <c r="Y591" s="82">
        <f>Tableau1[[#This Row],[Différence HC
Cumul]]/Tableau1[[#This Row],[Diff jour_x000D_
Cumul]]</f>
        <v>-138.7812058340302</v>
      </c>
      <c r="Z591" s="82">
        <f>Tableau1[[#This Row],[Conso HC / jour_x000D_
Cumul]]*365</f>
        <v>-50655.140129421023</v>
      </c>
      <c r="AA591" s="79">
        <f>Tableau1[[#This Row],[Différence HP
Instantané]]+Tableau1[[#This Row],[Différence_x000D_ HC
Instantané]]</f>
        <v>41</v>
      </c>
      <c r="AB591" s="80">
        <f>Tableau1[[#This Row],[Conso HP + HC
Instantané]]/(Tableau1[[#This Row],[Diff jour
Instantané]]*24)</f>
        <v>1.8344519015631289</v>
      </c>
      <c r="AC591" s="80">
        <f>IF(ISERROR(Tableau1[[#This Row],[Date]]-A590),"",Tableau1[[#This Row],[Conso HP + HC
Instantané]]/Tableau1[[#This Row],[Diff jour
Instantané]])</f>
        <v>44.026845637515095</v>
      </c>
      <c r="AD591" s="80">
        <f>Tableau1[[#This Row],[Conso HP + HC / jour_x000D_
Instantané]]*365</f>
        <v>16069.798657693009</v>
      </c>
      <c r="AE591" s="79">
        <f>Tableau1[[#This Row],[Différence HP
Cumul]]+Tableau1[[#This Row],[Différence HC
Cumul]]</f>
        <v>-293492</v>
      </c>
      <c r="AF591" s="77">
        <f>(Tableau1[[#This Row],[Conso HP + HC
Cumul]]-AE$6)/Tableau1[[#This Row],[Diff jour_x000D_
Cumul
depuis le 24/01]]</f>
        <v>-366.1744781981688</v>
      </c>
      <c r="AG591" s="77">
        <f>(Tableau1[[#This Row],[Conso HP + HC
Cumul]]-AE$59)/Tableau1[[#This Row],[Diff jour_x000D_
Cumul
depuis
précédente facture
16/02/2021]]</f>
        <v>-378.70872152351785</v>
      </c>
      <c r="AH591" s="80">
        <f>Tableau1[[#This Row],[Conso HP + HC
Cumul]]/(Tableau1[[#This Row],[Diff jour_x000D_
Cumul]]*24)</f>
        <v>-14.444416190983226</v>
      </c>
      <c r="AI591" s="80">
        <f>Tableau1[[#This Row],[Conso HP + HC
Cumul]]/Tableau1[[#This Row],[Diff jour_x000D_
Cumul]]</f>
        <v>-346.66598858359743</v>
      </c>
      <c r="AJ591" s="80">
        <f>Tableau1[[#This Row],[Conso HP + HC / jour_x000D_
Cumul]]*365</f>
        <v>-126533.08583301306</v>
      </c>
      <c r="AK591" s="83">
        <f>(Tableau1[[#This Row],[Différence HP
Cumul]]*0.1799)+(Tableau1[[#This Row],[Différence HC
Cumul]]*0.1346)</f>
        <v>-47476.732600000003</v>
      </c>
      <c r="AL591" s="83">
        <f>Tableau1[[#This Row],[Montant
Tarif HP/HC]]/Tableau1[[#This Row],[Diff jour_x000D_
Cumul]]</f>
        <v>-56.078422721907614</v>
      </c>
      <c r="AM591" s="83">
        <f>(Tableau1[[#This Row],[Montant
Tarif HP/HC]]-AK$6)/Tableau1[[#This Row],[Diff jour_x000D_
Cumul
depuis le 24/01]]</f>
        <v>-59.244760773797928</v>
      </c>
      <c r="AN591" s="83">
        <f>(Tableau1[[#This Row],[Montant
Tarif HP/HC]]-AK$59)/Tableau1[[#This Row],[Diff jour_x000D_
Cumul
depuis
précédente facture
16/02/2021]]</f>
        <v>-61.282516082007163</v>
      </c>
      <c r="AO591" s="83">
        <f>Tableau1[[#This Row],[Conso HP + HC
Cumul]]*0.1599</f>
        <v>-46929.370799999997</v>
      </c>
      <c r="AP591" s="83">
        <f>Tableau1[[#This Row],[Montant
Tarif normal]]/Tableau1[[#This Row],[Diff jour_x000D_
Cumul]]</f>
        <v>-55.431891574517223</v>
      </c>
      <c r="AQ591" s="83">
        <f>(Tableau1[[#This Row],[Conso HP / an
Cumul]]*0.1799)+(Tableau1[[#This Row],[Conso HC / an_x000D_
Cumul]]*0.1346)</f>
        <v>-20468.624293496279</v>
      </c>
      <c r="AR591" s="83">
        <f>Tableau1[[#This Row],[Conso HP + HC / an_x000D_
Cumul]]*0.1599</f>
        <v>-20232.640424698788</v>
      </c>
      <c r="AS591" s="79">
        <f>MONTH(Tableau1[[#This Row],[Date]])</f>
        <v>4</v>
      </c>
      <c r="AT591" s="79">
        <f>YEAR(Tableau1[[#This Row],[Date]])</f>
        <v>2023</v>
      </c>
    </row>
    <row r="592" spans="1:46" x14ac:dyDescent="0.2">
      <c r="A592" s="74">
        <v>45030.347916666666</v>
      </c>
      <c r="B592" s="75"/>
      <c r="C592" s="76">
        <f>IF(ISERROR(Tableau1[[#This Row],[Date]]-A591),"",Tableau1[[#This Row],[Date]]-A591)</f>
        <v>1.0263888888875954</v>
      </c>
      <c r="D592" s="77">
        <f>IF(ISERROR(Tableau1[[#This Row],[Date]]-A591),"",Tableau1[[#This Row],[Date]]-A591)</f>
        <v>1.0263888888875954</v>
      </c>
      <c r="E592" s="76">
        <f>Tableau1[[#This Row],[Date]]-$A$5</f>
        <v>847.63958333332994</v>
      </c>
      <c r="F592" s="77">
        <f>Tableau1[[#This Row],[Date]]-$A$5</f>
        <v>847.63958333332994</v>
      </c>
      <c r="G592" s="77">
        <f>Tableau1[[#This Row],[Diff jour_x000D_
Cumul]]-F$6</f>
        <v>809.55625000000146</v>
      </c>
      <c r="H592" s="77">
        <f>Tableau1[[#This Row],[Diff jour_x000D_
Cumul]]-F$59</f>
        <v>787.03680555555184</v>
      </c>
      <c r="I592" s="78">
        <v>3788</v>
      </c>
      <c r="J592" s="79">
        <f>IF(ISERROR(Tableau1[[#This Row],[Index HP
kWh]]-I591),"",Tableau1[[#This Row],[Index HP
kWh]]-I591)</f>
        <v>27</v>
      </c>
      <c r="K592" s="77">
        <f>IF(ISERROR(Tableau1[[#This Row],[Différence HP
Instantané]]/(Tableau1[[#This Row],[Diff jour
Instantané]]*24)),"",Tableau1[[#This Row],[Différence HP
Instantané]]/(Tableau1[[#This Row],[Diff jour
Instantané]]*24))</f>
        <v>1.0960757780798658</v>
      </c>
      <c r="L592" s="77">
        <f>Tableau1[[#This Row],[Différence HP
Instantané]]/Tableau1[[#This Row],[Diff jour
Instantané]]</f>
        <v>26.305818673916779</v>
      </c>
      <c r="M592" s="77">
        <f>Tableau1[[#This Row],[Conso HP / jour
Instantané]]*365</f>
        <v>9601.6238159796249</v>
      </c>
      <c r="N592" s="79">
        <f>Tableau1[[#This Row],[Index HP
kWh]]-$I$5</f>
        <v>-175971</v>
      </c>
      <c r="O592" s="80">
        <f>Tableau1[[#This Row],[Différence HP
Cumul]]/(Tableau1[[#This Row],[Diff jour_x000D_
Cumul]]*24)</f>
        <v>-8.6500502621250046</v>
      </c>
      <c r="P592" s="80">
        <f>Tableau1[[#This Row],[Différence HP
Cumul]]/Tableau1[[#This Row],[Diff jour_x000D_
Cumul]]</f>
        <v>-207.6012062910001</v>
      </c>
      <c r="Q592" s="80">
        <f>Tableau1[[#This Row],[Conso HP / jour
Cumul]]*365</f>
        <v>-75774.440296215034</v>
      </c>
      <c r="R592" s="78">
        <v>1956</v>
      </c>
      <c r="S592" s="79">
        <f>Tableau1[[#This Row],[Index HC_x000D_
kWh]]-R591</f>
        <v>18</v>
      </c>
      <c r="T592" s="81">
        <f>Tableau1[[#This Row],[Différence_x000D_ HC
Instantané]]/(Tableau1[[#This Row],[Diff jour
Instantané]]*24)</f>
        <v>0.73071718538657715</v>
      </c>
      <c r="U592" s="81">
        <f>Tableau1[[#This Row],[Différence_x000D_ HC
Instantané]]/Tableau1[[#This Row],[Diff jour
Instantané]]</f>
        <v>17.537212449277852</v>
      </c>
      <c r="V592" s="81">
        <f>Tableau1[[#This Row],[Conso HC / jour_x000D_
Instantané]]*365</f>
        <v>6401.0825439864166</v>
      </c>
      <c r="W592" s="79">
        <f>Tableau1[[#This Row],[Index HC_x000D_
kWh]]-$R$5</f>
        <v>-117476</v>
      </c>
      <c r="X592" s="82">
        <f>Tableau1[[#This Row],[Différence HC
Cumul]]/(Tableau1[[#This Row],[Diff jour_x000D_
Cumul]]*24)</f>
        <v>-5.7746634649652329</v>
      </c>
      <c r="Y592" s="82">
        <f>Tableau1[[#This Row],[Différence HC
Cumul]]/Tableau1[[#This Row],[Diff jour_x000D_
Cumul]]</f>
        <v>-138.59192315916559</v>
      </c>
      <c r="Z592" s="82">
        <f>Tableau1[[#This Row],[Conso HC / jour_x000D_
Cumul]]*365</f>
        <v>-50586.051953095441</v>
      </c>
      <c r="AA592" s="79">
        <f>Tableau1[[#This Row],[Différence HP
Instantané]]+Tableau1[[#This Row],[Différence_x000D_ HC
Instantané]]</f>
        <v>45</v>
      </c>
      <c r="AB592" s="80">
        <f>Tableau1[[#This Row],[Conso HP + HC
Instantané]]/(Tableau1[[#This Row],[Diff jour
Instantané]]*24)</f>
        <v>1.826792963466443</v>
      </c>
      <c r="AC592" s="80">
        <f>IF(ISERROR(Tableau1[[#This Row],[Date]]-A591),"",Tableau1[[#This Row],[Conso HP + HC
Instantané]]/Tableau1[[#This Row],[Diff jour
Instantané]])</f>
        <v>43.843031123194628</v>
      </c>
      <c r="AD592" s="80">
        <f>Tableau1[[#This Row],[Conso HP + HC / jour_x000D_
Instantané]]*365</f>
        <v>16002.70635996604</v>
      </c>
      <c r="AE592" s="79">
        <f>Tableau1[[#This Row],[Différence HP
Cumul]]+Tableau1[[#This Row],[Différence HC
Cumul]]</f>
        <v>-293447</v>
      </c>
      <c r="AF592" s="77">
        <f>(Tableau1[[#This Row],[Conso HP + HC
Cumul]]-AE$6)/Tableau1[[#This Row],[Diff jour_x000D_
Cumul
depuis le 24/01]]</f>
        <v>-365.65464104563392</v>
      </c>
      <c r="AG592" s="77">
        <f>(Tableau1[[#This Row],[Conso HP + HC
Cumul]]-AE$59)/Tableau1[[#This Row],[Diff jour_x000D_
Cumul
depuis
précédente facture
16/02/2021]]</f>
        <v>-378.15766416402067</v>
      </c>
      <c r="AH592" s="80">
        <f>Tableau1[[#This Row],[Conso HP + HC
Cumul]]/(Tableau1[[#This Row],[Diff jour_x000D_
Cumul]]*24)</f>
        <v>-14.424713727090237</v>
      </c>
      <c r="AI592" s="80">
        <f>Tableau1[[#This Row],[Conso HP + HC
Cumul]]/Tableau1[[#This Row],[Diff jour_x000D_
Cumul]]</f>
        <v>-346.19312945016571</v>
      </c>
      <c r="AJ592" s="80">
        <f>Tableau1[[#This Row],[Conso HP + HC / jour_x000D_
Cumul]]*365</f>
        <v>-126360.49224931048</v>
      </c>
      <c r="AK592" s="83">
        <f>(Tableau1[[#This Row],[Différence HP
Cumul]]*0.1799)+(Tableau1[[#This Row],[Différence HC
Cumul]]*0.1346)</f>
        <v>-47469.452499999999</v>
      </c>
      <c r="AL592" s="83">
        <f>Tableau1[[#This Row],[Montant
Tarif HP/HC]]/Tableau1[[#This Row],[Diff jour_x000D_
Cumul]]</f>
        <v>-56.001929868974607</v>
      </c>
      <c r="AM592" s="83">
        <f>(Tableau1[[#This Row],[Montant
Tarif HP/HC]]-AK$6)/Tableau1[[#This Row],[Diff jour_x000D_
Cumul
depuis le 24/01]]</f>
        <v>-59.160655111982543</v>
      </c>
      <c r="AN592" s="83">
        <f>(Tableau1[[#This Row],[Montant
Tarif HP/HC]]-AK$59)/Tableau1[[#This Row],[Diff jour_x000D_
Cumul
depuis
précédente facture
16/02/2021]]</f>
        <v>-61.193346435690415</v>
      </c>
      <c r="AO592" s="83">
        <f>Tableau1[[#This Row],[Conso HP + HC
Cumul]]*0.1599</f>
        <v>-46922.175299999995</v>
      </c>
      <c r="AP592" s="83">
        <f>Tableau1[[#This Row],[Montant
Tarif normal]]/Tableau1[[#This Row],[Diff jour_x000D_
Cumul]]</f>
        <v>-55.356281399081489</v>
      </c>
      <c r="AQ592" s="83">
        <f>(Tableau1[[#This Row],[Conso HP / an
Cumul]]*0.1799)+(Tableau1[[#This Row],[Conso HC / an_x000D_
Cumul]]*0.1346)</f>
        <v>-20440.704402175732</v>
      </c>
      <c r="AR592" s="83">
        <f>Tableau1[[#This Row],[Conso HP + HC / an_x000D_
Cumul]]*0.1599</f>
        <v>-20205.042710664744</v>
      </c>
      <c r="AS592" s="79">
        <f>MONTH(Tableau1[[#This Row],[Date]])</f>
        <v>4</v>
      </c>
      <c r="AT592" s="79">
        <f>YEAR(Tableau1[[#This Row],[Date]])</f>
        <v>2023</v>
      </c>
    </row>
    <row r="593" spans="1:46" x14ac:dyDescent="0.2">
      <c r="A593" s="74">
        <v>45031.34375</v>
      </c>
      <c r="B593" s="75"/>
      <c r="C593" s="76">
        <f>IF(ISERROR(Tableau1[[#This Row],[Date]]-A592),"",Tableau1[[#This Row],[Date]]-A592)</f>
        <v>0.99583333333430346</v>
      </c>
      <c r="D593" s="77">
        <f>IF(ISERROR(Tableau1[[#This Row],[Date]]-A592),"",Tableau1[[#This Row],[Date]]-A592)</f>
        <v>0.99583333333430346</v>
      </c>
      <c r="E593" s="76">
        <f>Tableau1[[#This Row],[Date]]-$A$5</f>
        <v>848.63541666666424</v>
      </c>
      <c r="F593" s="77">
        <f>Tableau1[[#This Row],[Date]]-$A$5</f>
        <v>848.63541666666424</v>
      </c>
      <c r="G593" s="77">
        <f>Tableau1[[#This Row],[Diff jour_x000D_
Cumul]]-F$6</f>
        <v>810.55208333333576</v>
      </c>
      <c r="H593" s="77">
        <f>Tableau1[[#This Row],[Diff jour_x000D_
Cumul]]-F$59</f>
        <v>788.03263888888614</v>
      </c>
      <c r="I593" s="78">
        <v>3815</v>
      </c>
      <c r="J593" s="79">
        <f>IF(ISERROR(Tableau1[[#This Row],[Index HP
kWh]]-I592),"",Tableau1[[#This Row],[Index HP
kWh]]-I592)</f>
        <v>27</v>
      </c>
      <c r="K593" s="77">
        <f>IF(ISERROR(Tableau1[[#This Row],[Différence HP
Instantané]]/(Tableau1[[#This Row],[Diff jour
Instantané]]*24)),"",Tableau1[[#This Row],[Différence HP
Instantané]]/(Tableau1[[#This Row],[Diff jour
Instantané]]*24))</f>
        <v>1.1297071129696108</v>
      </c>
      <c r="L593" s="77">
        <f>Tableau1[[#This Row],[Différence HP
Instantané]]/Tableau1[[#This Row],[Diff jour
Instantané]]</f>
        <v>27.112970711270659</v>
      </c>
      <c r="M593" s="77">
        <f>Tableau1[[#This Row],[Conso HP / jour
Instantané]]*365</f>
        <v>9896.2343096137902</v>
      </c>
      <c r="N593" s="79">
        <f>Tableau1[[#This Row],[Index HP
kWh]]-$I$5</f>
        <v>-175944</v>
      </c>
      <c r="O593" s="80">
        <f>Tableau1[[#This Row],[Différence HP
Cumul]]/(Tableau1[[#This Row],[Diff jour_x000D_
Cumul]]*24)</f>
        <v>-8.6385741815905686</v>
      </c>
      <c r="P593" s="80">
        <f>Tableau1[[#This Row],[Différence HP
Cumul]]/Tableau1[[#This Row],[Diff jour_x000D_
Cumul]]</f>
        <v>-207.32578035817363</v>
      </c>
      <c r="Q593" s="80">
        <f>Tableau1[[#This Row],[Conso HP / jour
Cumul]]*365</f>
        <v>-75673.909830733377</v>
      </c>
      <c r="R593" s="78">
        <v>1971</v>
      </c>
      <c r="S593" s="79">
        <f>Tableau1[[#This Row],[Index HC_x000D_
kWh]]-R592</f>
        <v>15</v>
      </c>
      <c r="T593" s="81">
        <f>Tableau1[[#This Row],[Différence_x000D_ HC
Instantané]]/(Tableau1[[#This Row],[Diff jour
Instantané]]*24)</f>
        <v>0.62761506276089485</v>
      </c>
      <c r="U593" s="81">
        <f>Tableau1[[#This Row],[Différence_x000D_ HC
Instantané]]/Tableau1[[#This Row],[Diff jour
Instantané]]</f>
        <v>15.062761506261477</v>
      </c>
      <c r="V593" s="81">
        <f>Tableau1[[#This Row],[Conso HC / jour_x000D_
Instantané]]*365</f>
        <v>5497.9079497854391</v>
      </c>
      <c r="W593" s="79">
        <f>Tableau1[[#This Row],[Index HC_x000D_
kWh]]-$R$5</f>
        <v>-117461</v>
      </c>
      <c r="X593" s="82">
        <f>Tableau1[[#This Row],[Différence HC
Cumul]]/(Tableau1[[#This Row],[Diff jour_x000D_
Cumul]]*24)</f>
        <v>-5.7671506953565324</v>
      </c>
      <c r="Y593" s="82">
        <f>Tableau1[[#This Row],[Différence HC
Cumul]]/Tableau1[[#This Row],[Diff jour_x000D_
Cumul]]</f>
        <v>-138.41161668855679</v>
      </c>
      <c r="Z593" s="82">
        <f>Tableau1[[#This Row],[Conso HC / jour_x000D_
Cumul]]*365</f>
        <v>-50520.240091323227</v>
      </c>
      <c r="AA593" s="79">
        <f>Tableau1[[#This Row],[Différence HP
Instantané]]+Tableau1[[#This Row],[Différence_x000D_ HC
Instantané]]</f>
        <v>42</v>
      </c>
      <c r="AB593" s="80">
        <f>Tableau1[[#This Row],[Conso HP + HC
Instantané]]/(Tableau1[[#This Row],[Diff jour
Instantané]]*24)</f>
        <v>1.7573221757305055</v>
      </c>
      <c r="AC593" s="80">
        <f>IF(ISERROR(Tableau1[[#This Row],[Date]]-A592),"",Tableau1[[#This Row],[Conso HP + HC
Instantané]]/Tableau1[[#This Row],[Diff jour
Instantané]])</f>
        <v>42.175732217532136</v>
      </c>
      <c r="AD593" s="80">
        <f>Tableau1[[#This Row],[Conso HP + HC / jour_x000D_
Instantané]]*365</f>
        <v>15394.14225939923</v>
      </c>
      <c r="AE593" s="79">
        <f>Tableau1[[#This Row],[Différence HP
Cumul]]+Tableau1[[#This Row],[Différence HC
Cumul]]</f>
        <v>-293405</v>
      </c>
      <c r="AF593" s="77">
        <f>(Tableau1[[#This Row],[Conso HP + HC
Cumul]]-AE$6)/Tableau1[[#This Row],[Diff jour_x000D_
Cumul
depuis le 24/01]]</f>
        <v>-365.15358616169425</v>
      </c>
      <c r="AG593" s="77">
        <f>(Tableau1[[#This Row],[Conso HP + HC
Cumul]]-AE$59)/Tableau1[[#This Row],[Diff jour_x000D_
Cumul
depuis
précédente facture
16/02/2021]]</f>
        <v>-377.62649072452894</v>
      </c>
      <c r="AH593" s="80">
        <f>Tableau1[[#This Row],[Conso HP + HC
Cumul]]/(Tableau1[[#This Row],[Diff jour_x000D_
Cumul]]*24)</f>
        <v>-14.405724876947101</v>
      </c>
      <c r="AI593" s="80">
        <f>Tableau1[[#This Row],[Conso HP + HC
Cumul]]/Tableau1[[#This Row],[Diff jour_x000D_
Cumul]]</f>
        <v>-345.73739704673039</v>
      </c>
      <c r="AJ593" s="80">
        <f>Tableau1[[#This Row],[Conso HP + HC / jour_x000D_
Cumul]]*365</f>
        <v>-126194.14992205659</v>
      </c>
      <c r="AK593" s="83">
        <f>(Tableau1[[#This Row],[Différence HP
Cumul]]*0.1799)+(Tableau1[[#This Row],[Différence HC
Cumul]]*0.1346)</f>
        <v>-47462.576199999996</v>
      </c>
      <c r="AL593" s="83">
        <f>Tableau1[[#This Row],[Montant
Tarif HP/HC]]/Tableau1[[#This Row],[Diff jour_x000D_
Cumul]]</f>
        <v>-55.928111492715175</v>
      </c>
      <c r="AM593" s="83">
        <f>(Tableau1[[#This Row],[Montant
Tarif HP/HC]]-AK$6)/Tableau1[[#This Row],[Diff jour_x000D_
Cumul
depuis le 24/01]]</f>
        <v>-59.079487653733771</v>
      </c>
      <c r="AN593" s="83">
        <f>(Tableau1[[#This Row],[Montant
Tarif HP/HC]]-AK$59)/Tableau1[[#This Row],[Diff jour_x000D_
Cumul
depuis
précédente facture
16/02/2021]]</f>
        <v>-61.1072907689422</v>
      </c>
      <c r="AO593" s="83">
        <f>Tableau1[[#This Row],[Conso HP + HC
Cumul]]*0.1599</f>
        <v>-46915.459499999997</v>
      </c>
      <c r="AP593" s="83">
        <f>Tableau1[[#This Row],[Montant
Tarif normal]]/Tableau1[[#This Row],[Diff jour_x000D_
Cumul]]</f>
        <v>-55.283409787772193</v>
      </c>
      <c r="AQ593" s="83">
        <f>(Tableau1[[#This Row],[Conso HP / an
Cumul]]*0.1799)+(Tableau1[[#This Row],[Conso HC / an_x000D_
Cumul]]*0.1346)</f>
        <v>-20413.760694841039</v>
      </c>
      <c r="AR593" s="83">
        <f>Tableau1[[#This Row],[Conso HP + HC / an_x000D_
Cumul]]*0.1599</f>
        <v>-20178.444572536846</v>
      </c>
      <c r="AS593" s="79">
        <f>MONTH(Tableau1[[#This Row],[Date]])</f>
        <v>4</v>
      </c>
      <c r="AT593" s="79">
        <f>YEAR(Tableau1[[#This Row],[Date]])</f>
        <v>2023</v>
      </c>
    </row>
    <row r="594" spans="1:46" x14ac:dyDescent="0.2">
      <c r="A594" s="74">
        <v>45032.367361111108</v>
      </c>
      <c r="B594" s="75"/>
      <c r="C594" s="76">
        <f>IF(ISERROR(Tableau1[[#This Row],[Date]]-A593),"",Tableau1[[#This Row],[Date]]-A593)</f>
        <v>1.023611111108039</v>
      </c>
      <c r="D594" s="77">
        <f>IF(ISERROR(Tableau1[[#This Row],[Date]]-A593),"",Tableau1[[#This Row],[Date]]-A593)</f>
        <v>1.023611111108039</v>
      </c>
      <c r="E594" s="76">
        <f>Tableau1[[#This Row],[Date]]-$A$5</f>
        <v>849.65902777777228</v>
      </c>
      <c r="F594" s="77">
        <f>Tableau1[[#This Row],[Date]]-$A$5</f>
        <v>849.65902777777228</v>
      </c>
      <c r="G594" s="77">
        <f>Tableau1[[#This Row],[Diff jour_x000D_
Cumul]]-F$6</f>
        <v>811.5756944444438</v>
      </c>
      <c r="H594" s="77">
        <f>Tableau1[[#This Row],[Diff jour_x000D_
Cumul]]-F$59</f>
        <v>789.05624999999418</v>
      </c>
      <c r="I594" s="78">
        <v>3838</v>
      </c>
      <c r="J594" s="79">
        <f>IF(ISERROR(Tableau1[[#This Row],[Index HP
kWh]]-I593),"",Tableau1[[#This Row],[Index HP
kWh]]-I593)</f>
        <v>23</v>
      </c>
      <c r="K594" s="77">
        <f>IF(ISERROR(Tableau1[[#This Row],[Différence HP
Instantané]]/(Tableau1[[#This Row],[Diff jour
Instantané]]*24)),"",Tableau1[[#This Row],[Différence HP
Instantané]]/(Tableau1[[#This Row],[Diff jour
Instantané]]*24))</f>
        <v>0.93622795115613411</v>
      </c>
      <c r="L594" s="77">
        <f>Tableau1[[#This Row],[Différence HP
Instantané]]/Tableau1[[#This Row],[Diff jour
Instantané]]</f>
        <v>22.469470827747219</v>
      </c>
      <c r="M594" s="77">
        <f>Tableau1[[#This Row],[Conso HP / jour
Instantané]]*365</f>
        <v>8201.3568521277357</v>
      </c>
      <c r="N594" s="79">
        <f>Tableau1[[#This Row],[Index HP
kWh]]-$I$5</f>
        <v>-175921</v>
      </c>
      <c r="O594" s="80">
        <f>Tableau1[[#This Row],[Différence HP
Cumul]]/(Tableau1[[#This Row],[Diff jour_x000D_
Cumul]]*24)</f>
        <v>-8.6270391145468217</v>
      </c>
      <c r="P594" s="80">
        <f>Tableau1[[#This Row],[Différence HP
Cumul]]/Tableau1[[#This Row],[Diff jour_x000D_
Cumul]]</f>
        <v>-207.04893874912375</v>
      </c>
      <c r="Q594" s="80">
        <f>Tableau1[[#This Row],[Conso HP / jour
Cumul]]*365</f>
        <v>-75572.86264343017</v>
      </c>
      <c r="R594" s="78">
        <v>1985</v>
      </c>
      <c r="S594" s="79">
        <f>Tableau1[[#This Row],[Index HC_x000D_
kWh]]-R593</f>
        <v>14</v>
      </c>
      <c r="T594" s="81">
        <f>Tableau1[[#This Row],[Différence_x000D_ HC
Instantané]]/(Tableau1[[#This Row],[Diff jour
Instantané]]*24)</f>
        <v>0.5698778833124295</v>
      </c>
      <c r="U594" s="81">
        <f>Tableau1[[#This Row],[Différence_x000D_ HC
Instantané]]/Tableau1[[#This Row],[Diff jour
Instantané]]</f>
        <v>13.677069199498307</v>
      </c>
      <c r="V594" s="81">
        <f>Tableau1[[#This Row],[Conso HC / jour_x000D_
Instantané]]*365</f>
        <v>4992.1302578168825</v>
      </c>
      <c r="W594" s="79">
        <f>Tableau1[[#This Row],[Index HC_x000D_
kWh]]-$R$5</f>
        <v>-117447</v>
      </c>
      <c r="X594" s="82">
        <f>Tableau1[[#This Row],[Différence HC
Cumul]]/(Tableau1[[#This Row],[Diff jour_x000D_
Cumul]]*24)</f>
        <v>-5.7595162765456127</v>
      </c>
      <c r="Y594" s="82">
        <f>Tableau1[[#This Row],[Différence HC
Cumul]]/Tableau1[[#This Row],[Diff jour_x000D_
Cumul]]</f>
        <v>-138.22839063709469</v>
      </c>
      <c r="Z594" s="82">
        <f>Tableau1[[#This Row],[Conso HC / jour_x000D_
Cumul]]*365</f>
        <v>-50453.362582539565</v>
      </c>
      <c r="AA594" s="79">
        <f>Tableau1[[#This Row],[Différence HP
Instantané]]+Tableau1[[#This Row],[Différence_x000D_ HC
Instantané]]</f>
        <v>37</v>
      </c>
      <c r="AB594" s="80">
        <f>Tableau1[[#This Row],[Conso HP + HC
Instantané]]/(Tableau1[[#This Row],[Diff jour
Instantané]]*24)</f>
        <v>1.5061058344685636</v>
      </c>
      <c r="AC594" s="80">
        <f>IF(ISERROR(Tableau1[[#This Row],[Date]]-A593),"",Tableau1[[#This Row],[Conso HP + HC
Instantané]]/Tableau1[[#This Row],[Diff jour
Instantané]])</f>
        <v>36.146540027245528</v>
      </c>
      <c r="AD594" s="80">
        <f>Tableau1[[#This Row],[Conso HP + HC / jour_x000D_
Instantané]]*365</f>
        <v>13193.487109944617</v>
      </c>
      <c r="AE594" s="79">
        <f>Tableau1[[#This Row],[Différence HP
Cumul]]+Tableau1[[#This Row],[Différence HC
Cumul]]</f>
        <v>-293368</v>
      </c>
      <c r="AF594" s="77">
        <f>(Tableau1[[#This Row],[Conso HP + HC
Cumul]]-AE$6)/Tableau1[[#This Row],[Diff jour_x000D_
Cumul
depuis le 24/01]]</f>
        <v>-364.64744080659307</v>
      </c>
      <c r="AG594" s="77">
        <f>(Tableau1[[#This Row],[Conso HP + HC
Cumul]]-AE$59)/Tableau1[[#This Row],[Diff jour_x000D_
Cumul
depuis
précédente facture
16/02/2021]]</f>
        <v>-377.08971952253364</v>
      </c>
      <c r="AH594" s="80">
        <f>Tableau1[[#This Row],[Conso HP + HC
Cumul]]/(Tableau1[[#This Row],[Diff jour_x000D_
Cumul]]*24)</f>
        <v>-14.386555391092434</v>
      </c>
      <c r="AI594" s="80">
        <f>Tableau1[[#This Row],[Conso HP + HC
Cumul]]/Tableau1[[#This Row],[Diff jour_x000D_
Cumul]]</f>
        <v>-345.27732938621841</v>
      </c>
      <c r="AJ594" s="80">
        <f>Tableau1[[#This Row],[Conso HP + HC / jour_x000D_
Cumul]]*365</f>
        <v>-126026.22522596973</v>
      </c>
      <c r="AK594" s="83">
        <f>(Tableau1[[#This Row],[Différence HP
Cumul]]*0.1799)+(Tableau1[[#This Row],[Différence HC
Cumul]]*0.1346)</f>
        <v>-47456.554100000001</v>
      </c>
      <c r="AL594" s="83">
        <f>Tableau1[[#This Row],[Montant
Tarif HP/HC]]/Tableau1[[#This Row],[Diff jour_x000D_
Cumul]]</f>
        <v>-55.853645460720308</v>
      </c>
      <c r="AM594" s="83">
        <f>(Tableau1[[#This Row],[Montant
Tarif HP/HC]]-AK$6)/Tableau1[[#This Row],[Diff jour_x000D_
Cumul
depuis le 24/01]]</f>
        <v>-58.99755257305538</v>
      </c>
      <c r="AN594" s="83">
        <f>(Tableau1[[#This Row],[Montant
Tarif HP/HC]]-AK$59)/Tableau1[[#This Row],[Diff jour_x000D_
Cumul
depuis
précédente facture
16/02/2021]]</f>
        <v>-61.020386696132697</v>
      </c>
      <c r="AO594" s="83">
        <f>Tableau1[[#This Row],[Conso HP + HC
Cumul]]*0.1599</f>
        <v>-46909.543199999993</v>
      </c>
      <c r="AP594" s="83">
        <f>Tableau1[[#This Row],[Montant
Tarif normal]]/Tableau1[[#This Row],[Diff jour_x000D_
Cumul]]</f>
        <v>-55.209844968856316</v>
      </c>
      <c r="AQ594" s="83">
        <f>(Tableau1[[#This Row],[Conso HP / an
Cumul]]*0.1799)+(Tableau1[[#This Row],[Conso HC / an_x000D_
Cumul]]*0.1346)</f>
        <v>-20386.580593162915</v>
      </c>
      <c r="AR594" s="83">
        <f>Tableau1[[#This Row],[Conso HP + HC / an_x000D_
Cumul]]*0.1599</f>
        <v>-20151.593413632556</v>
      </c>
      <c r="AS594" s="79">
        <f>MONTH(Tableau1[[#This Row],[Date]])</f>
        <v>4</v>
      </c>
      <c r="AT594" s="79">
        <f>YEAR(Tableau1[[#This Row],[Date]])</f>
        <v>2023</v>
      </c>
    </row>
    <row r="595" spans="1:46" x14ac:dyDescent="0.2">
      <c r="A595" s="74">
        <v>45033.330555555556</v>
      </c>
      <c r="B595" s="75"/>
      <c r="C595" s="76">
        <f>IF(ISERROR(Tableau1[[#This Row],[Date]]-A594),"",Tableau1[[#This Row],[Date]]-A594)</f>
        <v>0.96319444444816327</v>
      </c>
      <c r="D595" s="77">
        <f>IF(ISERROR(Tableau1[[#This Row],[Date]]-A594),"",Tableau1[[#This Row],[Date]]-A594)</f>
        <v>0.96319444444816327</v>
      </c>
      <c r="E595" s="76">
        <f>Tableau1[[#This Row],[Date]]-$A$5</f>
        <v>850.62222222222044</v>
      </c>
      <c r="F595" s="77">
        <f>Tableau1[[#This Row],[Date]]-$A$5</f>
        <v>850.62222222222044</v>
      </c>
      <c r="G595" s="77">
        <f>Tableau1[[#This Row],[Diff jour_x000D_
Cumul]]-F$6</f>
        <v>812.53888888889196</v>
      </c>
      <c r="H595" s="77">
        <f>Tableau1[[#This Row],[Diff jour_x000D_
Cumul]]-F$59</f>
        <v>790.01944444444234</v>
      </c>
      <c r="I595" s="78">
        <v>3853</v>
      </c>
      <c r="J595" s="79">
        <f>IF(ISERROR(Tableau1[[#This Row],[Index HP
kWh]]-I594),"",Tableau1[[#This Row],[Index HP
kWh]]-I594)</f>
        <v>15</v>
      </c>
      <c r="K595" s="77">
        <f>IF(ISERROR(Tableau1[[#This Row],[Différence HP
Instantané]]/(Tableau1[[#This Row],[Diff jour
Instantané]]*24)),"",Tableau1[[#This Row],[Différence HP
Instantané]]/(Tableau1[[#This Row],[Diff jour
Instantané]]*24))</f>
        <v>0.64888248017053007</v>
      </c>
      <c r="L595" s="77">
        <f>Tableau1[[#This Row],[Différence HP
Instantané]]/Tableau1[[#This Row],[Diff jour
Instantané]]</f>
        <v>15.573179524092721</v>
      </c>
      <c r="M595" s="77">
        <f>Tableau1[[#This Row],[Conso HP / jour
Instantané]]*365</f>
        <v>5684.210526293843</v>
      </c>
      <c r="N595" s="79">
        <f>Tableau1[[#This Row],[Index HP
kWh]]-$I$5</f>
        <v>-175906</v>
      </c>
      <c r="O595" s="80">
        <f>Tableau1[[#This Row],[Différence HP
Cumul]]/(Tableau1[[#This Row],[Diff jour_x000D_
Cumul]]*24)</f>
        <v>-8.6165356079210174</v>
      </c>
      <c r="P595" s="80">
        <f>Tableau1[[#This Row],[Différence HP
Cumul]]/Tableau1[[#This Row],[Diff jour_x000D_
Cumul]]</f>
        <v>-206.7968545901044</v>
      </c>
      <c r="Q595" s="80">
        <f>Tableau1[[#This Row],[Conso HP / jour
Cumul]]*365</f>
        <v>-75480.85192538811</v>
      </c>
      <c r="R595" s="78">
        <v>1989</v>
      </c>
      <c r="S595" s="79">
        <f>Tableau1[[#This Row],[Index HC_x000D_
kWh]]-R594</f>
        <v>4</v>
      </c>
      <c r="T595" s="81">
        <f>Tableau1[[#This Row],[Différence_x000D_ HC
Instantané]]/(Tableau1[[#This Row],[Diff jour
Instantané]]*24)</f>
        <v>0.17303532804547467</v>
      </c>
      <c r="U595" s="81">
        <f>Tableau1[[#This Row],[Différence_x000D_ HC
Instantané]]/Tableau1[[#This Row],[Diff jour
Instantané]]</f>
        <v>4.1528478730913925</v>
      </c>
      <c r="V595" s="81">
        <f>Tableau1[[#This Row],[Conso HC / jour_x000D_
Instantané]]*365</f>
        <v>1515.7894736783583</v>
      </c>
      <c r="W595" s="79">
        <f>Tableau1[[#This Row],[Index HC_x000D_
kWh]]-$R$5</f>
        <v>-117443</v>
      </c>
      <c r="X595" s="82">
        <f>Tableau1[[#This Row],[Différence HC
Cumul]]/(Tableau1[[#This Row],[Diff jour_x000D_
Cumul]]*24)</f>
        <v>-5.7527986049427993</v>
      </c>
      <c r="Y595" s="82">
        <f>Tableau1[[#This Row],[Différence HC
Cumul]]/Tableau1[[#This Row],[Diff jour_x000D_
Cumul]]</f>
        <v>-138.06716651862718</v>
      </c>
      <c r="Z595" s="82">
        <f>Tableau1[[#This Row],[Conso HC / jour_x000D_
Cumul]]*365</f>
        <v>-50394.515779298919</v>
      </c>
      <c r="AA595" s="79">
        <f>Tableau1[[#This Row],[Différence HP
Instantané]]+Tableau1[[#This Row],[Différence_x000D_ HC
Instantané]]</f>
        <v>19</v>
      </c>
      <c r="AB595" s="80">
        <f>Tableau1[[#This Row],[Conso HP + HC
Instantané]]/(Tableau1[[#This Row],[Diff jour
Instantané]]*24)</f>
        <v>0.82191780821600469</v>
      </c>
      <c r="AC595" s="80">
        <f>IF(ISERROR(Tableau1[[#This Row],[Date]]-A594),"",Tableau1[[#This Row],[Conso HP + HC
Instantané]]/Tableau1[[#This Row],[Diff jour
Instantané]])</f>
        <v>19.726027397184112</v>
      </c>
      <c r="AD595" s="80">
        <f>Tableau1[[#This Row],[Conso HP + HC / jour_x000D_
Instantané]]*365</f>
        <v>7199.9999999722004</v>
      </c>
      <c r="AE595" s="79">
        <f>Tableau1[[#This Row],[Différence HP
Cumul]]+Tableau1[[#This Row],[Différence HC
Cumul]]</f>
        <v>-293349</v>
      </c>
      <c r="AF595" s="77">
        <f>(Tableau1[[#This Row],[Conso HP + HC
Cumul]]-AE$6)/Tableau1[[#This Row],[Diff jour_x000D_
Cumul
depuis le 24/01]]</f>
        <v>-364.19179936686652</v>
      </c>
      <c r="AG595" s="77">
        <f>(Tableau1[[#This Row],[Conso HP + HC
Cumul]]-AE$59)/Tableau1[[#This Row],[Diff jour_x000D_
Cumul
depuis
précédente facture
16/02/2021]]</f>
        <v>-376.60592038873966</v>
      </c>
      <c r="AH595" s="80">
        <f>Tableau1[[#This Row],[Conso HP + HC
Cumul]]/(Tableau1[[#This Row],[Diff jour_x000D_
Cumul]]*24)</f>
        <v>-14.369334212863816</v>
      </c>
      <c r="AI595" s="80">
        <f>Tableau1[[#This Row],[Conso HP + HC
Cumul]]/Tableau1[[#This Row],[Diff jour_x000D_
Cumul]]</f>
        <v>-344.86402110873161</v>
      </c>
      <c r="AJ595" s="80">
        <f>Tableau1[[#This Row],[Conso HP + HC / jour_x000D_
Cumul]]*365</f>
        <v>-125875.36770468704</v>
      </c>
      <c r="AK595" s="83">
        <f>(Tableau1[[#This Row],[Différence HP
Cumul]]*0.1799)+(Tableau1[[#This Row],[Différence HC
Cumul]]*0.1346)</f>
        <v>-47453.317200000005</v>
      </c>
      <c r="AL595" s="83">
        <f>Tableau1[[#This Row],[Montant
Tarif HP/HC]]/Tableau1[[#This Row],[Diff jour_x000D_
Cumul]]</f>
        <v>-55.786594754167005</v>
      </c>
      <c r="AM595" s="83">
        <f>(Tableau1[[#This Row],[Montant
Tarif HP/HC]]-AK$6)/Tableau1[[#This Row],[Diff jour_x000D_
Cumul
depuis le 24/01]]</f>
        <v>-58.923632400500274</v>
      </c>
      <c r="AN595" s="83">
        <f>(Tableau1[[#This Row],[Montant
Tarif HP/HC]]-AK$59)/Tableau1[[#This Row],[Diff jour_x000D_
Cumul
depuis
précédente facture
16/02/2021]]</f>
        <v>-60.94189318828316</v>
      </c>
      <c r="AO595" s="83">
        <f>Tableau1[[#This Row],[Conso HP + HC
Cumul]]*0.1599</f>
        <v>-46906.505099999995</v>
      </c>
      <c r="AP595" s="83">
        <f>Tableau1[[#This Row],[Montant
Tarif normal]]/Tableau1[[#This Row],[Diff jour_x000D_
Cumul]]</f>
        <v>-55.143756975286173</v>
      </c>
      <c r="AQ595" s="83">
        <f>(Tableau1[[#This Row],[Conso HP / an
Cumul]]*0.1799)+(Tableau1[[#This Row],[Conso HC / an_x000D_
Cumul]]*0.1346)</f>
        <v>-20362.107085270953</v>
      </c>
      <c r="AR595" s="83">
        <f>Tableau1[[#This Row],[Conso HP + HC / an_x000D_
Cumul]]*0.1599</f>
        <v>-20127.471295979456</v>
      </c>
      <c r="AS595" s="79">
        <f>MONTH(Tableau1[[#This Row],[Date]])</f>
        <v>4</v>
      </c>
      <c r="AT595" s="79">
        <f>YEAR(Tableau1[[#This Row],[Date]])</f>
        <v>2023</v>
      </c>
    </row>
    <row r="596" spans="1:46" x14ac:dyDescent="0.2">
      <c r="A596" s="74">
        <v>45034.314583333333</v>
      </c>
      <c r="B596" s="75"/>
      <c r="C596" s="76">
        <f>IF(ISERROR(Tableau1[[#This Row],[Date]]-A595),"",Tableau1[[#This Row],[Date]]-A595)</f>
        <v>0.98402777777664596</v>
      </c>
      <c r="D596" s="77">
        <f>IF(ISERROR(Tableau1[[#This Row],[Date]]-A595),"",Tableau1[[#This Row],[Date]]-A595)</f>
        <v>0.98402777777664596</v>
      </c>
      <c r="E596" s="76">
        <f>Tableau1[[#This Row],[Date]]-$A$5</f>
        <v>851.60624999999709</v>
      </c>
      <c r="F596" s="77">
        <f>Tableau1[[#This Row],[Date]]-$A$5</f>
        <v>851.60624999999709</v>
      </c>
      <c r="G596" s="77">
        <f>Tableau1[[#This Row],[Diff jour_x000D_
Cumul]]-F$6</f>
        <v>813.52291666666861</v>
      </c>
      <c r="H596" s="77">
        <f>Tableau1[[#This Row],[Diff jour_x000D_
Cumul]]-F$59</f>
        <v>791.00347222221899</v>
      </c>
      <c r="I596" s="78">
        <v>3870</v>
      </c>
      <c r="J596" s="79">
        <f>IF(ISERROR(Tableau1[[#This Row],[Index HP
kWh]]-I595),"",Tableau1[[#This Row],[Index HP
kWh]]-I595)</f>
        <v>17</v>
      </c>
      <c r="K596" s="77">
        <f>IF(ISERROR(Tableau1[[#This Row],[Différence HP
Instantané]]/(Tableau1[[#This Row],[Diff jour
Instantané]]*24)),"",Tableau1[[#This Row],[Différence HP
Instantané]]/(Tableau1[[#This Row],[Diff jour
Instantané]]*24))</f>
        <v>0.71983062808833675</v>
      </c>
      <c r="L596" s="77">
        <f>Tableau1[[#This Row],[Différence HP
Instantané]]/Tableau1[[#This Row],[Diff jour
Instantané]]</f>
        <v>17.275935074120081</v>
      </c>
      <c r="M596" s="77">
        <f>Tableau1[[#This Row],[Conso HP / jour
Instantané]]*365</f>
        <v>6305.7163020538301</v>
      </c>
      <c r="N596" s="79">
        <f>Tableau1[[#This Row],[Index HP
kWh]]-$I$5</f>
        <v>-175889</v>
      </c>
      <c r="O596" s="80">
        <f>Tableau1[[#This Row],[Différence HP
Cumul]]/(Tableau1[[#This Row],[Diff jour_x000D_
Cumul]]*24)</f>
        <v>-8.6057474723011467</v>
      </c>
      <c r="P596" s="80">
        <f>Tableau1[[#This Row],[Différence HP
Cumul]]/Tableau1[[#This Row],[Diff jour_x000D_
Cumul]]</f>
        <v>-206.53793933522752</v>
      </c>
      <c r="Q596" s="80">
        <f>Tableau1[[#This Row],[Conso HP / jour
Cumul]]*365</f>
        <v>-75386.347857358051</v>
      </c>
      <c r="R596" s="78">
        <v>2003</v>
      </c>
      <c r="S596" s="79">
        <f>Tableau1[[#This Row],[Index HC_x000D_
kWh]]-R595</f>
        <v>14</v>
      </c>
      <c r="T596" s="81">
        <f>Tableau1[[#This Row],[Différence_x000D_ HC
Instantané]]/(Tableau1[[#This Row],[Diff jour
Instantané]]*24)</f>
        <v>0.59280169371980673</v>
      </c>
      <c r="U596" s="81">
        <f>Tableau1[[#This Row],[Différence_x000D_ HC
Instantané]]/Tableau1[[#This Row],[Diff jour
Instantané]]</f>
        <v>14.227240649275362</v>
      </c>
      <c r="V596" s="81">
        <f>Tableau1[[#This Row],[Conso HC / jour_x000D_
Instantané]]*365</f>
        <v>5192.9428369855077</v>
      </c>
      <c r="W596" s="79">
        <f>Tableau1[[#This Row],[Index HC_x000D_
kWh]]-$R$5</f>
        <v>-117429</v>
      </c>
      <c r="X596" s="82">
        <f>Tableau1[[#This Row],[Différence HC
Cumul]]/(Tableau1[[#This Row],[Diff jour_x000D_
Cumul]]*24)</f>
        <v>-5.7454662879705456</v>
      </c>
      <c r="Y596" s="82">
        <f>Tableau1[[#This Row],[Différence HC
Cumul]]/Tableau1[[#This Row],[Diff jour_x000D_
Cumul]]</f>
        <v>-137.89119091129311</v>
      </c>
      <c r="Z596" s="82">
        <f>Tableau1[[#This Row],[Conso HC / jour_x000D_
Cumul]]*365</f>
        <v>-50330.284682621983</v>
      </c>
      <c r="AA596" s="79">
        <f>Tableau1[[#This Row],[Différence HP
Instantané]]+Tableau1[[#This Row],[Différence_x000D_ HC
Instantané]]</f>
        <v>31</v>
      </c>
      <c r="AB596" s="80">
        <f>Tableau1[[#This Row],[Conso HP + HC
Instantané]]/(Tableau1[[#This Row],[Diff jour
Instantané]]*24)</f>
        <v>1.3126323218081435</v>
      </c>
      <c r="AC596" s="80">
        <f>IF(ISERROR(Tableau1[[#This Row],[Date]]-A595),"",Tableau1[[#This Row],[Conso HP + HC
Instantané]]/Tableau1[[#This Row],[Diff jour
Instantané]])</f>
        <v>31.503175723395444</v>
      </c>
      <c r="AD596" s="80">
        <f>Tableau1[[#This Row],[Conso HP + HC / jour_x000D_
Instantané]]*365</f>
        <v>11498.659139039337</v>
      </c>
      <c r="AE596" s="79">
        <f>Tableau1[[#This Row],[Différence HP
Cumul]]+Tableau1[[#This Row],[Différence HC
Cumul]]</f>
        <v>-293318</v>
      </c>
      <c r="AF596" s="77">
        <f>(Tableau1[[#This Row],[Conso HP + HC
Cumul]]-AE$6)/Tableau1[[#This Row],[Diff jour_x000D_
Cumul
depuis le 24/01]]</f>
        <v>-363.71317136630461</v>
      </c>
      <c r="AG596" s="77">
        <f>(Tableau1[[#This Row],[Conso HP + HC
Cumul]]-AE$59)/Tableau1[[#This Row],[Diff jour_x000D_
Cumul
depuis
précédente facture
16/02/2021]]</f>
        <v>-376.09822263387463</v>
      </c>
      <c r="AH596" s="80">
        <f>Tableau1[[#This Row],[Conso HP + HC
Cumul]]/(Tableau1[[#This Row],[Diff jour_x000D_
Cumul]]*24)</f>
        <v>-14.351213760271692</v>
      </c>
      <c r="AI596" s="80">
        <f>Tableau1[[#This Row],[Conso HP + HC
Cumul]]/Tableau1[[#This Row],[Diff jour_x000D_
Cumul]]</f>
        <v>-344.42913024652063</v>
      </c>
      <c r="AJ596" s="80">
        <f>Tableau1[[#This Row],[Conso HP + HC / jour_x000D_
Cumul]]*365</f>
        <v>-125716.63253998003</v>
      </c>
      <c r="AK596" s="83">
        <f>(Tableau1[[#This Row],[Différence HP
Cumul]]*0.1799)+(Tableau1[[#This Row],[Différence HC
Cumul]]*0.1346)</f>
        <v>-47448.374500000005</v>
      </c>
      <c r="AL596" s="83">
        <f>Tableau1[[#This Row],[Montant
Tarif HP/HC]]/Tableau1[[#This Row],[Diff jour_x000D_
Cumul]]</f>
        <v>-55.716329583067491</v>
      </c>
      <c r="AM596" s="83">
        <f>(Tableau1[[#This Row],[Montant
Tarif HP/HC]]-AK$6)/Tableau1[[#This Row],[Diff jour_x000D_
Cumul
depuis le 24/01]]</f>
        <v>-58.846283391934641</v>
      </c>
      <c r="AN596" s="83">
        <f>(Tableau1[[#This Row],[Montant
Tarif HP/HC]]-AK$59)/Tableau1[[#This Row],[Diff jour_x000D_
Cumul
depuis
précédente facture
16/02/2021]]</f>
        <v>-60.859831328876638</v>
      </c>
      <c r="AO596" s="83">
        <f>Tableau1[[#This Row],[Conso HP + HC
Cumul]]*0.1599</f>
        <v>-46901.548199999997</v>
      </c>
      <c r="AP596" s="83">
        <f>Tableau1[[#This Row],[Montant
Tarif normal]]/Tableau1[[#This Row],[Diff jour_x000D_
Cumul]]</f>
        <v>-55.074217926418648</v>
      </c>
      <c r="AQ596" s="83">
        <f>(Tableau1[[#This Row],[Conso HP / an
Cumul]]*0.1799)+(Tableau1[[#This Row],[Conso HC / an_x000D_
Cumul]]*0.1346)</f>
        <v>-20336.460297819631</v>
      </c>
      <c r="AR596" s="83">
        <f>Tableau1[[#This Row],[Conso HP + HC / an_x000D_
Cumul]]*0.1599</f>
        <v>-20102.089543142803</v>
      </c>
      <c r="AS596" s="79">
        <f>MONTH(Tableau1[[#This Row],[Date]])</f>
        <v>4</v>
      </c>
      <c r="AT596" s="79">
        <f>YEAR(Tableau1[[#This Row],[Date]])</f>
        <v>2023</v>
      </c>
    </row>
    <row r="597" spans="1:46" x14ac:dyDescent="0.2">
      <c r="A597" s="74">
        <v>45035.322916666664</v>
      </c>
      <c r="B597" s="75"/>
      <c r="C597" s="76">
        <f>IF(ISERROR(Tableau1[[#This Row],[Date]]-A596),"",Tableau1[[#This Row],[Date]]-A596)</f>
        <v>1.0083333333313931</v>
      </c>
      <c r="D597" s="77">
        <f>IF(ISERROR(Tableau1[[#This Row],[Date]]-A596),"",Tableau1[[#This Row],[Date]]-A596)</f>
        <v>1.0083333333313931</v>
      </c>
      <c r="E597" s="76">
        <f>Tableau1[[#This Row],[Date]]-$A$5</f>
        <v>852.61458333332848</v>
      </c>
      <c r="F597" s="77">
        <f>Tableau1[[#This Row],[Date]]-$A$5</f>
        <v>852.61458333332848</v>
      </c>
      <c r="G597" s="77">
        <f>Tableau1[[#This Row],[Diff jour_x000D_
Cumul]]-F$6</f>
        <v>814.53125</v>
      </c>
      <c r="H597" s="77">
        <f>Tableau1[[#This Row],[Diff jour_x000D_
Cumul]]-F$59</f>
        <v>792.01180555555038</v>
      </c>
      <c r="I597" s="78">
        <v>3881</v>
      </c>
      <c r="J597" s="79">
        <f>IF(ISERROR(Tableau1[[#This Row],[Index HP
kWh]]-I596),"",Tableau1[[#This Row],[Index HP
kWh]]-I596)</f>
        <v>11</v>
      </c>
      <c r="K597" s="77">
        <f>IF(ISERROR(Tableau1[[#This Row],[Différence HP
Instantané]]/(Tableau1[[#This Row],[Diff jour
Instantané]]*24)),"",Tableau1[[#This Row],[Différence HP
Instantané]]/(Tableau1[[#This Row],[Diff jour
Instantané]]*24))</f>
        <v>0.45454545454632916</v>
      </c>
      <c r="L597" s="77">
        <f>Tableau1[[#This Row],[Différence HP
Instantané]]/Tableau1[[#This Row],[Diff jour
Instantané]]</f>
        <v>10.909090909111901</v>
      </c>
      <c r="M597" s="77">
        <f>Tableau1[[#This Row],[Conso HP / jour
Instantané]]*365</f>
        <v>3981.818181825844</v>
      </c>
      <c r="N597" s="79">
        <f>Tableau1[[#This Row],[Index HP
kWh]]-$I$5</f>
        <v>-175878</v>
      </c>
      <c r="O597" s="80">
        <f>Tableau1[[#This Row],[Différence HP
Cumul]]/(Tableau1[[#This Row],[Diff jour_x000D_
Cumul]]*24)</f>
        <v>-8.5950324369892126</v>
      </c>
      <c r="P597" s="80">
        <f>Tableau1[[#This Row],[Différence HP
Cumul]]/Tableau1[[#This Row],[Diff jour_x000D_
Cumul]]</f>
        <v>-206.28077848774109</v>
      </c>
      <c r="Q597" s="80">
        <f>Tableau1[[#This Row],[Conso HP / jour
Cumul]]*365</f>
        <v>-75292.484148025498</v>
      </c>
      <c r="R597" s="78">
        <v>2017</v>
      </c>
      <c r="S597" s="79">
        <f>Tableau1[[#This Row],[Index HC_x000D_
kWh]]-R596</f>
        <v>14</v>
      </c>
      <c r="T597" s="81">
        <f>Tableau1[[#This Row],[Différence_x000D_ HC
Instantané]]/(Tableau1[[#This Row],[Diff jour
Instantané]]*24)</f>
        <v>0.57851239669532806</v>
      </c>
      <c r="U597" s="81">
        <f>Tableau1[[#This Row],[Différence_x000D_ HC
Instantané]]/Tableau1[[#This Row],[Diff jour
Instantané]]</f>
        <v>13.884297520687873</v>
      </c>
      <c r="V597" s="81">
        <f>Tableau1[[#This Row],[Conso HC / jour_x000D_
Instantané]]*365</f>
        <v>5067.768595051074</v>
      </c>
      <c r="W597" s="79">
        <f>Tableau1[[#This Row],[Index HC_x000D_
kWh]]-$R$5</f>
        <v>-117415</v>
      </c>
      <c r="X597" s="82">
        <f>Tableau1[[#This Row],[Différence HC
Cumul]]/(Tableau1[[#This Row],[Diff jour_x000D_
Cumul]]*24)</f>
        <v>-5.7379873184200889</v>
      </c>
      <c r="Y597" s="82">
        <f>Tableau1[[#This Row],[Différence HC
Cumul]]/Tableau1[[#This Row],[Diff jour_x000D_
Cumul]]</f>
        <v>-137.71169564208213</v>
      </c>
      <c r="Z597" s="82">
        <f>Tableau1[[#This Row],[Conso HC / jour_x000D_
Cumul]]*365</f>
        <v>-50264.768909359977</v>
      </c>
      <c r="AA597" s="79">
        <f>Tableau1[[#This Row],[Différence HP
Instantané]]+Tableau1[[#This Row],[Différence_x000D_ HC
Instantané]]</f>
        <v>25</v>
      </c>
      <c r="AB597" s="80">
        <f>Tableau1[[#This Row],[Conso HP + HC
Instantané]]/(Tableau1[[#This Row],[Diff jour
Instantané]]*24)</f>
        <v>1.0330578512416573</v>
      </c>
      <c r="AC597" s="80">
        <f>IF(ISERROR(Tableau1[[#This Row],[Date]]-A596),"",Tableau1[[#This Row],[Conso HP + HC
Instantané]]/Tableau1[[#This Row],[Diff jour
Instantané]])</f>
        <v>24.793388429799773</v>
      </c>
      <c r="AD597" s="80">
        <f>Tableau1[[#This Row],[Conso HP + HC / jour_x000D_
Instantané]]*365</f>
        <v>9049.5867768769167</v>
      </c>
      <c r="AE597" s="79">
        <f>Tableau1[[#This Row],[Différence HP
Cumul]]+Tableau1[[#This Row],[Différence HC
Cumul]]</f>
        <v>-293293</v>
      </c>
      <c r="AF597" s="77">
        <f>(Tableau1[[#This Row],[Conso HP + HC
Cumul]]-AE$6)/Tableau1[[#This Row],[Diff jour_x000D_
Cumul
depuis le 24/01]]</f>
        <v>-363.23222712449643</v>
      </c>
      <c r="AG597" s="77">
        <f>(Tableau1[[#This Row],[Conso HP + HC
Cumul]]-AE$59)/Tableau1[[#This Row],[Diff jour_x000D_
Cumul
depuis
précédente facture
16/02/2021]]</f>
        <v>-375.58783582946978</v>
      </c>
      <c r="AH597" s="80">
        <f>Tableau1[[#This Row],[Conso HP + HC
Cumul]]/(Tableau1[[#This Row],[Diff jour_x000D_
Cumul]]*24)</f>
        <v>-14.333019755409302</v>
      </c>
      <c r="AI597" s="80">
        <f>Tableau1[[#This Row],[Conso HP + HC
Cumul]]/Tableau1[[#This Row],[Diff jour_x000D_
Cumul]]</f>
        <v>-343.99247412982322</v>
      </c>
      <c r="AJ597" s="80">
        <f>Tableau1[[#This Row],[Conso HP + HC / jour_x000D_
Cumul]]*365</f>
        <v>-125557.25305738547</v>
      </c>
      <c r="AK597" s="83">
        <f>(Tableau1[[#This Row],[Différence HP
Cumul]]*0.1799)+(Tableau1[[#This Row],[Différence HC
Cumul]]*0.1346)</f>
        <v>-47444.511200000001</v>
      </c>
      <c r="AL597" s="83">
        <f>Tableau1[[#This Row],[Montant
Tarif HP/HC]]/Tableau1[[#This Row],[Diff jour_x000D_
Cumul]]</f>
        <v>-55.64590628336888</v>
      </c>
      <c r="AM597" s="83">
        <f>(Tableau1[[#This Row],[Montant
Tarif HP/HC]]-AK$6)/Tableau1[[#This Row],[Diff jour_x000D_
Cumul
depuis le 24/01]]</f>
        <v>-58.768692791099177</v>
      </c>
      <c r="AN597" s="83">
        <f>(Tableau1[[#This Row],[Montant
Tarif HP/HC]]-AK$59)/Tableau1[[#This Row],[Diff jour_x000D_
Cumul
depuis
précédente facture
16/02/2021]]</f>
        <v>-60.777471070945786</v>
      </c>
      <c r="AO597" s="83">
        <f>Tableau1[[#This Row],[Conso HP + HC
Cumul]]*0.1599</f>
        <v>-46897.550699999993</v>
      </c>
      <c r="AP597" s="83">
        <f>Tableau1[[#This Row],[Montant
Tarif normal]]/Tableau1[[#This Row],[Diff jour_x000D_
Cumul]]</f>
        <v>-55.004396613358722</v>
      </c>
      <c r="AQ597" s="83">
        <f>(Tableau1[[#This Row],[Conso HP / an
Cumul]]*0.1799)+(Tableau1[[#This Row],[Conso HC / an_x000D_
Cumul]]*0.1346)</f>
        <v>-20310.755793429642</v>
      </c>
      <c r="AR597" s="83">
        <f>Tableau1[[#This Row],[Conso HP + HC / an_x000D_
Cumul]]*0.1599</f>
        <v>-20076.604763875937</v>
      </c>
      <c r="AS597" s="79">
        <f>MONTH(Tableau1[[#This Row],[Date]])</f>
        <v>4</v>
      </c>
      <c r="AT597" s="79">
        <f>YEAR(Tableau1[[#This Row],[Date]])</f>
        <v>2023</v>
      </c>
    </row>
    <row r="598" spans="1:46" x14ac:dyDescent="0.2">
      <c r="A598" s="74">
        <v>45036.35833333333</v>
      </c>
      <c r="B598" s="75"/>
      <c r="C598" s="76">
        <f>IF(ISERROR(Tableau1[[#This Row],[Date]]-A597),"",Tableau1[[#This Row],[Date]]-A597)</f>
        <v>1.0354166666656965</v>
      </c>
      <c r="D598" s="77">
        <f>IF(ISERROR(Tableau1[[#This Row],[Date]]-A597),"",Tableau1[[#This Row],[Date]]-A597)</f>
        <v>1.0354166666656965</v>
      </c>
      <c r="E598" s="76">
        <f>Tableau1[[#This Row],[Date]]-$A$5</f>
        <v>853.64999999999418</v>
      </c>
      <c r="F598" s="77">
        <f>Tableau1[[#This Row],[Date]]-$A$5</f>
        <v>853.64999999999418</v>
      </c>
      <c r="G598" s="77">
        <f>Tableau1[[#This Row],[Diff jour_x000D_
Cumul]]-F$6</f>
        <v>815.5666666666657</v>
      </c>
      <c r="H598" s="77">
        <f>Tableau1[[#This Row],[Diff jour_x000D_
Cumul]]-F$59</f>
        <v>793.04722222221608</v>
      </c>
      <c r="I598" s="78">
        <v>3896</v>
      </c>
      <c r="J598" s="79">
        <f>IF(ISERROR(Tableau1[[#This Row],[Index HP
kWh]]-I597),"",Tableau1[[#This Row],[Index HP
kWh]]-I597)</f>
        <v>15</v>
      </c>
      <c r="K598" s="77">
        <f>IF(ISERROR(Tableau1[[#This Row],[Différence HP
Instantané]]/(Tableau1[[#This Row],[Diff jour
Instantané]]*24)),"",Tableau1[[#This Row],[Différence HP
Instantané]]/(Tableau1[[#This Row],[Diff jour
Instantané]]*24))</f>
        <v>0.60362173038285927</v>
      </c>
      <c r="L598" s="77">
        <f>Tableau1[[#This Row],[Différence HP
Instantané]]/Tableau1[[#This Row],[Diff jour
Instantané]]</f>
        <v>14.486921529188624</v>
      </c>
      <c r="M598" s="77">
        <f>Tableau1[[#This Row],[Conso HP / jour
Instantané]]*365</f>
        <v>5287.7263581538482</v>
      </c>
      <c r="N598" s="79">
        <f>Tableau1[[#This Row],[Index HP
kWh]]-$I$5</f>
        <v>-175863</v>
      </c>
      <c r="O598" s="80">
        <f>Tableau1[[#This Row],[Différence HP
Cumul]]/(Tableau1[[#This Row],[Diff jour_x000D_
Cumul]]*24)</f>
        <v>-8.5838751244655889</v>
      </c>
      <c r="P598" s="80">
        <f>Tableau1[[#This Row],[Différence HP
Cumul]]/Tableau1[[#This Row],[Diff jour_x000D_
Cumul]]</f>
        <v>-206.01300298717413</v>
      </c>
      <c r="Q598" s="80">
        <f>Tableau1[[#This Row],[Conso HP / jour
Cumul]]*365</f>
        <v>-75194.746090318557</v>
      </c>
      <c r="R598" s="78">
        <v>2020</v>
      </c>
      <c r="S598" s="79">
        <f>Tableau1[[#This Row],[Index HC_x000D_
kWh]]-R597</f>
        <v>3</v>
      </c>
      <c r="T598" s="81">
        <f>Tableau1[[#This Row],[Différence_x000D_ HC
Instantané]]/(Tableau1[[#This Row],[Diff jour
Instantané]]*24)</f>
        <v>0.12072434607657187</v>
      </c>
      <c r="U598" s="81">
        <f>Tableau1[[#This Row],[Différence_x000D_ HC
Instantané]]/Tableau1[[#This Row],[Diff jour
Instantané]]</f>
        <v>2.8973843058377247</v>
      </c>
      <c r="V598" s="81">
        <f>Tableau1[[#This Row],[Conso HC / jour_x000D_
Instantané]]*365</f>
        <v>1057.5452716307695</v>
      </c>
      <c r="W598" s="79">
        <f>Tableau1[[#This Row],[Index HC_x000D_
kWh]]-$R$5</f>
        <v>-117412</v>
      </c>
      <c r="X598" s="82">
        <f>Tableau1[[#This Row],[Différence HC
Cumul]]/(Tableau1[[#This Row],[Diff jour_x000D_
Cumul]]*24)</f>
        <v>-5.7308811183350317</v>
      </c>
      <c r="Y598" s="82">
        <f>Tableau1[[#This Row],[Différence HC
Cumul]]/Tableau1[[#This Row],[Diff jour_x000D_
Cumul]]</f>
        <v>-137.54114684004077</v>
      </c>
      <c r="Z598" s="82">
        <f>Tableau1[[#This Row],[Conso HC / jour_x000D_
Cumul]]*365</f>
        <v>-50202.518596614878</v>
      </c>
      <c r="AA598" s="79">
        <f>Tableau1[[#This Row],[Différence HP
Instantané]]+Tableau1[[#This Row],[Différence_x000D_ HC
Instantané]]</f>
        <v>18</v>
      </c>
      <c r="AB598" s="80">
        <f>Tableau1[[#This Row],[Conso HP + HC
Instantané]]/(Tableau1[[#This Row],[Diff jour
Instantané]]*24)</f>
        <v>0.72434607645943117</v>
      </c>
      <c r="AC598" s="80">
        <f>IF(ISERROR(Tableau1[[#This Row],[Date]]-A597),"",Tableau1[[#This Row],[Conso HP + HC
Instantané]]/Tableau1[[#This Row],[Diff jour
Instantané]])</f>
        <v>17.38430583502635</v>
      </c>
      <c r="AD598" s="80">
        <f>Tableau1[[#This Row],[Conso HP + HC / jour_x000D_
Instantané]]*365</f>
        <v>6345.2716297846173</v>
      </c>
      <c r="AE598" s="79">
        <f>Tableau1[[#This Row],[Différence HP
Cumul]]+Tableau1[[#This Row],[Différence HC
Cumul]]</f>
        <v>-293275</v>
      </c>
      <c r="AF598" s="77">
        <f>(Tableau1[[#This Row],[Conso HP + HC
Cumul]]-AE$6)/Tableau1[[#This Row],[Diff jour_x000D_
Cumul
depuis le 24/01]]</f>
        <v>-362.74900886908944</v>
      </c>
      <c r="AG598" s="77">
        <f>(Tableau1[[#This Row],[Conso HP + HC
Cumul]]-AE$59)/Tableau1[[#This Row],[Diff jour_x000D_
Cumul
depuis
précédente facture
16/02/2021]]</f>
        <v>-375.07476435829739</v>
      </c>
      <c r="AH598" s="80">
        <f>Tableau1[[#This Row],[Conso HP + HC
Cumul]]/(Tableau1[[#This Row],[Diff jour_x000D_
Cumul]]*24)</f>
        <v>-14.314756242800621</v>
      </c>
      <c r="AI598" s="80">
        <f>Tableau1[[#This Row],[Conso HP + HC
Cumul]]/Tableau1[[#This Row],[Diff jour_x000D_
Cumul]]</f>
        <v>-343.55414982721493</v>
      </c>
      <c r="AJ598" s="80">
        <f>Tableau1[[#This Row],[Conso HP + HC / jour_x000D_
Cumul]]*365</f>
        <v>-125397.26468693344</v>
      </c>
      <c r="AK598" s="83">
        <f>(Tableau1[[#This Row],[Différence HP
Cumul]]*0.1799)+(Tableau1[[#This Row],[Différence HC
Cumul]]*0.1346)</f>
        <v>-47441.408900000002</v>
      </c>
      <c r="AL598" s="83">
        <f>Tableau1[[#This Row],[Montant
Tarif HP/HC]]/Tableau1[[#This Row],[Diff jour_x000D_
Cumul]]</f>
        <v>-55.574777602062113</v>
      </c>
      <c r="AM598" s="83">
        <f>(Tableau1[[#This Row],[Montant
Tarif HP/HC]]-AK$6)/Tableau1[[#This Row],[Diff jour_x000D_
Cumul
depuis le 24/01]]</f>
        <v>-58.690278129725826</v>
      </c>
      <c r="AN598" s="83">
        <f>(Tableau1[[#This Row],[Montant
Tarif HP/HC]]-AK$59)/Tableau1[[#This Row],[Diff jour_x000D_
Cumul
depuis
précédente facture
16/02/2021]]</f>
        <v>-60.694207042456263</v>
      </c>
      <c r="AO598" s="83">
        <f>Tableau1[[#This Row],[Conso HP + HC
Cumul]]*0.1599</f>
        <v>-46894.672499999993</v>
      </c>
      <c r="AP598" s="83">
        <f>Tableau1[[#This Row],[Montant
Tarif normal]]/Tableau1[[#This Row],[Diff jour_x000D_
Cumul]]</f>
        <v>-54.934308557371658</v>
      </c>
      <c r="AQ598" s="83">
        <f>(Tableau1[[#This Row],[Conso HP / an
Cumul]]*0.1799)+(Tableau1[[#This Row],[Conso HC / an_x000D_
Cumul]]*0.1346)</f>
        <v>-20284.793824752673</v>
      </c>
      <c r="AR598" s="83">
        <f>Tableau1[[#This Row],[Conso HP + HC / an_x000D_
Cumul]]*0.1599</f>
        <v>-20051.022623440655</v>
      </c>
      <c r="AS598" s="79">
        <f>MONTH(Tableau1[[#This Row],[Date]])</f>
        <v>4</v>
      </c>
      <c r="AT598" s="79">
        <f>YEAR(Tableau1[[#This Row],[Date]])</f>
        <v>2023</v>
      </c>
    </row>
    <row r="599" spans="1:46" x14ac:dyDescent="0.2">
      <c r="A599" s="74">
        <v>45037.352083333331</v>
      </c>
      <c r="B599" s="75"/>
      <c r="C599" s="76">
        <f>IF(ISERROR(Tableau1[[#This Row],[Date]]-A598),"",Tableau1[[#This Row],[Date]]-A598)</f>
        <v>0.99375000000145519</v>
      </c>
      <c r="D599" s="77">
        <f>IF(ISERROR(Tableau1[[#This Row],[Date]]-A598),"",Tableau1[[#This Row],[Date]]-A598)</f>
        <v>0.99375000000145519</v>
      </c>
      <c r="E599" s="76">
        <f>Tableau1[[#This Row],[Date]]-$A$5</f>
        <v>854.64374999999563</v>
      </c>
      <c r="F599" s="77">
        <f>Tableau1[[#This Row],[Date]]-$A$5</f>
        <v>854.64374999999563</v>
      </c>
      <c r="G599" s="77">
        <f>Tableau1[[#This Row],[Diff jour_x000D_
Cumul]]-F$6</f>
        <v>816.56041666666715</v>
      </c>
      <c r="H599" s="77">
        <f>Tableau1[[#This Row],[Diff jour_x000D_
Cumul]]-F$59</f>
        <v>794.04097222221753</v>
      </c>
      <c r="I599" s="78">
        <v>3906</v>
      </c>
      <c r="J599" s="79">
        <f>IF(ISERROR(Tableau1[[#This Row],[Index HP
kWh]]-I598),"",Tableau1[[#This Row],[Index HP
kWh]]-I598)</f>
        <v>10</v>
      </c>
      <c r="K599" s="77">
        <f>IF(ISERROR(Tableau1[[#This Row],[Différence HP
Instantané]]/(Tableau1[[#This Row],[Diff jour
Instantané]]*24)),"",Tableau1[[#This Row],[Différence HP
Instantané]]/(Tableau1[[#This Row],[Diff jour
Instantané]]*24))</f>
        <v>0.41928721173942796</v>
      </c>
      <c r="L599" s="77">
        <f>Tableau1[[#This Row],[Différence HP
Instantané]]/Tableau1[[#This Row],[Diff jour
Instantané]]</f>
        <v>10.062893081746271</v>
      </c>
      <c r="M599" s="77">
        <f>Tableau1[[#This Row],[Conso HP / jour
Instantané]]*365</f>
        <v>3672.955974837389</v>
      </c>
      <c r="N599" s="79">
        <f>Tableau1[[#This Row],[Index HP
kWh]]-$I$5</f>
        <v>-175853</v>
      </c>
      <c r="O599" s="80">
        <f>Tableau1[[#This Row],[Différence HP
Cumul]]/(Tableau1[[#This Row],[Diff jour_x000D_
Cumul]]*24)</f>
        <v>-8.573406560725882</v>
      </c>
      <c r="P599" s="80">
        <f>Tableau1[[#This Row],[Différence HP
Cumul]]/Tableau1[[#This Row],[Diff jour_x000D_
Cumul]]</f>
        <v>-205.76175745742117</v>
      </c>
      <c r="Q599" s="80">
        <f>Tableau1[[#This Row],[Conso HP / jour
Cumul]]*365</f>
        <v>-75103.041471958728</v>
      </c>
      <c r="R599" s="78">
        <v>2027</v>
      </c>
      <c r="S599" s="79">
        <f>Tableau1[[#This Row],[Index HC_x000D_
kWh]]-R598</f>
        <v>7</v>
      </c>
      <c r="T599" s="81">
        <f>Tableau1[[#This Row],[Différence_x000D_ HC
Instantané]]/(Tableau1[[#This Row],[Diff jour
Instantané]]*24)</f>
        <v>0.29350104821759954</v>
      </c>
      <c r="U599" s="81">
        <f>Tableau1[[#This Row],[Différence_x000D_ HC
Instantané]]/Tableau1[[#This Row],[Diff jour
Instantané]]</f>
        <v>7.0440251572223893</v>
      </c>
      <c r="V599" s="81">
        <f>Tableau1[[#This Row],[Conso HC / jour_x000D_
Instantané]]*365</f>
        <v>2571.0691823861721</v>
      </c>
      <c r="W599" s="79">
        <f>Tableau1[[#This Row],[Index HC_x000D_
kWh]]-$R$5</f>
        <v>-117405</v>
      </c>
      <c r="X599" s="82">
        <f>Tableau1[[#This Row],[Différence HC
Cumul]]/(Tableau1[[#This Row],[Diff jour_x000D_
Cumul]]*24)</f>
        <v>-5.72387617647707</v>
      </c>
      <c r="Y599" s="82">
        <f>Tableau1[[#This Row],[Différence HC
Cumul]]/Tableau1[[#This Row],[Diff jour_x000D_
Cumul]]</f>
        <v>-137.37302823544968</v>
      </c>
      <c r="Z599" s="82">
        <f>Tableau1[[#This Row],[Conso HC / jour_x000D_
Cumul]]*365</f>
        <v>-50141.15530593913</v>
      </c>
      <c r="AA599" s="79">
        <f>Tableau1[[#This Row],[Différence HP
Instantané]]+Tableau1[[#This Row],[Différence_x000D_ HC
Instantané]]</f>
        <v>17</v>
      </c>
      <c r="AB599" s="80">
        <f>Tableau1[[#This Row],[Conso HP + HC
Instantané]]/(Tableau1[[#This Row],[Diff jour
Instantané]]*24)</f>
        <v>0.71278825995702755</v>
      </c>
      <c r="AC599" s="80">
        <f>IF(ISERROR(Tableau1[[#This Row],[Date]]-A598),"",Tableau1[[#This Row],[Conso HP + HC
Instantané]]/Tableau1[[#This Row],[Diff jour
Instantané]])</f>
        <v>17.10691823896866</v>
      </c>
      <c r="AD599" s="80">
        <f>Tableau1[[#This Row],[Conso HP + HC / jour_x000D_
Instantané]]*365</f>
        <v>6244.0251572235611</v>
      </c>
      <c r="AE599" s="79">
        <f>Tableau1[[#This Row],[Différence HP
Cumul]]+Tableau1[[#This Row],[Différence HC
Cumul]]</f>
        <v>-293258</v>
      </c>
      <c r="AF599" s="77">
        <f>(Tableau1[[#This Row],[Conso HP + HC
Cumul]]-AE$6)/Tableau1[[#This Row],[Diff jour_x000D_
Cumul
depuis le 24/01]]</f>
        <v>-362.28672607915803</v>
      </c>
      <c r="AG599" s="77">
        <f>(Tableau1[[#This Row],[Conso HP + HC
Cumul]]-AE$59)/Tableau1[[#This Row],[Diff jour_x000D_
Cumul
depuis
précédente facture
16/02/2021]]</f>
        <v>-374.58394516795903</v>
      </c>
      <c r="AH599" s="80">
        <f>Tableau1[[#This Row],[Conso HP + HC
Cumul]]/(Tableau1[[#This Row],[Diff jour_x000D_
Cumul]]*24)</f>
        <v>-14.297282737202952</v>
      </c>
      <c r="AI599" s="80">
        <f>Tableau1[[#This Row],[Conso HP + HC
Cumul]]/Tableau1[[#This Row],[Diff jour_x000D_
Cumul]]</f>
        <v>-343.13478569287088</v>
      </c>
      <c r="AJ599" s="80">
        <f>Tableau1[[#This Row],[Conso HP + HC / jour_x000D_
Cumul]]*365</f>
        <v>-125244.19677789787</v>
      </c>
      <c r="AK599" s="83">
        <f>(Tableau1[[#This Row],[Différence HP
Cumul]]*0.1799)+(Tableau1[[#This Row],[Différence HC
Cumul]]*0.1346)</f>
        <v>-47438.667700000005</v>
      </c>
      <c r="AL599" s="83">
        <f>Tableau1[[#This Row],[Montant
Tarif HP/HC]]/Tableau1[[#This Row],[Diff jour_x000D_
Cumul]]</f>
        <v>-55.506949767081601</v>
      </c>
      <c r="AM599" s="83">
        <f>(Tableau1[[#This Row],[Montant
Tarif HP/HC]]-AK$6)/Tableau1[[#This Row],[Diff jour_x000D_
Cumul
depuis le 24/01]]</f>
        <v>-58.615495342506271</v>
      </c>
      <c r="AN599" s="83">
        <f>(Tableau1[[#This Row],[Montant
Tarif HP/HC]]-AK$59)/Tableau1[[#This Row],[Diff jour_x000D_
Cumul
depuis
précédente facture
16/02/2021]]</f>
        <v>-60.614795437193557</v>
      </c>
      <c r="AO599" s="83">
        <f>Tableau1[[#This Row],[Conso HP + HC
Cumul]]*0.1599</f>
        <v>-46891.954199999993</v>
      </c>
      <c r="AP599" s="83">
        <f>Tableau1[[#This Row],[Montant
Tarif normal]]/Tableau1[[#This Row],[Diff jour_x000D_
Cumul]]</f>
        <v>-54.867252232290042</v>
      </c>
      <c r="AQ599" s="83">
        <f>(Tableau1[[#This Row],[Conso HP / an
Cumul]]*0.1799)+(Tableau1[[#This Row],[Conso HC / an_x000D_
Cumul]]*0.1346)</f>
        <v>-20260.036664984782</v>
      </c>
      <c r="AR599" s="83">
        <f>Tableau1[[#This Row],[Conso HP + HC / an_x000D_
Cumul]]*0.1599</f>
        <v>-20026.547064785867</v>
      </c>
      <c r="AS599" s="79">
        <f>MONTH(Tableau1[[#This Row],[Date]])</f>
        <v>4</v>
      </c>
      <c r="AT599" s="79">
        <f>YEAR(Tableau1[[#This Row],[Date]])</f>
        <v>2023</v>
      </c>
    </row>
    <row r="600" spans="1:46" x14ac:dyDescent="0.2">
      <c r="A600" s="74">
        <v>45038.341666666667</v>
      </c>
      <c r="B600" s="75"/>
      <c r="C600" s="76">
        <f>IF(ISERROR(Tableau1[[#This Row],[Date]]-A599),"",Tableau1[[#This Row],[Date]]-A599)</f>
        <v>0.98958333333575865</v>
      </c>
      <c r="D600" s="77">
        <f>IF(ISERROR(Tableau1[[#This Row],[Date]]-A599),"",Tableau1[[#This Row],[Date]]-A599)</f>
        <v>0.98958333333575865</v>
      </c>
      <c r="E600" s="76">
        <f>Tableau1[[#This Row],[Date]]-$A$5</f>
        <v>855.63333333333139</v>
      </c>
      <c r="F600" s="77">
        <f>Tableau1[[#This Row],[Date]]-$A$5</f>
        <v>855.63333333333139</v>
      </c>
      <c r="G600" s="77">
        <f>Tableau1[[#This Row],[Diff jour_x000D_
Cumul]]-F$6</f>
        <v>817.55000000000291</v>
      </c>
      <c r="H600" s="77">
        <f>Tableau1[[#This Row],[Diff jour_x000D_
Cumul]]-F$59</f>
        <v>795.03055555555329</v>
      </c>
      <c r="I600" s="78">
        <v>3921</v>
      </c>
      <c r="J600" s="79">
        <f>IF(ISERROR(Tableau1[[#This Row],[Index HP
kWh]]-I599),"",Tableau1[[#This Row],[Index HP
kWh]]-I599)</f>
        <v>15</v>
      </c>
      <c r="K600" s="77">
        <f>IF(ISERROR(Tableau1[[#This Row],[Différence HP
Instantané]]/(Tableau1[[#This Row],[Diff jour
Instantané]]*24)),"",Tableau1[[#This Row],[Différence HP
Instantané]]/(Tableau1[[#This Row],[Diff jour
Instantané]]*24))</f>
        <v>0.63157894736687314</v>
      </c>
      <c r="L600" s="77">
        <f>Tableau1[[#This Row],[Différence HP
Instantané]]/Tableau1[[#This Row],[Diff jour
Instantané]]</f>
        <v>15.157894736804955</v>
      </c>
      <c r="M600" s="77">
        <f>Tableau1[[#This Row],[Conso HP / jour
Instantané]]*365</f>
        <v>5532.6315789338087</v>
      </c>
      <c r="N600" s="79">
        <f>Tableau1[[#This Row],[Index HP
kWh]]-$I$5</f>
        <v>-175838</v>
      </c>
      <c r="O600" s="80">
        <f>Tableau1[[#This Row],[Différence HP
Cumul]]/(Tableau1[[#This Row],[Diff jour_x000D_
Cumul]]*24)</f>
        <v>-8.5627605282636843</v>
      </c>
      <c r="P600" s="80">
        <f>Tableau1[[#This Row],[Différence HP
Cumul]]/Tableau1[[#This Row],[Diff jour_x000D_
Cumul]]</f>
        <v>-205.50625267832842</v>
      </c>
      <c r="Q600" s="80">
        <f>Tableau1[[#This Row],[Conso HP / jour
Cumul]]*365</f>
        <v>-75009.78222758988</v>
      </c>
      <c r="R600" s="78">
        <v>2039</v>
      </c>
      <c r="S600" s="79">
        <f>Tableau1[[#This Row],[Index HC_x000D_
kWh]]-R599</f>
        <v>12</v>
      </c>
      <c r="T600" s="81">
        <f>Tableau1[[#This Row],[Différence_x000D_ HC
Instantané]]/(Tableau1[[#This Row],[Diff jour
Instantané]]*24)</f>
        <v>0.50526315789349852</v>
      </c>
      <c r="U600" s="81">
        <f>Tableau1[[#This Row],[Différence_x000D_ HC
Instantané]]/Tableau1[[#This Row],[Diff jour
Instantané]]</f>
        <v>12.126315789443964</v>
      </c>
      <c r="V600" s="81">
        <f>Tableau1[[#This Row],[Conso HC / jour_x000D_
Instantané]]*365</f>
        <v>4426.1052631470466</v>
      </c>
      <c r="W600" s="79">
        <f>Tableau1[[#This Row],[Index HC_x000D_
kWh]]-$R$5</f>
        <v>-117393</v>
      </c>
      <c r="X600" s="82">
        <f>Tableau1[[#This Row],[Différence HC
Cumul]]/(Tableau1[[#This Row],[Diff jour_x000D_
Cumul]]*24)</f>
        <v>-5.7166718609996625</v>
      </c>
      <c r="Y600" s="82">
        <f>Tableau1[[#This Row],[Différence HC
Cumul]]/Tableau1[[#This Row],[Diff jour_x000D_
Cumul]]</f>
        <v>-137.20012466399189</v>
      </c>
      <c r="Z600" s="82">
        <f>Tableau1[[#This Row],[Conso HC / jour_x000D_
Cumul]]*365</f>
        <v>-50078.045502357039</v>
      </c>
      <c r="AA600" s="79">
        <f>Tableau1[[#This Row],[Différence HP
Instantané]]+Tableau1[[#This Row],[Différence_x000D_ HC
Instantané]]</f>
        <v>27</v>
      </c>
      <c r="AB600" s="80">
        <f>Tableau1[[#This Row],[Conso HP + HC
Instantané]]/(Tableau1[[#This Row],[Diff jour
Instantané]]*24)</f>
        <v>1.1368421052603717</v>
      </c>
      <c r="AC600" s="80">
        <f>IF(ISERROR(Tableau1[[#This Row],[Date]]-A599),"",Tableau1[[#This Row],[Conso HP + HC
Instantané]]/Tableau1[[#This Row],[Diff jour
Instantané]])</f>
        <v>27.28421052624892</v>
      </c>
      <c r="AD600" s="80">
        <f>Tableau1[[#This Row],[Conso HP + HC / jour_x000D_
Instantané]]*365</f>
        <v>9958.7368420808561</v>
      </c>
      <c r="AE600" s="79">
        <f>Tableau1[[#This Row],[Différence HP
Cumul]]+Tableau1[[#This Row],[Différence HC
Cumul]]</f>
        <v>-293231</v>
      </c>
      <c r="AF600" s="77">
        <f>(Tableau1[[#This Row],[Conso HP + HC
Cumul]]-AE$6)/Tableau1[[#This Row],[Diff jour_x000D_
Cumul
depuis le 24/01]]</f>
        <v>-361.81517949972351</v>
      </c>
      <c r="AG600" s="77">
        <f>(Tableau1[[#This Row],[Conso HP + HC
Cumul]]-AE$59)/Tableau1[[#This Row],[Diff jour_x000D_
Cumul
depuis
précédente facture
16/02/2021]]</f>
        <v>-374.08373542596303</v>
      </c>
      <c r="AH600" s="80">
        <f>Tableau1[[#This Row],[Conso HP + HC
Cumul]]/(Tableau1[[#This Row],[Diff jour_x000D_
Cumul]]*24)</f>
        <v>-14.279432389263347</v>
      </c>
      <c r="AI600" s="80">
        <f>Tableau1[[#This Row],[Conso HP + HC
Cumul]]/Tableau1[[#This Row],[Diff jour_x000D_
Cumul]]</f>
        <v>-342.70637734232031</v>
      </c>
      <c r="AJ600" s="80">
        <f>Tableau1[[#This Row],[Conso HP + HC / jour_x000D_
Cumul]]*365</f>
        <v>-125087.82772994692</v>
      </c>
      <c r="AK600" s="83">
        <f>(Tableau1[[#This Row],[Différence HP
Cumul]]*0.1799)+(Tableau1[[#This Row],[Différence HC
Cumul]]*0.1346)</f>
        <v>-47434.353999999999</v>
      </c>
      <c r="AL600" s="83">
        <f>Tableau1[[#This Row],[Montant
Tarif HP/HC]]/Tableau1[[#This Row],[Diff jour_x000D_
Cumul]]</f>
        <v>-55.43771163660459</v>
      </c>
      <c r="AM600" s="83">
        <f>(Tableau1[[#This Row],[Montant
Tarif HP/HC]]-AK$6)/Tableau1[[#This Row],[Diff jour_x000D_
Cumul
depuis le 24/01]]</f>
        <v>-58.539269280166145</v>
      </c>
      <c r="AN600" s="83">
        <f>(Tableau1[[#This Row],[Montant
Tarif HP/HC]]-AK$59)/Tableau1[[#This Row],[Diff jour_x000D_
Cumul
depuis
précédente facture
16/02/2021]]</f>
        <v>-60.533921701122772</v>
      </c>
      <c r="AO600" s="83">
        <f>Tableau1[[#This Row],[Conso HP + HC
Cumul]]*0.1599</f>
        <v>-46887.636899999998</v>
      </c>
      <c r="AP600" s="83">
        <f>Tableau1[[#This Row],[Montant
Tarif normal]]/Tableau1[[#This Row],[Diff jour_x000D_
Cumul]]</f>
        <v>-54.798749737037014</v>
      </c>
      <c r="AQ600" s="83">
        <f>(Tableau1[[#This Row],[Conso HP / an
Cumul]]*0.1799)+(Tableau1[[#This Row],[Conso HC / an_x000D_
Cumul]]*0.1346)</f>
        <v>-20234.764747360678</v>
      </c>
      <c r="AR600" s="83">
        <f>Tableau1[[#This Row],[Conso HP + HC / an_x000D_
Cumul]]*0.1599</f>
        <v>-20001.543654018511</v>
      </c>
      <c r="AS600" s="79">
        <f>MONTH(Tableau1[[#This Row],[Date]])</f>
        <v>4</v>
      </c>
      <c r="AT600" s="79">
        <f>YEAR(Tableau1[[#This Row],[Date]])</f>
        <v>2023</v>
      </c>
    </row>
    <row r="601" spans="1:46" x14ac:dyDescent="0.2">
      <c r="A601" s="74">
        <v>45039.663888888892</v>
      </c>
      <c r="B601" s="75"/>
      <c r="C601" s="76">
        <f>IF(ISERROR(Tableau1[[#This Row],[Date]]-A600),"",Tableau1[[#This Row],[Date]]-A600)</f>
        <v>1.3222222222248092</v>
      </c>
      <c r="D601" s="77">
        <f>IF(ISERROR(Tableau1[[#This Row],[Date]]-A600),"",Tableau1[[#This Row],[Date]]-A600)</f>
        <v>1.3222222222248092</v>
      </c>
      <c r="E601" s="76">
        <f>Tableau1[[#This Row],[Date]]-$A$5</f>
        <v>856.9555555555562</v>
      </c>
      <c r="F601" s="77">
        <f>Tableau1[[#This Row],[Date]]-$A$5</f>
        <v>856.9555555555562</v>
      </c>
      <c r="G601" s="77">
        <f>Tableau1[[#This Row],[Diff jour_x000D_
Cumul]]-F$6</f>
        <v>818.87222222222772</v>
      </c>
      <c r="H601" s="77">
        <f>Tableau1[[#This Row],[Diff jour_x000D_
Cumul]]-F$59</f>
        <v>796.3527777777781</v>
      </c>
      <c r="I601" s="78">
        <v>3940</v>
      </c>
      <c r="J601" s="79">
        <f>IF(ISERROR(Tableau1[[#This Row],[Index HP
kWh]]-I600),"",Tableau1[[#This Row],[Index HP
kWh]]-I600)</f>
        <v>19</v>
      </c>
      <c r="K601" s="77">
        <f>IF(ISERROR(Tableau1[[#This Row],[Différence HP
Instantané]]/(Tableau1[[#This Row],[Diff jour
Instantané]]*24)),"",Tableau1[[#This Row],[Différence HP
Instantané]]/(Tableau1[[#This Row],[Diff jour
Instantané]]*24))</f>
        <v>0.5987394957971478</v>
      </c>
      <c r="L601" s="77">
        <f>Tableau1[[#This Row],[Différence HP
Instantané]]/Tableau1[[#This Row],[Diff jour
Instantané]]</f>
        <v>14.369747899131548</v>
      </c>
      <c r="M601" s="77">
        <f>Tableau1[[#This Row],[Conso HP / jour
Instantané]]*365</f>
        <v>5244.9579831830151</v>
      </c>
      <c r="N601" s="79">
        <f>Tableau1[[#This Row],[Index HP
kWh]]-$I$5</f>
        <v>-175819</v>
      </c>
      <c r="O601" s="80">
        <f>Tableau1[[#This Row],[Différence HP
Cumul]]/(Tableau1[[#This Row],[Diff jour_x000D_
Cumul]]*24)</f>
        <v>-8.5486249773098493</v>
      </c>
      <c r="P601" s="80">
        <f>Tableau1[[#This Row],[Différence HP
Cumul]]/Tableau1[[#This Row],[Diff jour_x000D_
Cumul]]</f>
        <v>-205.16699945543641</v>
      </c>
      <c r="Q601" s="80">
        <f>Tableau1[[#This Row],[Conso HP / jour
Cumul]]*365</f>
        <v>-74885.954801234286</v>
      </c>
      <c r="R601" s="78">
        <v>2042</v>
      </c>
      <c r="S601" s="79">
        <f>Tableau1[[#This Row],[Index HC_x000D_
kWh]]-R600</f>
        <v>3</v>
      </c>
      <c r="T601" s="81">
        <f>Tableau1[[#This Row],[Différence_x000D_ HC
Instantané]]/(Tableau1[[#This Row],[Diff jour
Instantané]]*24)</f>
        <v>9.4537815125865454E-2</v>
      </c>
      <c r="U601" s="81">
        <f>Tableau1[[#This Row],[Différence_x000D_ HC
Instantané]]/Tableau1[[#This Row],[Diff jour
Instantané]]</f>
        <v>2.2689075630207709</v>
      </c>
      <c r="V601" s="81">
        <f>Tableau1[[#This Row],[Conso HC / jour_x000D_
Instantané]]*365</f>
        <v>828.15126050258141</v>
      </c>
      <c r="W601" s="79">
        <f>Tableau1[[#This Row],[Index HC_x000D_
kWh]]-$R$5</f>
        <v>-117390</v>
      </c>
      <c r="X601" s="82">
        <f>Tableau1[[#This Row],[Différence HC
Cumul]]/(Tableau1[[#This Row],[Diff jour_x000D_
Cumul]]*24)</f>
        <v>-5.707705572699215</v>
      </c>
      <c r="Y601" s="82">
        <f>Tableau1[[#This Row],[Différence HC
Cumul]]/Tableau1[[#This Row],[Diff jour_x000D_
Cumul]]</f>
        <v>-136.98493374478116</v>
      </c>
      <c r="Z601" s="82">
        <f>Tableau1[[#This Row],[Conso HC / jour_x000D_
Cumul]]*365</f>
        <v>-49999.500816845124</v>
      </c>
      <c r="AA601" s="79">
        <f>Tableau1[[#This Row],[Différence HP
Instantané]]+Tableau1[[#This Row],[Différence_x000D_ HC
Instantané]]</f>
        <v>22</v>
      </c>
      <c r="AB601" s="80">
        <f>Tableau1[[#This Row],[Conso HP + HC
Instantané]]/(Tableau1[[#This Row],[Diff jour
Instantané]]*24)</f>
        <v>0.69327731092301326</v>
      </c>
      <c r="AC601" s="80">
        <f>IF(ISERROR(Tableau1[[#This Row],[Date]]-A600),"",Tableau1[[#This Row],[Conso HP + HC
Instantané]]/Tableau1[[#This Row],[Diff jour
Instantané]])</f>
        <v>16.638655462152318</v>
      </c>
      <c r="AD601" s="80">
        <f>Tableau1[[#This Row],[Conso HP + HC / jour_x000D_
Instantané]]*365</f>
        <v>6073.1092436855961</v>
      </c>
      <c r="AE601" s="79">
        <f>Tableau1[[#This Row],[Différence HP
Cumul]]+Tableau1[[#This Row],[Différence HC
Cumul]]</f>
        <v>-293209</v>
      </c>
      <c r="AF601" s="77">
        <f>(Tableau1[[#This Row],[Conso HP + HC
Cumul]]-AE$6)/Tableau1[[#This Row],[Diff jour_x000D_
Cumul
depuis le 24/01]]</f>
        <v>-361.20409506299069</v>
      </c>
      <c r="AG601" s="77">
        <f>(Tableau1[[#This Row],[Conso HP + HC
Cumul]]-AE$59)/Tableau1[[#This Row],[Diff jour_x000D_
Cumul
depuis
précédente facture
16/02/2021]]</f>
        <v>-373.43500054065919</v>
      </c>
      <c r="AH601" s="80">
        <f>Tableau1[[#This Row],[Conso HP + HC
Cumul]]/(Tableau1[[#This Row],[Diff jour_x000D_
Cumul]]*24)</f>
        <v>-14.256330550009066</v>
      </c>
      <c r="AI601" s="80">
        <f>Tableau1[[#This Row],[Conso HP + HC
Cumul]]/Tableau1[[#This Row],[Diff jour_x000D_
Cumul]]</f>
        <v>-342.15193320021757</v>
      </c>
      <c r="AJ601" s="80">
        <f>Tableau1[[#This Row],[Conso HP + HC / jour_x000D_
Cumul]]*365</f>
        <v>-124885.45561807942</v>
      </c>
      <c r="AK601" s="83">
        <f>(Tableau1[[#This Row],[Différence HP
Cumul]]*0.1799)+(Tableau1[[#This Row],[Différence HC
Cumul]]*0.1346)</f>
        <v>-47430.532099999997</v>
      </c>
      <c r="AL601" s="83">
        <f>Tableau1[[#This Row],[Montant
Tarif HP/HC]]/Tableau1[[#This Row],[Diff jour_x000D_
Cumul]]</f>
        <v>-55.34771528408055</v>
      </c>
      <c r="AM601" s="83">
        <f>(Tableau1[[#This Row],[Montant
Tarif HP/HC]]-AK$6)/Tableau1[[#This Row],[Diff jour_x000D_
Cumul
depuis le 24/01]]</f>
        <v>-58.440079418169582</v>
      </c>
      <c r="AN601" s="83">
        <f>(Tableau1[[#This Row],[Montant
Tarif HP/HC]]-AK$59)/Tableau1[[#This Row],[Diff jour_x000D_
Cumul
depuis
précédente facture
16/02/2021]]</f>
        <v>-60.428615109858455</v>
      </c>
      <c r="AO601" s="83">
        <f>Tableau1[[#This Row],[Conso HP + HC
Cumul]]*0.1599</f>
        <v>-46884.119099999996</v>
      </c>
      <c r="AP601" s="83">
        <f>Tableau1[[#This Row],[Montant
Tarif normal]]/Tableau1[[#This Row],[Diff jour_x000D_
Cumul]]</f>
        <v>-54.710094118714785</v>
      </c>
      <c r="AQ601" s="83">
        <f>(Tableau1[[#This Row],[Conso HP / an
Cumul]]*0.1799)+(Tableau1[[#This Row],[Conso HC / an_x000D_
Cumul]]*0.1346)</f>
        <v>-20201.916078689399</v>
      </c>
      <c r="AR601" s="83">
        <f>Tableau1[[#This Row],[Conso HP + HC / an_x000D_
Cumul]]*0.1599</f>
        <v>-19969.184353330897</v>
      </c>
      <c r="AS601" s="79">
        <f>MONTH(Tableau1[[#This Row],[Date]])</f>
        <v>4</v>
      </c>
      <c r="AT601" s="79">
        <f>YEAR(Tableau1[[#This Row],[Date]])</f>
        <v>2023</v>
      </c>
    </row>
    <row r="602" spans="1:46" x14ac:dyDescent="0.2">
      <c r="A602" s="74">
        <v>45040.384722222225</v>
      </c>
      <c r="B602" s="75"/>
      <c r="C602" s="76">
        <f>IF(ISERROR(Tableau1[[#This Row],[Date]]-A601),"",Tableau1[[#This Row],[Date]]-A601)</f>
        <v>0.72083333333284827</v>
      </c>
      <c r="D602" s="77">
        <f>IF(ISERROR(Tableau1[[#This Row],[Date]]-A601),"",Tableau1[[#This Row],[Date]]-A601)</f>
        <v>0.72083333333284827</v>
      </c>
      <c r="E602" s="76">
        <f>Tableau1[[#This Row],[Date]]-$A$5</f>
        <v>857.67638888888905</v>
      </c>
      <c r="F602" s="77">
        <f>Tableau1[[#This Row],[Date]]-$A$5</f>
        <v>857.67638888888905</v>
      </c>
      <c r="G602" s="77">
        <f>Tableau1[[#This Row],[Diff jour_x000D_
Cumul]]-F$6</f>
        <v>819.59305555556057</v>
      </c>
      <c r="H602" s="77">
        <f>Tableau1[[#This Row],[Diff jour_x000D_
Cumul]]-F$59</f>
        <v>797.07361111111095</v>
      </c>
      <c r="I602" s="78">
        <v>3950</v>
      </c>
      <c r="J602" s="79">
        <f>IF(ISERROR(Tableau1[[#This Row],[Index HP
kWh]]-I601),"",Tableau1[[#This Row],[Index HP
kWh]]-I601)</f>
        <v>10</v>
      </c>
      <c r="K602" s="77">
        <f>IF(ISERROR(Tableau1[[#This Row],[Différence HP
Instantané]]/(Tableau1[[#This Row],[Diff jour
Instantané]]*24)),"",Tableau1[[#This Row],[Différence HP
Instantané]]/(Tableau1[[#This Row],[Diff jour
Instantané]]*24))</f>
        <v>0.57803468208131381</v>
      </c>
      <c r="L602" s="77">
        <f>Tableau1[[#This Row],[Différence HP
Instantané]]/Tableau1[[#This Row],[Diff jour
Instantané]]</f>
        <v>13.872832369951531</v>
      </c>
      <c r="M602" s="77">
        <f>Tableau1[[#This Row],[Conso HP / jour
Instantané]]*365</f>
        <v>5063.5838150323088</v>
      </c>
      <c r="N602" s="79">
        <f>Tableau1[[#This Row],[Index HP
kWh]]-$I$5</f>
        <v>-175809</v>
      </c>
      <c r="O602" s="80">
        <f>Tableau1[[#This Row],[Différence HP
Cumul]]/(Tableau1[[#This Row],[Diff jour_x000D_
Cumul]]*24)</f>
        <v>-8.5409544845812402</v>
      </c>
      <c r="P602" s="80">
        <f>Tableau1[[#This Row],[Différence HP
Cumul]]/Tableau1[[#This Row],[Diff jour_x000D_
Cumul]]</f>
        <v>-204.98290762994975</v>
      </c>
      <c r="Q602" s="80">
        <f>Tableau1[[#This Row],[Conso HP / jour
Cumul]]*365</f>
        <v>-74818.761284931665</v>
      </c>
      <c r="R602" s="78">
        <v>2044</v>
      </c>
      <c r="S602" s="79">
        <f>Tableau1[[#This Row],[Index HC_x000D_
kWh]]-R601</f>
        <v>2</v>
      </c>
      <c r="T602" s="81">
        <f>Tableau1[[#This Row],[Différence_x000D_ HC
Instantané]]/(Tableau1[[#This Row],[Diff jour
Instantané]]*24)</f>
        <v>0.11560693641626277</v>
      </c>
      <c r="U602" s="81">
        <f>Tableau1[[#This Row],[Différence_x000D_ HC
Instantané]]/Tableau1[[#This Row],[Diff jour
Instantané]]</f>
        <v>2.7745664739903062</v>
      </c>
      <c r="V602" s="81">
        <f>Tableau1[[#This Row],[Conso HC / jour_x000D_
Instantané]]*365</f>
        <v>1012.7167630064617</v>
      </c>
      <c r="W602" s="79">
        <f>Tableau1[[#This Row],[Index HC_x000D_
kWh]]-$R$5</f>
        <v>-117388</v>
      </c>
      <c r="X602" s="82">
        <f>Tableau1[[#This Row],[Différence HC
Cumul]]/(Tableau1[[#This Row],[Diff jour_x000D_
Cumul]]*24)</f>
        <v>-5.7028113750491869</v>
      </c>
      <c r="Y602" s="82">
        <f>Tableau1[[#This Row],[Différence HC
Cumul]]/Tableau1[[#This Row],[Diff jour_x000D_
Cumul]]</f>
        <v>-136.86747300118049</v>
      </c>
      <c r="Z602" s="82">
        <f>Tableau1[[#This Row],[Conso HC / jour_x000D_
Cumul]]*365</f>
        <v>-49956.627645430875</v>
      </c>
      <c r="AA602" s="79">
        <f>Tableau1[[#This Row],[Différence HP
Instantané]]+Tableau1[[#This Row],[Différence_x000D_ HC
Instantané]]</f>
        <v>12</v>
      </c>
      <c r="AB602" s="80">
        <f>Tableau1[[#This Row],[Conso HP + HC
Instantané]]/(Tableau1[[#This Row],[Diff jour
Instantané]]*24)</f>
        <v>0.69364161849757655</v>
      </c>
      <c r="AC602" s="80">
        <f>IF(ISERROR(Tableau1[[#This Row],[Date]]-A601),"",Tableau1[[#This Row],[Conso HP + HC
Instantané]]/Tableau1[[#This Row],[Diff jour
Instantané]])</f>
        <v>16.64739884394184</v>
      </c>
      <c r="AD602" s="80">
        <f>Tableau1[[#This Row],[Conso HP + HC / jour_x000D_
Instantané]]*365</f>
        <v>6076.3005780387712</v>
      </c>
      <c r="AE602" s="79">
        <f>Tableau1[[#This Row],[Différence HP
Cumul]]+Tableau1[[#This Row],[Différence HC
Cumul]]</f>
        <v>-293197</v>
      </c>
      <c r="AF602" s="77">
        <f>(Tableau1[[#This Row],[Conso HP + HC
Cumul]]-AE$6)/Tableau1[[#This Row],[Diff jour_x000D_
Cumul
depuis le 24/01]]</f>
        <v>-360.87177410198268</v>
      </c>
      <c r="AG602" s="77">
        <f>(Tableau1[[#This Row],[Conso HP + HC
Cumul]]-AE$59)/Tableau1[[#This Row],[Diff jour_x000D_
Cumul
depuis
précédente facture
16/02/2021]]</f>
        <v>-373.08222961423132</v>
      </c>
      <c r="AH602" s="80">
        <f>Tableau1[[#This Row],[Conso HP + HC
Cumul]]/(Tableau1[[#This Row],[Diff jour_x000D_
Cumul]]*24)</f>
        <v>-14.243765859630427</v>
      </c>
      <c r="AI602" s="80">
        <f>Tableau1[[#This Row],[Conso HP + HC
Cumul]]/Tableau1[[#This Row],[Diff jour_x000D_
Cumul]]</f>
        <v>-341.85038063113024</v>
      </c>
      <c r="AJ602" s="80">
        <f>Tableau1[[#This Row],[Conso HP + HC / jour_x000D_
Cumul]]*365</f>
        <v>-124775.38893036253</v>
      </c>
      <c r="AK602" s="83">
        <f>(Tableau1[[#This Row],[Différence HP
Cumul]]*0.1799)+(Tableau1[[#This Row],[Différence HC
Cumul]]*0.1346)</f>
        <v>-47428.463900000002</v>
      </c>
      <c r="AL602" s="83">
        <f>Tableau1[[#This Row],[Montant
Tarif HP/HC]]/Tableau1[[#This Row],[Diff jour_x000D_
Cumul]]</f>
        <v>-55.298786948586859</v>
      </c>
      <c r="AM602" s="83">
        <f>(Tableau1[[#This Row],[Montant
Tarif HP/HC]]-AK$6)/Tableau1[[#This Row],[Diff jour_x000D_
Cumul
depuis le 24/01]]</f>
        <v>-58.386157832392755</v>
      </c>
      <c r="AN602" s="83">
        <f>(Tableau1[[#This Row],[Montant
Tarif HP/HC]]-AK$59)/Tableau1[[#This Row],[Diff jour_x000D_
Cumul
depuis
précédente facture
16/02/2021]]</f>
        <v>-60.371371764423003</v>
      </c>
      <c r="AO602" s="83">
        <f>Tableau1[[#This Row],[Conso HP + HC
Cumul]]*0.1599</f>
        <v>-46882.200299999997</v>
      </c>
      <c r="AP602" s="83">
        <f>Tableau1[[#This Row],[Montant
Tarif normal]]/Tableau1[[#This Row],[Diff jour_x000D_
Cumul]]</f>
        <v>-54.661875862917718</v>
      </c>
      <c r="AQ602" s="83">
        <f>(Tableau1[[#This Row],[Conso HP / an
Cumul]]*0.1799)+(Tableau1[[#This Row],[Conso HC / an_x000D_
Cumul]]*0.1346)</f>
        <v>-20184.057236234203</v>
      </c>
      <c r="AR602" s="83">
        <f>Tableau1[[#This Row],[Conso HP + HC / an_x000D_
Cumul]]*0.1599</f>
        <v>-19951.584689964966</v>
      </c>
      <c r="AS602" s="79">
        <f>MONTH(Tableau1[[#This Row],[Date]])</f>
        <v>4</v>
      </c>
      <c r="AT602" s="79">
        <f>YEAR(Tableau1[[#This Row],[Date]])</f>
        <v>2023</v>
      </c>
    </row>
    <row r="603" spans="1:46" x14ac:dyDescent="0.2">
      <c r="A603" s="74">
        <v>45041.34097222222</v>
      </c>
      <c r="B603" s="75"/>
      <c r="C603" s="76">
        <f>IF(ISERROR(Tableau1[[#This Row],[Date]]-A602),"",Tableau1[[#This Row],[Date]]-A602)</f>
        <v>0.95624999999563443</v>
      </c>
      <c r="D603" s="77">
        <f>IF(ISERROR(Tableau1[[#This Row],[Date]]-A602),"",Tableau1[[#This Row],[Date]]-A602)</f>
        <v>0.95624999999563443</v>
      </c>
      <c r="E603" s="76">
        <f>Tableau1[[#This Row],[Date]]-$A$5</f>
        <v>858.63263888888469</v>
      </c>
      <c r="F603" s="77">
        <f>Tableau1[[#This Row],[Date]]-$A$5</f>
        <v>858.63263888888469</v>
      </c>
      <c r="G603" s="77">
        <f>Tableau1[[#This Row],[Diff jour_x000D_
Cumul]]-F$6</f>
        <v>820.5493055555562</v>
      </c>
      <c r="H603" s="77">
        <f>Tableau1[[#This Row],[Diff jour_x000D_
Cumul]]-F$59</f>
        <v>798.02986111110658</v>
      </c>
      <c r="I603" s="78">
        <v>3970</v>
      </c>
      <c r="J603" s="79">
        <f>IF(ISERROR(Tableau1[[#This Row],[Index HP
kWh]]-I602),"",Tableau1[[#This Row],[Index HP
kWh]]-I602)</f>
        <v>20</v>
      </c>
      <c r="K603" s="77">
        <f>IF(ISERROR(Tableau1[[#This Row],[Différence HP
Instantané]]/(Tableau1[[#This Row],[Diff jour
Instantané]]*24)),"",Tableau1[[#This Row],[Différence HP
Instantané]]/(Tableau1[[#This Row],[Diff jour
Instantané]]*24))</f>
        <v>0.87145969499308529</v>
      </c>
      <c r="L603" s="77">
        <f>Tableau1[[#This Row],[Différence HP
Instantané]]/Tableau1[[#This Row],[Diff jour
Instantané]]</f>
        <v>20.915032679834045</v>
      </c>
      <c r="M603" s="77">
        <f>Tableau1[[#This Row],[Conso HP / jour
Instantané]]*365</f>
        <v>7633.9869281394267</v>
      </c>
      <c r="N603" s="79">
        <f>Tableau1[[#This Row],[Index HP
kWh]]-$I$5</f>
        <v>-175789</v>
      </c>
      <c r="O603" s="80">
        <f>Tableau1[[#This Row],[Différence HP
Cumul]]/(Tableau1[[#This Row],[Diff jour_x000D_
Cumul]]*24)</f>
        <v>-8.5304719794311623</v>
      </c>
      <c r="P603" s="80">
        <f>Tableau1[[#This Row],[Différence HP
Cumul]]/Tableau1[[#This Row],[Diff jour_x000D_
Cumul]]</f>
        <v>-204.7313275063479</v>
      </c>
      <c r="Q603" s="80">
        <f>Tableau1[[#This Row],[Conso HP / jour
Cumul]]*365</f>
        <v>-74726.934539816983</v>
      </c>
      <c r="R603" s="78">
        <v>2062</v>
      </c>
      <c r="S603" s="79">
        <f>Tableau1[[#This Row],[Index HC_x000D_
kWh]]-R602</f>
        <v>18</v>
      </c>
      <c r="T603" s="81">
        <f>Tableau1[[#This Row],[Différence_x000D_ HC
Instantané]]/(Tableau1[[#This Row],[Diff jour
Instantané]]*24)</f>
        <v>0.78431372549377676</v>
      </c>
      <c r="U603" s="81">
        <f>Tableau1[[#This Row],[Différence_x000D_ HC
Instantané]]/Tableau1[[#This Row],[Diff jour
Instantané]]</f>
        <v>18.82352941185064</v>
      </c>
      <c r="V603" s="81">
        <f>Tableau1[[#This Row],[Conso HC / jour_x000D_
Instantané]]*365</f>
        <v>6870.5882353254838</v>
      </c>
      <c r="W603" s="79">
        <f>Tableau1[[#This Row],[Index HC_x000D_
kWh]]-$R$5</f>
        <v>-117370</v>
      </c>
      <c r="X603" s="82">
        <f>Tableau1[[#This Row],[Différence HC
Cumul]]/(Tableau1[[#This Row],[Diff jour_x000D_
Cumul]]*24)</f>
        <v>-5.6955867331052312</v>
      </c>
      <c r="Y603" s="82">
        <f>Tableau1[[#This Row],[Différence HC
Cumul]]/Tableau1[[#This Row],[Diff jour_x000D_
Cumul]]</f>
        <v>-136.69408159452556</v>
      </c>
      <c r="Z603" s="82">
        <f>Tableau1[[#This Row],[Conso HC / jour_x000D_
Cumul]]*365</f>
        <v>-49893.339782001829</v>
      </c>
      <c r="AA603" s="79">
        <f>Tableau1[[#This Row],[Différence HP
Instantané]]+Tableau1[[#This Row],[Différence_x000D_ HC
Instantané]]</f>
        <v>38</v>
      </c>
      <c r="AB603" s="80">
        <f>Tableau1[[#This Row],[Conso HP + HC
Instantané]]/(Tableau1[[#This Row],[Diff jour
Instantané]]*24)</f>
        <v>1.6557734204868619</v>
      </c>
      <c r="AC603" s="80">
        <f>IF(ISERROR(Tableau1[[#This Row],[Date]]-A602),"",Tableau1[[#This Row],[Conso HP + HC
Instantané]]/Tableau1[[#This Row],[Diff jour
Instantané]])</f>
        <v>39.738562091684685</v>
      </c>
      <c r="AD603" s="80">
        <f>Tableau1[[#This Row],[Conso HP + HC / jour_x000D_
Instantané]]*365</f>
        <v>14504.57516346491</v>
      </c>
      <c r="AE603" s="79">
        <f>Tableau1[[#This Row],[Différence HP
Cumul]]+Tableau1[[#This Row],[Différence HC
Cumul]]</f>
        <v>-293159</v>
      </c>
      <c r="AF603" s="77">
        <f>(Tableau1[[#This Row],[Conso HP + HC
Cumul]]-AE$6)/Tableau1[[#This Row],[Diff jour_x000D_
Cumul
depuis le 24/01]]</f>
        <v>-360.40491168263776</v>
      </c>
      <c r="AG603" s="77">
        <f>(Tableau1[[#This Row],[Conso HP + HC
Cumul]]-AE$59)/Tableau1[[#This Row],[Diff jour_x000D_
Cumul
depuis
précédente facture
16/02/2021]]</f>
        <v>-372.58756155567352</v>
      </c>
      <c r="AH603" s="80">
        <f>Tableau1[[#This Row],[Conso HP + HC
Cumul]]/(Tableau1[[#This Row],[Diff jour_x000D_
Cumul]]*24)</f>
        <v>-14.226058712536394</v>
      </c>
      <c r="AI603" s="80">
        <f>Tableau1[[#This Row],[Conso HP + HC
Cumul]]/Tableau1[[#This Row],[Diff jour_x000D_
Cumul]]</f>
        <v>-341.42540910087348</v>
      </c>
      <c r="AJ603" s="80">
        <f>Tableau1[[#This Row],[Conso HP + HC / jour_x000D_
Cumul]]*365</f>
        <v>-124620.27432181883</v>
      </c>
      <c r="AK603" s="83">
        <f>(Tableau1[[#This Row],[Différence HP
Cumul]]*0.1799)+(Tableau1[[#This Row],[Différence HC
Cumul]]*0.1346)</f>
        <v>-47422.443100000004</v>
      </c>
      <c r="AL603" s="83">
        <f>Tableau1[[#This Row],[Montant
Tarif HP/HC]]/Tableau1[[#This Row],[Diff jour_x000D_
Cumul]]</f>
        <v>-55.230189201015129</v>
      </c>
      <c r="AM603" s="83">
        <f>(Tableau1[[#This Row],[Montant
Tarif HP/HC]]-AK$6)/Tableau1[[#This Row],[Diff jour_x000D_
Cumul
depuis le 24/01]]</f>
        <v>-58.310778372550196</v>
      </c>
      <c r="AN603" s="83">
        <f>(Tableau1[[#This Row],[Montant
Tarif HP/HC]]-AK$59)/Tableau1[[#This Row],[Diff jour_x000D_
Cumul
depuis
précédente facture
16/02/2021]]</f>
        <v>-60.291486377476822</v>
      </c>
      <c r="AO603" s="83">
        <f>Tableau1[[#This Row],[Conso HP + HC
Cumul]]*0.1599</f>
        <v>-46876.124099999994</v>
      </c>
      <c r="AP603" s="83">
        <f>Tableau1[[#This Row],[Montant
Tarif normal]]/Tableau1[[#This Row],[Diff jour_x000D_
Cumul]]</f>
        <v>-54.593922915229655</v>
      </c>
      <c r="AQ603" s="83">
        <f>(Tableau1[[#This Row],[Conso HP / an
Cumul]]*0.1799)+(Tableau1[[#This Row],[Conso HC / an_x000D_
Cumul]]*0.1346)</f>
        <v>-20159.019058370523</v>
      </c>
      <c r="AR603" s="83">
        <f>Tableau1[[#This Row],[Conso HP + HC / an_x000D_
Cumul]]*0.1599</f>
        <v>-19926.78186405883</v>
      </c>
      <c r="AS603" s="79">
        <f>MONTH(Tableau1[[#This Row],[Date]])</f>
        <v>4</v>
      </c>
      <c r="AT603" s="79">
        <f>YEAR(Tableau1[[#This Row],[Date]])</f>
        <v>2023</v>
      </c>
    </row>
    <row r="604" spans="1:46" x14ac:dyDescent="0.2">
      <c r="A604" s="74">
        <v>45042.334027777775</v>
      </c>
      <c r="B604" s="75"/>
      <c r="C604" s="76">
        <f>IF(ISERROR(Tableau1[[#This Row],[Date]]-A603),"",Tableau1[[#This Row],[Date]]-A603)</f>
        <v>0.99305555555474712</v>
      </c>
      <c r="D604" s="77">
        <f>IF(ISERROR(Tableau1[[#This Row],[Date]]-A603),"",Tableau1[[#This Row],[Date]]-A603)</f>
        <v>0.99305555555474712</v>
      </c>
      <c r="E604" s="76">
        <f>Tableau1[[#This Row],[Date]]-$A$5</f>
        <v>859.62569444443943</v>
      </c>
      <c r="F604" s="77">
        <f>Tableau1[[#This Row],[Date]]-$A$5</f>
        <v>859.62569444443943</v>
      </c>
      <c r="G604" s="77">
        <f>Tableau1[[#This Row],[Diff jour_x000D_
Cumul]]-F$6</f>
        <v>821.54236111111095</v>
      </c>
      <c r="H604" s="77">
        <f>Tableau1[[#This Row],[Diff jour_x000D_
Cumul]]-F$59</f>
        <v>799.02291666666133</v>
      </c>
      <c r="I604" s="78">
        <v>3991</v>
      </c>
      <c r="J604" s="79">
        <f>IF(ISERROR(Tableau1[[#This Row],[Index HP
kWh]]-I603),"",Tableau1[[#This Row],[Index HP
kWh]]-I603)</f>
        <v>21</v>
      </c>
      <c r="K604" s="77">
        <f>IF(ISERROR(Tableau1[[#This Row],[Différence HP
Instantané]]/(Tableau1[[#This Row],[Diff jour
Instantané]]*24)),"",Tableau1[[#This Row],[Différence HP
Instantané]]/(Tableau1[[#This Row],[Diff jour
Instantané]]*24))</f>
        <v>0.88111888111959846</v>
      </c>
      <c r="L604" s="77">
        <f>Tableau1[[#This Row],[Différence HP
Instantané]]/Tableau1[[#This Row],[Diff jour
Instantané]]</f>
        <v>21.146853146870363</v>
      </c>
      <c r="M604" s="77">
        <f>Tableau1[[#This Row],[Conso HP / jour
Instantané]]*365</f>
        <v>7718.6013986076823</v>
      </c>
      <c r="N604" s="79">
        <f>Tableau1[[#This Row],[Index HP
kWh]]-$I$5</f>
        <v>-175768</v>
      </c>
      <c r="O604" s="80">
        <f>Tableau1[[#This Row],[Différence HP
Cumul]]/(Tableau1[[#This Row],[Diff jour_x000D_
Cumul]]*24)</f>
        <v>-8.5195995350043834</v>
      </c>
      <c r="P604" s="80">
        <f>Tableau1[[#This Row],[Différence HP
Cumul]]/Tableau1[[#This Row],[Diff jour_x000D_
Cumul]]</f>
        <v>-204.47038884010522</v>
      </c>
      <c r="Q604" s="80">
        <f>Tableau1[[#This Row],[Conso HP / jour
Cumul]]*365</f>
        <v>-74631.691926638407</v>
      </c>
      <c r="R604" s="78">
        <v>2074</v>
      </c>
      <c r="S604" s="79">
        <f>Tableau1[[#This Row],[Index HC_x000D_
kWh]]-R603</f>
        <v>12</v>
      </c>
      <c r="T604" s="81">
        <f>Tableau1[[#This Row],[Différence_x000D_ HC
Instantané]]/(Tableau1[[#This Row],[Diff jour
Instantané]]*24)</f>
        <v>0.50349650349691344</v>
      </c>
      <c r="U604" s="81">
        <f>Tableau1[[#This Row],[Différence_x000D_ HC
Instantané]]/Tableau1[[#This Row],[Diff jour
Instantané]]</f>
        <v>12.083916083925921</v>
      </c>
      <c r="V604" s="81">
        <f>Tableau1[[#This Row],[Conso HC / jour_x000D_
Instantané]]*365</f>
        <v>4410.6293706329607</v>
      </c>
      <c r="W604" s="79">
        <f>Tableau1[[#This Row],[Index HC_x000D_
kWh]]-$R$5</f>
        <v>-117358</v>
      </c>
      <c r="X604" s="82">
        <f>Tableau1[[#This Row],[Différence HC
Cumul]]/(Tableau1[[#This Row],[Diff jour_x000D_
Cumul]]*24)</f>
        <v>-5.6884254371048453</v>
      </c>
      <c r="Y604" s="82">
        <f>Tableau1[[#This Row],[Différence HC
Cumul]]/Tableau1[[#This Row],[Diff jour_x000D_
Cumul]]</f>
        <v>-136.5222104905163</v>
      </c>
      <c r="Z604" s="82">
        <f>Tableau1[[#This Row],[Conso HC / jour_x000D_
Cumul]]*365</f>
        <v>-49830.60682903845</v>
      </c>
      <c r="AA604" s="79">
        <f>Tableau1[[#This Row],[Différence HP
Instantané]]+Tableau1[[#This Row],[Différence_x000D_ HC
Instantané]]</f>
        <v>33</v>
      </c>
      <c r="AB604" s="80">
        <f>Tableau1[[#This Row],[Conso HP + HC
Instantané]]/(Tableau1[[#This Row],[Diff jour
Instantané]]*24)</f>
        <v>1.3846153846165119</v>
      </c>
      <c r="AC604" s="80">
        <f>IF(ISERROR(Tableau1[[#This Row],[Date]]-A603),"",Tableau1[[#This Row],[Conso HP + HC
Instantané]]/Tableau1[[#This Row],[Diff jour
Instantané]])</f>
        <v>33.230769230796284</v>
      </c>
      <c r="AD604" s="80">
        <f>Tableau1[[#This Row],[Conso HP + HC / jour_x000D_
Instantané]]*365</f>
        <v>12129.230769240643</v>
      </c>
      <c r="AE604" s="79">
        <f>Tableau1[[#This Row],[Différence HP
Cumul]]+Tableau1[[#This Row],[Différence HC
Cumul]]</f>
        <v>-293126</v>
      </c>
      <c r="AF604" s="77">
        <f>(Tableau1[[#This Row],[Conso HP + HC
Cumul]]-AE$6)/Tableau1[[#This Row],[Diff jour_x000D_
Cumul
depuis le 24/01]]</f>
        <v>-359.9290967785019</v>
      </c>
      <c r="AG604" s="77">
        <f>(Tableau1[[#This Row],[Conso HP + HC
Cumul]]-AE$59)/Tableau1[[#This Row],[Diff jour_x000D_
Cumul
depuis
précédente facture
16/02/2021]]</f>
        <v>-372.08319536100328</v>
      </c>
      <c r="AH604" s="80">
        <f>Tableau1[[#This Row],[Conso HP + HC
Cumul]]/(Tableau1[[#This Row],[Diff jour_x000D_
Cumul]]*24)</f>
        <v>-14.208024972109229</v>
      </c>
      <c r="AI604" s="80">
        <f>Tableau1[[#This Row],[Conso HP + HC
Cumul]]/Tableau1[[#This Row],[Diff jour_x000D_
Cumul]]</f>
        <v>-340.99259933062149</v>
      </c>
      <c r="AJ604" s="80">
        <f>Tableau1[[#This Row],[Conso HP + HC / jour_x000D_
Cumul]]*365</f>
        <v>-124462.29875567685</v>
      </c>
      <c r="AK604" s="83">
        <f>(Tableau1[[#This Row],[Différence HP
Cumul]]*0.1799)+(Tableau1[[#This Row],[Différence HC
Cumul]]*0.1346)</f>
        <v>-47417.05</v>
      </c>
      <c r="AL604" s="83">
        <f>Tableau1[[#This Row],[Montant
Tarif HP/HC]]/Tableau1[[#This Row],[Diff jour_x000D_
Cumul]]</f>
        <v>-55.160112484358422</v>
      </c>
      <c r="AM604" s="83">
        <f>(Tableau1[[#This Row],[Montant
Tarif HP/HC]]-AK$6)/Tableau1[[#This Row],[Diff jour_x000D_
Cumul
depuis le 24/01]]</f>
        <v>-58.23372946380497</v>
      </c>
      <c r="AN604" s="83">
        <f>(Tableau1[[#This Row],[Montant
Tarif HP/HC]]-AK$59)/Tableau1[[#This Row],[Diff jour_x000D_
Cumul
depuis
précédente facture
16/02/2021]]</f>
        <v>-60.209804245289575</v>
      </c>
      <c r="AO604" s="83">
        <f>Tableau1[[#This Row],[Conso HP + HC
Cumul]]*0.1599</f>
        <v>-46870.847399999999</v>
      </c>
      <c r="AP604" s="83">
        <f>Tableau1[[#This Row],[Montant
Tarif normal]]/Tableau1[[#This Row],[Diff jour_x000D_
Cumul]]</f>
        <v>-54.524716632966374</v>
      </c>
      <c r="AQ604" s="83">
        <f>(Tableau1[[#This Row],[Conso HP / an
Cumul]]*0.1799)+(Tableau1[[#This Row],[Conso HC / an_x000D_
Cumul]]*0.1346)</f>
        <v>-20133.441056790823</v>
      </c>
      <c r="AR604" s="83">
        <f>Tableau1[[#This Row],[Conso HP + HC / an_x000D_
Cumul]]*0.1599</f>
        <v>-19901.521571032725</v>
      </c>
      <c r="AS604" s="79">
        <f>MONTH(Tableau1[[#This Row],[Date]])</f>
        <v>4</v>
      </c>
      <c r="AT604" s="79">
        <f>YEAR(Tableau1[[#This Row],[Date]])</f>
        <v>2023</v>
      </c>
    </row>
    <row r="605" spans="1:46" x14ac:dyDescent="0.2">
      <c r="A605" s="74">
        <v>45043.385416666664</v>
      </c>
      <c r="B605" s="75"/>
      <c r="C605" s="76">
        <f>IF(ISERROR(Tableau1[[#This Row],[Date]]-A604),"",Tableau1[[#This Row],[Date]]-A604)</f>
        <v>1.0513888888890506</v>
      </c>
      <c r="D605" s="77">
        <f>IF(ISERROR(Tableau1[[#This Row],[Date]]-A604),"",Tableau1[[#This Row],[Date]]-A604)</f>
        <v>1.0513888888890506</v>
      </c>
      <c r="E605" s="76">
        <f>Tableau1[[#This Row],[Date]]-$A$5</f>
        <v>860.67708333332848</v>
      </c>
      <c r="F605" s="77">
        <f>Tableau1[[#This Row],[Date]]-$A$5</f>
        <v>860.67708333332848</v>
      </c>
      <c r="G605" s="77">
        <f>Tableau1[[#This Row],[Diff jour_x000D_
Cumul]]-F$6</f>
        <v>822.59375</v>
      </c>
      <c r="H605" s="77">
        <f>Tableau1[[#This Row],[Diff jour_x000D_
Cumul]]-F$59</f>
        <v>800.07430555555038</v>
      </c>
      <c r="I605" s="78">
        <v>4007</v>
      </c>
      <c r="J605" s="79">
        <f>IF(ISERROR(Tableau1[[#This Row],[Index HP
kWh]]-I604),"",Tableau1[[#This Row],[Index HP
kWh]]-I604)</f>
        <v>16</v>
      </c>
      <c r="K605" s="77">
        <f>IF(ISERROR(Tableau1[[#This Row],[Différence HP
Instantané]]/(Tableau1[[#This Row],[Diff jour
Instantané]]*24)),"",Tableau1[[#This Row],[Différence HP
Instantané]]/(Tableau1[[#This Row],[Diff jour
Instantané]]*24))</f>
        <v>0.63408190224560923</v>
      </c>
      <c r="L605" s="77">
        <f>Tableau1[[#This Row],[Différence HP
Instantané]]/Tableau1[[#This Row],[Diff jour
Instantané]]</f>
        <v>15.217965653894622</v>
      </c>
      <c r="M605" s="77">
        <f>Tableau1[[#This Row],[Conso HP / jour
Instantané]]*365</f>
        <v>5554.5574636715364</v>
      </c>
      <c r="N605" s="79">
        <f>Tableau1[[#This Row],[Index HP
kWh]]-$I$5</f>
        <v>-175752</v>
      </c>
      <c r="O605" s="80">
        <f>Tableau1[[#This Row],[Différence HP
Cumul]]/(Tableau1[[#This Row],[Diff jour_x000D_
Cumul]]*24)</f>
        <v>-8.5084175491679748</v>
      </c>
      <c r="P605" s="80">
        <f>Tableau1[[#This Row],[Différence HP
Cumul]]/Tableau1[[#This Row],[Diff jour_x000D_
Cumul]]</f>
        <v>-204.20202118003141</v>
      </c>
      <c r="Q605" s="80">
        <f>Tableau1[[#This Row],[Conso HP / jour
Cumul]]*365</f>
        <v>-74533.737730711466</v>
      </c>
      <c r="R605" s="78">
        <v>2078</v>
      </c>
      <c r="S605" s="79">
        <f>Tableau1[[#This Row],[Index HC_x000D_
kWh]]-R604</f>
        <v>4</v>
      </c>
      <c r="T605" s="81">
        <f>Tableau1[[#This Row],[Différence_x000D_ HC
Instantané]]/(Tableau1[[#This Row],[Diff jour
Instantané]]*24)</f>
        <v>0.15852047556140231</v>
      </c>
      <c r="U605" s="81">
        <f>Tableau1[[#This Row],[Différence_x000D_ HC
Instantané]]/Tableau1[[#This Row],[Diff jour
Instantané]]</f>
        <v>3.8044914134736554</v>
      </c>
      <c r="V605" s="81">
        <f>Tableau1[[#This Row],[Conso HC / jour_x000D_
Instantané]]*365</f>
        <v>1388.6393659178841</v>
      </c>
      <c r="W605" s="79">
        <f>Tableau1[[#This Row],[Index HC_x000D_
kWh]]-$R$5</f>
        <v>-117354</v>
      </c>
      <c r="X605" s="82">
        <f>Tableau1[[#This Row],[Différence HC
Cumul]]/(Tableau1[[#This Row],[Diff jour_x000D_
Cumul]]*24)</f>
        <v>-5.6812829046898958</v>
      </c>
      <c r="Y605" s="82">
        <f>Tableau1[[#This Row],[Différence HC
Cumul]]/Tableau1[[#This Row],[Diff jour_x000D_
Cumul]]</f>
        <v>-136.35078971255751</v>
      </c>
      <c r="Z605" s="82">
        <f>Tableau1[[#This Row],[Conso HC / jour_x000D_
Cumul]]*365</f>
        <v>-49768.038245083495</v>
      </c>
      <c r="AA605" s="79">
        <f>Tableau1[[#This Row],[Différence HP
Instantané]]+Tableau1[[#This Row],[Différence_x000D_ HC
Instantané]]</f>
        <v>20</v>
      </c>
      <c r="AB605" s="80">
        <f>Tableau1[[#This Row],[Conso HP + HC
Instantané]]/(Tableau1[[#This Row],[Diff jour
Instantané]]*24)</f>
        <v>0.79260237780701148</v>
      </c>
      <c r="AC605" s="80">
        <f>IF(ISERROR(Tableau1[[#This Row],[Date]]-A604),"",Tableau1[[#This Row],[Conso HP + HC
Instantané]]/Tableau1[[#This Row],[Diff jour
Instantané]])</f>
        <v>19.022457067368276</v>
      </c>
      <c r="AD605" s="80">
        <f>Tableau1[[#This Row],[Conso HP + HC / jour_x000D_
Instantané]]*365</f>
        <v>6943.1968295894203</v>
      </c>
      <c r="AE605" s="79">
        <f>Tableau1[[#This Row],[Différence HP
Cumul]]+Tableau1[[#This Row],[Différence HC
Cumul]]</f>
        <v>-293106</v>
      </c>
      <c r="AF605" s="77">
        <f>(Tableau1[[#This Row],[Conso HP + HC
Cumul]]-AE$6)/Tableau1[[#This Row],[Diff jour_x000D_
Cumul
depuis le 24/01]]</f>
        <v>-359.44474414010563</v>
      </c>
      <c r="AG605" s="77">
        <f>(Tableau1[[#This Row],[Conso HP + HC
Cumul]]-AE$59)/Tableau1[[#This Row],[Diff jour_x000D_
Cumul
depuis
précédente facture
16/02/2021]]</f>
        <v>-371.569237926688</v>
      </c>
      <c r="AH605" s="80">
        <f>Tableau1[[#This Row],[Conso HP + HC
Cumul]]/(Tableau1[[#This Row],[Diff jour_x000D_
Cumul]]*24)</f>
        <v>-14.189700453857871</v>
      </c>
      <c r="AI605" s="80">
        <f>Tableau1[[#This Row],[Conso HP + HC
Cumul]]/Tableau1[[#This Row],[Diff jour_x000D_
Cumul]]</f>
        <v>-340.55281089258892</v>
      </c>
      <c r="AJ605" s="80">
        <f>Tableau1[[#This Row],[Conso HP + HC / jour_x000D_
Cumul]]*365</f>
        <v>-124301.77597579495</v>
      </c>
      <c r="AK605" s="83">
        <f>(Tableau1[[#This Row],[Différence HP
Cumul]]*0.1799)+(Tableau1[[#This Row],[Différence HC
Cumul]]*0.1346)</f>
        <v>-47413.633199999997</v>
      </c>
      <c r="AL605" s="83">
        <f>Tableau1[[#This Row],[Montant
Tarif HP/HC]]/Tableau1[[#This Row],[Diff jour_x000D_
Cumul]]</f>
        <v>-55.088759905597882</v>
      </c>
      <c r="AM605" s="83">
        <f>(Tableau1[[#This Row],[Montant
Tarif HP/HC]]-AK$6)/Tableau1[[#This Row],[Diff jour_x000D_
Cumul
depuis le 24/01]]</f>
        <v>-58.155144991072447</v>
      </c>
      <c r="AN605" s="83">
        <f>(Tableau1[[#This Row],[Montant
Tarif HP/HC]]-AK$59)/Tableau1[[#This Row],[Diff jour_x000D_
Cumul
depuis
précédente facture
16/02/2021]]</f>
        <v>-60.126411092025691</v>
      </c>
      <c r="AO605" s="83">
        <f>Tableau1[[#This Row],[Conso HP + HC
Cumul]]*0.1599</f>
        <v>-46867.649399999995</v>
      </c>
      <c r="AP605" s="83">
        <f>Tableau1[[#This Row],[Montant
Tarif normal]]/Tableau1[[#This Row],[Diff jour_x000D_
Cumul]]</f>
        <v>-54.454394461724959</v>
      </c>
      <c r="AQ605" s="83">
        <f>(Tableau1[[#This Row],[Conso HP / an
Cumul]]*0.1799)+(Tableau1[[#This Row],[Conso HC / an_x000D_
Cumul]]*0.1346)</f>
        <v>-20107.397365543231</v>
      </c>
      <c r="AR605" s="83">
        <f>Tableau1[[#This Row],[Conso HP + HC / an_x000D_
Cumul]]*0.1599</f>
        <v>-19875.853978529613</v>
      </c>
      <c r="AS605" s="79">
        <f>MONTH(Tableau1[[#This Row],[Date]])</f>
        <v>4</v>
      </c>
      <c r="AT605" s="79">
        <f>YEAR(Tableau1[[#This Row],[Date]])</f>
        <v>2023</v>
      </c>
    </row>
    <row r="606" spans="1:46" x14ac:dyDescent="0.2">
      <c r="A606" s="74">
        <v>45044.308333333334</v>
      </c>
      <c r="B606" s="75"/>
      <c r="C606" s="76">
        <f>IF(ISERROR(Tableau1[[#This Row],[Date]]-A605),"",Tableau1[[#This Row],[Date]]-A605)</f>
        <v>0.92291666667006211</v>
      </c>
      <c r="D606" s="77">
        <f>IF(ISERROR(Tableau1[[#This Row],[Date]]-A605),"",Tableau1[[#This Row],[Date]]-A605)</f>
        <v>0.92291666667006211</v>
      </c>
      <c r="E606" s="76">
        <f>Tableau1[[#This Row],[Date]]-$A$5</f>
        <v>861.59999999999854</v>
      </c>
      <c r="F606" s="77">
        <f>Tableau1[[#This Row],[Date]]-$A$5</f>
        <v>861.59999999999854</v>
      </c>
      <c r="G606" s="77">
        <f>Tableau1[[#This Row],[Diff jour_x000D_
Cumul]]-F$6</f>
        <v>823.51666666667006</v>
      </c>
      <c r="H606" s="77">
        <f>Tableau1[[#This Row],[Diff jour_x000D_
Cumul]]-F$59</f>
        <v>800.99722222222044</v>
      </c>
      <c r="I606" s="78">
        <v>4018</v>
      </c>
      <c r="J606" s="79">
        <f>IF(ISERROR(Tableau1[[#This Row],[Index HP
kWh]]-I605),"",Tableau1[[#This Row],[Index HP
kWh]]-I605)</f>
        <v>11</v>
      </c>
      <c r="K606" s="77">
        <f>IF(ISERROR(Tableau1[[#This Row],[Différence HP
Instantané]]/(Tableau1[[#This Row],[Diff jour
Instantané]]*24)),"",Tableau1[[#This Row],[Différence HP
Instantané]]/(Tableau1[[#This Row],[Diff jour
Instantané]]*24))</f>
        <v>0.49661399548350027</v>
      </c>
      <c r="L606" s="77">
        <f>Tableau1[[#This Row],[Différence HP
Instantané]]/Tableau1[[#This Row],[Diff jour
Instantané]]</f>
        <v>11.918735891604006</v>
      </c>
      <c r="M606" s="77">
        <f>Tableau1[[#This Row],[Conso HP / jour
Instantané]]*365</f>
        <v>4350.3386004354625</v>
      </c>
      <c r="N606" s="79">
        <f>Tableau1[[#This Row],[Index HP
kWh]]-$I$5</f>
        <v>-175741</v>
      </c>
      <c r="O606" s="80">
        <f>Tableau1[[#This Row],[Différence HP
Cumul]]/(Tableau1[[#This Row],[Diff jour_x000D_
Cumul]]*24)</f>
        <v>-8.4987716651191718</v>
      </c>
      <c r="P606" s="80">
        <f>Tableau1[[#This Row],[Différence HP
Cumul]]/Tableau1[[#This Row],[Diff jour_x000D_
Cumul]]</f>
        <v>-203.97051996286015</v>
      </c>
      <c r="Q606" s="80">
        <f>Tableau1[[#This Row],[Conso HP / jour
Cumul]]*365</f>
        <v>-74449.239786443955</v>
      </c>
      <c r="R606" s="78">
        <v>2081</v>
      </c>
      <c r="S606" s="79">
        <f>Tableau1[[#This Row],[Index HC_x000D_
kWh]]-R605</f>
        <v>3</v>
      </c>
      <c r="T606" s="81">
        <f>Tableau1[[#This Row],[Différence_x000D_ HC
Instantané]]/(Tableau1[[#This Row],[Diff jour
Instantané]]*24)</f>
        <v>0.13544018058640916</v>
      </c>
      <c r="U606" s="81">
        <f>Tableau1[[#This Row],[Différence_x000D_ HC
Instantané]]/Tableau1[[#This Row],[Diff jour
Instantané]]</f>
        <v>3.2505643340738199</v>
      </c>
      <c r="V606" s="81">
        <f>Tableau1[[#This Row],[Conso HC / jour_x000D_
Instantané]]*365</f>
        <v>1186.4559819369442</v>
      </c>
      <c r="W606" s="79">
        <f>Tableau1[[#This Row],[Index HC_x000D_
kWh]]-$R$5</f>
        <v>-117351</v>
      </c>
      <c r="X606" s="82">
        <f>Tableau1[[#This Row],[Différence HC
Cumul]]/(Tableau1[[#This Row],[Diff jour_x000D_
Cumul]]*24)</f>
        <v>-5.675052228412266</v>
      </c>
      <c r="Y606" s="82">
        <f>Tableau1[[#This Row],[Différence HC
Cumul]]/Tableau1[[#This Row],[Diff jour_x000D_
Cumul]]</f>
        <v>-136.20125348189438</v>
      </c>
      <c r="Z606" s="82">
        <f>Tableau1[[#This Row],[Conso HC / jour_x000D_
Cumul]]*365</f>
        <v>-49713.457520891447</v>
      </c>
      <c r="AA606" s="79">
        <f>Tableau1[[#This Row],[Différence HP
Instantané]]+Tableau1[[#This Row],[Différence_x000D_ HC
Instantané]]</f>
        <v>14</v>
      </c>
      <c r="AB606" s="80">
        <f>Tableau1[[#This Row],[Conso HP + HC
Instantané]]/(Tableau1[[#This Row],[Diff jour
Instantané]]*24)</f>
        <v>0.63205417606990943</v>
      </c>
      <c r="AC606" s="80">
        <f>IF(ISERROR(Tableau1[[#This Row],[Date]]-A605),"",Tableau1[[#This Row],[Conso HP + HC
Instantané]]/Tableau1[[#This Row],[Diff jour
Instantané]])</f>
        <v>15.169300225677826</v>
      </c>
      <c r="AD606" s="80">
        <f>Tableau1[[#This Row],[Conso HP + HC / jour_x000D_
Instantané]]*365</f>
        <v>5536.7945823724067</v>
      </c>
      <c r="AE606" s="79">
        <f>Tableau1[[#This Row],[Différence HP
Cumul]]+Tableau1[[#This Row],[Différence HC
Cumul]]</f>
        <v>-293092</v>
      </c>
      <c r="AF606" s="77">
        <f>(Tableau1[[#This Row],[Conso HP + HC
Cumul]]-AE$6)/Tableau1[[#This Row],[Diff jour_x000D_
Cumul
depuis le 24/01]]</f>
        <v>-359.02491348080241</v>
      </c>
      <c r="AG606" s="77">
        <f>(Tableau1[[#This Row],[Conso HP + HC
Cumul]]-AE$59)/Tableau1[[#This Row],[Diff jour_x000D_
Cumul
depuis
précédente facture
16/02/2021]]</f>
        <v>-371.12363408112884</v>
      </c>
      <c r="AH606" s="80">
        <f>Tableau1[[#This Row],[Conso HP + HC
Cumul]]/(Tableau1[[#This Row],[Diff jour_x000D_
Cumul]]*24)</f>
        <v>-14.173823893531438</v>
      </c>
      <c r="AI606" s="80">
        <f>Tableau1[[#This Row],[Conso HP + HC
Cumul]]/Tableau1[[#This Row],[Diff jour_x000D_
Cumul]]</f>
        <v>-340.17177344475454</v>
      </c>
      <c r="AJ606" s="80">
        <f>Tableau1[[#This Row],[Conso HP + HC / jour_x000D_
Cumul]]*365</f>
        <v>-124162.6973073354</v>
      </c>
      <c r="AK606" s="83">
        <f>(Tableau1[[#This Row],[Différence HP
Cumul]]*0.1799)+(Tableau1[[#This Row],[Différence HC
Cumul]]*0.1346)</f>
        <v>-47411.250499999995</v>
      </c>
      <c r="AL606" s="83">
        <f>Tableau1[[#This Row],[Montant
Tarif HP/HC]]/Tableau1[[#This Row],[Diff jour_x000D_
Cumul]]</f>
        <v>-55.026985259981515</v>
      </c>
      <c r="AM606" s="83">
        <f>(Tableau1[[#This Row],[Montant
Tarif HP/HC]]-AK$6)/Tableau1[[#This Row],[Diff jour_x000D_
Cumul
depuis le 24/01]]</f>
        <v>-58.087077088097551</v>
      </c>
      <c r="AN606" s="83">
        <f>(Tableau1[[#This Row],[Montant
Tarif HP/HC]]-AK$59)/Tableau1[[#This Row],[Diff jour_x000D_
Cumul
depuis
précédente facture
16/02/2021]]</f>
        <v>-60.054158198634468</v>
      </c>
      <c r="AO606" s="83">
        <f>Tableau1[[#This Row],[Conso HP + HC
Cumul]]*0.1599</f>
        <v>-46865.410799999998</v>
      </c>
      <c r="AP606" s="83">
        <f>Tableau1[[#This Row],[Montant
Tarif normal]]/Tableau1[[#This Row],[Diff jour_x000D_
Cumul]]</f>
        <v>-54.393466573816248</v>
      </c>
      <c r="AQ606" s="83">
        <f>(Tableau1[[#This Row],[Conso HP / an
Cumul]]*0.1799)+(Tableau1[[#This Row],[Conso HC / an_x000D_
Cumul]]*0.1346)</f>
        <v>-20084.849619893255</v>
      </c>
      <c r="AR606" s="83">
        <f>Tableau1[[#This Row],[Conso HP + HC / an_x000D_
Cumul]]*0.1599</f>
        <v>-19853.615299442929</v>
      </c>
      <c r="AS606" s="79">
        <f>MONTH(Tableau1[[#This Row],[Date]])</f>
        <v>4</v>
      </c>
      <c r="AT606" s="79">
        <f>YEAR(Tableau1[[#This Row],[Date]])</f>
        <v>2023</v>
      </c>
    </row>
    <row r="607" spans="1:46" x14ac:dyDescent="0.2">
      <c r="A607" s="74">
        <v>45045.330555555556</v>
      </c>
      <c r="B607" s="75"/>
      <c r="C607" s="76">
        <f>IF(ISERROR(Tableau1[[#This Row],[Date]]-A606),"",Tableau1[[#This Row],[Date]]-A606)</f>
        <v>1.0222222222218988</v>
      </c>
      <c r="D607" s="77">
        <f>IF(ISERROR(Tableau1[[#This Row],[Date]]-A606),"",Tableau1[[#This Row],[Date]]-A606)</f>
        <v>1.0222222222218988</v>
      </c>
      <c r="E607" s="76">
        <f>Tableau1[[#This Row],[Date]]-$A$5</f>
        <v>862.62222222222044</v>
      </c>
      <c r="F607" s="77">
        <f>Tableau1[[#This Row],[Date]]-$A$5</f>
        <v>862.62222222222044</v>
      </c>
      <c r="G607" s="77">
        <f>Tableau1[[#This Row],[Diff jour_x000D_
Cumul]]-F$6</f>
        <v>824.53888888889196</v>
      </c>
      <c r="H607" s="77">
        <f>Tableau1[[#This Row],[Diff jour_x000D_
Cumul]]-F$59</f>
        <v>802.01944444444234</v>
      </c>
      <c r="I607" s="78">
        <v>4024</v>
      </c>
      <c r="J607" s="79">
        <f>IF(ISERROR(Tableau1[[#This Row],[Index HP
kWh]]-I606),"",Tableau1[[#This Row],[Index HP
kWh]]-I606)</f>
        <v>6</v>
      </c>
      <c r="K607" s="77">
        <f>IF(ISERROR(Tableau1[[#This Row],[Différence HP
Instantané]]/(Tableau1[[#This Row],[Diff jour
Instantané]]*24)),"",Tableau1[[#This Row],[Différence HP
Instantané]]/(Tableau1[[#This Row],[Diff jour
Instantané]]*24))</f>
        <v>0.24456521739138171</v>
      </c>
      <c r="L607" s="77">
        <f>Tableau1[[#This Row],[Différence HP
Instantané]]/Tableau1[[#This Row],[Diff jour
Instantané]]</f>
        <v>5.8695652173931609</v>
      </c>
      <c r="M607" s="77">
        <f>Tableau1[[#This Row],[Conso HP / jour
Instantané]]*365</f>
        <v>2142.3913043485036</v>
      </c>
      <c r="N607" s="79">
        <f>Tableau1[[#This Row],[Index HP
kWh]]-$I$5</f>
        <v>-175735</v>
      </c>
      <c r="O607" s="80">
        <f>Tableau1[[#This Row],[Différence HP
Cumul]]/(Tableau1[[#This Row],[Diff jour_x000D_
Cumul]]*24)</f>
        <v>-8.4884106600031082</v>
      </c>
      <c r="P607" s="80">
        <f>Tableau1[[#This Row],[Différence HP
Cumul]]/Tableau1[[#This Row],[Diff jour_x000D_
Cumul]]</f>
        <v>-203.72185584007462</v>
      </c>
      <c r="Q607" s="80">
        <f>Tableau1[[#This Row],[Conso HP / jour
Cumul]]*365</f>
        <v>-74358.477381627235</v>
      </c>
      <c r="R607" s="78">
        <v>2083</v>
      </c>
      <c r="S607" s="79">
        <f>Tableau1[[#This Row],[Index HC_x000D_
kWh]]-R606</f>
        <v>2</v>
      </c>
      <c r="T607" s="81">
        <f>Tableau1[[#This Row],[Différence_x000D_ HC
Instantané]]/(Tableau1[[#This Row],[Diff jour
Instantané]]*24)</f>
        <v>8.1521739130460569E-2</v>
      </c>
      <c r="U607" s="81">
        <f>Tableau1[[#This Row],[Différence_x000D_ HC
Instantané]]/Tableau1[[#This Row],[Diff jour
Instantané]]</f>
        <v>1.9565217391310536</v>
      </c>
      <c r="V607" s="81">
        <f>Tableau1[[#This Row],[Conso HC / jour_x000D_
Instantané]]*365</f>
        <v>714.13043478283453</v>
      </c>
      <c r="W607" s="79">
        <f>Tableau1[[#This Row],[Index HC_x000D_
kWh]]-$R$5</f>
        <v>-117349</v>
      </c>
      <c r="X607" s="82">
        <f>Tableau1[[#This Row],[Différence HC
Cumul]]/(Tableau1[[#This Row],[Diff jour_x000D_
Cumul]]*24)</f>
        <v>-5.668230588902067</v>
      </c>
      <c r="Y607" s="82">
        <f>Tableau1[[#This Row],[Différence HC
Cumul]]/Tableau1[[#This Row],[Diff jour_x000D_
Cumul]]</f>
        <v>-136.03753413364961</v>
      </c>
      <c r="Z607" s="82">
        <f>Tableau1[[#This Row],[Conso HC / jour_x000D_
Cumul]]*365</f>
        <v>-49653.699958782112</v>
      </c>
      <c r="AA607" s="79">
        <f>Tableau1[[#This Row],[Différence HP
Instantané]]+Tableau1[[#This Row],[Différence_x000D_ HC
Instantané]]</f>
        <v>8</v>
      </c>
      <c r="AB607" s="80">
        <f>Tableau1[[#This Row],[Conso HP + HC
Instantané]]/(Tableau1[[#This Row],[Diff jour
Instantané]]*24)</f>
        <v>0.32608695652184227</v>
      </c>
      <c r="AC607" s="80">
        <f>IF(ISERROR(Tableau1[[#This Row],[Date]]-A606),"",Tableau1[[#This Row],[Conso HP + HC
Instantané]]/Tableau1[[#This Row],[Diff jour
Instantané]])</f>
        <v>7.8260869565242146</v>
      </c>
      <c r="AD607" s="80">
        <f>Tableau1[[#This Row],[Conso HP + HC / jour_x000D_
Instantané]]*365</f>
        <v>2856.5217391313381</v>
      </c>
      <c r="AE607" s="79">
        <f>Tableau1[[#This Row],[Différence HP
Cumul]]+Tableau1[[#This Row],[Différence HC
Cumul]]</f>
        <v>-293084</v>
      </c>
      <c r="AF607" s="77">
        <f>(Tableau1[[#This Row],[Conso HP + HC
Cumul]]-AE$6)/Tableau1[[#This Row],[Diff jour_x000D_
Cumul
depuis le 24/01]]</f>
        <v>-358.5701098930702</v>
      </c>
      <c r="AG607" s="77">
        <f>(Tableau1[[#This Row],[Conso HP + HC
Cumul]]-AE$59)/Tableau1[[#This Row],[Diff jour_x000D_
Cumul
depuis
précédente facture
16/02/2021]]</f>
        <v>-370.64063977390504</v>
      </c>
      <c r="AH607" s="80">
        <f>Tableau1[[#This Row],[Conso HP + HC
Cumul]]/(Tableau1[[#This Row],[Diff jour_x000D_
Cumul]]*24)</f>
        <v>-14.156641248905176</v>
      </c>
      <c r="AI607" s="80">
        <f>Tableau1[[#This Row],[Conso HP + HC
Cumul]]/Tableau1[[#This Row],[Diff jour_x000D_
Cumul]]</f>
        <v>-339.75938997372424</v>
      </c>
      <c r="AJ607" s="80">
        <f>Tableau1[[#This Row],[Conso HP + HC / jour_x000D_
Cumul]]*365</f>
        <v>-124012.17734040935</v>
      </c>
      <c r="AK607" s="83">
        <f>(Tableau1[[#This Row],[Différence HP
Cumul]]*0.1799)+(Tableau1[[#This Row],[Différence HC
Cumul]]*0.1346)</f>
        <v>-47409.901899999997</v>
      </c>
      <c r="AL607" s="83">
        <f>Tableau1[[#This Row],[Montant
Tarif HP/HC]]/Tableau1[[#This Row],[Diff jour_x000D_
Cumul]]</f>
        <v>-54.960213960018656</v>
      </c>
      <c r="AM607" s="83">
        <f>(Tableau1[[#This Row],[Montant
Tarif HP/HC]]-AK$6)/Tableau1[[#This Row],[Diff jour_x000D_
Cumul
depuis le 24/01]]</f>
        <v>-58.013428043957013</v>
      </c>
      <c r="AN607" s="83">
        <f>(Tableau1[[#This Row],[Montant
Tarif HP/HC]]-AK$59)/Tableau1[[#This Row],[Diff jour_x000D_
Cumul
depuis
précédente facture
16/02/2021]]</f>
        <v>-59.975934041499563</v>
      </c>
      <c r="AO607" s="83">
        <f>Tableau1[[#This Row],[Conso HP + HC
Cumul]]*0.1599</f>
        <v>-46864.131599999993</v>
      </c>
      <c r="AP607" s="83">
        <f>Tableau1[[#This Row],[Montant
Tarif normal]]/Tableau1[[#This Row],[Diff jour_x000D_
Cumul]]</f>
        <v>-54.327526456798495</v>
      </c>
      <c r="AQ607" s="83">
        <f>(Tableau1[[#This Row],[Conso HP / an
Cumul]]*0.1799)+(Tableau1[[#This Row],[Conso HC / an_x000D_
Cumul]]*0.1346)</f>
        <v>-20060.478095406812</v>
      </c>
      <c r="AR607" s="83">
        <f>Tableau1[[#This Row],[Conso HP + HC / an_x000D_
Cumul]]*0.1599</f>
        <v>-19829.547156731453</v>
      </c>
      <c r="AS607" s="79">
        <f>MONTH(Tableau1[[#This Row],[Date]])</f>
        <v>4</v>
      </c>
      <c r="AT607" s="79">
        <f>YEAR(Tableau1[[#This Row],[Date]])</f>
        <v>2023</v>
      </c>
    </row>
    <row r="608" spans="1:46" x14ac:dyDescent="0.2">
      <c r="A608" s="74">
        <v>45046.46875</v>
      </c>
      <c r="B608" s="75"/>
      <c r="C608" s="76">
        <f>IF(ISERROR(Tableau1[[#This Row],[Date]]-A607),"",Tableau1[[#This Row],[Date]]-A607)</f>
        <v>1.1381944444437977</v>
      </c>
      <c r="D608" s="77">
        <f>IF(ISERROR(Tableau1[[#This Row],[Date]]-A607),"",Tableau1[[#This Row],[Date]]-A607)</f>
        <v>1.1381944444437977</v>
      </c>
      <c r="E608" s="76">
        <f>Tableau1[[#This Row],[Date]]-$A$5</f>
        <v>863.76041666666424</v>
      </c>
      <c r="F608" s="77">
        <f>Tableau1[[#This Row],[Date]]-$A$5</f>
        <v>863.76041666666424</v>
      </c>
      <c r="G608" s="77">
        <f>Tableau1[[#This Row],[Diff jour_x000D_
Cumul]]-F$6</f>
        <v>825.67708333333576</v>
      </c>
      <c r="H608" s="77">
        <f>Tableau1[[#This Row],[Diff jour_x000D_
Cumul]]-F$59</f>
        <v>803.15763888888614</v>
      </c>
      <c r="I608" s="78">
        <v>4033</v>
      </c>
      <c r="J608" s="79">
        <f>IF(ISERROR(Tableau1[[#This Row],[Index HP
kWh]]-I607),"",Tableau1[[#This Row],[Index HP
kWh]]-I607)</f>
        <v>9</v>
      </c>
      <c r="K608" s="77">
        <f>IF(ISERROR(Tableau1[[#This Row],[Différence HP
Instantané]]/(Tableau1[[#This Row],[Diff jour
Instantané]]*24)),"",Tableau1[[#This Row],[Différence HP
Instantané]]/(Tableau1[[#This Row],[Diff jour
Instantané]]*24))</f>
        <v>0.32946918852977841</v>
      </c>
      <c r="L608" s="77">
        <f>Tableau1[[#This Row],[Différence HP
Instantané]]/Tableau1[[#This Row],[Diff jour
Instantané]]</f>
        <v>7.9072605247146823</v>
      </c>
      <c r="M608" s="77">
        <f>Tableau1[[#This Row],[Conso HP / jour
Instantané]]*365</f>
        <v>2886.150091520859</v>
      </c>
      <c r="N608" s="79">
        <f>Tableau1[[#This Row],[Index HP
kWh]]-$I$5</f>
        <v>-175726</v>
      </c>
      <c r="O608" s="80">
        <f>Tableau1[[#This Row],[Différence HP
Cumul]]/(Tableau1[[#This Row],[Diff jour_x000D_
Cumul]]*24)</f>
        <v>-8.4767911626729298</v>
      </c>
      <c r="P608" s="80">
        <f>Tableau1[[#This Row],[Différence HP
Cumul]]/Tableau1[[#This Row],[Diff jour_x000D_
Cumul]]</f>
        <v>-203.4429879041503</v>
      </c>
      <c r="Q608" s="80">
        <f>Tableau1[[#This Row],[Conso HP / jour
Cumul]]*365</f>
        <v>-74256.690585014861</v>
      </c>
      <c r="R608" s="78">
        <v>2086</v>
      </c>
      <c r="S608" s="79">
        <f>Tableau1[[#This Row],[Index HC_x000D_
kWh]]-R607</f>
        <v>3</v>
      </c>
      <c r="T608" s="81">
        <f>Tableau1[[#This Row],[Différence_x000D_ HC
Instantané]]/(Tableau1[[#This Row],[Diff jour
Instantané]]*24)</f>
        <v>0.10982306284325948</v>
      </c>
      <c r="U608" s="81">
        <f>Tableau1[[#This Row],[Différence_x000D_ HC
Instantané]]/Tableau1[[#This Row],[Diff jour
Instantané]]</f>
        <v>2.6357535082382273</v>
      </c>
      <c r="V608" s="81">
        <f>Tableau1[[#This Row],[Conso HC / jour_x000D_
Instantané]]*365</f>
        <v>962.05003050695291</v>
      </c>
      <c r="W608" s="79">
        <f>Tableau1[[#This Row],[Index HC_x000D_
kWh]]-$R$5</f>
        <v>-117346</v>
      </c>
      <c r="X608" s="82">
        <f>Tableau1[[#This Row],[Différence HC
Cumul]]/(Tableau1[[#This Row],[Diff jour_x000D_
Cumul]]*24)</f>
        <v>-5.660616731587913</v>
      </c>
      <c r="Y608" s="82">
        <f>Tableau1[[#This Row],[Différence HC
Cumul]]/Tableau1[[#This Row],[Diff jour_x000D_
Cumul]]</f>
        <v>-135.8548015581099</v>
      </c>
      <c r="Z608" s="82">
        <f>Tableau1[[#This Row],[Conso HC / jour_x000D_
Cumul]]*365</f>
        <v>-49587.002568710115</v>
      </c>
      <c r="AA608" s="79">
        <f>Tableau1[[#This Row],[Différence HP
Instantané]]+Tableau1[[#This Row],[Différence_x000D_ HC
Instantané]]</f>
        <v>12</v>
      </c>
      <c r="AB608" s="80">
        <f>Tableau1[[#This Row],[Conso HP + HC
Instantané]]/(Tableau1[[#This Row],[Diff jour
Instantané]]*24)</f>
        <v>0.4392922513730379</v>
      </c>
      <c r="AC608" s="80">
        <f>IF(ISERROR(Tableau1[[#This Row],[Date]]-A607),"",Tableau1[[#This Row],[Conso HP + HC
Instantané]]/Tableau1[[#This Row],[Diff jour
Instantané]])</f>
        <v>10.543014032952909</v>
      </c>
      <c r="AD608" s="80">
        <f>Tableau1[[#This Row],[Conso HP + HC / jour_x000D_
Instantané]]*365</f>
        <v>3848.2001220278116</v>
      </c>
      <c r="AE608" s="79">
        <f>Tableau1[[#This Row],[Différence HP
Cumul]]+Tableau1[[#This Row],[Différence HC
Cumul]]</f>
        <v>-293072</v>
      </c>
      <c r="AF608" s="77">
        <f>(Tableau1[[#This Row],[Conso HP + HC
Cumul]]-AE$6)/Tableau1[[#This Row],[Diff jour_x000D_
Cumul
depuis le 24/01]]</f>
        <v>-358.0612880842732</v>
      </c>
      <c r="AG608" s="77">
        <f>(Tableau1[[#This Row],[Conso HP + HC
Cumul]]-AE$59)/Tableau1[[#This Row],[Diff jour_x000D_
Cumul
depuis
précédente facture
16/02/2021]]</f>
        <v>-370.10044555041986</v>
      </c>
      <c r="AH608" s="80">
        <f>Tableau1[[#This Row],[Conso HP + HC
Cumul]]/(Tableau1[[#This Row],[Diff jour_x000D_
Cumul]]*24)</f>
        <v>-14.137407894260843</v>
      </c>
      <c r="AI608" s="80">
        <f>Tableau1[[#This Row],[Conso HP + HC
Cumul]]/Tableau1[[#This Row],[Diff jour_x000D_
Cumul]]</f>
        <v>-339.2977894622602</v>
      </c>
      <c r="AJ608" s="80">
        <f>Tableau1[[#This Row],[Conso HP + HC / jour_x000D_
Cumul]]*365</f>
        <v>-123843.69315372498</v>
      </c>
      <c r="AK608" s="83">
        <f>(Tableau1[[#This Row],[Différence HP
Cumul]]*0.1799)+(Tableau1[[#This Row],[Différence HC
Cumul]]*0.1346)</f>
        <v>-47407.879000000001</v>
      </c>
      <c r="AL608" s="83">
        <f>Tableau1[[#This Row],[Montant
Tarif HP/HC]]/Tableau1[[#This Row],[Diff jour_x000D_
Cumul]]</f>
        <v>-54.885449813678235</v>
      </c>
      <c r="AM608" s="83">
        <f>(Tableau1[[#This Row],[Montant
Tarif HP/HC]]-AK$6)/Tableau1[[#This Row],[Diff jour_x000D_
Cumul
depuis le 24/01]]</f>
        <v>-57.931006643537337</v>
      </c>
      <c r="AN608" s="83">
        <f>(Tableau1[[#This Row],[Montant
Tarif HP/HC]]-AK$59)/Tableau1[[#This Row],[Diff jour_x000D_
Cumul
depuis
précédente facture
16/02/2021]]</f>
        <v>-59.888420493071393</v>
      </c>
      <c r="AO608" s="83">
        <f>Tableau1[[#This Row],[Conso HP + HC
Cumul]]*0.1599</f>
        <v>-46862.212799999994</v>
      </c>
      <c r="AP608" s="83">
        <f>Tableau1[[#This Row],[Montant
Tarif normal]]/Tableau1[[#This Row],[Diff jour_x000D_
Cumul]]</f>
        <v>-54.2537165350154</v>
      </c>
      <c r="AQ608" s="83">
        <f>(Tableau1[[#This Row],[Conso HP / an
Cumul]]*0.1799)+(Tableau1[[#This Row],[Conso HC / an_x000D_
Cumul]]*0.1346)</f>
        <v>-20033.189181992555</v>
      </c>
      <c r="AR608" s="83">
        <f>Tableau1[[#This Row],[Conso HP + HC / an_x000D_
Cumul]]*0.1599</f>
        <v>-19802.606535280622</v>
      </c>
      <c r="AS608" s="79">
        <f>MONTH(Tableau1[[#This Row],[Date]])</f>
        <v>4</v>
      </c>
      <c r="AT608" s="79">
        <f>YEAR(Tableau1[[#This Row],[Date]])</f>
        <v>2023</v>
      </c>
    </row>
    <row r="609" spans="1:46" x14ac:dyDescent="0.2">
      <c r="A609" s="74">
        <v>45047.34652777778</v>
      </c>
      <c r="B609" s="75"/>
      <c r="C609" s="76">
        <f>IF(ISERROR(Tableau1[[#This Row],[Date]]-A608),"",Tableau1[[#This Row],[Date]]-A608)</f>
        <v>0.87777777777955635</v>
      </c>
      <c r="D609" s="77">
        <f>IF(ISERROR(Tableau1[[#This Row],[Date]]-A608),"",Tableau1[[#This Row],[Date]]-A608)</f>
        <v>0.87777777777955635</v>
      </c>
      <c r="E609" s="76">
        <f>Tableau1[[#This Row],[Date]]-$A$5</f>
        <v>864.6381944444438</v>
      </c>
      <c r="F609" s="77">
        <f>Tableau1[[#This Row],[Date]]-$A$5</f>
        <v>864.6381944444438</v>
      </c>
      <c r="G609" s="77">
        <f>Tableau1[[#This Row],[Diff jour_x000D_
Cumul]]-F$6</f>
        <v>826.55486111111531</v>
      </c>
      <c r="H609" s="77">
        <f>Tableau1[[#This Row],[Diff jour_x000D_
Cumul]]-F$59</f>
        <v>804.0354166666657</v>
      </c>
      <c r="I609" s="78">
        <v>4041</v>
      </c>
      <c r="J609" s="79">
        <f>IF(ISERROR(Tableau1[[#This Row],[Index HP
kWh]]-I608),"",Tableau1[[#This Row],[Index HP
kWh]]-I608)</f>
        <v>8</v>
      </c>
      <c r="K609" s="77">
        <f>IF(ISERROR(Tableau1[[#This Row],[Différence HP
Instantané]]/(Tableau1[[#This Row],[Diff jour
Instantané]]*24)),"",Tableau1[[#This Row],[Différence HP
Instantané]]/(Tableau1[[#This Row],[Diff jour
Instantané]]*24))</f>
        <v>0.3797468354422685</v>
      </c>
      <c r="L609" s="77">
        <f>Tableau1[[#This Row],[Différence HP
Instantané]]/Tableau1[[#This Row],[Diff jour
Instantané]]</f>
        <v>9.113924050614445</v>
      </c>
      <c r="M609" s="77">
        <f>Tableau1[[#This Row],[Conso HP / jour
Instantané]]*365</f>
        <v>3326.5822784742722</v>
      </c>
      <c r="N609" s="79">
        <f>Tableau1[[#This Row],[Index HP
kWh]]-$I$5</f>
        <v>-175718</v>
      </c>
      <c r="O609" s="80">
        <f>Tableau1[[#This Row],[Différence HP
Cumul]]/(Tableau1[[#This Row],[Diff jour_x000D_
Cumul]]*24)</f>
        <v>-8.467800035178497</v>
      </c>
      <c r="P609" s="80">
        <f>Tableau1[[#This Row],[Différence HP
Cumul]]/Tableau1[[#This Row],[Diff jour_x000D_
Cumul]]</f>
        <v>-203.22720084428394</v>
      </c>
      <c r="Q609" s="80">
        <f>Tableau1[[#This Row],[Conso HP / jour
Cumul]]*365</f>
        <v>-74177.928308163639</v>
      </c>
      <c r="R609" s="78">
        <v>2088</v>
      </c>
      <c r="S609" s="79">
        <f>Tableau1[[#This Row],[Index HC_x000D_
kWh]]-R608</f>
        <v>2</v>
      </c>
      <c r="T609" s="81">
        <f>Tableau1[[#This Row],[Différence_x000D_ HC
Instantané]]/(Tableau1[[#This Row],[Diff jour
Instantané]]*24)</f>
        <v>9.4936708860567126E-2</v>
      </c>
      <c r="U609" s="81">
        <f>Tableau1[[#This Row],[Différence_x000D_ HC
Instantané]]/Tableau1[[#This Row],[Diff jour
Instantané]]</f>
        <v>2.2784810126536112</v>
      </c>
      <c r="V609" s="81">
        <f>Tableau1[[#This Row],[Conso HC / jour_x000D_
Instantané]]*365</f>
        <v>831.64556961856806</v>
      </c>
      <c r="W609" s="79">
        <f>Tableau1[[#This Row],[Index HC_x000D_
kWh]]-$R$5</f>
        <v>-117344</v>
      </c>
      <c r="X609" s="82">
        <f>Tableau1[[#This Row],[Différence HC
Cumul]]/(Tableau1[[#This Row],[Diff jour_x000D_
Cumul]]*24)</f>
        <v>-5.6547737131539488</v>
      </c>
      <c r="Y609" s="82">
        <f>Tableau1[[#This Row],[Différence HC
Cumul]]/Tableau1[[#This Row],[Diff jour_x000D_
Cumul]]</f>
        <v>-135.71456911569476</v>
      </c>
      <c r="Z609" s="82">
        <f>Tableau1[[#This Row],[Conso HC / jour_x000D_
Cumul]]*365</f>
        <v>-49535.817727228583</v>
      </c>
      <c r="AA609" s="79">
        <f>Tableau1[[#This Row],[Différence HP
Instantané]]+Tableau1[[#This Row],[Différence_x000D_ HC
Instantané]]</f>
        <v>10</v>
      </c>
      <c r="AB609" s="80">
        <f>Tableau1[[#This Row],[Conso HP + HC
Instantané]]/(Tableau1[[#This Row],[Diff jour
Instantané]]*24)</f>
        <v>0.47468354430283566</v>
      </c>
      <c r="AC609" s="80">
        <f>IF(ISERROR(Tableau1[[#This Row],[Date]]-A608),"",Tableau1[[#This Row],[Conso HP + HC
Instantané]]/Tableau1[[#This Row],[Diff jour
Instantané]])</f>
        <v>11.392405063268056</v>
      </c>
      <c r="AD609" s="80">
        <f>Tableau1[[#This Row],[Conso HP + HC / jour_x000D_
Instantané]]*365</f>
        <v>4158.2278480928408</v>
      </c>
      <c r="AE609" s="79">
        <f>Tableau1[[#This Row],[Différence HP
Cumul]]+Tableau1[[#This Row],[Différence HC
Cumul]]</f>
        <v>-293062</v>
      </c>
      <c r="AF609" s="77">
        <f>(Tableau1[[#This Row],[Conso HP + HC
Cumul]]-AE$6)/Tableau1[[#This Row],[Diff jour_x000D_
Cumul
depuis le 24/01]]</f>
        <v>-357.66893875935659</v>
      </c>
      <c r="AG609" s="77">
        <f>(Tableau1[[#This Row],[Conso HP + HC
Cumul]]-AE$59)/Tableau1[[#This Row],[Diff jour_x000D_
Cumul
depuis
précédente facture
16/02/2021]]</f>
        <v>-369.68396396303069</v>
      </c>
      <c r="AH609" s="80">
        <f>Tableau1[[#This Row],[Conso HP + HC
Cumul]]/(Tableau1[[#This Row],[Diff jour_x000D_
Cumul]]*24)</f>
        <v>-14.122573748332446</v>
      </c>
      <c r="AI609" s="80">
        <f>Tableau1[[#This Row],[Conso HP + HC
Cumul]]/Tableau1[[#This Row],[Diff jour_x000D_
Cumul]]</f>
        <v>-338.94176995997867</v>
      </c>
      <c r="AJ609" s="80">
        <f>Tableau1[[#This Row],[Conso HP + HC / jour_x000D_
Cumul]]*365</f>
        <v>-123713.74603539222</v>
      </c>
      <c r="AK609" s="83">
        <f>(Tableau1[[#This Row],[Différence HP
Cumul]]*0.1799)+(Tableau1[[#This Row],[Différence HC
Cumul]]*0.1346)</f>
        <v>-47406.170599999998</v>
      </c>
      <c r="AL609" s="83">
        <f>Tableau1[[#This Row],[Montant
Tarif HP/HC]]/Tableau1[[#This Row],[Diff jour_x000D_
Cumul]]</f>
        <v>-54.827754434859195</v>
      </c>
      <c r="AM609" s="83">
        <f>(Tableau1[[#This Row],[Montant
Tarif HP/HC]]-AK$6)/Tableau1[[#This Row],[Diff jour_x000D_
Cumul
depuis le 24/01]]</f>
        <v>-57.867418668015119</v>
      </c>
      <c r="AN609" s="83">
        <f>(Tableau1[[#This Row],[Montant
Tarif HP/HC]]-AK$59)/Tableau1[[#This Row],[Diff jour_x000D_
Cumul
depuis
précédente facture
16/02/2021]]</f>
        <v>-59.820914605233568</v>
      </c>
      <c r="AO609" s="83">
        <f>Tableau1[[#This Row],[Conso HP + HC
Cumul]]*0.1599</f>
        <v>-46860.613799999999</v>
      </c>
      <c r="AP609" s="83">
        <f>Tableau1[[#This Row],[Montant
Tarif normal]]/Tableau1[[#This Row],[Diff jour_x000D_
Cumul]]</f>
        <v>-54.19678901660059</v>
      </c>
      <c r="AQ609" s="83">
        <f>(Tableau1[[#This Row],[Conso HP / an
Cumul]]*0.1799)+(Tableau1[[#This Row],[Conso HC / an_x000D_
Cumul]]*0.1346)</f>
        <v>-20012.130368723607</v>
      </c>
      <c r="AR609" s="83">
        <f>Tableau1[[#This Row],[Conso HP + HC / an_x000D_
Cumul]]*0.1599</f>
        <v>-19781.827991059214</v>
      </c>
      <c r="AS609" s="79">
        <f>MONTH(Tableau1[[#This Row],[Date]])</f>
        <v>5</v>
      </c>
      <c r="AT609" s="79">
        <f>YEAR(Tableau1[[#This Row],[Date]])</f>
        <v>2023</v>
      </c>
    </row>
    <row r="610" spans="1:46" x14ac:dyDescent="0.2">
      <c r="A610" s="74">
        <v>45048.324305555558</v>
      </c>
      <c r="B610" s="75"/>
      <c r="C610" s="76">
        <f>IF(ISERROR(Tableau1[[#This Row],[Date]]-A609),"",Tableau1[[#This Row],[Date]]-A609)</f>
        <v>0.97777777777810115</v>
      </c>
      <c r="D610" s="77">
        <f>IF(ISERROR(Tableau1[[#This Row],[Date]]-A609),"",Tableau1[[#This Row],[Date]]-A609)</f>
        <v>0.97777777777810115</v>
      </c>
      <c r="E610" s="76">
        <f>Tableau1[[#This Row],[Date]]-$A$5</f>
        <v>865.6159722222219</v>
      </c>
      <c r="F610" s="77">
        <f>Tableau1[[#This Row],[Date]]-$A$5</f>
        <v>865.6159722222219</v>
      </c>
      <c r="G610" s="77">
        <f>Tableau1[[#This Row],[Diff jour_x000D_
Cumul]]-F$6</f>
        <v>827.53263888889342</v>
      </c>
      <c r="H610" s="77">
        <f>Tableau1[[#This Row],[Diff jour_x000D_
Cumul]]-F$59</f>
        <v>805.0131944444438</v>
      </c>
      <c r="I610" s="78">
        <v>4053</v>
      </c>
      <c r="J610" s="79">
        <f>IF(ISERROR(Tableau1[[#This Row],[Index HP
kWh]]-I609),"",Tableau1[[#This Row],[Index HP
kWh]]-I609)</f>
        <v>12</v>
      </c>
      <c r="K610" s="77">
        <f>IF(ISERROR(Tableau1[[#This Row],[Différence HP
Instantané]]/(Tableau1[[#This Row],[Diff jour
Instantané]]*24)),"",Tableau1[[#This Row],[Différence HP
Instantané]]/(Tableau1[[#This Row],[Diff jour
Instantané]]*24))</f>
        <v>0.51136363636346727</v>
      </c>
      <c r="L610" s="77">
        <f>Tableau1[[#This Row],[Différence HP
Instantané]]/Tableau1[[#This Row],[Diff jour
Instantané]]</f>
        <v>12.272727272723214</v>
      </c>
      <c r="M610" s="77">
        <f>Tableau1[[#This Row],[Conso HP / jour
Instantané]]*365</f>
        <v>4479.5454545439734</v>
      </c>
      <c r="N610" s="79">
        <f>Tableau1[[#This Row],[Index HP
kWh]]-$I$5</f>
        <v>-175706</v>
      </c>
      <c r="O610" s="80">
        <f>Tableau1[[#This Row],[Différence HP
Cumul]]/(Tableau1[[#This Row],[Diff jour_x000D_
Cumul]]*24)</f>
        <v>-8.4576574003579683</v>
      </c>
      <c r="P610" s="80">
        <f>Tableau1[[#This Row],[Différence HP
Cumul]]/Tableau1[[#This Row],[Diff jour_x000D_
Cumul]]</f>
        <v>-202.98377760859125</v>
      </c>
      <c r="Q610" s="80">
        <f>Tableau1[[#This Row],[Conso HP / jour
Cumul]]*365</f>
        <v>-74089.078827135803</v>
      </c>
      <c r="R610" s="78">
        <v>2090</v>
      </c>
      <c r="S610" s="79">
        <f>Tableau1[[#This Row],[Index HC_x000D_
kWh]]-R609</f>
        <v>2</v>
      </c>
      <c r="T610" s="81">
        <f>Tableau1[[#This Row],[Différence_x000D_ HC
Instantané]]/(Tableau1[[#This Row],[Diff jour
Instantané]]*24)</f>
        <v>8.5227272727244535E-2</v>
      </c>
      <c r="U610" s="81">
        <f>Tableau1[[#This Row],[Différence_x000D_ HC
Instantané]]/Tableau1[[#This Row],[Diff jour
Instantané]]</f>
        <v>2.0454545454538691</v>
      </c>
      <c r="V610" s="81">
        <f>Tableau1[[#This Row],[Conso HC / jour_x000D_
Instantané]]*365</f>
        <v>746.59090909066219</v>
      </c>
      <c r="W610" s="79">
        <f>Tableau1[[#This Row],[Index HC_x000D_
kWh]]-$R$5</f>
        <v>-117342</v>
      </c>
      <c r="X610" s="82">
        <f>Tableau1[[#This Row],[Différence HC
Cumul]]/(Tableau1[[#This Row],[Diff jour_x000D_
Cumul]]*24)</f>
        <v>-5.6482899540869678</v>
      </c>
      <c r="Y610" s="82">
        <f>Tableau1[[#This Row],[Différence HC
Cumul]]/Tableau1[[#This Row],[Diff jour_x000D_
Cumul]]</f>
        <v>-135.55895889808724</v>
      </c>
      <c r="Z610" s="82">
        <f>Tableau1[[#This Row],[Conso HC / jour_x000D_
Cumul]]*365</f>
        <v>-49479.019997801843</v>
      </c>
      <c r="AA610" s="79">
        <f>Tableau1[[#This Row],[Différence HP
Instantané]]+Tableau1[[#This Row],[Différence_x000D_ HC
Instantané]]</f>
        <v>14</v>
      </c>
      <c r="AB610" s="80">
        <f>Tableau1[[#This Row],[Conso HP + HC
Instantané]]/(Tableau1[[#This Row],[Diff jour
Instantané]]*24)</f>
        <v>0.59659090909071177</v>
      </c>
      <c r="AC610" s="80">
        <f>IF(ISERROR(Tableau1[[#This Row],[Date]]-A609),"",Tableau1[[#This Row],[Conso HP + HC
Instantané]]/Tableau1[[#This Row],[Diff jour
Instantané]])</f>
        <v>14.318181818177083</v>
      </c>
      <c r="AD610" s="80">
        <f>Tableau1[[#This Row],[Conso HP + HC / jour_x000D_
Instantané]]*365</f>
        <v>5226.136363634635</v>
      </c>
      <c r="AE610" s="79">
        <f>Tableau1[[#This Row],[Différence HP
Cumul]]+Tableau1[[#This Row],[Différence HC
Cumul]]</f>
        <v>-293048</v>
      </c>
      <c r="AF610" s="77">
        <f>(Tableau1[[#This Row],[Conso HP + HC
Cumul]]-AE$6)/Tableau1[[#This Row],[Diff jour_x000D_
Cumul
depuis le 24/01]]</f>
        <v>-357.2294144155087</v>
      </c>
      <c r="AG610" s="77">
        <f>(Tableau1[[#This Row],[Conso HP + HC
Cumul]]-AE$59)/Tableau1[[#This Row],[Diff jour_x000D_
Cumul
depuis
précédente facture
16/02/2021]]</f>
        <v>-369.21755078203546</v>
      </c>
      <c r="AH610" s="80">
        <f>Tableau1[[#This Row],[Conso HP + HC
Cumul]]/(Tableau1[[#This Row],[Diff jour_x000D_
Cumul]]*24)</f>
        <v>-14.105947354444938</v>
      </c>
      <c r="AI610" s="80">
        <f>Tableau1[[#This Row],[Conso HP + HC
Cumul]]/Tableau1[[#This Row],[Diff jour_x000D_
Cumul]]</f>
        <v>-338.54273650667852</v>
      </c>
      <c r="AJ610" s="80">
        <f>Tableau1[[#This Row],[Conso HP + HC / jour_x000D_
Cumul]]*365</f>
        <v>-123568.09882493767</v>
      </c>
      <c r="AK610" s="83">
        <f>(Tableau1[[#This Row],[Différence HP
Cumul]]*0.1799)+(Tableau1[[#This Row],[Différence HC
Cumul]]*0.1346)</f>
        <v>-47403.742599999998</v>
      </c>
      <c r="AL610" s="83">
        <f>Tableau1[[#This Row],[Montant
Tarif HP/HC]]/Tableau1[[#This Row],[Diff jour_x000D_
Cumul]]</f>
        <v>-54.763017459468109</v>
      </c>
      <c r="AM610" s="83">
        <f>(Tableau1[[#This Row],[Montant
Tarif HP/HC]]-AK$6)/Tableau1[[#This Row],[Diff jour_x000D_
Cumul
depuis le 24/01]]</f>
        <v>-57.796110935536802</v>
      </c>
      <c r="AN610" s="83">
        <f>(Tableau1[[#This Row],[Montant
Tarif HP/HC]]-AK$59)/Tableau1[[#This Row],[Diff jour_x000D_
Cumul
depuis
précédente facture
16/02/2021]]</f>
        <v>-59.745239372370584</v>
      </c>
      <c r="AO610" s="83">
        <f>Tableau1[[#This Row],[Conso HP + HC
Cumul]]*0.1599</f>
        <v>-46858.375199999995</v>
      </c>
      <c r="AP610" s="83">
        <f>Tableau1[[#This Row],[Montant
Tarif normal]]/Tableau1[[#This Row],[Diff jour_x000D_
Cumul]]</f>
        <v>-54.132983567417888</v>
      </c>
      <c r="AQ610" s="83">
        <f>(Tableau1[[#This Row],[Conso HP / an
Cumul]]*0.1799)+(Tableau1[[#This Row],[Conso HC / an_x000D_
Cumul]]*0.1346)</f>
        <v>-19988.501372705861</v>
      </c>
      <c r="AR610" s="83">
        <f>Tableau1[[#This Row],[Conso HP + HC / an_x000D_
Cumul]]*0.1599</f>
        <v>-19758.539002107533</v>
      </c>
      <c r="AS610" s="79">
        <f>MONTH(Tableau1[[#This Row],[Date]])</f>
        <v>5</v>
      </c>
      <c r="AT610" s="79">
        <f>YEAR(Tableau1[[#This Row],[Date]])</f>
        <v>2023</v>
      </c>
    </row>
    <row r="611" spans="1:46" x14ac:dyDescent="0.2">
      <c r="A611" s="74">
        <v>45049.349305555559</v>
      </c>
      <c r="B611" s="75"/>
      <c r="C611" s="76">
        <f>IF(ISERROR(Tableau1[[#This Row],[Date]]-A610),"",Tableau1[[#This Row],[Date]]-A610)</f>
        <v>1.0250000000014552</v>
      </c>
      <c r="D611" s="77">
        <f>IF(ISERROR(Tableau1[[#This Row],[Date]]-A610),"",Tableau1[[#This Row],[Date]]-A610)</f>
        <v>1.0250000000014552</v>
      </c>
      <c r="E611" s="76">
        <f>Tableau1[[#This Row],[Date]]-$A$5</f>
        <v>866.64097222222335</v>
      </c>
      <c r="F611" s="77">
        <f>Tableau1[[#This Row],[Date]]-$A$5</f>
        <v>866.64097222222335</v>
      </c>
      <c r="G611" s="77">
        <f>Tableau1[[#This Row],[Diff jour_x000D_
Cumul]]-F$6</f>
        <v>828.55763888889487</v>
      </c>
      <c r="H611" s="77">
        <f>Tableau1[[#This Row],[Diff jour_x000D_
Cumul]]-F$59</f>
        <v>806.03819444444525</v>
      </c>
      <c r="I611" s="78">
        <v>4058</v>
      </c>
      <c r="J611" s="79">
        <f>IF(ISERROR(Tableau1[[#This Row],[Index HP
kWh]]-I610),"",Tableau1[[#This Row],[Index HP
kWh]]-I610)</f>
        <v>5</v>
      </c>
      <c r="K611" s="77">
        <f>IF(ISERROR(Tableau1[[#This Row],[Différence HP
Instantané]]/(Tableau1[[#This Row],[Diff jour
Instantané]]*24)),"",Tableau1[[#This Row],[Différence HP
Instantané]]/(Tableau1[[#This Row],[Diff jour
Instantané]]*24))</f>
        <v>0.20325203252003665</v>
      </c>
      <c r="L611" s="77">
        <f>Tableau1[[#This Row],[Différence HP
Instantané]]/Tableau1[[#This Row],[Diff jour
Instantané]]</f>
        <v>4.8780487804808796</v>
      </c>
      <c r="M611" s="77">
        <f>Tableau1[[#This Row],[Conso HP / jour
Instantané]]*365</f>
        <v>1780.4878048755211</v>
      </c>
      <c r="N611" s="79">
        <f>Tableau1[[#This Row],[Index HP
kWh]]-$I$5</f>
        <v>-175701</v>
      </c>
      <c r="O611" s="80">
        <f>Tableau1[[#This Row],[Différence HP
Cumul]]/(Tableau1[[#This Row],[Diff jour_x000D_
Cumul]]*24)</f>
        <v>-8.4474139057007189</v>
      </c>
      <c r="P611" s="80">
        <f>Tableau1[[#This Row],[Différence HP
Cumul]]/Tableau1[[#This Row],[Diff jour_x000D_
Cumul]]</f>
        <v>-202.73793373681724</v>
      </c>
      <c r="Q611" s="80">
        <f>Tableau1[[#This Row],[Conso HP / jour
Cumul]]*365</f>
        <v>-73999.345813938286</v>
      </c>
      <c r="R611" s="78">
        <v>2092</v>
      </c>
      <c r="S611" s="79">
        <f>Tableau1[[#This Row],[Index HC_x000D_
kWh]]-R610</f>
        <v>2</v>
      </c>
      <c r="T611" s="81">
        <f>Tableau1[[#This Row],[Différence_x000D_ HC
Instantané]]/(Tableau1[[#This Row],[Diff jour
Instantané]]*24)</f>
        <v>8.1300813008014658E-2</v>
      </c>
      <c r="U611" s="81">
        <f>Tableau1[[#This Row],[Différence_x000D_ HC
Instantané]]/Tableau1[[#This Row],[Diff jour
Instantané]]</f>
        <v>1.9512195121923519</v>
      </c>
      <c r="V611" s="81">
        <f>Tableau1[[#This Row],[Conso HC / jour_x000D_
Instantané]]*365</f>
        <v>712.19512195020843</v>
      </c>
      <c r="W611" s="79">
        <f>Tableau1[[#This Row],[Index HC_x000D_
kWh]]-$R$5</f>
        <v>-117340</v>
      </c>
      <c r="X611" s="82">
        <f>Tableau1[[#This Row],[Différence HC
Cumul]]/(Tableau1[[#This Row],[Diff jour_x000D_
Cumul]]*24)</f>
        <v>-5.6415134102533413</v>
      </c>
      <c r="Y611" s="82">
        <f>Tableau1[[#This Row],[Différence HC
Cumul]]/Tableau1[[#This Row],[Diff jour_x000D_
Cumul]]</f>
        <v>-135.39632184608018</v>
      </c>
      <c r="Z611" s="82">
        <f>Tableau1[[#This Row],[Conso HC / jour_x000D_
Cumul]]*365</f>
        <v>-49419.657473819265</v>
      </c>
      <c r="AA611" s="79">
        <f>Tableau1[[#This Row],[Différence HP
Instantané]]+Tableau1[[#This Row],[Différence_x000D_ HC
Instantané]]</f>
        <v>7</v>
      </c>
      <c r="AB611" s="80">
        <f>Tableau1[[#This Row],[Conso HP + HC
Instantané]]/(Tableau1[[#This Row],[Diff jour
Instantané]]*24)</f>
        <v>0.28455284552805132</v>
      </c>
      <c r="AC611" s="80">
        <f>IF(ISERROR(Tableau1[[#This Row],[Date]]-A610),"",Tableau1[[#This Row],[Conso HP + HC
Instantané]]/Tableau1[[#This Row],[Diff jour
Instantané]])</f>
        <v>6.8292682926732313</v>
      </c>
      <c r="AD611" s="80">
        <f>Tableau1[[#This Row],[Conso HP + HC / jour_x000D_
Instantané]]*365</f>
        <v>2492.6829268257293</v>
      </c>
      <c r="AE611" s="79">
        <f>Tableau1[[#This Row],[Différence HP
Cumul]]+Tableau1[[#This Row],[Différence HC
Cumul]]</f>
        <v>-293041</v>
      </c>
      <c r="AF611" s="77">
        <f>(Tableau1[[#This Row],[Conso HP + HC
Cumul]]-AE$6)/Tableau1[[#This Row],[Diff jour_x000D_
Cumul
depuis le 24/01]]</f>
        <v>-356.77904122206758</v>
      </c>
      <c r="AG611" s="77">
        <f>(Tableau1[[#This Row],[Conso HP + HC
Cumul]]-AE$59)/Tableau1[[#This Row],[Diff jour_x000D_
Cumul
depuis
précédente facture
16/02/2021]]</f>
        <v>-368.73935013074026</v>
      </c>
      <c r="AH611" s="80">
        <f>Tableau1[[#This Row],[Conso HP + HC
Cumul]]/(Tableau1[[#This Row],[Diff jour_x000D_
Cumul]]*24)</f>
        <v>-14.088927315954061</v>
      </c>
      <c r="AI611" s="80">
        <f>Tableau1[[#This Row],[Conso HP + HC
Cumul]]/Tableau1[[#This Row],[Diff jour_x000D_
Cumul]]</f>
        <v>-338.13425558289742</v>
      </c>
      <c r="AJ611" s="80">
        <f>Tableau1[[#This Row],[Conso HP + HC / jour_x000D_
Cumul]]*365</f>
        <v>-123419.00328775756</v>
      </c>
      <c r="AK611" s="83">
        <f>(Tableau1[[#This Row],[Différence HP
Cumul]]*0.1799)+(Tableau1[[#This Row],[Différence HC
Cumul]]*0.1346)</f>
        <v>-47402.573900000003</v>
      </c>
      <c r="AL611" s="83">
        <f>Tableau1[[#This Row],[Montant
Tarif HP/HC]]/Tableau1[[#This Row],[Diff jour_x000D_
Cumul]]</f>
        <v>-54.696899199735824</v>
      </c>
      <c r="AM611" s="83">
        <f>(Tableau1[[#This Row],[Montant
Tarif HP/HC]]-AK$6)/Tableau1[[#This Row],[Diff jour_x000D_
Cumul
depuis le 24/01]]</f>
        <v>-57.723201446958534</v>
      </c>
      <c r="AN611" s="83">
        <f>(Tableau1[[#This Row],[Montant
Tarif HP/HC]]-AK$59)/Tableau1[[#This Row],[Diff jour_x000D_
Cumul
depuis
précédente facture
16/02/2021]]</f>
        <v>-59.667814294022058</v>
      </c>
      <c r="AO611" s="83">
        <f>Tableau1[[#This Row],[Conso HP + HC
Cumul]]*0.1599</f>
        <v>-46857.255899999996</v>
      </c>
      <c r="AP611" s="83">
        <f>Tableau1[[#This Row],[Montant
Tarif normal]]/Tableau1[[#This Row],[Diff jour_x000D_
Cumul]]</f>
        <v>-54.067667467705299</v>
      </c>
      <c r="AQ611" s="83">
        <f>(Tableau1[[#This Row],[Conso HP / an
Cumul]]*0.1799)+(Tableau1[[#This Row],[Conso HC / an_x000D_
Cumul]]*0.1346)</f>
        <v>-19964.368207903572</v>
      </c>
      <c r="AR611" s="83">
        <f>Tableau1[[#This Row],[Conso HP + HC / an_x000D_
Cumul]]*0.1599</f>
        <v>-19734.698625712434</v>
      </c>
      <c r="AS611" s="79">
        <f>MONTH(Tableau1[[#This Row],[Date]])</f>
        <v>5</v>
      </c>
      <c r="AT611" s="79">
        <f>YEAR(Tableau1[[#This Row],[Date]])</f>
        <v>2023</v>
      </c>
    </row>
    <row r="612" spans="1:46" x14ac:dyDescent="0.2">
      <c r="A612" s="74">
        <v>45050.322916666664</v>
      </c>
      <c r="B612" s="75"/>
      <c r="C612" s="76">
        <f>IF(ISERROR(Tableau1[[#This Row],[Date]]-A611),"",Tableau1[[#This Row],[Date]]-A611)</f>
        <v>0.97361111110512866</v>
      </c>
      <c r="D612" s="77">
        <f>IF(ISERROR(Tableau1[[#This Row],[Date]]-A611),"",Tableau1[[#This Row],[Date]]-A611)</f>
        <v>0.97361111110512866</v>
      </c>
      <c r="E612" s="76">
        <f>Tableau1[[#This Row],[Date]]-$A$5</f>
        <v>867.61458333332848</v>
      </c>
      <c r="F612" s="77">
        <f>Tableau1[[#This Row],[Date]]-$A$5</f>
        <v>867.61458333332848</v>
      </c>
      <c r="G612" s="77">
        <f>Tableau1[[#This Row],[Diff jour_x000D_
Cumul]]-F$6</f>
        <v>829.53125</v>
      </c>
      <c r="H612" s="77">
        <f>Tableau1[[#This Row],[Diff jour_x000D_
Cumul]]-F$59</f>
        <v>807.01180555555038</v>
      </c>
      <c r="I612" s="78">
        <v>4068</v>
      </c>
      <c r="J612" s="79">
        <f>IF(ISERROR(Tableau1[[#This Row],[Index HP
kWh]]-I611),"",Tableau1[[#This Row],[Index HP
kWh]]-I611)</f>
        <v>10</v>
      </c>
      <c r="K612" s="77">
        <f>IF(ISERROR(Tableau1[[#This Row],[Différence HP
Instantané]]/(Tableau1[[#This Row],[Diff jour
Instantané]]*24)),"",Tableau1[[#This Row],[Différence HP
Instantané]]/(Tableau1[[#This Row],[Diff jour
Instantané]]*24))</f>
        <v>0.42796005706397061</v>
      </c>
      <c r="L612" s="77">
        <f>Tableau1[[#This Row],[Différence HP
Instantané]]/Tableau1[[#This Row],[Diff jour
Instantané]]</f>
        <v>10.271041369535293</v>
      </c>
      <c r="M612" s="77">
        <f>Tableau1[[#This Row],[Conso HP / jour
Instantané]]*365</f>
        <v>3748.9300998803819</v>
      </c>
      <c r="N612" s="79">
        <f>Tableau1[[#This Row],[Index HP
kWh]]-$I$5</f>
        <v>-175691</v>
      </c>
      <c r="O612" s="80">
        <f>Tableau1[[#This Row],[Différence HP
Cumul]]/(Tableau1[[#This Row],[Diff jour_x000D_
Cumul]]*24)</f>
        <v>-8.437454226747235</v>
      </c>
      <c r="P612" s="80">
        <f>Tableau1[[#This Row],[Différence HP
Cumul]]/Tableau1[[#This Row],[Diff jour_x000D_
Cumul]]</f>
        <v>-202.49890144193364</v>
      </c>
      <c r="Q612" s="80">
        <f>Tableau1[[#This Row],[Conso HP / jour
Cumul]]*365</f>
        <v>-73912.099026305776</v>
      </c>
      <c r="R612" s="78">
        <v>2095</v>
      </c>
      <c r="S612" s="79">
        <f>Tableau1[[#This Row],[Index HC_x000D_
kWh]]-R611</f>
        <v>3</v>
      </c>
      <c r="T612" s="81">
        <f>Tableau1[[#This Row],[Différence_x000D_ HC
Instantané]]/(Tableau1[[#This Row],[Diff jour
Instantané]]*24)</f>
        <v>0.12838801711919118</v>
      </c>
      <c r="U612" s="81">
        <f>Tableau1[[#This Row],[Différence_x000D_ HC
Instantané]]/Tableau1[[#This Row],[Diff jour
Instantané]]</f>
        <v>3.0813124108605883</v>
      </c>
      <c r="V612" s="81">
        <f>Tableau1[[#This Row],[Conso HC / jour_x000D_
Instantané]]*365</f>
        <v>1124.6790299641148</v>
      </c>
      <c r="W612" s="79">
        <f>Tableau1[[#This Row],[Index HC_x000D_
kWh]]-$R$5</f>
        <v>-117337</v>
      </c>
      <c r="X612" s="82">
        <f>Tableau1[[#This Row],[Différence HC
Cumul]]/(Tableau1[[#This Row],[Diff jour_x000D_
Cumul]]*24)</f>
        <v>-5.6350385996086327</v>
      </c>
      <c r="Y612" s="82">
        <f>Tableau1[[#This Row],[Différence HC
Cumul]]/Tableau1[[#This Row],[Diff jour_x000D_
Cumul]]</f>
        <v>-135.24092639060717</v>
      </c>
      <c r="Z612" s="82">
        <f>Tableau1[[#This Row],[Conso HC / jour_x000D_
Cumul]]*365</f>
        <v>-49362.938132571617</v>
      </c>
      <c r="AA612" s="79">
        <f>Tableau1[[#This Row],[Différence HP
Instantané]]+Tableau1[[#This Row],[Différence_x000D_ HC
Instantané]]</f>
        <v>13</v>
      </c>
      <c r="AB612" s="80">
        <f>Tableau1[[#This Row],[Conso HP + HC
Instantané]]/(Tableau1[[#This Row],[Diff jour
Instantané]]*24)</f>
        <v>0.55634807418316179</v>
      </c>
      <c r="AC612" s="80">
        <f>IF(ISERROR(Tableau1[[#This Row],[Date]]-A611),"",Tableau1[[#This Row],[Conso HP + HC
Instantané]]/Tableau1[[#This Row],[Diff jour
Instantané]])</f>
        <v>13.352353780395882</v>
      </c>
      <c r="AD612" s="80">
        <f>Tableau1[[#This Row],[Conso HP + HC / jour_x000D_
Instantané]]*365</f>
        <v>4873.6091298444971</v>
      </c>
      <c r="AE612" s="79">
        <f>Tableau1[[#This Row],[Différence HP
Cumul]]+Tableau1[[#This Row],[Différence HC
Cumul]]</f>
        <v>-293028</v>
      </c>
      <c r="AF612" s="77">
        <f>(Tableau1[[#This Row],[Conso HP + HC
Cumul]]-AE$6)/Tableau1[[#This Row],[Diff jour_x000D_
Cumul
depuis le 24/01]]</f>
        <v>-356.34462233942361</v>
      </c>
      <c r="AG612" s="77">
        <f>(Tableau1[[#This Row],[Conso HP + HC
Cumul]]-AE$59)/Tableau1[[#This Row],[Diff jour_x000D_
Cumul
depuis
précédente facture
16/02/2021]]</f>
        <v>-368.2783795156538</v>
      </c>
      <c r="AH612" s="80">
        <f>Tableau1[[#This Row],[Conso HP + HC
Cumul]]/(Tableau1[[#This Row],[Diff jour_x000D_
Cumul]]*24)</f>
        <v>-14.072492826355868</v>
      </c>
      <c r="AI612" s="80">
        <f>Tableau1[[#This Row],[Conso HP + HC
Cumul]]/Tableau1[[#This Row],[Diff jour_x000D_
Cumul]]</f>
        <v>-337.73982783254081</v>
      </c>
      <c r="AJ612" s="80">
        <f>Tableau1[[#This Row],[Conso HP + HC / jour_x000D_
Cumul]]*365</f>
        <v>-123275.0371588774</v>
      </c>
      <c r="AK612" s="83">
        <f>(Tableau1[[#This Row],[Différence HP
Cumul]]*0.1799)+(Tableau1[[#This Row],[Différence HC
Cumul]]*0.1346)</f>
        <v>-47400.371100000004</v>
      </c>
      <c r="AL612" s="83">
        <f>Tableau1[[#This Row],[Montant
Tarif HP/HC]]/Tableau1[[#This Row],[Diff jour_x000D_
Cumul]]</f>
        <v>-54.632981061579592</v>
      </c>
      <c r="AM612" s="83">
        <f>(Tableau1[[#This Row],[Montant
Tarif HP/HC]]-AK$6)/Tableau1[[#This Row],[Diff jour_x000D_
Cumul
depuis le 24/01]]</f>
        <v>-57.652796925974769</v>
      </c>
      <c r="AN612" s="83">
        <f>(Tableau1[[#This Row],[Montant
Tarif HP/HC]]-AK$59)/Tableau1[[#This Row],[Diff jour_x000D_
Cumul
depuis
précédente facture
16/02/2021]]</f>
        <v>-59.593099095858996</v>
      </c>
      <c r="AO612" s="83">
        <f>Tableau1[[#This Row],[Conso HP + HC
Cumul]]*0.1599</f>
        <v>-46855.177199999998</v>
      </c>
      <c r="AP612" s="83">
        <f>Tableau1[[#This Row],[Montant
Tarif normal]]/Tableau1[[#This Row],[Diff jour_x000D_
Cumul]]</f>
        <v>-54.004598470423275</v>
      </c>
      <c r="AQ612" s="83">
        <f>(Tableau1[[#This Row],[Conso HP / an
Cumul]]*0.1799)+(Tableau1[[#This Row],[Conso HC / an_x000D_
Cumul]]*0.1346)</f>
        <v>-19941.038087476551</v>
      </c>
      <c r="AR612" s="83">
        <f>Tableau1[[#This Row],[Conso HP + HC / an_x000D_
Cumul]]*0.1599</f>
        <v>-19711.678441704495</v>
      </c>
      <c r="AS612" s="79">
        <f>MONTH(Tableau1[[#This Row],[Date]])</f>
        <v>5</v>
      </c>
      <c r="AT612" s="79">
        <f>YEAR(Tableau1[[#This Row],[Date]])</f>
        <v>2023</v>
      </c>
    </row>
    <row r="613" spans="1:46" x14ac:dyDescent="0.2">
      <c r="A613" s="74">
        <v>45051.361805555556</v>
      </c>
      <c r="B613" s="75"/>
      <c r="C613" s="76">
        <f>IF(ISERROR(Tableau1[[#This Row],[Date]]-A612),"",Tableau1[[#This Row],[Date]]-A612)</f>
        <v>1.038888888891961</v>
      </c>
      <c r="D613" s="77">
        <f>IF(ISERROR(Tableau1[[#This Row],[Date]]-A612),"",Tableau1[[#This Row],[Date]]-A612)</f>
        <v>1.038888888891961</v>
      </c>
      <c r="E613" s="76">
        <f>Tableau1[[#This Row],[Date]]-$A$5</f>
        <v>868.65347222222044</v>
      </c>
      <c r="F613" s="77">
        <f>Tableau1[[#This Row],[Date]]-$A$5</f>
        <v>868.65347222222044</v>
      </c>
      <c r="G613" s="77">
        <f>Tableau1[[#This Row],[Diff jour_x000D_
Cumul]]-F$6</f>
        <v>830.57013888889196</v>
      </c>
      <c r="H613" s="77">
        <f>Tableau1[[#This Row],[Diff jour_x000D_
Cumul]]-F$59</f>
        <v>808.05069444444234</v>
      </c>
      <c r="I613" s="78">
        <v>4070</v>
      </c>
      <c r="J613" s="79">
        <f>IF(ISERROR(Tableau1[[#This Row],[Index HP
kWh]]-I612),"",Tableau1[[#This Row],[Index HP
kWh]]-I612)</f>
        <v>2</v>
      </c>
      <c r="K613" s="77">
        <f>IF(ISERROR(Tableau1[[#This Row],[Différence HP
Instantané]]/(Tableau1[[#This Row],[Diff jour
Instantané]]*24)),"",Tableau1[[#This Row],[Différence HP
Instantané]]/(Tableau1[[#This Row],[Diff jour
Instantané]]*24))</f>
        <v>8.021390374307831E-2</v>
      </c>
      <c r="L613" s="77">
        <f>Tableau1[[#This Row],[Différence HP
Instantané]]/Tableau1[[#This Row],[Diff jour
Instantané]]</f>
        <v>1.9251336898338793</v>
      </c>
      <c r="M613" s="77">
        <f>Tableau1[[#This Row],[Conso HP / jour
Instantané]]*365</f>
        <v>702.67379678936595</v>
      </c>
      <c r="N613" s="79">
        <f>Tableau1[[#This Row],[Index HP
kWh]]-$I$5</f>
        <v>-175689</v>
      </c>
      <c r="O613" s="80">
        <f>Tableau1[[#This Row],[Différence HP
Cumul]]/(Tableau1[[#This Row],[Diff jour_x000D_
Cumul]]*24)</f>
        <v>-8.4272672982849581</v>
      </c>
      <c r="P613" s="80">
        <f>Tableau1[[#This Row],[Différence HP
Cumul]]/Tableau1[[#This Row],[Diff jour_x000D_
Cumul]]</f>
        <v>-202.25441515883901</v>
      </c>
      <c r="Q613" s="80">
        <f>Tableau1[[#This Row],[Conso HP / jour
Cumul]]*365</f>
        <v>-73822.86153297624</v>
      </c>
      <c r="R613" s="78">
        <v>2098</v>
      </c>
      <c r="S613" s="79">
        <f>Tableau1[[#This Row],[Index HC_x000D_
kWh]]-R612</f>
        <v>3</v>
      </c>
      <c r="T613" s="81">
        <f>Tableau1[[#This Row],[Différence_x000D_ HC
Instantané]]/(Tableau1[[#This Row],[Diff jour
Instantané]]*24)</f>
        <v>0.12032085561461746</v>
      </c>
      <c r="U613" s="81">
        <f>Tableau1[[#This Row],[Différence_x000D_ HC
Instantané]]/Tableau1[[#This Row],[Diff jour
Instantané]]</f>
        <v>2.8877005347508193</v>
      </c>
      <c r="V613" s="81">
        <f>Tableau1[[#This Row],[Conso HC / jour_x000D_
Instantané]]*365</f>
        <v>1054.0106951840492</v>
      </c>
      <c r="W613" s="79">
        <f>Tableau1[[#This Row],[Index HC_x000D_
kWh]]-$R$5</f>
        <v>-117334</v>
      </c>
      <c r="X613" s="82">
        <f>Tableau1[[#This Row],[Différence HC
Cumul]]/(Tableau1[[#This Row],[Diff jour_x000D_
Cumul]]*24)</f>
        <v>-5.6281553266110418</v>
      </c>
      <c r="Y613" s="82">
        <f>Tableau1[[#This Row],[Différence HC
Cumul]]/Tableau1[[#This Row],[Diff jour_x000D_
Cumul]]</f>
        <v>-135.07572783866502</v>
      </c>
      <c r="Z613" s="82">
        <f>Tableau1[[#This Row],[Conso HC / jour_x000D_
Cumul]]*365</f>
        <v>-49302.640661112731</v>
      </c>
      <c r="AA613" s="79">
        <f>Tableau1[[#This Row],[Différence HP
Instantané]]+Tableau1[[#This Row],[Différence_x000D_ HC
Instantané]]</f>
        <v>5</v>
      </c>
      <c r="AB613" s="80">
        <f>Tableau1[[#This Row],[Conso HP + HC
Instantané]]/(Tableau1[[#This Row],[Diff jour
Instantané]]*24)</f>
        <v>0.20053475935769577</v>
      </c>
      <c r="AC613" s="80">
        <f>IF(ISERROR(Tableau1[[#This Row],[Date]]-A612),"",Tableau1[[#This Row],[Conso HP + HC
Instantané]]/Tableau1[[#This Row],[Diff jour
Instantané]])</f>
        <v>4.8128342245846989</v>
      </c>
      <c r="AD613" s="80">
        <f>Tableau1[[#This Row],[Conso HP + HC / jour_x000D_
Instantané]]*365</f>
        <v>1756.6844919734151</v>
      </c>
      <c r="AE613" s="79">
        <f>Tableau1[[#This Row],[Différence HP
Cumul]]+Tableau1[[#This Row],[Différence HC
Cumul]]</f>
        <v>-293023</v>
      </c>
      <c r="AF613" s="77">
        <f>(Tableau1[[#This Row],[Conso HP + HC
Cumul]]-AE$6)/Tableau1[[#This Row],[Diff jour_x000D_
Cumul
depuis le 24/01]]</f>
        <v>-355.89288147950447</v>
      </c>
      <c r="AG613" s="77">
        <f>(Tableau1[[#This Row],[Conso HP + HC
Cumul]]-AE$59)/Tableau1[[#This Row],[Diff jour_x000D_
Cumul
depuis
précédente facture
16/02/2021]]</f>
        <v>-367.79870624866351</v>
      </c>
      <c r="AH613" s="80">
        <f>Tableau1[[#This Row],[Conso HP + HC
Cumul]]/(Tableau1[[#This Row],[Diff jour_x000D_
Cumul]]*24)</f>
        <v>-14.055422624896</v>
      </c>
      <c r="AI613" s="80">
        <f>Tableau1[[#This Row],[Conso HP + HC
Cumul]]/Tableau1[[#This Row],[Diff jour_x000D_
Cumul]]</f>
        <v>-337.33014299750403</v>
      </c>
      <c r="AJ613" s="80">
        <f>Tableau1[[#This Row],[Conso HP + HC / jour_x000D_
Cumul]]*365</f>
        <v>-123125.50219408897</v>
      </c>
      <c r="AK613" s="83">
        <f>(Tableau1[[#This Row],[Différence HP
Cumul]]*0.1799)+(Tableau1[[#This Row],[Différence HC
Cumul]]*0.1346)</f>
        <v>-47399.607499999998</v>
      </c>
      <c r="AL613" s="83">
        <f>Tableau1[[#This Row],[Montant
Tarif HP/HC]]/Tableau1[[#This Row],[Diff jour_x000D_
Cumul]]</f>
        <v>-54.566762254159443</v>
      </c>
      <c r="AM613" s="83">
        <f>(Tableau1[[#This Row],[Montant
Tarif HP/HC]]-AK$6)/Tableau1[[#This Row],[Diff jour_x000D_
Cumul
depuis le 24/01]]</f>
        <v>-57.579764622861759</v>
      </c>
      <c r="AN613" s="83">
        <f>(Tableau1[[#This Row],[Montant
Tarif HP/HC]]-AK$59)/Tableau1[[#This Row],[Diff jour_x000D_
Cumul
depuis
précédente facture
16/02/2021]]</f>
        <v>-59.515536872428918</v>
      </c>
      <c r="AO613" s="83">
        <f>Tableau1[[#This Row],[Conso HP + HC
Cumul]]*0.1599</f>
        <v>-46854.377699999997</v>
      </c>
      <c r="AP613" s="83">
        <f>Tableau1[[#This Row],[Montant
Tarif normal]]/Tableau1[[#This Row],[Diff jour_x000D_
Cumul]]</f>
        <v>-53.939089865300886</v>
      </c>
      <c r="AQ613" s="83">
        <f>(Tableau1[[#This Row],[Conso HP / an
Cumul]]*0.1799)+(Tableau1[[#This Row],[Conso HC / an_x000D_
Cumul]]*0.1346)</f>
        <v>-19916.8682227682</v>
      </c>
      <c r="AR613" s="83">
        <f>Tableau1[[#This Row],[Conso HP + HC / an_x000D_
Cumul]]*0.1599</f>
        <v>-19687.767800834827</v>
      </c>
      <c r="AS613" s="79">
        <f>MONTH(Tableau1[[#This Row],[Date]])</f>
        <v>5</v>
      </c>
      <c r="AT613" s="79">
        <f>YEAR(Tableau1[[#This Row],[Date]])</f>
        <v>2023</v>
      </c>
    </row>
    <row r="614" spans="1:46" x14ac:dyDescent="0.2">
      <c r="A614" s="74">
        <v>45052.357638888891</v>
      </c>
      <c r="B614" s="75"/>
      <c r="C614" s="76">
        <f>IF(ISERROR(Tableau1[[#This Row],[Date]]-A613),"",Tableau1[[#This Row],[Date]]-A613)</f>
        <v>0.99583333333430346</v>
      </c>
      <c r="D614" s="77">
        <f>IF(ISERROR(Tableau1[[#This Row],[Date]]-A613),"",Tableau1[[#This Row],[Date]]-A613)</f>
        <v>0.99583333333430346</v>
      </c>
      <c r="E614" s="76">
        <f>Tableau1[[#This Row],[Date]]-$A$5</f>
        <v>869.64930555555475</v>
      </c>
      <c r="F614" s="77">
        <f>Tableau1[[#This Row],[Date]]-$A$5</f>
        <v>869.64930555555475</v>
      </c>
      <c r="G614" s="77">
        <f>Tableau1[[#This Row],[Diff jour_x000D_
Cumul]]-F$6</f>
        <v>831.56597222222626</v>
      </c>
      <c r="H614" s="77">
        <f>Tableau1[[#This Row],[Diff jour_x000D_
Cumul]]-F$59</f>
        <v>809.04652777777665</v>
      </c>
      <c r="I614" s="78">
        <v>4076</v>
      </c>
      <c r="J614" s="79">
        <f>IF(ISERROR(Tableau1[[#This Row],[Index HP
kWh]]-I613),"",Tableau1[[#This Row],[Index HP
kWh]]-I613)</f>
        <v>6</v>
      </c>
      <c r="K614" s="77">
        <f>IF(ISERROR(Tableau1[[#This Row],[Différence HP
Instantané]]/(Tableau1[[#This Row],[Diff jour
Instantané]]*24)),"",Tableau1[[#This Row],[Différence HP
Instantané]]/(Tableau1[[#This Row],[Diff jour
Instantané]]*24))</f>
        <v>0.25104602510435792</v>
      </c>
      <c r="L614" s="77">
        <f>Tableau1[[#This Row],[Différence HP
Instantané]]/Tableau1[[#This Row],[Diff jour
Instantané]]</f>
        <v>6.0251046025045909</v>
      </c>
      <c r="M614" s="77">
        <f>Tableau1[[#This Row],[Conso HP / jour
Instantané]]*365</f>
        <v>2199.1631799141755</v>
      </c>
      <c r="N614" s="79">
        <f>Tableau1[[#This Row],[Index HP
kWh]]-$I$5</f>
        <v>-175683</v>
      </c>
      <c r="O614" s="80">
        <f>Tableau1[[#This Row],[Différence HP
Cumul]]/(Tableau1[[#This Row],[Diff jour_x000D_
Cumul]]*24)</f>
        <v>-8.4173297825193032</v>
      </c>
      <c r="P614" s="80">
        <f>Tableau1[[#This Row],[Différence HP
Cumul]]/Tableau1[[#This Row],[Diff jour_x000D_
Cumul]]</f>
        <v>-202.01591478046325</v>
      </c>
      <c r="Q614" s="80">
        <f>Tableau1[[#This Row],[Conso HP / jour
Cumul]]*365</f>
        <v>-73735.808894869086</v>
      </c>
      <c r="R614" s="78">
        <v>2100</v>
      </c>
      <c r="S614" s="79">
        <f>Tableau1[[#This Row],[Index HC_x000D_
kWh]]-R613</f>
        <v>2</v>
      </c>
      <c r="T614" s="81">
        <f>Tableau1[[#This Row],[Différence_x000D_ HC
Instantané]]/(Tableau1[[#This Row],[Diff jour
Instantané]]*24)</f>
        <v>8.3682008368119315E-2</v>
      </c>
      <c r="U614" s="81">
        <f>Tableau1[[#This Row],[Différence_x000D_ HC
Instantané]]/Tableau1[[#This Row],[Diff jour
Instantané]]</f>
        <v>2.0083682008348633</v>
      </c>
      <c r="V614" s="81">
        <f>Tableau1[[#This Row],[Conso HC / jour_x000D_
Instantané]]*365</f>
        <v>733.05439330472507</v>
      </c>
      <c r="W614" s="79">
        <f>Tableau1[[#This Row],[Index HC_x000D_
kWh]]-$R$5</f>
        <v>-117332</v>
      </c>
      <c r="X614" s="82">
        <f>Tableau1[[#This Row],[Différence HC
Cumul]]/(Tableau1[[#This Row],[Diff jour_x000D_
Cumul]]*24)</f>
        <v>-5.6216147153825631</v>
      </c>
      <c r="Y614" s="82">
        <f>Tableau1[[#This Row],[Différence HC
Cumul]]/Tableau1[[#This Row],[Diff jour_x000D_
Cumul]]</f>
        <v>-134.91875316918151</v>
      </c>
      <c r="Z614" s="82">
        <f>Tableau1[[#This Row],[Conso HC / jour_x000D_
Cumul]]*365</f>
        <v>-49245.344906751256</v>
      </c>
      <c r="AA614" s="79">
        <f>Tableau1[[#This Row],[Différence HP
Instantané]]+Tableau1[[#This Row],[Différence_x000D_ HC
Instantané]]</f>
        <v>8</v>
      </c>
      <c r="AB614" s="80">
        <f>Tableau1[[#This Row],[Conso HP + HC
Instantané]]/(Tableau1[[#This Row],[Diff jour
Instantané]]*24)</f>
        <v>0.33472803347247726</v>
      </c>
      <c r="AC614" s="80">
        <f>IF(ISERROR(Tableau1[[#This Row],[Date]]-A613),"",Tableau1[[#This Row],[Conso HP + HC
Instantané]]/Tableau1[[#This Row],[Diff jour
Instantané]])</f>
        <v>8.0334728033394533</v>
      </c>
      <c r="AD614" s="80">
        <f>Tableau1[[#This Row],[Conso HP + HC / jour_x000D_
Instantané]]*365</f>
        <v>2932.2175732189003</v>
      </c>
      <c r="AE614" s="79">
        <f>Tableau1[[#This Row],[Différence HP
Cumul]]+Tableau1[[#This Row],[Différence HC
Cumul]]</f>
        <v>-293015</v>
      </c>
      <c r="AF614" s="77">
        <f>(Tableau1[[#This Row],[Conso HP + HC
Cumul]]-AE$6)/Tableau1[[#This Row],[Diff jour_x000D_
Cumul
depuis le 24/01]]</f>
        <v>-355.45706519242719</v>
      </c>
      <c r="AG614" s="77">
        <f>(Tableau1[[#This Row],[Conso HP + HC
Cumul]]-AE$59)/Tableau1[[#This Row],[Diff jour_x000D_
Cumul
depuis
précédente facture
16/02/2021]]</f>
        <v>-367.33610465680243</v>
      </c>
      <c r="AH614" s="80">
        <f>Tableau1[[#This Row],[Conso HP + HC
Cumul]]/(Tableau1[[#This Row],[Diff jour_x000D_
Cumul]]*24)</f>
        <v>-14.038944497901864</v>
      </c>
      <c r="AI614" s="80">
        <f>Tableau1[[#This Row],[Conso HP + HC
Cumul]]/Tableau1[[#This Row],[Diff jour_x000D_
Cumul]]</f>
        <v>-336.93466794964479</v>
      </c>
      <c r="AJ614" s="80">
        <f>Tableau1[[#This Row],[Conso HP + HC / jour_x000D_
Cumul]]*365</f>
        <v>-122981.15380162036</v>
      </c>
      <c r="AK614" s="83">
        <f>(Tableau1[[#This Row],[Différence HP
Cumul]]*0.1799)+(Tableau1[[#This Row],[Différence HC
Cumul]]*0.1346)</f>
        <v>-47398.258900000001</v>
      </c>
      <c r="AL614" s="83">
        <f>Tableau1[[#This Row],[Montant
Tarif HP/HC]]/Tableau1[[#This Row],[Diff jour_x000D_
Cumul]]</f>
        <v>-54.502727245577169</v>
      </c>
      <c r="AM614" s="83">
        <f>(Tableau1[[#This Row],[Montant
Tarif HP/HC]]-AK$6)/Tableau1[[#This Row],[Diff jour_x000D_
Cumul
depuis le 24/01]]</f>
        <v>-57.509188804589456</v>
      </c>
      <c r="AN614" s="83">
        <f>(Tableau1[[#This Row],[Montant
Tarif HP/HC]]-AK$59)/Tableau1[[#This Row],[Diff jour_x000D_
Cumul
depuis
précédente facture
16/02/2021]]</f>
        <v>-59.440613918819132</v>
      </c>
      <c r="AO614" s="83">
        <f>Tableau1[[#This Row],[Conso HP + HC
Cumul]]*0.1599</f>
        <v>-46853.098499999993</v>
      </c>
      <c r="AP614" s="83">
        <f>Tableau1[[#This Row],[Montant
Tarif normal]]/Tableau1[[#This Row],[Diff jour_x000D_
Cumul]]</f>
        <v>-53.875853405148192</v>
      </c>
      <c r="AQ614" s="83">
        <f>(Tableau1[[#This Row],[Conso HP / an
Cumul]]*0.1799)+(Tableau1[[#This Row],[Conso HC / an_x000D_
Cumul]]*0.1346)</f>
        <v>-19893.495444635668</v>
      </c>
      <c r="AR614" s="83">
        <f>Tableau1[[#This Row],[Conso HP + HC / an_x000D_
Cumul]]*0.1599</f>
        <v>-19664.686492879093</v>
      </c>
      <c r="AS614" s="79">
        <f>MONTH(Tableau1[[#This Row],[Date]])</f>
        <v>5</v>
      </c>
      <c r="AT614" s="79">
        <f>YEAR(Tableau1[[#This Row],[Date]])</f>
        <v>2023</v>
      </c>
    </row>
    <row r="615" spans="1:46" x14ac:dyDescent="0.2">
      <c r="A615" s="74">
        <v>45053.340277777781</v>
      </c>
      <c r="B615" s="75"/>
      <c r="C615" s="76">
        <f>IF(ISERROR(Tableau1[[#This Row],[Date]]-A614),"",Tableau1[[#This Row],[Date]]-A614)</f>
        <v>0.98263888889050577</v>
      </c>
      <c r="D615" s="77">
        <f>IF(ISERROR(Tableau1[[#This Row],[Date]]-A614),"",Tableau1[[#This Row],[Date]]-A614)</f>
        <v>0.98263888889050577</v>
      </c>
      <c r="E615" s="76">
        <f>Tableau1[[#This Row],[Date]]-$A$5</f>
        <v>870.63194444444525</v>
      </c>
      <c r="F615" s="77">
        <f>Tableau1[[#This Row],[Date]]-$A$5</f>
        <v>870.63194444444525</v>
      </c>
      <c r="G615" s="77">
        <f>Tableau1[[#This Row],[Diff jour_x000D_
Cumul]]-F$6</f>
        <v>832.54861111111677</v>
      </c>
      <c r="H615" s="77">
        <f>Tableau1[[#This Row],[Diff jour_x000D_
Cumul]]-F$59</f>
        <v>810.02916666666715</v>
      </c>
      <c r="I615" s="78">
        <v>4085</v>
      </c>
      <c r="J615" s="79">
        <f>IF(ISERROR(Tableau1[[#This Row],[Index HP
kWh]]-I614),"",Tableau1[[#This Row],[Index HP
kWh]]-I614)</f>
        <v>9</v>
      </c>
      <c r="K615" s="77">
        <f>IF(ISERROR(Tableau1[[#This Row],[Différence HP
Instantané]]/(Tableau1[[#This Row],[Diff jour
Instantané]]*24)),"",Tableau1[[#This Row],[Différence HP
Instantané]]/(Tableau1[[#This Row],[Diff jour
Instantané]]*24))</f>
        <v>0.38162544169548512</v>
      </c>
      <c r="L615" s="77">
        <f>Tableau1[[#This Row],[Différence HP
Instantané]]/Tableau1[[#This Row],[Diff jour
Instantané]]</f>
        <v>9.1590106006916425</v>
      </c>
      <c r="M615" s="77">
        <f>Tableau1[[#This Row],[Conso HP / jour
Instantané]]*365</f>
        <v>3343.0388692524493</v>
      </c>
      <c r="N615" s="79">
        <f>Tableau1[[#This Row],[Index HP
kWh]]-$I$5</f>
        <v>-175674</v>
      </c>
      <c r="O615" s="80">
        <f>Tableau1[[#This Row],[Différence HP
Cumul]]/(Tableau1[[#This Row],[Diff jour_x000D_
Cumul]]*24)</f>
        <v>-8.4073988402421538</v>
      </c>
      <c r="P615" s="80">
        <f>Tableau1[[#This Row],[Différence HP
Cumul]]/Tableau1[[#This Row],[Diff jour_x000D_
Cumul]]</f>
        <v>-201.77757216581168</v>
      </c>
      <c r="Q615" s="80">
        <f>Tableau1[[#This Row],[Conso HP / jour
Cumul]]*365</f>
        <v>-73648.813840521267</v>
      </c>
      <c r="R615" s="78">
        <v>2103</v>
      </c>
      <c r="S615" s="79">
        <f>Tableau1[[#This Row],[Index HC_x000D_
kWh]]-R614</f>
        <v>3</v>
      </c>
      <c r="T615" s="81">
        <f>Tableau1[[#This Row],[Différence_x000D_ HC
Instantané]]/(Tableau1[[#This Row],[Diff jour
Instantané]]*24)</f>
        <v>0.12720848056516171</v>
      </c>
      <c r="U615" s="81">
        <f>Tableau1[[#This Row],[Différence_x000D_ HC
Instantané]]/Tableau1[[#This Row],[Diff jour
Instantané]]</f>
        <v>3.053003533563881</v>
      </c>
      <c r="V615" s="81">
        <f>Tableau1[[#This Row],[Conso HC / jour_x000D_
Instantané]]*365</f>
        <v>1114.3462897508166</v>
      </c>
      <c r="W615" s="79">
        <f>Tableau1[[#This Row],[Index HC_x000D_
kWh]]-$R$5</f>
        <v>-117329</v>
      </c>
      <c r="X615" s="82">
        <f>Tableau1[[#This Row],[Différence HC
Cumul]]/(Tableau1[[#This Row],[Diff jour_x000D_
Cumul]]*24)</f>
        <v>-5.6151263051263793</v>
      </c>
      <c r="Y615" s="82">
        <f>Tableau1[[#This Row],[Différence HC
Cumul]]/Tableau1[[#This Row],[Diff jour_x000D_
Cumul]]</f>
        <v>-134.76303132303312</v>
      </c>
      <c r="Z615" s="82">
        <f>Tableau1[[#This Row],[Conso HC / jour_x000D_
Cumul]]*365</f>
        <v>-49188.506432907088</v>
      </c>
      <c r="AA615" s="79">
        <f>Tableau1[[#This Row],[Différence HP
Instantané]]+Tableau1[[#This Row],[Différence_x000D_ HC
Instantané]]</f>
        <v>12</v>
      </c>
      <c r="AB615" s="80">
        <f>Tableau1[[#This Row],[Conso HP + HC
Instantané]]/(Tableau1[[#This Row],[Diff jour
Instantané]]*24)</f>
        <v>0.50883392226064683</v>
      </c>
      <c r="AC615" s="80">
        <f>IF(ISERROR(Tableau1[[#This Row],[Date]]-A614),"",Tableau1[[#This Row],[Conso HP + HC
Instantané]]/Tableau1[[#This Row],[Diff jour
Instantané]])</f>
        <v>12.212014134255524</v>
      </c>
      <c r="AD615" s="80">
        <f>Tableau1[[#This Row],[Conso HP + HC / jour_x000D_
Instantané]]*365</f>
        <v>4457.3851590032664</v>
      </c>
      <c r="AE615" s="79">
        <f>Tableau1[[#This Row],[Différence HP
Cumul]]+Tableau1[[#This Row],[Différence HC
Cumul]]</f>
        <v>-293003</v>
      </c>
      <c r="AF615" s="77">
        <f>(Tableau1[[#This Row],[Conso HP + HC
Cumul]]-AE$6)/Tableau1[[#This Row],[Diff jour_x000D_
Cumul
depuis le 24/01]]</f>
        <v>-355.02311343181253</v>
      </c>
      <c r="AG615" s="77">
        <f>(Tableau1[[#This Row],[Conso HP + HC
Cumul]]-AE$59)/Tableau1[[#This Row],[Diff jour_x000D_
Cumul
depuis
précédente facture
16/02/2021]]</f>
        <v>-366.87567834491534</v>
      </c>
      <c r="AH615" s="80">
        <f>Tableau1[[#This Row],[Conso HP + HC
Cumul]]/(Tableau1[[#This Row],[Diff jour_x000D_
Cumul]]*24)</f>
        <v>-14.022525145368533</v>
      </c>
      <c r="AI615" s="80">
        <f>Tableau1[[#This Row],[Conso HP + HC
Cumul]]/Tableau1[[#This Row],[Diff jour_x000D_
Cumul]]</f>
        <v>-336.54060348884479</v>
      </c>
      <c r="AJ615" s="80">
        <f>Tableau1[[#This Row],[Conso HP + HC / jour_x000D_
Cumul]]*365</f>
        <v>-122837.32027342835</v>
      </c>
      <c r="AK615" s="83">
        <f>(Tableau1[[#This Row],[Différence HP
Cumul]]*0.1799)+(Tableau1[[#This Row],[Différence HC
Cumul]]*0.1346)</f>
        <v>-47396.235999999997</v>
      </c>
      <c r="AL615" s="83">
        <f>Tableau1[[#This Row],[Montant
Tarif HP/HC]]/Tableau1[[#This Row],[Diff jour_x000D_
Cumul]]</f>
        <v>-54.438889248709778</v>
      </c>
      <c r="AM615" s="83">
        <f>(Tableau1[[#This Row],[Montant
Tarif HP/HC]]-AK$6)/Tableau1[[#This Row],[Diff jour_x000D_
Cumul
depuis le 24/01]]</f>
        <v>-57.438882200738639</v>
      </c>
      <c r="AN615" s="83">
        <f>(Tableau1[[#This Row],[Montant
Tarif HP/HC]]-AK$59)/Tableau1[[#This Row],[Diff jour_x000D_
Cumul
depuis
précédente facture
16/02/2021]]</f>
        <v>-59.36600974244751</v>
      </c>
      <c r="AO615" s="83">
        <f>Tableau1[[#This Row],[Conso HP + HC
Cumul]]*0.1599</f>
        <v>-46851.179699999993</v>
      </c>
      <c r="AP615" s="83">
        <f>Tableau1[[#This Row],[Montant
Tarif normal]]/Tableau1[[#This Row],[Diff jour_x000D_
Cumul]]</f>
        <v>-53.812842497866278</v>
      </c>
      <c r="AQ615" s="83">
        <f>(Tableau1[[#This Row],[Conso HP / an
Cumul]]*0.1799)+(Tableau1[[#This Row],[Conso HC / an_x000D_
Cumul]]*0.1346)</f>
        <v>-19870.194575779071</v>
      </c>
      <c r="AR615" s="83">
        <f>Tableau1[[#This Row],[Conso HP + HC / an_x000D_
Cumul]]*0.1599</f>
        <v>-19641.687511721193</v>
      </c>
      <c r="AS615" s="79">
        <f>MONTH(Tableau1[[#This Row],[Date]])</f>
        <v>5</v>
      </c>
      <c r="AT615" s="79">
        <f>YEAR(Tableau1[[#This Row],[Date]])</f>
        <v>2023</v>
      </c>
    </row>
    <row r="616" spans="1:46" x14ac:dyDescent="0.2">
      <c r="A616" s="74">
        <v>45054.328472222223</v>
      </c>
      <c r="B616" s="75"/>
      <c r="C616" s="76">
        <f>IF(ISERROR(Tableau1[[#This Row],[Date]]-A615),"",Tableau1[[#This Row],[Date]]-A615)</f>
        <v>0.9881944444423425</v>
      </c>
      <c r="D616" s="77">
        <f>IF(ISERROR(Tableau1[[#This Row],[Date]]-A615),"",Tableau1[[#This Row],[Date]]-A615)</f>
        <v>0.9881944444423425</v>
      </c>
      <c r="E616" s="76">
        <f>Tableau1[[#This Row],[Date]]-$A$5</f>
        <v>871.6201388888876</v>
      </c>
      <c r="F616" s="77">
        <f>Tableau1[[#This Row],[Date]]-$A$5</f>
        <v>871.6201388888876</v>
      </c>
      <c r="G616" s="77">
        <f>Tableau1[[#This Row],[Diff jour_x000D_
Cumul]]-F$6</f>
        <v>833.53680555555911</v>
      </c>
      <c r="H616" s="77">
        <f>Tableau1[[#This Row],[Diff jour_x000D_
Cumul]]-F$59</f>
        <v>811.01736111110949</v>
      </c>
      <c r="I616" s="78">
        <v>4091</v>
      </c>
      <c r="J616" s="79">
        <f>IF(ISERROR(Tableau1[[#This Row],[Index HP
kWh]]-I615),"",Tableau1[[#This Row],[Index HP
kWh]]-I615)</f>
        <v>6</v>
      </c>
      <c r="K616" s="77">
        <f>IF(ISERROR(Tableau1[[#This Row],[Différence HP
Instantané]]/(Tableau1[[#This Row],[Diff jour
Instantané]]*24)),"",Tableau1[[#This Row],[Différence HP
Instantané]]/(Tableau1[[#This Row],[Diff jour
Instantané]]*24))</f>
        <v>0.25298664792745307</v>
      </c>
      <c r="L616" s="77">
        <f>Tableau1[[#This Row],[Différence HP
Instantané]]/Tableau1[[#This Row],[Diff jour
Instantané]]</f>
        <v>6.0716795502588736</v>
      </c>
      <c r="M616" s="77">
        <f>Tableau1[[#This Row],[Conso HP / jour
Instantané]]*365</f>
        <v>2216.1630358444891</v>
      </c>
      <c r="N616" s="79">
        <f>Tableau1[[#This Row],[Index HP
kWh]]-$I$5</f>
        <v>-175668</v>
      </c>
      <c r="O616" s="80">
        <f>Tableau1[[#This Row],[Différence HP
Cumul]]/(Tableau1[[#This Row],[Diff jour_x000D_
Cumul]]*24)</f>
        <v>-8.3975801767621565</v>
      </c>
      <c r="P616" s="80">
        <f>Tableau1[[#This Row],[Différence HP
Cumul]]/Tableau1[[#This Row],[Diff jour_x000D_
Cumul]]</f>
        <v>-201.54192424229174</v>
      </c>
      <c r="Q616" s="80">
        <f>Tableau1[[#This Row],[Conso HP / jour
Cumul]]*365</f>
        <v>-73562.802348436482</v>
      </c>
      <c r="R616" s="78">
        <v>2106</v>
      </c>
      <c r="S616" s="79">
        <f>Tableau1[[#This Row],[Index HC_x000D_
kWh]]-R615</f>
        <v>3</v>
      </c>
      <c r="T616" s="81">
        <f>Tableau1[[#This Row],[Différence_x000D_ HC
Instantané]]/(Tableau1[[#This Row],[Diff jour
Instantané]]*24)</f>
        <v>0.12649332396372653</v>
      </c>
      <c r="U616" s="81">
        <f>Tableau1[[#This Row],[Différence_x000D_ HC
Instantané]]/Tableau1[[#This Row],[Diff jour
Instantané]]</f>
        <v>3.0358397751294368</v>
      </c>
      <c r="V616" s="81">
        <f>Tableau1[[#This Row],[Conso HC / jour_x000D_
Instantané]]*365</f>
        <v>1108.0815179222445</v>
      </c>
      <c r="W616" s="79">
        <f>Tableau1[[#This Row],[Index HC_x000D_
kWh]]-$R$5</f>
        <v>-117326</v>
      </c>
      <c r="X616" s="82">
        <f>Tableau1[[#This Row],[Différence HC
Cumul]]/(Tableau1[[#This Row],[Diff jour_x000D_
Cumul]]*24)</f>
        <v>-5.6086167760707513</v>
      </c>
      <c r="Y616" s="82">
        <f>Tableau1[[#This Row],[Différence HC
Cumul]]/Tableau1[[#This Row],[Diff jour_x000D_
Cumul]]</f>
        <v>-134.60680262569804</v>
      </c>
      <c r="Z616" s="82">
        <f>Tableau1[[#This Row],[Conso HC / jour_x000D_
Cumul]]*365</f>
        <v>-49131.482958379784</v>
      </c>
      <c r="AA616" s="79">
        <f>Tableau1[[#This Row],[Différence HP
Instantané]]+Tableau1[[#This Row],[Différence_x000D_ HC
Instantané]]</f>
        <v>9</v>
      </c>
      <c r="AB616" s="80">
        <f>Tableau1[[#This Row],[Conso HP + HC
Instantané]]/(Tableau1[[#This Row],[Diff jour
Instantané]]*24)</f>
        <v>0.3794799718911796</v>
      </c>
      <c r="AC616" s="80">
        <f>IF(ISERROR(Tableau1[[#This Row],[Date]]-A615),"",Tableau1[[#This Row],[Conso HP + HC
Instantané]]/Tableau1[[#This Row],[Diff jour
Instantané]])</f>
        <v>9.1075193253883118</v>
      </c>
      <c r="AD616" s="80">
        <f>Tableau1[[#This Row],[Conso HP + HC / jour_x000D_
Instantané]]*365</f>
        <v>3324.2445537667336</v>
      </c>
      <c r="AE616" s="79">
        <f>Tableau1[[#This Row],[Différence HP
Cumul]]+Tableau1[[#This Row],[Différence HC
Cumul]]</f>
        <v>-292994</v>
      </c>
      <c r="AF616" s="77">
        <f>(Tableau1[[#This Row],[Conso HP + HC
Cumul]]-AE$6)/Tableau1[[#This Row],[Diff jour_x000D_
Cumul
depuis le 24/01]]</f>
        <v>-354.59142059480325</v>
      </c>
      <c r="AG616" s="77">
        <f>(Tableau1[[#This Row],[Conso HP + HC
Cumul]]-AE$59)/Tableau1[[#This Row],[Diff jour_x000D_
Cumul
depuis
précédente facture
16/02/2021]]</f>
        <v>-366.41755682377743</v>
      </c>
      <c r="AH616" s="80">
        <f>Tableau1[[#This Row],[Conso HP + HC
Cumul]]/(Tableau1[[#This Row],[Diff jour_x000D_
Cumul]]*24)</f>
        <v>-14.006196952832909</v>
      </c>
      <c r="AI616" s="80">
        <f>Tableau1[[#This Row],[Conso HP + HC
Cumul]]/Tableau1[[#This Row],[Diff jour_x000D_
Cumul]]</f>
        <v>-336.14872686798981</v>
      </c>
      <c r="AJ616" s="80">
        <f>Tableau1[[#This Row],[Conso HP + HC / jour_x000D_
Cumul]]*365</f>
        <v>-122694.28530681628</v>
      </c>
      <c r="AK616" s="83">
        <f>(Tableau1[[#This Row],[Différence HP
Cumul]]*0.1799)+(Tableau1[[#This Row],[Différence HC
Cumul]]*0.1346)</f>
        <v>-47394.752800000002</v>
      </c>
      <c r="AL616" s="83">
        <f>Tableau1[[#This Row],[Montant
Tarif HP/HC]]/Tableau1[[#This Row],[Diff jour_x000D_
Cumul]]</f>
        <v>-54.375467804607247</v>
      </c>
      <c r="AM616" s="83">
        <f>(Tableau1[[#This Row],[Montant
Tarif HP/HC]]-AK$6)/Tableau1[[#This Row],[Diff jour_x000D_
Cumul
depuis le 24/01]]</f>
        <v>-57.369006480917335</v>
      </c>
      <c r="AN616" s="83">
        <f>(Tableau1[[#This Row],[Montant
Tarif HP/HC]]-AK$59)/Tableau1[[#This Row],[Diff jour_x000D_
Cumul
depuis
précédente facture
16/02/2021]]</f>
        <v>-59.291845656818332</v>
      </c>
      <c r="AO616" s="83">
        <f>Tableau1[[#This Row],[Conso HP + HC
Cumul]]*0.1599</f>
        <v>-46849.740599999997</v>
      </c>
      <c r="AP616" s="83">
        <f>Tableau1[[#This Row],[Montant
Tarif normal]]/Tableau1[[#This Row],[Diff jour_x000D_
Cumul]]</f>
        <v>-53.750181426191567</v>
      </c>
      <c r="AQ616" s="83">
        <f>(Tableau1[[#This Row],[Conso HP / an
Cumul]]*0.1799)+(Tableau1[[#This Row],[Conso HC / an_x000D_
Cumul]]*0.1346)</f>
        <v>-19847.045748681641</v>
      </c>
      <c r="AR616" s="83">
        <f>Tableau1[[#This Row],[Conso HP + HC / an_x000D_
Cumul]]*0.1599</f>
        <v>-19618.816220559922</v>
      </c>
      <c r="AS616" s="79">
        <f>MONTH(Tableau1[[#This Row],[Date]])</f>
        <v>5</v>
      </c>
      <c r="AT616" s="79">
        <f>YEAR(Tableau1[[#This Row],[Date]])</f>
        <v>2023</v>
      </c>
    </row>
    <row r="617" spans="1:46" x14ac:dyDescent="0.2">
      <c r="A617" s="74">
        <v>45055.321527777778</v>
      </c>
      <c r="B617" s="75"/>
      <c r="C617" s="76">
        <f>IF(ISERROR(Tableau1[[#This Row],[Date]]-A616),"",Tableau1[[#This Row],[Date]]-A616)</f>
        <v>0.99305555555474712</v>
      </c>
      <c r="D617" s="77">
        <f>IF(ISERROR(Tableau1[[#This Row],[Date]]-A616),"",Tableau1[[#This Row],[Date]]-A616)</f>
        <v>0.99305555555474712</v>
      </c>
      <c r="E617" s="76">
        <f>Tableau1[[#This Row],[Date]]-$A$5</f>
        <v>872.61319444444234</v>
      </c>
      <c r="F617" s="77">
        <f>Tableau1[[#This Row],[Date]]-$A$5</f>
        <v>872.61319444444234</v>
      </c>
      <c r="G617" s="77">
        <f>Tableau1[[#This Row],[Diff jour_x000D_
Cumul]]-F$6</f>
        <v>834.52986111111386</v>
      </c>
      <c r="H617" s="77">
        <f>Tableau1[[#This Row],[Diff jour_x000D_
Cumul]]-F$59</f>
        <v>812.01041666666424</v>
      </c>
      <c r="I617" s="78">
        <v>4098</v>
      </c>
      <c r="J617" s="79">
        <f>IF(ISERROR(Tableau1[[#This Row],[Index HP
kWh]]-I616),"",Tableau1[[#This Row],[Index HP
kWh]]-I616)</f>
        <v>7</v>
      </c>
      <c r="K617" s="77">
        <f>IF(ISERROR(Tableau1[[#This Row],[Différence HP
Instantané]]/(Tableau1[[#This Row],[Diff jour
Instantané]]*24)),"",Tableau1[[#This Row],[Différence HP
Instantané]]/(Tableau1[[#This Row],[Diff jour
Instantané]]*24))</f>
        <v>0.29370629370653278</v>
      </c>
      <c r="L617" s="77">
        <f>Tableau1[[#This Row],[Différence HP
Instantané]]/Tableau1[[#This Row],[Diff jour
Instantané]]</f>
        <v>7.0489510489567877</v>
      </c>
      <c r="M617" s="77">
        <f>Tableau1[[#This Row],[Conso HP / jour
Instantané]]*365</f>
        <v>2572.8671328692276</v>
      </c>
      <c r="N617" s="79">
        <f>Tableau1[[#This Row],[Index HP
kWh]]-$I$5</f>
        <v>-175661</v>
      </c>
      <c r="O617" s="80">
        <f>Tableau1[[#This Row],[Différence HP
Cumul]]/(Tableau1[[#This Row],[Diff jour_x000D_
Cumul]]*24)</f>
        <v>-8.3876892762241333</v>
      </c>
      <c r="P617" s="80">
        <f>Tableau1[[#This Row],[Différence HP
Cumul]]/Tableau1[[#This Row],[Diff jour_x000D_
Cumul]]</f>
        <v>-201.3045426293792</v>
      </c>
      <c r="Q617" s="80">
        <f>Tableau1[[#This Row],[Conso HP / jour
Cumul]]*365</f>
        <v>-73476.158059723413</v>
      </c>
      <c r="R617" s="78">
        <v>2108</v>
      </c>
      <c r="S617" s="79">
        <f>Tableau1[[#This Row],[Index HC_x000D_
kWh]]-R616</f>
        <v>2</v>
      </c>
      <c r="T617" s="81">
        <f>Tableau1[[#This Row],[Différence_x000D_ HC
Instantané]]/(Tableau1[[#This Row],[Diff jour
Instantané]]*24)</f>
        <v>8.3916083916152226E-2</v>
      </c>
      <c r="U617" s="81">
        <f>Tableau1[[#This Row],[Différence_x000D_ HC
Instantané]]/Tableau1[[#This Row],[Diff jour
Instantané]]</f>
        <v>2.0139860139876538</v>
      </c>
      <c r="V617" s="81">
        <f>Tableau1[[#This Row],[Conso HC / jour_x000D_
Instantané]]*365</f>
        <v>735.1048951054936</v>
      </c>
      <c r="W617" s="79">
        <f>Tableau1[[#This Row],[Index HC_x000D_
kWh]]-$R$5</f>
        <v>-117324</v>
      </c>
      <c r="X617" s="82">
        <f>Tableau1[[#This Row],[Différence HC
Cumul]]/(Tableau1[[#This Row],[Diff jour_x000D_
Cumul]]*24)</f>
        <v>-5.6021385318523755</v>
      </c>
      <c r="Y617" s="82">
        <f>Tableau1[[#This Row],[Différence HC
Cumul]]/Tableau1[[#This Row],[Diff jour_x000D_
Cumul]]</f>
        <v>-134.45132476445701</v>
      </c>
      <c r="Z617" s="82">
        <f>Tableau1[[#This Row],[Conso HC / jour_x000D_
Cumul]]*365</f>
        <v>-49074.733539026813</v>
      </c>
      <c r="AA617" s="79">
        <f>Tableau1[[#This Row],[Différence HP
Instantané]]+Tableau1[[#This Row],[Différence_x000D_ HC
Instantané]]</f>
        <v>9</v>
      </c>
      <c r="AB617" s="80">
        <f>Tableau1[[#This Row],[Conso HP + HC
Instantané]]/(Tableau1[[#This Row],[Diff jour
Instantané]]*24)</f>
        <v>0.37762237762268502</v>
      </c>
      <c r="AC617" s="80">
        <f>IF(ISERROR(Tableau1[[#This Row],[Date]]-A616),"",Tableau1[[#This Row],[Conso HP + HC
Instantané]]/Tableau1[[#This Row],[Diff jour
Instantané]])</f>
        <v>9.0629370629444406</v>
      </c>
      <c r="AD617" s="80">
        <f>Tableau1[[#This Row],[Conso HP + HC / jour_x000D_
Instantané]]*365</f>
        <v>3307.9720279747207</v>
      </c>
      <c r="AE617" s="79">
        <f>Tableau1[[#This Row],[Différence HP
Cumul]]+Tableau1[[#This Row],[Différence HC
Cumul]]</f>
        <v>-292985</v>
      </c>
      <c r="AF617" s="77">
        <f>(Tableau1[[#This Row],[Conso HP + HC
Cumul]]-AE$6)/Tableau1[[#This Row],[Diff jour_x000D_
Cumul
depuis le 24/01]]</f>
        <v>-354.15868715169688</v>
      </c>
      <c r="AG617" s="77">
        <f>(Tableau1[[#This Row],[Conso HP + HC
Cumul]]-AE$59)/Tableau1[[#This Row],[Diff jour_x000D_
Cumul
depuis
précédente facture
16/02/2021]]</f>
        <v>-365.95835952432986</v>
      </c>
      <c r="AH617" s="80">
        <f>Tableau1[[#This Row],[Conso HP + HC
Cumul]]/(Tableau1[[#This Row],[Diff jour_x000D_
Cumul]]*24)</f>
        <v>-13.989827808076509</v>
      </c>
      <c r="AI617" s="80">
        <f>Tableau1[[#This Row],[Conso HP + HC
Cumul]]/Tableau1[[#This Row],[Diff jour_x000D_
Cumul]]</f>
        <v>-335.75586739383624</v>
      </c>
      <c r="AJ617" s="80">
        <f>Tableau1[[#This Row],[Conso HP + HC / jour_x000D_
Cumul]]*365</f>
        <v>-122550.89159875023</v>
      </c>
      <c r="AK617" s="83">
        <f>(Tableau1[[#This Row],[Différence HP
Cumul]]*0.1799)+(Tableau1[[#This Row],[Différence HC
Cumul]]*0.1346)</f>
        <v>-47393.224300000002</v>
      </c>
      <c r="AL617" s="83">
        <f>Tableau1[[#This Row],[Montant
Tarif HP/HC]]/Tableau1[[#This Row],[Diff jour_x000D_
Cumul]]</f>
        <v>-54.311835532321233</v>
      </c>
      <c r="AM617" s="83">
        <f>(Tableau1[[#This Row],[Montant
Tarif HP/HC]]-AK$6)/Tableau1[[#This Row],[Diff jour_x000D_
Cumul
depuis le 24/01]]</f>
        <v>-57.298908197646028</v>
      </c>
      <c r="AN617" s="83">
        <f>(Tableau1[[#This Row],[Montant
Tarif HP/HC]]-AK$59)/Tableau1[[#This Row],[Diff jour_x000D_
Cumul
depuis
précédente facture
16/02/2021]]</f>
        <v>-59.217451787615794</v>
      </c>
      <c r="AO617" s="83">
        <f>Tableau1[[#This Row],[Conso HP + HC
Cumul]]*0.1599</f>
        <v>-46848.301499999994</v>
      </c>
      <c r="AP617" s="83">
        <f>Tableau1[[#This Row],[Montant
Tarif normal]]/Tableau1[[#This Row],[Diff jour_x000D_
Cumul]]</f>
        <v>-53.687363196274404</v>
      </c>
      <c r="AQ617" s="83">
        <f>(Tableau1[[#This Row],[Conso HP / an
Cumul]]*0.1799)+(Tableau1[[#This Row],[Conso HC / an_x000D_
Cumul]]*0.1346)</f>
        <v>-19823.819969297252</v>
      </c>
      <c r="AR617" s="83">
        <f>Tableau1[[#This Row],[Conso HP + HC / an_x000D_
Cumul]]*0.1599</f>
        <v>-19595.887566640158</v>
      </c>
      <c r="AS617" s="79">
        <f>MONTH(Tableau1[[#This Row],[Date]])</f>
        <v>5</v>
      </c>
      <c r="AT617" s="79">
        <f>YEAR(Tableau1[[#This Row],[Date]])</f>
        <v>2023</v>
      </c>
    </row>
    <row r="618" spans="1:46" x14ac:dyDescent="0.2">
      <c r="A618" s="74">
        <v>45056.37222222222</v>
      </c>
      <c r="B618" s="75"/>
      <c r="C618" s="76">
        <f>IF(ISERROR(Tableau1[[#This Row],[Date]]-A617),"",Tableau1[[#This Row],[Date]]-A617)</f>
        <v>1.0506944444423425</v>
      </c>
      <c r="D618" s="77">
        <f>IF(ISERROR(Tableau1[[#This Row],[Date]]-A617),"",Tableau1[[#This Row],[Date]]-A617)</f>
        <v>1.0506944444423425</v>
      </c>
      <c r="E618" s="76">
        <f>Tableau1[[#This Row],[Date]]-$A$5</f>
        <v>873.66388888888469</v>
      </c>
      <c r="F618" s="77">
        <f>Tableau1[[#This Row],[Date]]-$A$5</f>
        <v>873.66388888888469</v>
      </c>
      <c r="G618" s="77">
        <f>Tableau1[[#This Row],[Diff jour_x000D_
Cumul]]-F$6</f>
        <v>835.5805555555562</v>
      </c>
      <c r="H618" s="77">
        <f>Tableau1[[#This Row],[Diff jour_x000D_
Cumul]]-F$59</f>
        <v>813.06111111110658</v>
      </c>
      <c r="I618" s="78">
        <v>4109</v>
      </c>
      <c r="J618" s="79">
        <f>IF(ISERROR(Tableau1[[#This Row],[Index HP
kWh]]-I617),"",Tableau1[[#This Row],[Index HP
kWh]]-I617)</f>
        <v>11</v>
      </c>
      <c r="K618" s="77">
        <f>IF(ISERROR(Tableau1[[#This Row],[Différence HP
Instantané]]/(Tableau1[[#This Row],[Diff jour
Instantané]]*24)),"",Tableau1[[#This Row],[Différence HP
Instantané]]/(Tableau1[[#This Row],[Diff jour
Instantané]]*24))</f>
        <v>0.43621943159373455</v>
      </c>
      <c r="L618" s="77">
        <f>Tableau1[[#This Row],[Différence HP
Instantané]]/Tableau1[[#This Row],[Diff jour
Instantané]]</f>
        <v>10.469266358249628</v>
      </c>
      <c r="M618" s="77">
        <f>Tableau1[[#This Row],[Conso HP / jour
Instantané]]*365</f>
        <v>3821.2822207611143</v>
      </c>
      <c r="N618" s="79">
        <f>Tableau1[[#This Row],[Index HP
kWh]]-$I$5</f>
        <v>-175650</v>
      </c>
      <c r="O618" s="80">
        <f>Tableau1[[#This Row],[Différence HP
Cumul]]/(Tableau1[[#This Row],[Diff jour_x000D_
Cumul]]*24)</f>
        <v>-8.3770773784732011</v>
      </c>
      <c r="P618" s="80">
        <f>Tableau1[[#This Row],[Différence HP
Cumul]]/Tableau1[[#This Row],[Diff jour_x000D_
Cumul]]</f>
        <v>-201.04985708335681</v>
      </c>
      <c r="Q618" s="80">
        <f>Tableau1[[#This Row],[Conso HP / jour
Cumul]]*365</f>
        <v>-73383.197835425235</v>
      </c>
      <c r="R618" s="78">
        <v>2111</v>
      </c>
      <c r="S618" s="79">
        <f>Tableau1[[#This Row],[Index HC_x000D_
kWh]]-R617</f>
        <v>3</v>
      </c>
      <c r="T618" s="81">
        <f>Tableau1[[#This Row],[Différence_x000D_ HC
Instantané]]/(Tableau1[[#This Row],[Diff jour
Instantané]]*24)</f>
        <v>0.11896893588920032</v>
      </c>
      <c r="U618" s="81">
        <f>Tableau1[[#This Row],[Différence_x000D_ HC
Instantané]]/Tableau1[[#This Row],[Diff jour
Instantané]]</f>
        <v>2.8552544613408077</v>
      </c>
      <c r="V618" s="81">
        <f>Tableau1[[#This Row],[Conso HC / jour_x000D_
Instantané]]*365</f>
        <v>1042.1678783893949</v>
      </c>
      <c r="W618" s="79">
        <f>Tableau1[[#This Row],[Index HC_x000D_
kWh]]-$R$5</f>
        <v>-117321</v>
      </c>
      <c r="X618" s="82">
        <f>Tableau1[[#This Row],[Différence HC
Cumul]]/(Tableau1[[#This Row],[Diff jour_x000D_
Cumul]]*24)</f>
        <v>-5.5952581561050634</v>
      </c>
      <c r="Y618" s="82">
        <f>Tableau1[[#This Row],[Différence HC
Cumul]]/Tableau1[[#This Row],[Diff jour_x000D_
Cumul]]</f>
        <v>-134.28619574652151</v>
      </c>
      <c r="Z618" s="82">
        <f>Tableau1[[#This Row],[Conso HC / jour_x000D_
Cumul]]*365</f>
        <v>-49014.461447480353</v>
      </c>
      <c r="AA618" s="79">
        <f>Tableau1[[#This Row],[Différence HP
Instantané]]+Tableau1[[#This Row],[Différence_x000D_ HC
Instantané]]</f>
        <v>14</v>
      </c>
      <c r="AB618" s="80">
        <f>Tableau1[[#This Row],[Conso HP + HC
Instantané]]/(Tableau1[[#This Row],[Diff jour
Instantané]]*24)</f>
        <v>0.55518836748293487</v>
      </c>
      <c r="AC618" s="80">
        <f>IF(ISERROR(Tableau1[[#This Row],[Date]]-A617),"",Tableau1[[#This Row],[Conso HP + HC
Instantané]]/Tableau1[[#This Row],[Diff jour
Instantané]])</f>
        <v>13.324520819590436</v>
      </c>
      <c r="AD618" s="80">
        <f>Tableau1[[#This Row],[Conso HP + HC / jour_x000D_
Instantané]]*365</f>
        <v>4863.4500991505092</v>
      </c>
      <c r="AE618" s="79">
        <f>Tableau1[[#This Row],[Différence HP
Cumul]]+Tableau1[[#This Row],[Différence HC
Cumul]]</f>
        <v>-292971</v>
      </c>
      <c r="AF618" s="77">
        <f>(Tableau1[[#This Row],[Conso HP + HC
Cumul]]-AE$6)/Tableau1[[#This Row],[Diff jour_x000D_
Cumul
depuis le 24/01]]</f>
        <v>-353.69659817359161</v>
      </c>
      <c r="AG618" s="77">
        <f>(Tableau1[[#This Row],[Conso HP + HC
Cumul]]-AE$59)/Tableau1[[#This Row],[Diff jour_x000D_
Cumul
depuis
précédente facture
16/02/2021]]</f>
        <v>-365.46822365409389</v>
      </c>
      <c r="AH618" s="80">
        <f>Tableau1[[#This Row],[Conso HP + HC
Cumul]]/(Tableau1[[#This Row],[Diff jour_x000D_
Cumul]]*24)</f>
        <v>-13.972335534578264</v>
      </c>
      <c r="AI618" s="80">
        <f>Tableau1[[#This Row],[Conso HP + HC
Cumul]]/Tableau1[[#This Row],[Diff jour_x000D_
Cumul]]</f>
        <v>-335.33605282987833</v>
      </c>
      <c r="AJ618" s="80">
        <f>Tableau1[[#This Row],[Conso HP + HC / jour_x000D_
Cumul]]*365</f>
        <v>-122397.65928290559</v>
      </c>
      <c r="AK618" s="83">
        <f>(Tableau1[[#This Row],[Différence HP
Cumul]]*0.1799)+(Tableau1[[#This Row],[Différence HC
Cumul]]*0.1346)</f>
        <v>-47390.8416</v>
      </c>
      <c r="AL618" s="83">
        <f>Tableau1[[#This Row],[Montant
Tarif HP/HC]]/Tableau1[[#This Row],[Diff jour_x000D_
Cumul]]</f>
        <v>-54.243791236777689</v>
      </c>
      <c r="AM618" s="83">
        <f>(Tableau1[[#This Row],[Montant
Tarif HP/HC]]-AK$6)/Tableau1[[#This Row],[Diff jour_x000D_
Cumul
depuis le 24/01]]</f>
        <v>-57.224006568952348</v>
      </c>
      <c r="AN618" s="83">
        <f>(Tableau1[[#This Row],[Montant
Tarif HP/HC]]-AK$59)/Tableau1[[#This Row],[Diff jour_x000D_
Cumul
depuis
précédente facture
16/02/2021]]</f>
        <v>-59.137996323906556</v>
      </c>
      <c r="AO618" s="83">
        <f>Tableau1[[#This Row],[Conso HP + HC
Cumul]]*0.1599</f>
        <v>-46846.062899999997</v>
      </c>
      <c r="AP618" s="83">
        <f>Tableau1[[#This Row],[Montant
Tarif normal]]/Tableau1[[#This Row],[Diff jour_x000D_
Cumul]]</f>
        <v>-53.620234847497542</v>
      </c>
      <c r="AQ618" s="83">
        <f>(Tableau1[[#This Row],[Conso HP / an
Cumul]]*0.1799)+(Tableau1[[#This Row],[Conso HC / an_x000D_
Cumul]]*0.1346)</f>
        <v>-19798.983801423856</v>
      </c>
      <c r="AR618" s="83">
        <f>Tableau1[[#This Row],[Conso HP + HC / an_x000D_
Cumul]]*0.1599</f>
        <v>-19571.385719336602</v>
      </c>
      <c r="AS618" s="79">
        <f>MONTH(Tableau1[[#This Row],[Date]])</f>
        <v>5</v>
      </c>
      <c r="AT618" s="79">
        <f>YEAR(Tableau1[[#This Row],[Date]])</f>
        <v>2023</v>
      </c>
    </row>
    <row r="619" spans="1:46" x14ac:dyDescent="0.2">
      <c r="A619" s="74">
        <v>45057.31527777778</v>
      </c>
      <c r="B619" s="75"/>
      <c r="C619" s="76">
        <f>IF(ISERROR(Tableau1[[#This Row],[Date]]-A618),"",Tableau1[[#This Row],[Date]]-A618)</f>
        <v>0.94305555555911269</v>
      </c>
      <c r="D619" s="77">
        <f>IF(ISERROR(Tableau1[[#This Row],[Date]]-A618),"",Tableau1[[#This Row],[Date]]-A618)</f>
        <v>0.94305555555911269</v>
      </c>
      <c r="E619" s="76">
        <f>Tableau1[[#This Row],[Date]]-$A$5</f>
        <v>874.6069444444438</v>
      </c>
      <c r="F619" s="77">
        <f>Tableau1[[#This Row],[Date]]-$A$5</f>
        <v>874.6069444444438</v>
      </c>
      <c r="G619" s="77">
        <f>Tableau1[[#This Row],[Diff jour_x000D_
Cumul]]-F$6</f>
        <v>836.52361111111531</v>
      </c>
      <c r="H619" s="77">
        <f>Tableau1[[#This Row],[Diff jour_x000D_
Cumul]]-F$59</f>
        <v>814.0041666666657</v>
      </c>
      <c r="I619" s="78">
        <v>4125</v>
      </c>
      <c r="J619" s="79">
        <f>IF(ISERROR(Tableau1[[#This Row],[Index HP
kWh]]-I618),"",Tableau1[[#This Row],[Index HP
kWh]]-I618)</f>
        <v>16</v>
      </c>
      <c r="K619" s="77">
        <f>IF(ISERROR(Tableau1[[#This Row],[Différence HP
Instantané]]/(Tableau1[[#This Row],[Diff jour
Instantané]]*24)),"",Tableau1[[#This Row],[Différence HP
Instantané]]/(Tableau1[[#This Row],[Diff jour
Instantané]]*24))</f>
        <v>0.70692194403267961</v>
      </c>
      <c r="L619" s="77">
        <f>Tableau1[[#This Row],[Différence HP
Instantané]]/Tableau1[[#This Row],[Diff jour
Instantané]]</f>
        <v>16.966126656784311</v>
      </c>
      <c r="M619" s="77">
        <f>Tableau1[[#This Row],[Conso HP / jour
Instantané]]*365</f>
        <v>6192.636229726274</v>
      </c>
      <c r="N619" s="79">
        <f>Tableau1[[#This Row],[Index HP
kWh]]-$I$5</f>
        <v>-175634</v>
      </c>
      <c r="O619" s="80">
        <f>Tableau1[[#This Row],[Différence HP
Cumul]]/(Tableau1[[#This Row],[Diff jour_x000D_
Cumul]]*24)</f>
        <v>-8.3672824459241273</v>
      </c>
      <c r="P619" s="80">
        <f>Tableau1[[#This Row],[Différence HP
Cumul]]/Tableau1[[#This Row],[Diff jour_x000D_
Cumul]]</f>
        <v>-200.81477870217907</v>
      </c>
      <c r="Q619" s="80">
        <f>Tableau1[[#This Row],[Conso HP / jour
Cumul]]*365</f>
        <v>-73297.394226295364</v>
      </c>
      <c r="R619" s="78">
        <v>2121</v>
      </c>
      <c r="S619" s="79">
        <f>Tableau1[[#This Row],[Index HC_x000D_
kWh]]-R618</f>
        <v>10</v>
      </c>
      <c r="T619" s="81">
        <f>Tableau1[[#This Row],[Différence_x000D_ HC
Instantané]]/(Tableau1[[#This Row],[Diff jour
Instantané]]*24)</f>
        <v>0.4418262150204248</v>
      </c>
      <c r="U619" s="81">
        <f>Tableau1[[#This Row],[Différence_x000D_ HC
Instantané]]/Tableau1[[#This Row],[Diff jour
Instantané]]</f>
        <v>10.603829160490195</v>
      </c>
      <c r="V619" s="81">
        <f>Tableau1[[#This Row],[Conso HC / jour_x000D_
Instantané]]*365</f>
        <v>3870.3976435789209</v>
      </c>
      <c r="W619" s="79">
        <f>Tableau1[[#This Row],[Index HC_x000D_
kWh]]-$R$5</f>
        <v>-117311</v>
      </c>
      <c r="X619" s="82">
        <f>Tableau1[[#This Row],[Différence HC
Cumul]]/(Tableau1[[#This Row],[Diff jour_x000D_
Cumul]]*24)</f>
        <v>-5.5887485965918069</v>
      </c>
      <c r="Y619" s="82">
        <f>Tableau1[[#This Row],[Différence HC
Cumul]]/Tableau1[[#This Row],[Diff jour_x000D_
Cumul]]</f>
        <v>-134.12996631820334</v>
      </c>
      <c r="Z619" s="82">
        <f>Tableau1[[#This Row],[Conso HC / jour_x000D_
Cumul]]*365</f>
        <v>-48957.437706144221</v>
      </c>
      <c r="AA619" s="79">
        <f>Tableau1[[#This Row],[Différence HP
Instantané]]+Tableau1[[#This Row],[Différence_x000D_ HC
Instantané]]</f>
        <v>26</v>
      </c>
      <c r="AB619" s="80">
        <f>Tableau1[[#This Row],[Conso HP + HC
Instantané]]/(Tableau1[[#This Row],[Diff jour
Instantané]]*24)</f>
        <v>1.1487481590531043</v>
      </c>
      <c r="AC619" s="80">
        <f>IF(ISERROR(Tableau1[[#This Row],[Date]]-A618),"",Tableau1[[#This Row],[Conso HP + HC
Instantané]]/Tableau1[[#This Row],[Diff jour
Instantané]])</f>
        <v>27.569955817274504</v>
      </c>
      <c r="AD619" s="80">
        <f>Tableau1[[#This Row],[Conso HP + HC / jour_x000D_
Instantané]]*365</f>
        <v>10063.033873305194</v>
      </c>
      <c r="AE619" s="79">
        <f>Tableau1[[#This Row],[Différence HP
Cumul]]+Tableau1[[#This Row],[Différence HC
Cumul]]</f>
        <v>-292945</v>
      </c>
      <c r="AF619" s="77">
        <f>(Tableau1[[#This Row],[Conso HP + HC
Cumul]]-AE$6)/Tableau1[[#This Row],[Diff jour_x000D_
Cumul
depuis le 24/01]]</f>
        <v>-353.26677702196577</v>
      </c>
      <c r="AG619" s="77">
        <f>(Tableau1[[#This Row],[Conso HP + HC
Cumul]]-AE$59)/Tableau1[[#This Row],[Diff jour_x000D_
Cumul
depuis
précédente facture
16/02/2021]]</f>
        <v>-365.01287360322726</v>
      </c>
      <c r="AH619" s="80">
        <f>Tableau1[[#This Row],[Conso HP + HC
Cumul]]/(Tableau1[[#This Row],[Diff jour_x000D_
Cumul]]*24)</f>
        <v>-13.956031042515933</v>
      </c>
      <c r="AI619" s="80">
        <f>Tableau1[[#This Row],[Conso HP + HC
Cumul]]/Tableau1[[#This Row],[Diff jour_x000D_
Cumul]]</f>
        <v>-334.94474502038241</v>
      </c>
      <c r="AJ619" s="80">
        <f>Tableau1[[#This Row],[Conso HP + HC / jour_x000D_
Cumul]]*365</f>
        <v>-122254.83193243959</v>
      </c>
      <c r="AK619" s="83">
        <f>(Tableau1[[#This Row],[Différence HP
Cumul]]*0.1799)+(Tableau1[[#This Row],[Différence HC
Cumul]]*0.1346)</f>
        <v>-47386.617200000001</v>
      </c>
      <c r="AL619" s="83">
        <f>Tableau1[[#This Row],[Montant
Tarif HP/HC]]/Tableau1[[#This Row],[Diff jour_x000D_
Cumul]]</f>
        <v>-54.180472154952184</v>
      </c>
      <c r="AM619" s="83">
        <f>(Tableau1[[#This Row],[Montant
Tarif HP/HC]]-AK$6)/Tableau1[[#This Row],[Diff jour_x000D_
Cumul
depuis le 24/01]]</f>
        <v>-57.154445092703149</v>
      </c>
      <c r="AN619" s="83">
        <f>(Tableau1[[#This Row],[Montant
Tarif HP/HC]]-AK$59)/Tableau1[[#This Row],[Diff jour_x000D_
Cumul
depuis
précédente facture
16/02/2021]]</f>
        <v>-59.064292996043292</v>
      </c>
      <c r="AO619" s="83">
        <f>Tableau1[[#This Row],[Conso HP + HC
Cumul]]*0.1599</f>
        <v>-46841.905499999993</v>
      </c>
      <c r="AP619" s="83">
        <f>Tableau1[[#This Row],[Montant
Tarif normal]]/Tableau1[[#This Row],[Diff jour_x000D_
Cumul]]</f>
        <v>-53.557664728759143</v>
      </c>
      <c r="AQ619" s="83">
        <f>(Tableau1[[#This Row],[Conso HP / an
Cumul]]*0.1799)+(Tableau1[[#This Row],[Conso HC / an_x000D_
Cumul]]*0.1346)</f>
        <v>-19775.87233655755</v>
      </c>
      <c r="AR619" s="83">
        <f>Tableau1[[#This Row],[Conso HP + HC / an_x000D_
Cumul]]*0.1599</f>
        <v>-19548.547625997089</v>
      </c>
      <c r="AS619" s="79">
        <f>MONTH(Tableau1[[#This Row],[Date]])</f>
        <v>5</v>
      </c>
      <c r="AT619" s="79">
        <f>YEAR(Tableau1[[#This Row],[Date]])</f>
        <v>2023</v>
      </c>
    </row>
    <row r="620" spans="1:46" x14ac:dyDescent="0.2">
      <c r="A620" s="74">
        <v>45058.313888888886</v>
      </c>
      <c r="B620" s="75"/>
      <c r="C620" s="76">
        <f>IF(ISERROR(Tableau1[[#This Row],[Date]]-A619),"",Tableau1[[#This Row],[Date]]-A619)</f>
        <v>0.99861111110658385</v>
      </c>
      <c r="D620" s="77">
        <f>IF(ISERROR(Tableau1[[#This Row],[Date]]-A619),"",Tableau1[[#This Row],[Date]]-A619)</f>
        <v>0.99861111110658385</v>
      </c>
      <c r="E620" s="76">
        <f>Tableau1[[#This Row],[Date]]-$A$5</f>
        <v>875.60555555555038</v>
      </c>
      <c r="F620" s="77">
        <f>Tableau1[[#This Row],[Date]]-$A$5</f>
        <v>875.60555555555038</v>
      </c>
      <c r="G620" s="77">
        <f>Tableau1[[#This Row],[Diff jour_x000D_
Cumul]]-F$6</f>
        <v>837.5222222222219</v>
      </c>
      <c r="H620" s="77">
        <f>Tableau1[[#This Row],[Diff jour_x000D_
Cumul]]-F$59</f>
        <v>815.00277777777228</v>
      </c>
      <c r="I620" s="78">
        <v>4134</v>
      </c>
      <c r="J620" s="79">
        <f>IF(ISERROR(Tableau1[[#This Row],[Index HP
kWh]]-I619),"",Tableau1[[#This Row],[Index HP
kWh]]-I619)</f>
        <v>9</v>
      </c>
      <c r="K620" s="77">
        <f>IF(ISERROR(Tableau1[[#This Row],[Différence HP
Instantané]]/(Tableau1[[#This Row],[Diff jour
Instantané]]*24)),"",Tableau1[[#This Row],[Différence HP
Instantané]]/(Tableau1[[#This Row],[Diff jour
Instantané]]*24))</f>
        <v>0.37552155772075668</v>
      </c>
      <c r="L620" s="77">
        <f>Tableau1[[#This Row],[Différence HP
Instantané]]/Tableau1[[#This Row],[Diff jour
Instantané]]</f>
        <v>9.0125173852981604</v>
      </c>
      <c r="M620" s="77">
        <f>Tableau1[[#This Row],[Conso HP / jour
Instantané]]*365</f>
        <v>3289.5688456338285</v>
      </c>
      <c r="N620" s="79">
        <f>Tableau1[[#This Row],[Index HP
kWh]]-$I$5</f>
        <v>-175625</v>
      </c>
      <c r="O620" s="80">
        <f>Tableau1[[#This Row],[Différence HP
Cumul]]/(Tableau1[[#This Row],[Diff jour_x000D_
Cumul]]*24)</f>
        <v>-8.357311447950357</v>
      </c>
      <c r="P620" s="80">
        <f>Tableau1[[#This Row],[Différence HP
Cumul]]/Tableau1[[#This Row],[Diff jour_x000D_
Cumul]]</f>
        <v>-200.57547475080855</v>
      </c>
      <c r="Q620" s="80">
        <f>Tableau1[[#This Row],[Conso HP / jour
Cumul]]*365</f>
        <v>-73210.048284045115</v>
      </c>
      <c r="R620" s="78">
        <v>2126</v>
      </c>
      <c r="S620" s="79">
        <f>Tableau1[[#This Row],[Index HC_x000D_
kWh]]-R619</f>
        <v>5</v>
      </c>
      <c r="T620" s="81">
        <f>Tableau1[[#This Row],[Différence_x000D_ HC
Instantané]]/(Tableau1[[#This Row],[Diff jour
Instantané]]*24)</f>
        <v>0.20862308762264262</v>
      </c>
      <c r="U620" s="81">
        <f>Tableau1[[#This Row],[Différence_x000D_ HC
Instantané]]/Tableau1[[#This Row],[Diff jour
Instantané]]</f>
        <v>5.0069541029434221</v>
      </c>
      <c r="V620" s="81">
        <f>Tableau1[[#This Row],[Conso HC / jour_x000D_
Instantané]]*365</f>
        <v>1827.538247574349</v>
      </c>
      <c r="W620" s="79">
        <f>Tableau1[[#This Row],[Index HC_x000D_
kWh]]-$R$5</f>
        <v>-117306</v>
      </c>
      <c r="X620" s="82">
        <f>Tableau1[[#This Row],[Différence HC
Cumul]]/(Tableau1[[#This Row],[Diff jour_x000D_
Cumul]]*24)</f>
        <v>-5.5821368069082675</v>
      </c>
      <c r="Y620" s="82">
        <f>Tableau1[[#This Row],[Différence HC
Cumul]]/Tableau1[[#This Row],[Diff jour_x000D_
Cumul]]</f>
        <v>-133.97128336579843</v>
      </c>
      <c r="Z620" s="82">
        <f>Tableau1[[#This Row],[Conso HC / jour_x000D_
Cumul]]*365</f>
        <v>-48899.518428516429</v>
      </c>
      <c r="AA620" s="79">
        <f>Tableau1[[#This Row],[Différence HP
Instantané]]+Tableau1[[#This Row],[Différence_x000D_ HC
Instantané]]</f>
        <v>14</v>
      </c>
      <c r="AB620" s="80">
        <f>Tableau1[[#This Row],[Conso HP + HC
Instantané]]/(Tableau1[[#This Row],[Diff jour
Instantané]]*24)</f>
        <v>0.58414464534339927</v>
      </c>
      <c r="AC620" s="80">
        <f>IF(ISERROR(Tableau1[[#This Row],[Date]]-A619),"",Tableau1[[#This Row],[Conso HP + HC
Instantané]]/Tableau1[[#This Row],[Diff jour
Instantané]])</f>
        <v>14.019471488241583</v>
      </c>
      <c r="AD620" s="80">
        <f>Tableau1[[#This Row],[Conso HP + HC / jour_x000D_
Instantané]]*365</f>
        <v>5117.1070932081775</v>
      </c>
      <c r="AE620" s="79">
        <f>Tableau1[[#This Row],[Différence HP
Cumul]]+Tableau1[[#This Row],[Différence HC
Cumul]]</f>
        <v>-292931</v>
      </c>
      <c r="AF620" s="77">
        <f>(Tableau1[[#This Row],[Conso HP + HC
Cumul]]-AE$6)/Tableau1[[#This Row],[Diff jour_x000D_
Cumul
depuis le 24/01]]</f>
        <v>-352.82884699576806</v>
      </c>
      <c r="AG620" s="77">
        <f>(Tableau1[[#This Row],[Conso HP + HC
Cumul]]-AE$59)/Tableau1[[#This Row],[Diff jour_x000D_
Cumul
depuis
précédente facture
16/02/2021]]</f>
        <v>-364.54845075511236</v>
      </c>
      <c r="AH620" s="80">
        <f>Tableau1[[#This Row],[Conso HP + HC
Cumul]]/(Tableau1[[#This Row],[Diff jour_x000D_
Cumul]]*24)</f>
        <v>-13.939448254858625</v>
      </c>
      <c r="AI620" s="80">
        <f>Tableau1[[#This Row],[Conso HP + HC
Cumul]]/Tableau1[[#This Row],[Diff jour_x000D_
Cumul]]</f>
        <v>-334.54675811660701</v>
      </c>
      <c r="AJ620" s="80">
        <f>Tableau1[[#This Row],[Conso HP + HC / jour_x000D_
Cumul]]*365</f>
        <v>-122109.56671256156</v>
      </c>
      <c r="AK620" s="83">
        <f>(Tableau1[[#This Row],[Différence HP
Cumul]]*0.1799)+(Tableau1[[#This Row],[Différence HC
Cumul]]*0.1346)</f>
        <v>-47384.325100000002</v>
      </c>
      <c r="AL620" s="83">
        <f>Tableau1[[#This Row],[Montant
Tarif HP/HC]]/Tableau1[[#This Row],[Diff jour_x000D_
Cumul]]</f>
        <v>-54.116062648706929</v>
      </c>
      <c r="AM620" s="83">
        <f>(Tableau1[[#This Row],[Montant
Tarif HP/HC]]-AK$6)/Tableau1[[#This Row],[Diff jour_x000D_
Cumul
depuis le 24/01]]</f>
        <v>-57.083560807673457</v>
      </c>
      <c r="AN620" s="83">
        <f>(Tableau1[[#This Row],[Montant
Tarif HP/HC]]-AK$59)/Tableau1[[#This Row],[Diff jour_x000D_
Cumul
depuis
précédente facture
16/02/2021]]</f>
        <v>-58.989109989400575</v>
      </c>
      <c r="AO620" s="83">
        <f>Tableau1[[#This Row],[Conso HP + HC
Cumul]]*0.1599</f>
        <v>-46839.666899999997</v>
      </c>
      <c r="AP620" s="83">
        <f>Tableau1[[#This Row],[Montant
Tarif normal]]/Tableau1[[#This Row],[Diff jour_x000D_
Cumul]]</f>
        <v>-53.494026622845453</v>
      </c>
      <c r="AQ620" s="83">
        <f>(Tableau1[[#This Row],[Conso HP / an
Cumul]]*0.1799)+(Tableau1[[#This Row],[Conso HC / an_x000D_
Cumul]]*0.1346)</f>
        <v>-19752.362866778029</v>
      </c>
      <c r="AR620" s="83">
        <f>Tableau1[[#This Row],[Conso HP + HC / an_x000D_
Cumul]]*0.1599</f>
        <v>-19525.319717338592</v>
      </c>
      <c r="AS620" s="79">
        <f>MONTH(Tableau1[[#This Row],[Date]])</f>
        <v>5</v>
      </c>
      <c r="AT620" s="79">
        <f>YEAR(Tableau1[[#This Row],[Date]])</f>
        <v>2023</v>
      </c>
    </row>
    <row r="621" spans="1:46" x14ac:dyDescent="0.2">
      <c r="A621" s="74">
        <v>45059.331250000003</v>
      </c>
      <c r="B621" s="75"/>
      <c r="C621" s="76">
        <f>IF(ISERROR(Tableau1[[#This Row],[Date]]-A620),"",Tableau1[[#This Row],[Date]]-A620)</f>
        <v>1.0173611111167702</v>
      </c>
      <c r="D621" s="77">
        <f>IF(ISERROR(Tableau1[[#This Row],[Date]]-A620),"",Tableau1[[#This Row],[Date]]-A620)</f>
        <v>1.0173611111167702</v>
      </c>
      <c r="E621" s="76">
        <f>Tableau1[[#This Row],[Date]]-$A$5</f>
        <v>876.62291666666715</v>
      </c>
      <c r="F621" s="77">
        <f>Tableau1[[#This Row],[Date]]-$A$5</f>
        <v>876.62291666666715</v>
      </c>
      <c r="G621" s="77">
        <f>Tableau1[[#This Row],[Diff jour_x000D_
Cumul]]-F$6</f>
        <v>838.53958333333867</v>
      </c>
      <c r="H621" s="77">
        <f>Tableau1[[#This Row],[Diff jour_x000D_
Cumul]]-F$59</f>
        <v>816.02013888888905</v>
      </c>
      <c r="I621" s="78">
        <v>4149</v>
      </c>
      <c r="J621" s="79">
        <f>IF(ISERROR(Tableau1[[#This Row],[Index HP
kWh]]-I620),"",Tableau1[[#This Row],[Index HP
kWh]]-I620)</f>
        <v>15</v>
      </c>
      <c r="K621" s="77">
        <f>IF(ISERROR(Tableau1[[#This Row],[Différence HP
Instantané]]/(Tableau1[[#This Row],[Diff jour
Instantané]]*24)),"",Tableau1[[#This Row],[Différence HP
Instantané]]/(Tableau1[[#This Row],[Diff jour
Instantané]]*24))</f>
        <v>0.61433447098634386</v>
      </c>
      <c r="L621" s="77">
        <f>Tableau1[[#This Row],[Différence HP
Instantané]]/Tableau1[[#This Row],[Diff jour
Instantané]]</f>
        <v>14.744027303672253</v>
      </c>
      <c r="M621" s="77">
        <f>Tableau1[[#This Row],[Conso HP / jour
Instantané]]*365</f>
        <v>5381.5699658403719</v>
      </c>
      <c r="N621" s="79">
        <f>Tableau1[[#This Row],[Index HP
kWh]]-$I$5</f>
        <v>-175610</v>
      </c>
      <c r="O621" s="80">
        <f>Tableau1[[#This Row],[Différence HP
Cumul]]/(Tableau1[[#This Row],[Diff jour_x000D_
Cumul]]*24)</f>
        <v>-8.3468994412743935</v>
      </c>
      <c r="P621" s="80">
        <f>Tableau1[[#This Row],[Différence HP
Cumul]]/Tableau1[[#This Row],[Diff jour_x000D_
Cumul]]</f>
        <v>-200.32558659058546</v>
      </c>
      <c r="Q621" s="80">
        <f>Tableau1[[#This Row],[Conso HP / jour
Cumul]]*365</f>
        <v>-73118.839105563689</v>
      </c>
      <c r="R621" s="78">
        <v>2129</v>
      </c>
      <c r="S621" s="79">
        <f>Tableau1[[#This Row],[Index HC_x000D_
kWh]]-R620</f>
        <v>3</v>
      </c>
      <c r="T621" s="81">
        <f>Tableau1[[#This Row],[Différence_x000D_ HC
Instantané]]/(Tableau1[[#This Row],[Diff jour
Instantané]]*24)</f>
        <v>0.12286689419726878</v>
      </c>
      <c r="U621" s="81">
        <f>Tableau1[[#This Row],[Différence_x000D_ HC
Instantané]]/Tableau1[[#This Row],[Diff jour
Instantané]]</f>
        <v>2.9488054607344507</v>
      </c>
      <c r="V621" s="81">
        <f>Tableau1[[#This Row],[Conso HC / jour_x000D_
Instantané]]*365</f>
        <v>1076.3139931680746</v>
      </c>
      <c r="W621" s="79">
        <f>Tableau1[[#This Row],[Index HC_x000D_
kWh]]-$R$5</f>
        <v>-117303</v>
      </c>
      <c r="X621" s="82">
        <f>Tableau1[[#This Row],[Différence HC
Cumul]]/(Tableau1[[#This Row],[Diff jour_x000D_
Cumul]]*24)</f>
        <v>-5.5755158883879634</v>
      </c>
      <c r="Y621" s="82">
        <f>Tableau1[[#This Row],[Différence HC
Cumul]]/Tableau1[[#This Row],[Diff jour_x000D_
Cumul]]</f>
        <v>-133.81238132131111</v>
      </c>
      <c r="Z621" s="82">
        <f>Tableau1[[#This Row],[Conso HC / jour_x000D_
Cumul]]*365</f>
        <v>-48841.519182278556</v>
      </c>
      <c r="AA621" s="79">
        <f>Tableau1[[#This Row],[Différence HP
Instantané]]+Tableau1[[#This Row],[Différence_x000D_ HC
Instantané]]</f>
        <v>18</v>
      </c>
      <c r="AB621" s="80">
        <f>Tableau1[[#This Row],[Conso HP + HC
Instantané]]/(Tableau1[[#This Row],[Diff jour
Instantané]]*24)</f>
        <v>0.73720136518361268</v>
      </c>
      <c r="AC621" s="80">
        <f>IF(ISERROR(Tableau1[[#This Row],[Date]]-A620),"",Tableau1[[#This Row],[Conso HP + HC
Instantané]]/Tableau1[[#This Row],[Diff jour
Instantané]])</f>
        <v>17.692832764406702</v>
      </c>
      <c r="AD621" s="80">
        <f>Tableau1[[#This Row],[Conso HP + HC / jour_x000D_
Instantané]]*365</f>
        <v>6457.8839590084463</v>
      </c>
      <c r="AE621" s="79">
        <f>Tableau1[[#This Row],[Différence HP
Cumul]]+Tableau1[[#This Row],[Différence HC
Cumul]]</f>
        <v>-292913</v>
      </c>
      <c r="AF621" s="77">
        <f>(Tableau1[[#This Row],[Conso HP + HC
Cumul]]-AE$6)/Tableau1[[#This Row],[Diff jour_x000D_
Cumul
depuis le 24/01]]</f>
        <v>-352.37931025915367</v>
      </c>
      <c r="AG621" s="77">
        <f>(Tableau1[[#This Row],[Conso HP + HC
Cumul]]-AE$59)/Tableau1[[#This Row],[Diff jour_x000D_
Cumul
depuis
précédente facture
16/02/2021]]</f>
        <v>-364.07189705455585</v>
      </c>
      <c r="AH621" s="80">
        <f>Tableau1[[#This Row],[Conso HP + HC
Cumul]]/(Tableau1[[#This Row],[Diff jour_x000D_
Cumul]]*24)</f>
        <v>-13.922415329662357</v>
      </c>
      <c r="AI621" s="80">
        <f>Tableau1[[#This Row],[Conso HP + HC
Cumul]]/Tableau1[[#This Row],[Diff jour_x000D_
Cumul]]</f>
        <v>-334.13796791189657</v>
      </c>
      <c r="AJ621" s="80">
        <f>Tableau1[[#This Row],[Conso HP + HC / jour_x000D_
Cumul]]*365</f>
        <v>-121960.35828784225</v>
      </c>
      <c r="AK621" s="83">
        <f>(Tableau1[[#This Row],[Différence HP
Cumul]]*0.1799)+(Tableau1[[#This Row],[Différence HC
Cumul]]*0.1346)</f>
        <v>-47381.222800000003</v>
      </c>
      <c r="AL621" s="83">
        <f>Tableau1[[#This Row],[Montant
Tarif HP/HC]]/Tableau1[[#This Row],[Diff jour_x000D_
Cumul]]</f>
        <v>-54.049719553494803</v>
      </c>
      <c r="AM621" s="83">
        <f>(Tableau1[[#This Row],[Montant
Tarif HP/HC]]-AK$6)/Tableau1[[#This Row],[Diff jour_x000D_
Cumul
depuis le 24/01]]</f>
        <v>-57.010604329451397</v>
      </c>
      <c r="AN621" s="83">
        <f>(Tableau1[[#This Row],[Montant
Tarif HP/HC]]-AK$59)/Tableau1[[#This Row],[Diff jour_x000D_
Cumul
depuis
précédente facture
16/02/2021]]</f>
        <v>-58.911764439364831</v>
      </c>
      <c r="AO621" s="83">
        <f>Tableau1[[#This Row],[Conso HP + HC
Cumul]]*0.1599</f>
        <v>-46836.788699999997</v>
      </c>
      <c r="AP621" s="83">
        <f>Tableau1[[#This Row],[Montant
Tarif normal]]/Tableau1[[#This Row],[Diff jour_x000D_
Cumul]]</f>
        <v>-53.428661069112259</v>
      </c>
      <c r="AQ621" s="83">
        <f>(Tableau1[[#This Row],[Conso HP / an
Cumul]]*0.1799)+(Tableau1[[#This Row],[Conso HC / an_x000D_
Cumul]]*0.1346)</f>
        <v>-19728.147637025602</v>
      </c>
      <c r="AR621" s="83">
        <f>Tableau1[[#This Row],[Conso HP + HC / an_x000D_
Cumul]]*0.1599</f>
        <v>-19501.461290225972</v>
      </c>
      <c r="AS621" s="79">
        <f>MONTH(Tableau1[[#This Row],[Date]])</f>
        <v>5</v>
      </c>
      <c r="AT621" s="79">
        <f>YEAR(Tableau1[[#This Row],[Date]])</f>
        <v>2023</v>
      </c>
    </row>
    <row r="622" spans="1:46" x14ac:dyDescent="0.2">
      <c r="A622" s="74">
        <v>45060.347916666666</v>
      </c>
      <c r="B622" s="75"/>
      <c r="C622" s="76">
        <f>IF(ISERROR(Tableau1[[#This Row],[Date]]-A621),"",Tableau1[[#This Row],[Date]]-A621)</f>
        <v>1.0166666666627862</v>
      </c>
      <c r="D622" s="77">
        <f>IF(ISERROR(Tableau1[[#This Row],[Date]]-A621),"",Tableau1[[#This Row],[Date]]-A621)</f>
        <v>1.0166666666627862</v>
      </c>
      <c r="E622" s="76">
        <f>Tableau1[[#This Row],[Date]]-$A$5</f>
        <v>877.63958333332994</v>
      </c>
      <c r="F622" s="77">
        <f>Tableau1[[#This Row],[Date]]-$A$5</f>
        <v>877.63958333332994</v>
      </c>
      <c r="G622" s="77">
        <f>Tableau1[[#This Row],[Diff jour_x000D_
Cumul]]-F$6</f>
        <v>839.55625000000146</v>
      </c>
      <c r="H622" s="77">
        <f>Tableau1[[#This Row],[Diff jour_x000D_
Cumul]]-F$59</f>
        <v>817.03680555555184</v>
      </c>
      <c r="I622" s="78">
        <v>4163</v>
      </c>
      <c r="J622" s="79">
        <f>IF(ISERROR(Tableau1[[#This Row],[Index HP
kWh]]-I621),"",Tableau1[[#This Row],[Index HP
kWh]]-I621)</f>
        <v>14</v>
      </c>
      <c r="K622" s="77">
        <f>IF(ISERROR(Tableau1[[#This Row],[Différence HP
Instantané]]/(Tableau1[[#This Row],[Diff jour
Instantané]]*24)),"",Tableau1[[#This Row],[Différence HP
Instantané]]/(Tableau1[[#This Row],[Diff jour
Instantané]]*24))</f>
        <v>0.57377049180546869</v>
      </c>
      <c r="L622" s="77">
        <f>Tableau1[[#This Row],[Différence HP
Instantané]]/Tableau1[[#This Row],[Diff jour
Instantané]]</f>
        <v>13.770491803331248</v>
      </c>
      <c r="M622" s="77">
        <f>Tableau1[[#This Row],[Conso HP / jour
Instantané]]*365</f>
        <v>5026.2295082159053</v>
      </c>
      <c r="N622" s="79">
        <f>Tableau1[[#This Row],[Index HP
kWh]]-$I$5</f>
        <v>-175596</v>
      </c>
      <c r="O622" s="80">
        <f>Tableau1[[#This Row],[Différence HP
Cumul]]/(Tableau1[[#This Row],[Diff jour_x000D_
Cumul]]*24)</f>
        <v>-8.3365656460155044</v>
      </c>
      <c r="P622" s="80">
        <f>Tableau1[[#This Row],[Différence HP
Cumul]]/Tableau1[[#This Row],[Diff jour_x000D_
Cumul]]</f>
        <v>-200.07757550437211</v>
      </c>
      <c r="Q622" s="80">
        <f>Tableau1[[#This Row],[Conso HP / jour
Cumul]]*365</f>
        <v>-73028.315059095825</v>
      </c>
      <c r="R622" s="78">
        <v>2132</v>
      </c>
      <c r="S622" s="79">
        <f>Tableau1[[#This Row],[Index HC_x000D_
kWh]]-R621</f>
        <v>3</v>
      </c>
      <c r="T622" s="81">
        <f>Tableau1[[#This Row],[Différence_x000D_ HC
Instantané]]/(Tableau1[[#This Row],[Diff jour
Instantané]]*24)</f>
        <v>0.12295081967260044</v>
      </c>
      <c r="U622" s="81">
        <f>Tableau1[[#This Row],[Différence_x000D_ HC
Instantané]]/Tableau1[[#This Row],[Diff jour
Instantané]]</f>
        <v>2.9508196721424107</v>
      </c>
      <c r="V622" s="81">
        <f>Tableau1[[#This Row],[Conso HC / jour_x000D_
Instantané]]*365</f>
        <v>1077.0491803319799</v>
      </c>
      <c r="W622" s="79">
        <f>Tableau1[[#This Row],[Index HC_x000D_
kWh]]-$R$5</f>
        <v>-117300</v>
      </c>
      <c r="X622" s="82">
        <f>Tableau1[[#This Row],[Différence HC
Cumul]]/(Tableau1[[#This Row],[Diff jour_x000D_
Cumul]]*24)</f>
        <v>-5.5689147262899992</v>
      </c>
      <c r="Y622" s="82">
        <f>Tableau1[[#This Row],[Différence HC
Cumul]]/Tableau1[[#This Row],[Diff jour_x000D_
Cumul]]</f>
        <v>-133.65395343095997</v>
      </c>
      <c r="Z622" s="82">
        <f>Tableau1[[#This Row],[Conso HC / jour_x000D_
Cumul]]*365</f>
        <v>-48783.693002300388</v>
      </c>
      <c r="AA622" s="79">
        <f>Tableau1[[#This Row],[Différence HP
Instantané]]+Tableau1[[#This Row],[Différence_x000D_ HC
Instantané]]</f>
        <v>17</v>
      </c>
      <c r="AB622" s="80">
        <f>Tableau1[[#This Row],[Conso HP + HC
Instantané]]/(Tableau1[[#This Row],[Diff jour
Instantané]]*24)</f>
        <v>0.69672131147806915</v>
      </c>
      <c r="AC622" s="80">
        <f>IF(ISERROR(Tableau1[[#This Row],[Date]]-A621),"",Tableau1[[#This Row],[Conso HP + HC
Instantané]]/Tableau1[[#This Row],[Diff jour
Instantané]])</f>
        <v>16.721311475473659</v>
      </c>
      <c r="AD622" s="80">
        <f>Tableau1[[#This Row],[Conso HP + HC / jour_x000D_
Instantané]]*365</f>
        <v>6103.2786885478854</v>
      </c>
      <c r="AE622" s="79">
        <f>Tableau1[[#This Row],[Différence HP
Cumul]]+Tableau1[[#This Row],[Différence HC
Cumul]]</f>
        <v>-292896</v>
      </c>
      <c r="AF622" s="77">
        <f>(Tableau1[[#This Row],[Conso HP + HC
Cumul]]-AE$6)/Tableau1[[#This Row],[Diff jour_x000D_
Cumul
depuis le 24/01]]</f>
        <v>-351.93234521212781</v>
      </c>
      <c r="AG622" s="77">
        <f>(Tableau1[[#This Row],[Conso HP + HC
Cumul]]-AE$59)/Tableau1[[#This Row],[Diff jour_x000D_
Cumul
depuis
précédente facture
16/02/2021]]</f>
        <v>-363.59806312275299</v>
      </c>
      <c r="AH622" s="80">
        <f>Tableau1[[#This Row],[Conso HP + HC
Cumul]]/(Tableau1[[#This Row],[Diff jour_x000D_
Cumul]]*24)</f>
        <v>-13.905480372305504</v>
      </c>
      <c r="AI622" s="80">
        <f>Tableau1[[#This Row],[Conso HP + HC
Cumul]]/Tableau1[[#This Row],[Diff jour_x000D_
Cumul]]</f>
        <v>-333.73152893533211</v>
      </c>
      <c r="AJ622" s="80">
        <f>Tableau1[[#This Row],[Conso HP + HC / jour_x000D_
Cumul]]*365</f>
        <v>-121812.00806139622</v>
      </c>
      <c r="AK622" s="83">
        <f>(Tableau1[[#This Row],[Différence HP
Cumul]]*0.1799)+(Tableau1[[#This Row],[Différence HC
Cumul]]*0.1346)</f>
        <v>-47378.3004</v>
      </c>
      <c r="AL622" s="83">
        <f>Tableau1[[#This Row],[Montant
Tarif HP/HC]]/Tableau1[[#This Row],[Diff jour_x000D_
Cumul]]</f>
        <v>-53.983777965043757</v>
      </c>
      <c r="AM622" s="83">
        <f>(Tableau1[[#This Row],[Montant
Tarif HP/HC]]-AK$6)/Tableau1[[#This Row],[Diff jour_x000D_
Cumul
depuis le 24/01]]</f>
        <v>-56.9380860424777</v>
      </c>
      <c r="AN622" s="83">
        <f>(Tableau1[[#This Row],[Montant
Tarif HP/HC]]-AK$59)/Tableau1[[#This Row],[Diff jour_x000D_
Cumul
depuis
précédente facture
16/02/2021]]</f>
        <v>-58.834881700726044</v>
      </c>
      <c r="AO622" s="83">
        <f>Tableau1[[#This Row],[Conso HP + HC
Cumul]]*0.1599</f>
        <v>-46834.070399999997</v>
      </c>
      <c r="AP622" s="83">
        <f>Tableau1[[#This Row],[Montant
Tarif normal]]/Tableau1[[#This Row],[Diff jour_x000D_
Cumul]]</f>
        <v>-53.363671476759599</v>
      </c>
      <c r="AQ622" s="83">
        <f>(Tableau1[[#This Row],[Conso HP / an
Cumul]]*0.1799)+(Tableau1[[#This Row],[Conso HC / an_x000D_
Cumul]]*0.1346)</f>
        <v>-19704.07895724097</v>
      </c>
      <c r="AR622" s="83">
        <f>Tableau1[[#This Row],[Conso HP + HC / an_x000D_
Cumul]]*0.1599</f>
        <v>-19477.740089017254</v>
      </c>
      <c r="AS622" s="79">
        <f>MONTH(Tableau1[[#This Row],[Date]])</f>
        <v>5</v>
      </c>
      <c r="AT622" s="79">
        <f>YEAR(Tableau1[[#This Row],[Date]])</f>
        <v>2023</v>
      </c>
    </row>
    <row r="623" spans="1:46" x14ac:dyDescent="0.2">
      <c r="A623" s="74">
        <v>45061.320833333331</v>
      </c>
      <c r="B623" s="75"/>
      <c r="C623" s="76">
        <f>IF(ISERROR(Tableau1[[#This Row],[Date]]-A622),"",Tableau1[[#This Row],[Date]]-A622)</f>
        <v>0.97291666666569654</v>
      </c>
      <c r="D623" s="77">
        <f>IF(ISERROR(Tableau1[[#This Row],[Date]]-A622),"",Tableau1[[#This Row],[Date]]-A622)</f>
        <v>0.97291666666569654</v>
      </c>
      <c r="E623" s="76">
        <f>Tableau1[[#This Row],[Date]]-$A$5</f>
        <v>878.61249999999563</v>
      </c>
      <c r="F623" s="77">
        <f>Tableau1[[#This Row],[Date]]-$A$5</f>
        <v>878.61249999999563</v>
      </c>
      <c r="G623" s="77">
        <f>Tableau1[[#This Row],[Diff jour_x000D_
Cumul]]-F$6</f>
        <v>840.52916666666715</v>
      </c>
      <c r="H623" s="77">
        <f>Tableau1[[#This Row],[Diff jour_x000D_
Cumul]]-F$59</f>
        <v>818.00972222221753</v>
      </c>
      <c r="I623" s="78">
        <v>4174</v>
      </c>
      <c r="J623" s="79">
        <f>IF(ISERROR(Tableau1[[#This Row],[Index HP
kWh]]-I622),"",Tableau1[[#This Row],[Index HP
kWh]]-I622)</f>
        <v>11</v>
      </c>
      <c r="K623" s="77">
        <f>IF(ISERROR(Tableau1[[#This Row],[Différence HP
Instantané]]/(Tableau1[[#This Row],[Diff jour
Instantané]]*24)),"",Tableau1[[#This Row],[Différence HP
Instantané]]/(Tableau1[[#This Row],[Diff jour
Instantané]]*24))</f>
        <v>0.47109207708826417</v>
      </c>
      <c r="L623" s="77">
        <f>Tableau1[[#This Row],[Différence HP
Instantané]]/Tableau1[[#This Row],[Diff jour
Instantané]]</f>
        <v>11.306209850118341</v>
      </c>
      <c r="M623" s="77">
        <f>Tableau1[[#This Row],[Conso HP / jour
Instantané]]*365</f>
        <v>4126.7665952931948</v>
      </c>
      <c r="N623" s="79">
        <f>Tableau1[[#This Row],[Index HP
kWh]]-$I$5</f>
        <v>-175585</v>
      </c>
      <c r="O623" s="80">
        <f>Tableau1[[#This Row],[Différence HP
Cumul]]/(Tableau1[[#This Row],[Diff jour_x000D_
Cumul]]*24)</f>
        <v>-8.3268126354527201</v>
      </c>
      <c r="P623" s="80">
        <f>Tableau1[[#This Row],[Différence HP
Cumul]]/Tableau1[[#This Row],[Diff jour_x000D_
Cumul]]</f>
        <v>-199.84350325086527</v>
      </c>
      <c r="Q623" s="80">
        <f>Tableau1[[#This Row],[Conso HP / jour
Cumul]]*365</f>
        <v>-72942.878686565818</v>
      </c>
      <c r="R623" s="78">
        <v>2134</v>
      </c>
      <c r="S623" s="79">
        <f>Tableau1[[#This Row],[Index HC_x000D_
kWh]]-R622</f>
        <v>2</v>
      </c>
      <c r="T623" s="81">
        <f>Tableau1[[#This Row],[Différence_x000D_ HC
Instantané]]/(Tableau1[[#This Row],[Diff jour
Instantané]]*24)</f>
        <v>8.5653104925138945E-2</v>
      </c>
      <c r="U623" s="81">
        <f>Tableau1[[#This Row],[Différence_x000D_ HC
Instantané]]/Tableau1[[#This Row],[Diff jour
Instantané]]</f>
        <v>2.0556745182033347</v>
      </c>
      <c r="V623" s="81">
        <f>Tableau1[[#This Row],[Conso HC / jour_x000D_
Instantané]]*365</f>
        <v>750.32119914421719</v>
      </c>
      <c r="W623" s="79">
        <f>Tableau1[[#This Row],[Index HC_x000D_
kWh]]-$R$5</f>
        <v>-117298</v>
      </c>
      <c r="X623" s="82">
        <f>Tableau1[[#This Row],[Différence HC
Cumul]]/(Tableau1[[#This Row],[Diff jour_x000D_
Cumul]]*24)</f>
        <v>-5.562653236400223</v>
      </c>
      <c r="Y623" s="82">
        <f>Tableau1[[#This Row],[Différence HC
Cumul]]/Tableau1[[#This Row],[Diff jour_x000D_
Cumul]]</f>
        <v>-133.50367767360535</v>
      </c>
      <c r="Z623" s="82">
        <f>Tableau1[[#This Row],[Conso HC / jour_x000D_
Cumul]]*365</f>
        <v>-48728.842350865954</v>
      </c>
      <c r="AA623" s="79">
        <f>Tableau1[[#This Row],[Différence HP
Instantané]]+Tableau1[[#This Row],[Différence_x000D_ HC
Instantané]]</f>
        <v>13</v>
      </c>
      <c r="AB623" s="80">
        <f>Tableau1[[#This Row],[Conso HP + HC
Instantané]]/(Tableau1[[#This Row],[Diff jour
Instantané]]*24)</f>
        <v>0.55674518201340306</v>
      </c>
      <c r="AC623" s="80">
        <f>IF(ISERROR(Tableau1[[#This Row],[Date]]-A622),"",Tableau1[[#This Row],[Conso HP + HC
Instantané]]/Tableau1[[#This Row],[Diff jour
Instantané]])</f>
        <v>13.361884368321675</v>
      </c>
      <c r="AD623" s="80">
        <f>Tableau1[[#This Row],[Conso HP + HC / jour_x000D_
Instantané]]*365</f>
        <v>4877.0877944374115</v>
      </c>
      <c r="AE623" s="79">
        <f>Tableau1[[#This Row],[Différence HP
Cumul]]+Tableau1[[#This Row],[Différence HC
Cumul]]</f>
        <v>-292883</v>
      </c>
      <c r="AF623" s="77">
        <f>(Tableau1[[#This Row],[Conso HP + HC
Cumul]]-AE$6)/Tableau1[[#This Row],[Diff jour_x000D_
Cumul
depuis le 24/01]]</f>
        <v>-351.50951533508135</v>
      </c>
      <c r="AG623" s="77">
        <f>(Tableau1[[#This Row],[Conso HP + HC
Cumul]]-AE$59)/Tableau1[[#This Row],[Diff jour_x000D_
Cumul
depuis
précédente facture
16/02/2021]]</f>
        <v>-363.14971806570014</v>
      </c>
      <c r="AH623" s="80">
        <f>Tableau1[[#This Row],[Conso HP + HC
Cumul]]/(Tableau1[[#This Row],[Diff jour_x000D_
Cumul]]*24)</f>
        <v>-13.889465871852943</v>
      </c>
      <c r="AI623" s="80">
        <f>Tableau1[[#This Row],[Conso HP + HC
Cumul]]/Tableau1[[#This Row],[Diff jour_x000D_
Cumul]]</f>
        <v>-333.34718092447065</v>
      </c>
      <c r="AJ623" s="80">
        <f>Tableau1[[#This Row],[Conso HP + HC / jour_x000D_
Cumul]]*365</f>
        <v>-121671.72103743178</v>
      </c>
      <c r="AK623" s="83">
        <f>(Tableau1[[#This Row],[Différence HP
Cumul]]*0.1799)+(Tableau1[[#This Row],[Différence HC
Cumul]]*0.1346)</f>
        <v>-47376.052299999996</v>
      </c>
      <c r="AL623" s="83">
        <f>Tableau1[[#This Row],[Montant
Tarif HP/HC]]/Tableau1[[#This Row],[Diff jour_x000D_
Cumul]]</f>
        <v>-53.921441249697942</v>
      </c>
      <c r="AM623" s="83">
        <f>(Tableau1[[#This Row],[Montant
Tarif HP/HC]]-AK$6)/Tableau1[[#This Row],[Diff jour_x000D_
Cumul
depuis le 24/01]]</f>
        <v>-56.869505301719613</v>
      </c>
      <c r="AN623" s="83">
        <f>(Tableau1[[#This Row],[Montant
Tarif HP/HC]]-AK$59)/Tableau1[[#This Row],[Diff jour_x000D_
Cumul
depuis
précédente facture
16/02/2021]]</f>
        <v>-58.762156969745668</v>
      </c>
      <c r="AO623" s="83">
        <f>Tableau1[[#This Row],[Conso HP + HC
Cumul]]*0.1599</f>
        <v>-46831.991699999999</v>
      </c>
      <c r="AP623" s="83">
        <f>Tableau1[[#This Row],[Montant
Tarif normal]]/Tableau1[[#This Row],[Diff jour_x000D_
Cumul]]</f>
        <v>-53.302214229822852</v>
      </c>
      <c r="AQ623" s="83">
        <f>(Tableau1[[#This Row],[Conso HP / an
Cumul]]*0.1799)+(Tableau1[[#This Row],[Conso HC / an_x000D_
Cumul]]*0.1346)</f>
        <v>-19681.326056139747</v>
      </c>
      <c r="AR623" s="83">
        <f>Tableau1[[#This Row],[Conso HP + HC / an_x000D_
Cumul]]*0.1599</f>
        <v>-19455.308193885339</v>
      </c>
      <c r="AS623" s="79">
        <f>MONTH(Tableau1[[#This Row],[Date]])</f>
        <v>5</v>
      </c>
      <c r="AT623" s="79">
        <f>YEAR(Tableau1[[#This Row],[Date]])</f>
        <v>2023</v>
      </c>
    </row>
    <row r="624" spans="1:46" x14ac:dyDescent="0.2">
      <c r="A624" s="74">
        <v>45062.322222222225</v>
      </c>
      <c r="B624" s="75"/>
      <c r="C624" s="76">
        <f>IF(ISERROR(Tableau1[[#This Row],[Date]]-A623),"",Tableau1[[#This Row],[Date]]-A623)</f>
        <v>1.0013888888934162</v>
      </c>
      <c r="D624" s="77">
        <f>IF(ISERROR(Tableau1[[#This Row],[Date]]-A623),"",Tableau1[[#This Row],[Date]]-A623)</f>
        <v>1.0013888888934162</v>
      </c>
      <c r="E624" s="76">
        <f>Tableau1[[#This Row],[Date]]-$A$5</f>
        <v>879.61388888888905</v>
      </c>
      <c r="F624" s="77">
        <f>Tableau1[[#This Row],[Date]]-$A$5</f>
        <v>879.61388888888905</v>
      </c>
      <c r="G624" s="77">
        <f>Tableau1[[#This Row],[Diff jour_x000D_
Cumul]]-F$6</f>
        <v>841.53055555556057</v>
      </c>
      <c r="H624" s="77">
        <f>Tableau1[[#This Row],[Diff jour_x000D_
Cumul]]-F$59</f>
        <v>819.01111111111095</v>
      </c>
      <c r="I624" s="78">
        <v>4184</v>
      </c>
      <c r="J624" s="79">
        <f>IF(ISERROR(Tableau1[[#This Row],[Index HP
kWh]]-I623),"",Tableau1[[#This Row],[Index HP
kWh]]-I623)</f>
        <v>10</v>
      </c>
      <c r="K624" s="77">
        <f>IF(ISERROR(Tableau1[[#This Row],[Différence HP
Instantané]]/(Tableau1[[#This Row],[Diff jour
Instantané]]*24)),"",Tableau1[[#This Row],[Différence HP
Instantané]]/(Tableau1[[#This Row],[Diff jour
Instantané]]*24))</f>
        <v>0.41608876560144759</v>
      </c>
      <c r="L624" s="77">
        <f>Tableau1[[#This Row],[Différence HP
Instantané]]/Tableau1[[#This Row],[Diff jour
Instantané]]</f>
        <v>9.9861303744347421</v>
      </c>
      <c r="M624" s="77">
        <f>Tableau1[[#This Row],[Conso HP / jour
Instantané]]*365</f>
        <v>3644.937586668681</v>
      </c>
      <c r="N624" s="79">
        <f>Tableau1[[#This Row],[Index HP
kWh]]-$I$5</f>
        <v>-175575</v>
      </c>
      <c r="O624" s="80">
        <f>Tableau1[[#This Row],[Différence HP
Cumul]]/(Tableau1[[#This Row],[Diff jour_x000D_
Cumul]]*24)</f>
        <v>-8.3168593543252864</v>
      </c>
      <c r="P624" s="80">
        <f>Tableau1[[#This Row],[Différence HP
Cumul]]/Tableau1[[#This Row],[Diff jour_x000D_
Cumul]]</f>
        <v>-199.60462450380686</v>
      </c>
      <c r="Q624" s="80">
        <f>Tableau1[[#This Row],[Conso HP / jour
Cumul]]*365</f>
        <v>-72855.687943889498</v>
      </c>
      <c r="R624" s="78">
        <v>2137</v>
      </c>
      <c r="S624" s="79">
        <f>Tableau1[[#This Row],[Index HC_x000D_
kWh]]-R623</f>
        <v>3</v>
      </c>
      <c r="T624" s="81">
        <f>Tableau1[[#This Row],[Différence_x000D_ HC
Instantané]]/(Tableau1[[#This Row],[Diff jour
Instantané]]*24)</f>
        <v>0.12482662968043427</v>
      </c>
      <c r="U624" s="81">
        <f>Tableau1[[#This Row],[Différence_x000D_ HC
Instantané]]/Tableau1[[#This Row],[Diff jour
Instantané]]</f>
        <v>2.9958391123304224</v>
      </c>
      <c r="V624" s="81">
        <f>Tableau1[[#This Row],[Conso HC / jour_x000D_
Instantané]]*365</f>
        <v>1093.4812760006041</v>
      </c>
      <c r="W624" s="79">
        <f>Tableau1[[#This Row],[Index HC_x000D_
kWh]]-$R$5</f>
        <v>-117295</v>
      </c>
      <c r="X624" s="82">
        <f>Tableau1[[#This Row],[Différence HC
Cumul]]/(Tableau1[[#This Row],[Diff jour_x000D_
Cumul]]*24)</f>
        <v>-5.5561783737182653</v>
      </c>
      <c r="Y624" s="82">
        <f>Tableau1[[#This Row],[Différence HC
Cumul]]/Tableau1[[#This Row],[Diff jour_x000D_
Cumul]]</f>
        <v>-133.34828096923837</v>
      </c>
      <c r="Z624" s="82">
        <f>Tableau1[[#This Row],[Conso HC / jour_x000D_
Cumul]]*365</f>
        <v>-48672.122553772009</v>
      </c>
      <c r="AA624" s="79">
        <f>Tableau1[[#This Row],[Différence HP
Instantané]]+Tableau1[[#This Row],[Différence_x000D_ HC
Instantané]]</f>
        <v>13</v>
      </c>
      <c r="AB624" s="80">
        <f>Tableau1[[#This Row],[Conso HP + HC
Instantané]]/(Tableau1[[#This Row],[Diff jour
Instantané]]*24)</f>
        <v>0.54091539528188182</v>
      </c>
      <c r="AC624" s="80">
        <f>IF(ISERROR(Tableau1[[#This Row],[Date]]-A623),"",Tableau1[[#This Row],[Conso HP + HC
Instantané]]/Tableau1[[#This Row],[Diff jour
Instantané]])</f>
        <v>12.981969486765164</v>
      </c>
      <c r="AD624" s="80">
        <f>Tableau1[[#This Row],[Conso HP + HC / jour_x000D_
Instantané]]*365</f>
        <v>4738.4188626692849</v>
      </c>
      <c r="AE624" s="79">
        <f>Tableau1[[#This Row],[Différence HP
Cumul]]+Tableau1[[#This Row],[Différence HC
Cumul]]</f>
        <v>-292870</v>
      </c>
      <c r="AF624" s="77">
        <f>(Tableau1[[#This Row],[Conso HP + HC
Cumul]]-AE$6)/Tableau1[[#This Row],[Diff jour_x000D_
Cumul
depuis le 24/01]]</f>
        <v>-351.07578453281013</v>
      </c>
      <c r="AG624" s="77">
        <f>(Tableau1[[#This Row],[Conso HP + HC
Cumul]]-AE$59)/Tableau1[[#This Row],[Diff jour_x000D_
Cumul
depuis
précédente facture
16/02/2021]]</f>
        <v>-362.68982919781314</v>
      </c>
      <c r="AH624" s="80">
        <f>Tableau1[[#This Row],[Conso HP + HC
Cumul]]/(Tableau1[[#This Row],[Diff jour_x000D_
Cumul]]*24)</f>
        <v>-13.873037728043553</v>
      </c>
      <c r="AI624" s="80">
        <f>Tableau1[[#This Row],[Conso HP + HC
Cumul]]/Tableau1[[#This Row],[Diff jour_x000D_
Cumul]]</f>
        <v>-332.95290547304523</v>
      </c>
      <c r="AJ624" s="80">
        <f>Tableau1[[#This Row],[Conso HP + HC / jour_x000D_
Cumul]]*365</f>
        <v>-121527.81049766151</v>
      </c>
      <c r="AK624" s="83">
        <f>(Tableau1[[#This Row],[Différence HP
Cumul]]*0.1799)+(Tableau1[[#This Row],[Différence HC
Cumul]]*0.1346)</f>
        <v>-47373.849499999997</v>
      </c>
      <c r="AL624" s="83">
        <f>Tableau1[[#This Row],[Montant
Tarif HP/HC]]/Tableau1[[#This Row],[Diff jour_x000D_
Cumul]]</f>
        <v>-53.857550566694336</v>
      </c>
      <c r="AM624" s="83">
        <f>(Tableau1[[#This Row],[Montant
Tarif HP/HC]]-AK$6)/Tableau1[[#This Row],[Diff jour_x000D_
Cumul
depuis le 24/01]]</f>
        <v>-56.799215173410545</v>
      </c>
      <c r="AN624" s="83">
        <f>(Tableau1[[#This Row],[Montant
Tarif HP/HC]]-AK$59)/Tableau1[[#This Row],[Diff jour_x000D_
Cumul
depuis
précédente facture
16/02/2021]]</f>
        <v>-58.687620043141465</v>
      </c>
      <c r="AO624" s="83">
        <f>Tableau1[[#This Row],[Conso HP + HC
Cumul]]*0.1599</f>
        <v>-46829.912999999993</v>
      </c>
      <c r="AP624" s="83">
        <f>Tableau1[[#This Row],[Montant
Tarif normal]]/Tableau1[[#This Row],[Diff jour_x000D_
Cumul]]</f>
        <v>-53.239169585139926</v>
      </c>
      <c r="AQ624" s="83">
        <f>(Tableau1[[#This Row],[Conso HP / an
Cumul]]*0.1799)+(Tableau1[[#This Row],[Conso HC / an_x000D_
Cumul]]*0.1346)</f>
        <v>-19658.005956843434</v>
      </c>
      <c r="AR624" s="83">
        <f>Tableau1[[#This Row],[Conso HP + HC / an_x000D_
Cumul]]*0.1599</f>
        <v>-19432.296898576074</v>
      </c>
      <c r="AS624" s="79">
        <f>MONTH(Tableau1[[#This Row],[Date]])</f>
        <v>5</v>
      </c>
      <c r="AT624" s="79">
        <f>YEAR(Tableau1[[#This Row],[Date]])</f>
        <v>2023</v>
      </c>
    </row>
    <row r="625" spans="1:46" x14ac:dyDescent="0.2">
      <c r="A625" s="74">
        <v>45063.378472222219</v>
      </c>
      <c r="B625" s="75"/>
      <c r="C625" s="76">
        <f>IF(ISERROR(Tableau1[[#This Row],[Date]]-A624),"",Tableau1[[#This Row],[Date]]-A624)</f>
        <v>1.0562499999941792</v>
      </c>
      <c r="D625" s="77">
        <f>IF(ISERROR(Tableau1[[#This Row],[Date]]-A624),"",Tableau1[[#This Row],[Date]]-A624)</f>
        <v>1.0562499999941792</v>
      </c>
      <c r="E625" s="76">
        <f>Tableau1[[#This Row],[Date]]-$A$5</f>
        <v>880.67013888888323</v>
      </c>
      <c r="F625" s="77">
        <f>Tableau1[[#This Row],[Date]]-$A$5</f>
        <v>880.67013888888323</v>
      </c>
      <c r="G625" s="77">
        <f>Tableau1[[#This Row],[Diff jour_x000D_
Cumul]]-F$6</f>
        <v>842.58680555555475</v>
      </c>
      <c r="H625" s="77">
        <f>Tableau1[[#This Row],[Diff jour_x000D_
Cumul]]-F$59</f>
        <v>820.06736111110513</v>
      </c>
      <c r="I625" s="78">
        <v>4195</v>
      </c>
      <c r="J625" s="79">
        <f>IF(ISERROR(Tableau1[[#This Row],[Index HP
kWh]]-I624),"",Tableau1[[#This Row],[Index HP
kWh]]-I624)</f>
        <v>11</v>
      </c>
      <c r="K625" s="77">
        <f>IF(ISERROR(Tableau1[[#This Row],[Différence HP
Instantané]]/(Tableau1[[#This Row],[Diff jour
Instantané]]*24)),"",Tableau1[[#This Row],[Différence HP
Instantané]]/(Tableau1[[#This Row],[Diff jour
Instantané]]*24))</f>
        <v>0.43392504931205594</v>
      </c>
      <c r="L625" s="77">
        <f>Tableau1[[#This Row],[Différence HP
Instantané]]/Tableau1[[#This Row],[Diff jour
Instantané]]</f>
        <v>10.414201183489343</v>
      </c>
      <c r="M625" s="77">
        <f>Tableau1[[#This Row],[Conso HP / jour
Instantané]]*365</f>
        <v>3801.1834319736104</v>
      </c>
      <c r="N625" s="79">
        <f>Tableau1[[#This Row],[Index HP
kWh]]-$I$5</f>
        <v>-175564</v>
      </c>
      <c r="O625" s="80">
        <f>Tableau1[[#This Row],[Différence HP
Cumul]]/(Tableau1[[#This Row],[Diff jour_x000D_
Cumul]]*24)</f>
        <v>-8.3063639195215675</v>
      </c>
      <c r="P625" s="80">
        <f>Tableau1[[#This Row],[Différence HP
Cumul]]/Tableau1[[#This Row],[Diff jour_x000D_
Cumul]]</f>
        <v>-199.35273406851761</v>
      </c>
      <c r="Q625" s="80">
        <f>Tableau1[[#This Row],[Conso HP / jour
Cumul]]*365</f>
        <v>-72763.747935008927</v>
      </c>
      <c r="R625" s="78">
        <v>2143</v>
      </c>
      <c r="S625" s="79">
        <f>Tableau1[[#This Row],[Index HC_x000D_
kWh]]-R624</f>
        <v>6</v>
      </c>
      <c r="T625" s="81">
        <f>Tableau1[[#This Row],[Différence_x000D_ HC
Instantané]]/(Tableau1[[#This Row],[Diff jour
Instantané]]*24)</f>
        <v>0.23668639053384871</v>
      </c>
      <c r="U625" s="81">
        <f>Tableau1[[#This Row],[Différence_x000D_ HC
Instantané]]/Tableau1[[#This Row],[Diff jour
Instantané]]</f>
        <v>5.6804733728123686</v>
      </c>
      <c r="V625" s="81">
        <f>Tableau1[[#This Row],[Conso HC / jour_x000D_
Instantané]]*365</f>
        <v>2073.3727810765145</v>
      </c>
      <c r="W625" s="79">
        <f>Tableau1[[#This Row],[Index HC_x000D_
kWh]]-$R$5</f>
        <v>-117289</v>
      </c>
      <c r="X625" s="82">
        <f>Tableau1[[#This Row],[Différence HC
Cumul]]/(Tableau1[[#This Row],[Diff jour_x000D_
Cumul]]*24)</f>
        <v>-5.5492305811941236</v>
      </c>
      <c r="Y625" s="82">
        <f>Tableau1[[#This Row],[Différence HC
Cumul]]/Tableau1[[#This Row],[Diff jour_x000D_
Cumul]]</f>
        <v>-133.18153394865897</v>
      </c>
      <c r="Z625" s="82">
        <f>Tableau1[[#This Row],[Conso HC / jour_x000D_
Cumul]]*365</f>
        <v>-48611.259891260524</v>
      </c>
      <c r="AA625" s="79">
        <f>Tableau1[[#This Row],[Différence HP
Instantané]]+Tableau1[[#This Row],[Différence_x000D_ HC
Instantané]]</f>
        <v>17</v>
      </c>
      <c r="AB625" s="80">
        <f>Tableau1[[#This Row],[Conso HP + HC
Instantané]]/(Tableau1[[#This Row],[Diff jour
Instantané]]*24)</f>
        <v>0.67061143984590466</v>
      </c>
      <c r="AC625" s="80">
        <f>IF(ISERROR(Tableau1[[#This Row],[Date]]-A624),"",Tableau1[[#This Row],[Conso HP + HC
Instantané]]/Tableau1[[#This Row],[Diff jour
Instantané]])</f>
        <v>16.094674556301712</v>
      </c>
      <c r="AD625" s="80">
        <f>Tableau1[[#This Row],[Conso HP + HC / jour_x000D_
Instantané]]*365</f>
        <v>5874.5562130501248</v>
      </c>
      <c r="AE625" s="79">
        <f>Tableau1[[#This Row],[Différence HP
Cumul]]+Tableau1[[#This Row],[Différence HC
Cumul]]</f>
        <v>-292853</v>
      </c>
      <c r="AF625" s="77">
        <f>(Tableau1[[#This Row],[Conso HP + HC
Cumul]]-AE$6)/Tableau1[[#This Row],[Diff jour_x000D_
Cumul
depuis le 24/01]]</f>
        <v>-350.61550697463616</v>
      </c>
      <c r="AG625" s="77">
        <f>(Tableau1[[#This Row],[Conso HP + HC
Cumul]]-AE$59)/Tableau1[[#This Row],[Diff jour_x000D_
Cumul
depuis
précédente facture
16/02/2021]]</f>
        <v>-362.20195326095597</v>
      </c>
      <c r="AH625" s="80">
        <f>Tableau1[[#This Row],[Conso HP + HC
Cumul]]/(Tableau1[[#This Row],[Diff jour_x000D_
Cumul]]*24)</f>
        <v>-13.855594500715689</v>
      </c>
      <c r="AI625" s="80">
        <f>Tableau1[[#This Row],[Conso HP + HC
Cumul]]/Tableau1[[#This Row],[Diff jour_x000D_
Cumul]]</f>
        <v>-332.53426801717654</v>
      </c>
      <c r="AJ625" s="80">
        <f>Tableau1[[#This Row],[Conso HP + HC / jour_x000D_
Cumul]]*365</f>
        <v>-121375.00782626944</v>
      </c>
      <c r="AK625" s="83">
        <f>(Tableau1[[#This Row],[Différence HP
Cumul]]*0.1799)+(Tableau1[[#This Row],[Différence HC
Cumul]]*0.1346)</f>
        <v>-47371.062999999995</v>
      </c>
      <c r="AL625" s="83">
        <f>Tableau1[[#This Row],[Montant
Tarif HP/HC]]/Tableau1[[#This Row],[Diff jour_x000D_
Cumul]]</f>
        <v>-53.789791328415809</v>
      </c>
      <c r="AM625" s="83">
        <f>(Tableau1[[#This Row],[Montant
Tarif HP/HC]]-AK$6)/Tableau1[[#This Row],[Diff jour_x000D_
Cumul
depuis le 24/01]]</f>
        <v>-56.724705733418553</v>
      </c>
      <c r="AN625" s="83">
        <f>(Tableau1[[#This Row],[Montant
Tarif HP/HC]]-AK$59)/Tableau1[[#This Row],[Diff jour_x000D_
Cumul
depuis
précédente facture
16/02/2021]]</f>
        <v>-58.608632265134467</v>
      </c>
      <c r="AO625" s="83">
        <f>Tableau1[[#This Row],[Conso HP + HC
Cumul]]*0.1599</f>
        <v>-46827.194699999993</v>
      </c>
      <c r="AP625" s="83">
        <f>Tableau1[[#This Row],[Montant
Tarif normal]]/Tableau1[[#This Row],[Diff jour_x000D_
Cumul]]</f>
        <v>-53.172229455946521</v>
      </c>
      <c r="AQ625" s="83">
        <f>(Tableau1[[#This Row],[Conso HP / an
Cumul]]*0.1799)+(Tableau1[[#This Row],[Conso HC / an_x000D_
Cumul]]*0.1346)</f>
        <v>-19633.273834871772</v>
      </c>
      <c r="AR625" s="83">
        <f>Tableau1[[#This Row],[Conso HP + HC / an_x000D_
Cumul]]*0.1599</f>
        <v>-19407.863751420482</v>
      </c>
      <c r="AS625" s="79">
        <f>MONTH(Tableau1[[#This Row],[Date]])</f>
        <v>5</v>
      </c>
      <c r="AT625" s="79">
        <f>YEAR(Tableau1[[#This Row],[Date]])</f>
        <v>2023</v>
      </c>
    </row>
    <row r="626" spans="1:46" x14ac:dyDescent="0.2">
      <c r="A626" s="74">
        <v>45064.423611111109</v>
      </c>
      <c r="B626" s="75"/>
      <c r="C626" s="76">
        <f>IF(ISERROR(Tableau1[[#This Row],[Date]]-A625),"",Tableau1[[#This Row],[Date]]-A625)</f>
        <v>1.0451388888905058</v>
      </c>
      <c r="D626" s="77">
        <f>IF(ISERROR(Tableau1[[#This Row],[Date]]-A625),"",Tableau1[[#This Row],[Date]]-A625)</f>
        <v>1.0451388888905058</v>
      </c>
      <c r="E626" s="76">
        <f>Tableau1[[#This Row],[Date]]-$A$5</f>
        <v>881.71527777777374</v>
      </c>
      <c r="F626" s="77">
        <f>Tableau1[[#This Row],[Date]]-$A$5</f>
        <v>881.71527777777374</v>
      </c>
      <c r="G626" s="77">
        <f>Tableau1[[#This Row],[Diff jour_x000D_
Cumul]]-F$6</f>
        <v>843.63194444444525</v>
      </c>
      <c r="H626" s="77">
        <f>Tableau1[[#This Row],[Diff jour_x000D_
Cumul]]-F$59</f>
        <v>821.11249999999563</v>
      </c>
      <c r="I626" s="78">
        <v>4205</v>
      </c>
      <c r="J626" s="79">
        <f>IF(ISERROR(Tableau1[[#This Row],[Index HP
kWh]]-I625),"",Tableau1[[#This Row],[Index HP
kWh]]-I625)</f>
        <v>10</v>
      </c>
      <c r="K626" s="77">
        <f>IF(ISERROR(Tableau1[[#This Row],[Différence HP
Instantané]]/(Tableau1[[#This Row],[Diff jour
Instantané]]*24)),"",Tableau1[[#This Row],[Différence HP
Instantané]]/(Tableau1[[#This Row],[Diff jour
Instantané]]*24))</f>
        <v>0.39867109634489817</v>
      </c>
      <c r="L626" s="77">
        <f>Tableau1[[#This Row],[Différence HP
Instantané]]/Tableau1[[#This Row],[Diff jour
Instantané]]</f>
        <v>9.5681063122775569</v>
      </c>
      <c r="M626" s="77">
        <f>Tableau1[[#This Row],[Conso HP / jour
Instantané]]*365</f>
        <v>3492.3588039813085</v>
      </c>
      <c r="N626" s="79">
        <f>Tableau1[[#This Row],[Index HP
kWh]]-$I$5</f>
        <v>-175554</v>
      </c>
      <c r="O626" s="80">
        <f>Tableau1[[#This Row],[Différence HP
Cumul]]/(Tableau1[[#This Row],[Diff jour_x000D_
Cumul]]*24)</f>
        <v>-8.2960454291272914</v>
      </c>
      <c r="P626" s="80">
        <f>Tableau1[[#This Row],[Différence HP
Cumul]]/Tableau1[[#This Row],[Diff jour_x000D_
Cumul]]</f>
        <v>-199.10509029905501</v>
      </c>
      <c r="Q626" s="80">
        <f>Tableau1[[#This Row],[Conso HP / jour
Cumul]]*365</f>
        <v>-72673.357959155081</v>
      </c>
      <c r="R626" s="78">
        <v>2145</v>
      </c>
      <c r="S626" s="79">
        <f>Tableau1[[#This Row],[Index HC_x000D_
kWh]]-R625</f>
        <v>2</v>
      </c>
      <c r="T626" s="81">
        <f>Tableau1[[#This Row],[Différence_x000D_ HC
Instantané]]/(Tableau1[[#This Row],[Diff jour
Instantané]]*24)</f>
        <v>7.9734219268979639E-2</v>
      </c>
      <c r="U626" s="81">
        <f>Tableau1[[#This Row],[Différence_x000D_ HC
Instantané]]/Tableau1[[#This Row],[Diff jour
Instantané]]</f>
        <v>1.9136212624555113</v>
      </c>
      <c r="V626" s="81">
        <f>Tableau1[[#This Row],[Conso HC / jour_x000D_
Instantané]]*365</f>
        <v>698.47176079626161</v>
      </c>
      <c r="W626" s="79">
        <f>Tableau1[[#This Row],[Index HC_x000D_
kWh]]-$R$5</f>
        <v>-117287</v>
      </c>
      <c r="X626" s="82">
        <f>Tableau1[[#This Row],[Différence HC
Cumul]]/(Tableau1[[#This Row],[Diff jour_x000D_
Cumul]]*24)</f>
        <v>-5.5425583025510816</v>
      </c>
      <c r="Y626" s="82">
        <f>Tableau1[[#This Row],[Différence HC
Cumul]]/Tableau1[[#This Row],[Diff jour_x000D_
Cumul]]</f>
        <v>-133.02139926122598</v>
      </c>
      <c r="Z626" s="82">
        <f>Tableau1[[#This Row],[Conso HC / jour_x000D_
Cumul]]*365</f>
        <v>-48552.810730347483</v>
      </c>
      <c r="AA626" s="79">
        <f>Tableau1[[#This Row],[Différence HP
Instantané]]+Tableau1[[#This Row],[Différence_x000D_ HC
Instantané]]</f>
        <v>12</v>
      </c>
      <c r="AB626" s="80">
        <f>Tableau1[[#This Row],[Conso HP + HC
Instantané]]/(Tableau1[[#This Row],[Diff jour
Instantané]]*24)</f>
        <v>0.47840531561387784</v>
      </c>
      <c r="AC626" s="80">
        <f>IF(ISERROR(Tableau1[[#This Row],[Date]]-A625),"",Tableau1[[#This Row],[Conso HP + HC
Instantané]]/Tableau1[[#This Row],[Diff jour
Instantané]])</f>
        <v>11.481727574733068</v>
      </c>
      <c r="AD626" s="80">
        <f>Tableau1[[#This Row],[Conso HP + HC / jour_x000D_
Instantané]]*365</f>
        <v>4190.8305647775696</v>
      </c>
      <c r="AE626" s="79">
        <f>Tableau1[[#This Row],[Différence HP
Cumul]]+Tableau1[[#This Row],[Différence HC
Cumul]]</f>
        <v>-292841</v>
      </c>
      <c r="AF626" s="77">
        <f>(Tableau1[[#This Row],[Conso HP + HC
Cumul]]-AE$6)/Tableau1[[#This Row],[Diff jour_x000D_
Cumul
depuis le 24/01]]</f>
        <v>-350.16692047446935</v>
      </c>
      <c r="AG626" s="77">
        <f>(Tableau1[[#This Row],[Conso HP + HC
Cumul]]-AE$59)/Tableau1[[#This Row],[Diff jour_x000D_
Cumul
depuis
précédente facture
16/02/2021]]</f>
        <v>-361.72631643045452</v>
      </c>
      <c r="AH626" s="80">
        <f>Tableau1[[#This Row],[Conso HP + HC
Cumul]]/(Tableau1[[#This Row],[Diff jour_x000D_
Cumul]]*24)</f>
        <v>-13.838603731678374</v>
      </c>
      <c r="AI626" s="80">
        <f>Tableau1[[#This Row],[Conso HP + HC
Cumul]]/Tableau1[[#This Row],[Diff jour_x000D_
Cumul]]</f>
        <v>-332.12648956028096</v>
      </c>
      <c r="AJ626" s="80">
        <f>Tableau1[[#This Row],[Conso HP + HC / jour_x000D_
Cumul]]*365</f>
        <v>-121226.16868950255</v>
      </c>
      <c r="AK626" s="83">
        <f>(Tableau1[[#This Row],[Différence HP
Cumul]]*0.1799)+(Tableau1[[#This Row],[Différence HC
Cumul]]*0.1346)</f>
        <v>-47368.9948</v>
      </c>
      <c r="AL626" s="83">
        <f>Tableau1[[#This Row],[Montant
Tarif HP/HC]]/Tableau1[[#This Row],[Diff jour_x000D_
Cumul]]</f>
        <v>-53.72368608536101</v>
      </c>
      <c r="AM626" s="83">
        <f>(Tableau1[[#This Row],[Montant
Tarif HP/HC]]-AK$6)/Tableau1[[#This Row],[Diff jour_x000D_
Cumul
depuis le 24/01]]</f>
        <v>-56.65198042195199</v>
      </c>
      <c r="AN626" s="83">
        <f>(Tableau1[[#This Row],[Montant
Tarif HP/HC]]-AK$59)/Tableau1[[#This Row],[Diff jour_x000D_
Cumul
depuis
précédente facture
16/02/2021]]</f>
        <v>-58.531514500144937</v>
      </c>
      <c r="AO626" s="83">
        <f>Tableau1[[#This Row],[Conso HP + HC
Cumul]]*0.1599</f>
        <v>-46825.275899999993</v>
      </c>
      <c r="AP626" s="83">
        <f>Tableau1[[#This Row],[Montant
Tarif normal]]/Tableau1[[#This Row],[Diff jour_x000D_
Cumul]]</f>
        <v>-53.10702568068892</v>
      </c>
      <c r="AQ626" s="83">
        <f>(Tableau1[[#This Row],[Conso HP / an
Cumul]]*0.1799)+(Tableau1[[#This Row],[Conso HC / an_x000D_
Cumul]]*0.1346)</f>
        <v>-19609.145421156769</v>
      </c>
      <c r="AR626" s="83">
        <f>Tableau1[[#This Row],[Conso HP + HC / an_x000D_
Cumul]]*0.1599</f>
        <v>-19384.064373451456</v>
      </c>
      <c r="AS626" s="79">
        <f>MONTH(Tableau1[[#This Row],[Date]])</f>
        <v>5</v>
      </c>
      <c r="AT626" s="79">
        <f>YEAR(Tableau1[[#This Row],[Date]])</f>
        <v>2023</v>
      </c>
    </row>
    <row r="627" spans="1:46" x14ac:dyDescent="0.2">
      <c r="A627" s="74">
        <v>45065.32708333333</v>
      </c>
      <c r="B627" s="75"/>
      <c r="C627" s="76">
        <f>IF(ISERROR(Tableau1[[#This Row],[Date]]-A626),"",Tableau1[[#This Row],[Date]]-A626)</f>
        <v>0.90347222222044365</v>
      </c>
      <c r="D627" s="77">
        <f>IF(ISERROR(Tableau1[[#This Row],[Date]]-A626),"",Tableau1[[#This Row],[Date]]-A626)</f>
        <v>0.90347222222044365</v>
      </c>
      <c r="E627" s="76">
        <f>Tableau1[[#This Row],[Date]]-$A$5</f>
        <v>882.61874999999418</v>
      </c>
      <c r="F627" s="77">
        <f>Tableau1[[#This Row],[Date]]-$A$5</f>
        <v>882.61874999999418</v>
      </c>
      <c r="G627" s="77">
        <f>Tableau1[[#This Row],[Diff jour_x000D_
Cumul]]-F$6</f>
        <v>844.5354166666657</v>
      </c>
      <c r="H627" s="77">
        <f>Tableau1[[#This Row],[Diff jour_x000D_
Cumul]]-F$59</f>
        <v>822.01597222221608</v>
      </c>
      <c r="I627" s="78">
        <v>4214</v>
      </c>
      <c r="J627" s="79">
        <f>IF(ISERROR(Tableau1[[#This Row],[Index HP
kWh]]-I626),"",Tableau1[[#This Row],[Index HP
kWh]]-I626)</f>
        <v>9</v>
      </c>
      <c r="K627" s="77">
        <f>IF(ISERROR(Tableau1[[#This Row],[Différence HP
Instantané]]/(Tableau1[[#This Row],[Diff jour
Instantané]]*24)),"",Tableau1[[#This Row],[Différence HP
Instantané]]/(Tableau1[[#This Row],[Diff jour
Instantané]]*24))</f>
        <v>0.41506533435900311</v>
      </c>
      <c r="L627" s="77">
        <f>Tableau1[[#This Row],[Différence HP
Instantané]]/Tableau1[[#This Row],[Diff jour
Instantané]]</f>
        <v>9.9615680246160743</v>
      </c>
      <c r="M627" s="77">
        <f>Tableau1[[#This Row],[Conso HP / jour
Instantané]]*365</f>
        <v>3635.9723289848671</v>
      </c>
      <c r="N627" s="79">
        <f>Tableau1[[#This Row],[Index HP
kWh]]-$I$5</f>
        <v>-175545</v>
      </c>
      <c r="O627" s="80">
        <f>Tableau1[[#This Row],[Différence HP
Cumul]]/(Tableau1[[#This Row],[Diff jour_x000D_
Cumul]]*24)</f>
        <v>-8.2871285025386641</v>
      </c>
      <c r="P627" s="80">
        <f>Tableau1[[#This Row],[Différence HP
Cumul]]/Tableau1[[#This Row],[Diff jour_x000D_
Cumul]]</f>
        <v>-198.89108406092797</v>
      </c>
      <c r="Q627" s="80">
        <f>Tableau1[[#This Row],[Conso HP / jour
Cumul]]*365</f>
        <v>-72595.245682238703</v>
      </c>
      <c r="R627" s="78">
        <v>2150</v>
      </c>
      <c r="S627" s="79">
        <f>Tableau1[[#This Row],[Index HC_x000D_
kWh]]-R626</f>
        <v>5</v>
      </c>
      <c r="T627" s="81">
        <f>Tableau1[[#This Row],[Différence_x000D_ HC
Instantané]]/(Tableau1[[#This Row],[Diff jour
Instantané]]*24)</f>
        <v>0.23059185242166838</v>
      </c>
      <c r="U627" s="81">
        <f>Tableau1[[#This Row],[Différence_x000D_ HC
Instantané]]/Tableau1[[#This Row],[Diff jour
Instantané]]</f>
        <v>5.5342044581200414</v>
      </c>
      <c r="V627" s="81">
        <f>Tableau1[[#This Row],[Conso HC / jour_x000D_
Instantané]]*365</f>
        <v>2019.9846272138152</v>
      </c>
      <c r="W627" s="79">
        <f>Tableau1[[#This Row],[Index HC_x000D_
kWh]]-$R$5</f>
        <v>-117282</v>
      </c>
      <c r="X627" s="82">
        <f>Tableau1[[#This Row],[Différence HC
Cumul]]/(Tableau1[[#This Row],[Diff jour_x000D_
Cumul]]*24)</f>
        <v>-5.5366487512303948</v>
      </c>
      <c r="Y627" s="82">
        <f>Tableau1[[#This Row],[Différence HC
Cumul]]/Tableau1[[#This Row],[Diff jour_x000D_
Cumul]]</f>
        <v>-132.87957002952948</v>
      </c>
      <c r="Z627" s="82">
        <f>Tableau1[[#This Row],[Conso HC / jour_x000D_
Cumul]]*365</f>
        <v>-48501.043060778262</v>
      </c>
      <c r="AA627" s="79">
        <f>Tableau1[[#This Row],[Différence HP
Instantané]]+Tableau1[[#This Row],[Différence_x000D_ HC
Instantané]]</f>
        <v>14</v>
      </c>
      <c r="AB627" s="80">
        <f>Tableau1[[#This Row],[Conso HP + HC
Instantané]]/(Tableau1[[#This Row],[Diff jour
Instantané]]*24)</f>
        <v>0.64565718678067152</v>
      </c>
      <c r="AC627" s="80">
        <f>IF(ISERROR(Tableau1[[#This Row],[Date]]-A626),"",Tableau1[[#This Row],[Conso HP + HC
Instantané]]/Tableau1[[#This Row],[Diff jour
Instantané]])</f>
        <v>15.495772482736117</v>
      </c>
      <c r="AD627" s="80">
        <f>Tableau1[[#This Row],[Conso HP + HC / jour_x000D_
Instantané]]*365</f>
        <v>5655.9569561986827</v>
      </c>
      <c r="AE627" s="79">
        <f>Tableau1[[#This Row],[Différence HP
Cumul]]+Tableau1[[#This Row],[Différence HC
Cumul]]</f>
        <v>-292827</v>
      </c>
      <c r="AF627" s="77">
        <f>(Tableau1[[#This Row],[Conso HP + HC
Cumul]]-AE$6)/Tableau1[[#This Row],[Diff jour_x000D_
Cumul
depuis le 24/01]]</f>
        <v>-349.77573962015646</v>
      </c>
      <c r="AG627" s="77">
        <f>(Tableau1[[#This Row],[Conso HP + HC
Cumul]]-AE$59)/Tableau1[[#This Row],[Diff jour_x000D_
Cumul
depuis
précédente facture
16/02/2021]]</f>
        <v>-361.31171417154741</v>
      </c>
      <c r="AH627" s="80">
        <f>Tableau1[[#This Row],[Conso HP + HC
Cumul]]/(Tableau1[[#This Row],[Diff jour_x000D_
Cumul]]*24)</f>
        <v>-13.823777253769061</v>
      </c>
      <c r="AI627" s="80">
        <f>Tableau1[[#This Row],[Conso HP + HC
Cumul]]/Tableau1[[#This Row],[Diff jour_x000D_
Cumul]]</f>
        <v>-331.77065409045741</v>
      </c>
      <c r="AJ627" s="80">
        <f>Tableau1[[#This Row],[Conso HP + HC / jour_x000D_
Cumul]]*365</f>
        <v>-121096.28874301695</v>
      </c>
      <c r="AK627" s="83">
        <f>(Tableau1[[#This Row],[Différence HP
Cumul]]*0.1799)+(Tableau1[[#This Row],[Différence HC
Cumul]]*0.1346)</f>
        <v>-47366.702700000002</v>
      </c>
      <c r="AL627" s="83">
        <f>Tableau1[[#This Row],[Montant
Tarif HP/HC]]/Tableau1[[#This Row],[Diff jour_x000D_
Cumul]]</f>
        <v>-53.666096148535608</v>
      </c>
      <c r="AM627" s="83">
        <f>(Tableau1[[#This Row],[Montant
Tarif HP/HC]]-AK$6)/Tableau1[[#This Row],[Diff jour_x000D_
Cumul
depuis le 24/01]]</f>
        <v>-56.588660886039484</v>
      </c>
      <c r="AN627" s="83">
        <f>(Tableau1[[#This Row],[Montant
Tarif HP/HC]]-AK$59)/Tableau1[[#This Row],[Diff jour_x000D_
Cumul
depuis
précédente facture
16/02/2021]]</f>
        <v>-58.464394517882035</v>
      </c>
      <c r="AO627" s="83">
        <f>Tableau1[[#This Row],[Conso HP + HC
Cumul]]*0.1599</f>
        <v>-46823.037299999996</v>
      </c>
      <c r="AP627" s="83">
        <f>Tableau1[[#This Row],[Montant
Tarif normal]]/Tableau1[[#This Row],[Diff jour_x000D_
Cumul]]</f>
        <v>-53.050127589064139</v>
      </c>
      <c r="AQ627" s="83">
        <f>(Tableau1[[#This Row],[Conso HP / an
Cumul]]*0.1799)+(Tableau1[[#This Row],[Conso HC / an_x000D_
Cumul]]*0.1346)</f>
        <v>-19588.125094215495</v>
      </c>
      <c r="AR627" s="83">
        <f>Tableau1[[#This Row],[Conso HP + HC / an_x000D_
Cumul]]*0.1599</f>
        <v>-19363.29657000841</v>
      </c>
      <c r="AS627" s="79">
        <f>MONTH(Tableau1[[#This Row],[Date]])</f>
        <v>5</v>
      </c>
      <c r="AT627" s="79">
        <f>YEAR(Tableau1[[#This Row],[Date]])</f>
        <v>2023</v>
      </c>
    </row>
    <row r="628" spans="1:46" x14ac:dyDescent="0.2">
      <c r="A628" s="74">
        <v>45066.351388888892</v>
      </c>
      <c r="B628" s="75"/>
      <c r="C628" s="76">
        <f>IF(ISERROR(Tableau1[[#This Row],[Date]]-A627),"",Tableau1[[#This Row],[Date]]-A627)</f>
        <v>1.0243055555620231</v>
      </c>
      <c r="D628" s="77">
        <f>IF(ISERROR(Tableau1[[#This Row],[Date]]-A627),"",Tableau1[[#This Row],[Date]]-A627)</f>
        <v>1.0243055555620231</v>
      </c>
      <c r="E628" s="76">
        <f>Tableau1[[#This Row],[Date]]-$A$5</f>
        <v>883.6430555555562</v>
      </c>
      <c r="F628" s="77">
        <f>Tableau1[[#This Row],[Date]]-$A$5</f>
        <v>883.6430555555562</v>
      </c>
      <c r="G628" s="77">
        <f>Tableau1[[#This Row],[Diff jour_x000D_
Cumul]]-F$6</f>
        <v>845.55972222222772</v>
      </c>
      <c r="H628" s="77">
        <f>Tableau1[[#This Row],[Diff jour_x000D_
Cumul]]-F$59</f>
        <v>823.0402777777781</v>
      </c>
      <c r="I628" s="78">
        <v>4219</v>
      </c>
      <c r="J628" s="79">
        <f>IF(ISERROR(Tableau1[[#This Row],[Index HP
kWh]]-I627),"",Tableau1[[#This Row],[Index HP
kWh]]-I627)</f>
        <v>5</v>
      </c>
      <c r="K628" s="77">
        <f>IF(ISERROR(Tableau1[[#This Row],[Différence HP
Instantané]]/(Tableau1[[#This Row],[Diff jour
Instantané]]*24)),"",Tableau1[[#This Row],[Différence HP
Instantané]]/(Tableau1[[#This Row],[Diff jour
Instantané]]*24))</f>
        <v>0.20338983050719037</v>
      </c>
      <c r="L628" s="77">
        <f>Tableau1[[#This Row],[Différence HP
Instantané]]/Tableau1[[#This Row],[Diff jour
Instantané]]</f>
        <v>4.8813559321725686</v>
      </c>
      <c r="M628" s="77">
        <f>Tableau1[[#This Row],[Conso HP / jour
Instantané]]*365</f>
        <v>1781.6949152429875</v>
      </c>
      <c r="N628" s="79">
        <f>Tableau1[[#This Row],[Index HP
kWh]]-$I$5</f>
        <v>-175540</v>
      </c>
      <c r="O628" s="80">
        <f>Tableau1[[#This Row],[Différence HP
Cumul]]/(Tableau1[[#This Row],[Diff jour_x000D_
Cumul]]*24)</f>
        <v>-8.2772864231566547</v>
      </c>
      <c r="P628" s="80">
        <f>Tableau1[[#This Row],[Différence HP
Cumul]]/Tableau1[[#This Row],[Diff jour_x000D_
Cumul]]</f>
        <v>-198.6548741557597</v>
      </c>
      <c r="Q628" s="80">
        <f>Tableau1[[#This Row],[Conso HP / jour
Cumul]]*365</f>
        <v>-72509.029066852294</v>
      </c>
      <c r="R628" s="78">
        <v>2153</v>
      </c>
      <c r="S628" s="79">
        <f>Tableau1[[#This Row],[Index HC_x000D_
kWh]]-R627</f>
        <v>3</v>
      </c>
      <c r="T628" s="81">
        <f>Tableau1[[#This Row],[Différence_x000D_ HC
Instantané]]/(Tableau1[[#This Row],[Diff jour
Instantané]]*24)</f>
        <v>0.12203389830431421</v>
      </c>
      <c r="U628" s="81">
        <f>Tableau1[[#This Row],[Différence_x000D_ HC
Instantané]]/Tableau1[[#This Row],[Diff jour
Instantané]]</f>
        <v>2.9288135593035411</v>
      </c>
      <c r="V628" s="81">
        <f>Tableau1[[#This Row],[Conso HC / jour_x000D_
Instantané]]*365</f>
        <v>1069.0169491457925</v>
      </c>
      <c r="W628" s="79">
        <f>Tableau1[[#This Row],[Index HC_x000D_
kWh]]-$R$5</f>
        <v>-117279</v>
      </c>
      <c r="X628" s="82">
        <f>Tableau1[[#This Row],[Différence HC
Cumul]]/(Tableau1[[#This Row],[Diff jour_x000D_
Cumul]]*24)</f>
        <v>-5.5300892925908016</v>
      </c>
      <c r="Y628" s="82">
        <f>Tableau1[[#This Row],[Différence HC
Cumul]]/Tableau1[[#This Row],[Diff jour_x000D_
Cumul]]</f>
        <v>-132.72214302217924</v>
      </c>
      <c r="Z628" s="82">
        <f>Tableau1[[#This Row],[Conso HC / jour_x000D_
Cumul]]*365</f>
        <v>-48443.582203095422</v>
      </c>
      <c r="AA628" s="79">
        <f>Tableau1[[#This Row],[Différence HP
Instantané]]+Tableau1[[#This Row],[Différence_x000D_ HC
Instantané]]</f>
        <v>8</v>
      </c>
      <c r="AB628" s="80">
        <f>Tableau1[[#This Row],[Conso HP + HC
Instantané]]/(Tableau1[[#This Row],[Diff jour
Instantané]]*24)</f>
        <v>0.32542372881150455</v>
      </c>
      <c r="AC628" s="80">
        <f>IF(ISERROR(Tableau1[[#This Row],[Date]]-A627),"",Tableau1[[#This Row],[Conso HP + HC
Instantané]]/Tableau1[[#This Row],[Diff jour
Instantané]])</f>
        <v>7.8101694914761097</v>
      </c>
      <c r="AD628" s="80">
        <f>Tableau1[[#This Row],[Conso HP + HC / jour_x000D_
Instantané]]*365</f>
        <v>2850.7118643887802</v>
      </c>
      <c r="AE628" s="79">
        <f>Tableau1[[#This Row],[Différence HP
Cumul]]+Tableau1[[#This Row],[Différence HC
Cumul]]</f>
        <v>-292819</v>
      </c>
      <c r="AF628" s="77">
        <f>(Tableau1[[#This Row],[Conso HP + HC
Cumul]]-AE$6)/Tableau1[[#This Row],[Diff jour_x000D_
Cumul
depuis le 24/01]]</f>
        <v>-349.34256237239077</v>
      </c>
      <c r="AG628" s="77">
        <f>(Tableau1[[#This Row],[Conso HP + HC
Cumul]]-AE$59)/Tableau1[[#This Row],[Diff jour_x000D_
Cumul
depuis
précédente facture
16/02/2021]]</f>
        <v>-360.85232766723635</v>
      </c>
      <c r="AH628" s="80">
        <f>Tableau1[[#This Row],[Conso HP + HC
Cumul]]/(Tableau1[[#This Row],[Diff jour_x000D_
Cumul]]*24)</f>
        <v>-13.807375715747456</v>
      </c>
      <c r="AI628" s="80">
        <f>Tableau1[[#This Row],[Conso HP + HC
Cumul]]/Tableau1[[#This Row],[Diff jour_x000D_
Cumul]]</f>
        <v>-331.37701717793897</v>
      </c>
      <c r="AJ628" s="80">
        <f>Tableau1[[#This Row],[Conso HP + HC / jour_x000D_
Cumul]]*365</f>
        <v>-120952.61126994772</v>
      </c>
      <c r="AK628" s="83">
        <f>(Tableau1[[#This Row],[Différence HP
Cumul]]*0.1799)+(Tableau1[[#This Row],[Différence HC
Cumul]]*0.1346)</f>
        <v>-47365.399400000002</v>
      </c>
      <c r="AL628" s="83">
        <f>Tableau1[[#This Row],[Montant
Tarif HP/HC]]/Tableau1[[#This Row],[Diff jour_x000D_
Cumul]]</f>
        <v>-53.602412311406496</v>
      </c>
      <c r="AM628" s="83">
        <f>(Tableau1[[#This Row],[Montant
Tarif HP/HC]]-AK$6)/Tableau1[[#This Row],[Diff jour_x000D_
Cumul
depuis le 24/01]]</f>
        <v>-56.51856840390041</v>
      </c>
      <c r="AN628" s="83">
        <f>(Tableau1[[#This Row],[Montant
Tarif HP/HC]]-AK$59)/Tableau1[[#This Row],[Diff jour_x000D_
Cumul
depuis
précédente facture
16/02/2021]]</f>
        <v>-58.390049791676844</v>
      </c>
      <c r="AO628" s="83">
        <f>Tableau1[[#This Row],[Conso HP + HC
Cumul]]*0.1599</f>
        <v>-46821.758099999999</v>
      </c>
      <c r="AP628" s="83">
        <f>Tableau1[[#This Row],[Montant
Tarif normal]]/Tableau1[[#This Row],[Diff jour_x000D_
Cumul]]</f>
        <v>-52.987185046752437</v>
      </c>
      <c r="AQ628" s="83">
        <f>(Tableau1[[#This Row],[Conso HP / an
Cumul]]*0.1799)+(Tableau1[[#This Row],[Conso HC / an_x000D_
Cumul]]*0.1346)</f>
        <v>-19564.880493663371</v>
      </c>
      <c r="AR628" s="83">
        <f>Tableau1[[#This Row],[Conso HP + HC / an_x000D_
Cumul]]*0.1599</f>
        <v>-19340.322542064638</v>
      </c>
      <c r="AS628" s="79">
        <f>MONTH(Tableau1[[#This Row],[Date]])</f>
        <v>5</v>
      </c>
      <c r="AT628" s="79">
        <f>YEAR(Tableau1[[#This Row],[Date]])</f>
        <v>2023</v>
      </c>
    </row>
    <row r="629" spans="1:46" x14ac:dyDescent="0.2">
      <c r="A629" s="74">
        <v>45067.336111111108</v>
      </c>
      <c r="B629" s="75"/>
      <c r="C629" s="76">
        <f>IF(ISERROR(Tableau1[[#This Row],[Date]]-A628),"",Tableau1[[#This Row],[Date]]-A628)</f>
        <v>0.98472222221607808</v>
      </c>
      <c r="D629" s="77">
        <f>IF(ISERROR(Tableau1[[#This Row],[Date]]-A628),"",Tableau1[[#This Row],[Date]]-A628)</f>
        <v>0.98472222221607808</v>
      </c>
      <c r="E629" s="76">
        <f>Tableau1[[#This Row],[Date]]-$A$5</f>
        <v>884.62777777777228</v>
      </c>
      <c r="F629" s="77">
        <f>Tableau1[[#This Row],[Date]]-$A$5</f>
        <v>884.62777777777228</v>
      </c>
      <c r="G629" s="77">
        <f>Tableau1[[#This Row],[Diff jour_x000D_
Cumul]]-F$6</f>
        <v>846.5444444444438</v>
      </c>
      <c r="H629" s="77">
        <f>Tableau1[[#This Row],[Diff jour_x000D_
Cumul]]-F$59</f>
        <v>824.02499999999418</v>
      </c>
      <c r="I629" s="78">
        <v>4227</v>
      </c>
      <c r="J629" s="79">
        <f>IF(ISERROR(Tableau1[[#This Row],[Index HP
kWh]]-I628),"",Tableau1[[#This Row],[Index HP
kWh]]-I628)</f>
        <v>8</v>
      </c>
      <c r="K629" s="77">
        <f>IF(ISERROR(Tableau1[[#This Row],[Différence HP
Instantané]]/(Tableau1[[#This Row],[Diff jour
Instantané]]*24)),"",Tableau1[[#This Row],[Différence HP
Instantané]]/(Tableau1[[#This Row],[Diff jour
Instantané]]*24))</f>
        <v>0.33850493653243652</v>
      </c>
      <c r="L629" s="77">
        <f>Tableau1[[#This Row],[Différence HP
Instantané]]/Tableau1[[#This Row],[Diff jour
Instantané]]</f>
        <v>8.1241184767784755</v>
      </c>
      <c r="M629" s="77">
        <f>Tableau1[[#This Row],[Conso HP / jour
Instantané]]*365</f>
        <v>2965.3032440241436</v>
      </c>
      <c r="N629" s="79">
        <f>Tableau1[[#This Row],[Index HP
kWh]]-$I$5</f>
        <v>-175532</v>
      </c>
      <c r="O629" s="80">
        <f>Tableau1[[#This Row],[Différence HP
Cumul]]/(Tableau1[[#This Row],[Diff jour_x000D_
Cumul]]*24)</f>
        <v>-8.2676957665810988</v>
      </c>
      <c r="P629" s="80">
        <f>Tableau1[[#This Row],[Différence HP
Cumul]]/Tableau1[[#This Row],[Diff jour_x000D_
Cumul]]</f>
        <v>-198.42469839794637</v>
      </c>
      <c r="Q629" s="80">
        <f>Tableau1[[#This Row],[Conso HP / jour
Cumul]]*365</f>
        <v>-72425.014915250431</v>
      </c>
      <c r="R629" s="78">
        <v>2155</v>
      </c>
      <c r="S629" s="79">
        <f>Tableau1[[#This Row],[Index HC_x000D_
kWh]]-R628</f>
        <v>2</v>
      </c>
      <c r="T629" s="81">
        <f>Tableau1[[#This Row],[Différence_x000D_ HC
Instantané]]/(Tableau1[[#This Row],[Diff jour
Instantané]]*24)</f>
        <v>8.4626234133109129E-2</v>
      </c>
      <c r="U629" s="81">
        <f>Tableau1[[#This Row],[Différence_x000D_ HC
Instantané]]/Tableau1[[#This Row],[Diff jour
Instantané]]</f>
        <v>2.0310296191946189</v>
      </c>
      <c r="V629" s="81">
        <f>Tableau1[[#This Row],[Conso HC / jour_x000D_
Instantané]]*365</f>
        <v>741.32581100603591</v>
      </c>
      <c r="W629" s="79">
        <f>Tableau1[[#This Row],[Index HC_x000D_
kWh]]-$R$5</f>
        <v>-117277</v>
      </c>
      <c r="X629" s="82">
        <f>Tableau1[[#This Row],[Différence HC
Cumul]]/(Tableau1[[#This Row],[Diff jour_x000D_
Cumul]]*24)</f>
        <v>-5.5238392795463591</v>
      </c>
      <c r="Y629" s="82">
        <f>Tableau1[[#This Row],[Différence HC
Cumul]]/Tableau1[[#This Row],[Diff jour_x000D_
Cumul]]</f>
        <v>-132.57214270911263</v>
      </c>
      <c r="Z629" s="82">
        <f>Tableau1[[#This Row],[Conso HC / jour_x000D_
Cumul]]*365</f>
        <v>-48388.832088826108</v>
      </c>
      <c r="AA629" s="79">
        <f>Tableau1[[#This Row],[Différence HP
Instantané]]+Tableau1[[#This Row],[Différence_x000D_ HC
Instantané]]</f>
        <v>10</v>
      </c>
      <c r="AB629" s="80">
        <f>Tableau1[[#This Row],[Conso HP + HC
Instantané]]/(Tableau1[[#This Row],[Diff jour
Instantané]]*24)</f>
        <v>0.42313117066554562</v>
      </c>
      <c r="AC629" s="80">
        <f>IF(ISERROR(Tableau1[[#This Row],[Date]]-A628),"",Tableau1[[#This Row],[Conso HP + HC
Instantané]]/Tableau1[[#This Row],[Diff jour
Instantané]])</f>
        <v>10.155148095973095</v>
      </c>
      <c r="AD629" s="80">
        <f>Tableau1[[#This Row],[Conso HP + HC / jour_x000D_
Instantané]]*365</f>
        <v>3706.6290550301796</v>
      </c>
      <c r="AE629" s="79">
        <f>Tableau1[[#This Row],[Différence HP
Cumul]]+Tableau1[[#This Row],[Différence HC
Cumul]]</f>
        <v>-292809</v>
      </c>
      <c r="AF629" s="77">
        <f>(Tableau1[[#This Row],[Conso HP + HC
Cumul]]-AE$6)/Tableau1[[#This Row],[Diff jour_x000D_
Cumul
depuis le 24/01]]</f>
        <v>-348.92438540996761</v>
      </c>
      <c r="AG629" s="77">
        <f>(Tableau1[[#This Row],[Conso HP + HC
Cumul]]-AE$59)/Tableau1[[#This Row],[Diff jour_x000D_
Cumul
depuis
précédente facture
16/02/2021]]</f>
        <v>-360.40896817451181</v>
      </c>
      <c r="AH629" s="80">
        <f>Tableau1[[#This Row],[Conso HP + HC
Cumul]]/(Tableau1[[#This Row],[Diff jour_x000D_
Cumul]]*24)</f>
        <v>-13.791535046127459</v>
      </c>
      <c r="AI629" s="80">
        <f>Tableau1[[#This Row],[Conso HP + HC
Cumul]]/Tableau1[[#This Row],[Diff jour_x000D_
Cumul]]</f>
        <v>-330.99684110705903</v>
      </c>
      <c r="AJ629" s="80">
        <f>Tableau1[[#This Row],[Conso HP + HC / jour_x000D_
Cumul]]*365</f>
        <v>-120813.84700407654</v>
      </c>
      <c r="AK629" s="83">
        <f>(Tableau1[[#This Row],[Différence HP
Cumul]]*0.1799)+(Tableau1[[#This Row],[Différence HC
Cumul]]*0.1346)</f>
        <v>-47363.690999999999</v>
      </c>
      <c r="AL629" s="83">
        <f>Tableau1[[#This Row],[Montant
Tarif HP/HC]]/Tableau1[[#This Row],[Diff jour_x000D_
Cumul]]</f>
        <v>-53.540813650437116</v>
      </c>
      <c r="AM629" s="83">
        <f>(Tableau1[[#This Row],[Montant
Tarif HP/HC]]-AK$6)/Tableau1[[#This Row],[Diff jour_x000D_
Cumul
depuis le 24/01]]</f>
        <v>-56.450806468125364</v>
      </c>
      <c r="AN629" s="83">
        <f>(Tableau1[[#This Row],[Montant
Tarif HP/HC]]-AK$59)/Tableau1[[#This Row],[Diff jour_x000D_
Cumul
depuis
précédente facture
16/02/2021]]</f>
        <v>-58.318199569188238</v>
      </c>
      <c r="AO629" s="83">
        <f>Tableau1[[#This Row],[Conso HP + HC
Cumul]]*0.1599</f>
        <v>-46820.159099999997</v>
      </c>
      <c r="AP629" s="83">
        <f>Tableau1[[#This Row],[Montant
Tarif normal]]/Tableau1[[#This Row],[Diff jour_x000D_
Cumul]]</f>
        <v>-52.926394893018731</v>
      </c>
      <c r="AQ629" s="83">
        <f>(Tableau1[[#This Row],[Conso HP / an
Cumul]]*0.1799)+(Tableau1[[#This Row],[Conso HC / an_x000D_
Cumul]]*0.1346)</f>
        <v>-19542.396982409547</v>
      </c>
      <c r="AR629" s="83">
        <f>Tableau1[[#This Row],[Conso HP + HC / an_x000D_
Cumul]]*0.1599</f>
        <v>-19318.134135951837</v>
      </c>
      <c r="AS629" s="79">
        <f>MONTH(Tableau1[[#This Row],[Date]])</f>
        <v>5</v>
      </c>
      <c r="AT629" s="79">
        <f>YEAR(Tableau1[[#This Row],[Date]])</f>
        <v>2023</v>
      </c>
    </row>
    <row r="630" spans="1:46" x14ac:dyDescent="0.2">
      <c r="A630" s="74">
        <v>45068.326388888891</v>
      </c>
      <c r="B630" s="75"/>
      <c r="C630" s="76">
        <f>IF(ISERROR(Tableau1[[#This Row],[Date]]-A629),"",Tableau1[[#This Row],[Date]]-A629)</f>
        <v>0.99027777778246673</v>
      </c>
      <c r="D630" s="77">
        <f>IF(ISERROR(Tableau1[[#This Row],[Date]]-A629),"",Tableau1[[#This Row],[Date]]-A629)</f>
        <v>0.99027777778246673</v>
      </c>
      <c r="E630" s="76">
        <f>Tableau1[[#This Row],[Date]]-$A$5</f>
        <v>885.61805555555475</v>
      </c>
      <c r="F630" s="77">
        <f>Tableau1[[#This Row],[Date]]-$A$5</f>
        <v>885.61805555555475</v>
      </c>
      <c r="G630" s="77">
        <f>Tableau1[[#This Row],[Diff jour_x000D_
Cumul]]-F$6</f>
        <v>847.53472222222626</v>
      </c>
      <c r="H630" s="77">
        <f>Tableau1[[#This Row],[Diff jour_x000D_
Cumul]]-F$59</f>
        <v>825.01527777777665</v>
      </c>
      <c r="I630" s="78">
        <v>4236</v>
      </c>
      <c r="J630" s="79">
        <f>IF(ISERROR(Tableau1[[#This Row],[Index HP
kWh]]-I629),"",Tableau1[[#This Row],[Index HP
kWh]]-I629)</f>
        <v>9</v>
      </c>
      <c r="K630" s="77">
        <f>IF(ISERROR(Tableau1[[#This Row],[Différence HP
Instantané]]/(Tableau1[[#This Row],[Diff jour
Instantané]]*24)),"",Tableau1[[#This Row],[Différence HP
Instantané]]/(Tableau1[[#This Row],[Diff jour
Instantané]]*24))</f>
        <v>0.37868162692667817</v>
      </c>
      <c r="L630" s="77">
        <f>Tableau1[[#This Row],[Différence HP
Instantané]]/Tableau1[[#This Row],[Diff jour
Instantané]]</f>
        <v>9.0883590462402761</v>
      </c>
      <c r="M630" s="77">
        <f>Tableau1[[#This Row],[Conso HP / jour
Instantané]]*365</f>
        <v>3317.2510518777008</v>
      </c>
      <c r="N630" s="79">
        <f>Tableau1[[#This Row],[Index HP
kWh]]-$I$5</f>
        <v>-175523</v>
      </c>
      <c r="O630" s="80">
        <f>Tableau1[[#This Row],[Différence HP
Cumul]]/(Tableau1[[#This Row],[Diff jour_x000D_
Cumul]]*24)</f>
        <v>-8.2580275858824344</v>
      </c>
      <c r="P630" s="80">
        <f>Tableau1[[#This Row],[Différence HP
Cumul]]/Tableau1[[#This Row],[Diff jour_x000D_
Cumul]]</f>
        <v>-198.19266206117842</v>
      </c>
      <c r="Q630" s="80">
        <f>Tableau1[[#This Row],[Conso HP / jour
Cumul]]*365</f>
        <v>-72340.321652330123</v>
      </c>
      <c r="R630" s="78">
        <v>2157</v>
      </c>
      <c r="S630" s="79">
        <f>Tableau1[[#This Row],[Index HC_x000D_
kWh]]-R629</f>
        <v>2</v>
      </c>
      <c r="T630" s="81">
        <f>Tableau1[[#This Row],[Différence_x000D_ HC
Instantané]]/(Tableau1[[#This Row],[Diff jour
Instantané]]*24)</f>
        <v>8.4151472650372927E-2</v>
      </c>
      <c r="U630" s="81">
        <f>Tableau1[[#This Row],[Différence_x000D_ HC
Instantané]]/Tableau1[[#This Row],[Diff jour
Instantané]]</f>
        <v>2.0196353436089503</v>
      </c>
      <c r="V630" s="81">
        <f>Tableau1[[#This Row],[Conso HC / jour_x000D_
Instantané]]*365</f>
        <v>737.16690041726679</v>
      </c>
      <c r="W630" s="79">
        <f>Tableau1[[#This Row],[Index HC_x000D_
kWh]]-$R$5</f>
        <v>-117275</v>
      </c>
      <c r="X630" s="82">
        <f>Tableau1[[#This Row],[Différence HC
Cumul]]/(Tableau1[[#This Row],[Diff jour_x000D_
Cumul]]*24)</f>
        <v>-5.5175685530350007</v>
      </c>
      <c r="Y630" s="82">
        <f>Tableau1[[#This Row],[Différence HC
Cumul]]/Tableau1[[#This Row],[Diff jour_x000D_
Cumul]]</f>
        <v>-132.42164527284001</v>
      </c>
      <c r="Z630" s="82">
        <f>Tableau1[[#This Row],[Conso HC / jour_x000D_
Cumul]]*365</f>
        <v>-48333.900524586606</v>
      </c>
      <c r="AA630" s="79">
        <f>Tableau1[[#This Row],[Différence HP
Instantané]]+Tableau1[[#This Row],[Différence_x000D_ HC
Instantané]]</f>
        <v>11</v>
      </c>
      <c r="AB630" s="80">
        <f>Tableau1[[#This Row],[Conso HP + HC
Instantané]]/(Tableau1[[#This Row],[Diff jour
Instantané]]*24)</f>
        <v>0.46283309957705115</v>
      </c>
      <c r="AC630" s="80">
        <f>IF(ISERROR(Tableau1[[#This Row],[Date]]-A629),"",Tableau1[[#This Row],[Conso HP + HC
Instantané]]/Tableau1[[#This Row],[Diff jour
Instantané]])</f>
        <v>11.107994389849226</v>
      </c>
      <c r="AD630" s="80">
        <f>Tableau1[[#This Row],[Conso HP + HC / jour_x000D_
Instantané]]*365</f>
        <v>4054.4179522949676</v>
      </c>
      <c r="AE630" s="79">
        <f>Tableau1[[#This Row],[Différence HP
Cumul]]+Tableau1[[#This Row],[Différence HC
Cumul]]</f>
        <v>-292798</v>
      </c>
      <c r="AF630" s="77">
        <f>(Tableau1[[#This Row],[Conso HP + HC
Cumul]]-AE$6)/Tableau1[[#This Row],[Diff jour_x000D_
Cumul
depuis le 24/01]]</f>
        <v>-348.50371584251542</v>
      </c>
      <c r="AG630" s="77">
        <f>(Tableau1[[#This Row],[Conso HP + HC
Cumul]]-AE$59)/Tableau1[[#This Row],[Diff jour_x000D_
Cumul
depuis
précédente facture
16/02/2021]]</f>
        <v>-359.96303098764213</v>
      </c>
      <c r="AH630" s="80">
        <f>Tableau1[[#This Row],[Conso HP + HC
Cumul]]/(Tableau1[[#This Row],[Diff jour_x000D_
Cumul]]*24)</f>
        <v>-13.775596138917436</v>
      </c>
      <c r="AI630" s="80">
        <f>Tableau1[[#This Row],[Conso HP + HC
Cumul]]/Tableau1[[#This Row],[Diff jour_x000D_
Cumul]]</f>
        <v>-330.61430733401846</v>
      </c>
      <c r="AJ630" s="80">
        <f>Tableau1[[#This Row],[Conso HP + HC / jour_x000D_
Cumul]]*365</f>
        <v>-120674.22217691674</v>
      </c>
      <c r="AK630" s="83">
        <f>(Tableau1[[#This Row],[Différence HP
Cumul]]*0.1799)+(Tableau1[[#This Row],[Différence HC
Cumul]]*0.1346)</f>
        <v>-47361.8027</v>
      </c>
      <c r="AL630" s="83">
        <f>Tableau1[[#This Row],[Montant
Tarif HP/HC]]/Tableau1[[#This Row],[Diff jour_x000D_
Cumul]]</f>
        <v>-53.478813358530267</v>
      </c>
      <c r="AM630" s="83">
        <f>(Tableau1[[#This Row],[Montant
Tarif HP/HC]]-AK$6)/Tableau1[[#This Row],[Diff jour_x000D_
Cumul
depuis le 24/01]]</f>
        <v>-56.382620141750728</v>
      </c>
      <c r="AN630" s="83">
        <f>(Tableau1[[#This Row],[Montant
Tarif HP/HC]]-AK$59)/Tableau1[[#This Row],[Diff jour_x000D_
Cumul
depuis
précédente facture
16/02/2021]]</f>
        <v>-58.245910584147509</v>
      </c>
      <c r="AO630" s="83">
        <f>Tableau1[[#This Row],[Conso HP + HC
Cumul]]*0.1599</f>
        <v>-46818.400199999996</v>
      </c>
      <c r="AP630" s="83">
        <f>Tableau1[[#This Row],[Montant
Tarif normal]]/Tableau1[[#This Row],[Diff jour_x000D_
Cumul]]</f>
        <v>-52.865227742709543</v>
      </c>
      <c r="AQ630" s="83">
        <f>(Tableau1[[#This Row],[Conso HP / an
Cumul]]*0.1799)+(Tableau1[[#This Row],[Conso HC / an_x000D_
Cumul]]*0.1346)</f>
        <v>-19519.766875863548</v>
      </c>
      <c r="AR630" s="83">
        <f>Tableau1[[#This Row],[Conso HP + HC / an_x000D_
Cumul]]*0.1599</f>
        <v>-19295.808126088985</v>
      </c>
      <c r="AS630" s="79">
        <f>MONTH(Tableau1[[#This Row],[Date]])</f>
        <v>5</v>
      </c>
      <c r="AT630" s="79">
        <f>YEAR(Tableau1[[#This Row],[Date]])</f>
        <v>2023</v>
      </c>
    </row>
    <row r="631" spans="1:46" x14ac:dyDescent="0.2">
      <c r="A631" s="74">
        <v>45069.309027777781</v>
      </c>
      <c r="B631" s="75"/>
      <c r="C631" s="76">
        <f>IF(ISERROR(Tableau1[[#This Row],[Date]]-A630),"",Tableau1[[#This Row],[Date]]-A630)</f>
        <v>0.98263888889050577</v>
      </c>
      <c r="D631" s="77">
        <f>IF(ISERROR(Tableau1[[#This Row],[Date]]-A630),"",Tableau1[[#This Row],[Date]]-A630)</f>
        <v>0.98263888889050577</v>
      </c>
      <c r="E631" s="76">
        <f>Tableau1[[#This Row],[Date]]-$A$5</f>
        <v>886.60069444444525</v>
      </c>
      <c r="F631" s="77">
        <f>Tableau1[[#This Row],[Date]]-$A$5</f>
        <v>886.60069444444525</v>
      </c>
      <c r="G631" s="77">
        <f>Tableau1[[#This Row],[Diff jour_x000D_
Cumul]]-F$6</f>
        <v>848.51736111111677</v>
      </c>
      <c r="H631" s="77">
        <f>Tableau1[[#This Row],[Diff jour_x000D_
Cumul]]-F$59</f>
        <v>825.99791666666715</v>
      </c>
      <c r="I631" s="78">
        <v>4241</v>
      </c>
      <c r="J631" s="79">
        <f>IF(ISERROR(Tableau1[[#This Row],[Index HP
kWh]]-I630),"",Tableau1[[#This Row],[Index HP
kWh]]-I630)</f>
        <v>5</v>
      </c>
      <c r="K631" s="77">
        <f>IF(ISERROR(Tableau1[[#This Row],[Différence HP
Instantané]]/(Tableau1[[#This Row],[Diff jour
Instantané]]*24)),"",Tableau1[[#This Row],[Différence HP
Instantané]]/(Tableau1[[#This Row],[Diff jour
Instantané]]*24))</f>
        <v>0.21201413427526952</v>
      </c>
      <c r="L631" s="77">
        <f>Tableau1[[#This Row],[Différence HP
Instantané]]/Tableau1[[#This Row],[Diff jour
Instantané]]</f>
        <v>5.0883392226064688</v>
      </c>
      <c r="M631" s="77">
        <f>Tableau1[[#This Row],[Conso HP / jour
Instantané]]*365</f>
        <v>1857.2438162513611</v>
      </c>
      <c r="N631" s="79">
        <f>Tableau1[[#This Row],[Index HP
kWh]]-$I$5</f>
        <v>-175518</v>
      </c>
      <c r="O631" s="80">
        <f>Tableau1[[#This Row],[Différence HP
Cumul]]/(Tableau1[[#This Row],[Diff jour_x000D_
Cumul]]*24)</f>
        <v>-8.2486400538887139</v>
      </c>
      <c r="P631" s="80">
        <f>Tableau1[[#This Row],[Différence HP
Cumul]]/Tableau1[[#This Row],[Diff jour_x000D_
Cumul]]</f>
        <v>-197.96736129332913</v>
      </c>
      <c r="Q631" s="80">
        <f>Tableau1[[#This Row],[Conso HP / jour
Cumul]]*365</f>
        <v>-72258.086872065134</v>
      </c>
      <c r="R631" s="78">
        <v>2160</v>
      </c>
      <c r="S631" s="79">
        <f>Tableau1[[#This Row],[Index HC_x000D_
kWh]]-R630</f>
        <v>3</v>
      </c>
      <c r="T631" s="81">
        <f>Tableau1[[#This Row],[Différence_x000D_ HC
Instantané]]/(Tableau1[[#This Row],[Diff jour
Instantané]]*24)</f>
        <v>0.12720848056516171</v>
      </c>
      <c r="U631" s="81">
        <f>Tableau1[[#This Row],[Différence_x000D_ HC
Instantané]]/Tableau1[[#This Row],[Diff jour
Instantané]]</f>
        <v>3.053003533563881</v>
      </c>
      <c r="V631" s="81">
        <f>Tableau1[[#This Row],[Conso HC / jour_x000D_
Instantané]]*365</f>
        <v>1114.3462897508166</v>
      </c>
      <c r="W631" s="79">
        <f>Tableau1[[#This Row],[Index HC_x000D_
kWh]]-$R$5</f>
        <v>-117272</v>
      </c>
      <c r="X631" s="82">
        <f>Tableau1[[#This Row],[Différence HC
Cumul]]/(Tableau1[[#This Row],[Diff jour_x000D_
Cumul]]*24)</f>
        <v>-5.5113123235203068</v>
      </c>
      <c r="Y631" s="82">
        <f>Tableau1[[#This Row],[Différence HC
Cumul]]/Tableau1[[#This Row],[Diff jour_x000D_
Cumul]]</f>
        <v>-132.27149576448736</v>
      </c>
      <c r="Z631" s="82">
        <f>Tableau1[[#This Row],[Conso HC / jour_x000D_
Cumul]]*365</f>
        <v>-48279.095954037883</v>
      </c>
      <c r="AA631" s="79">
        <f>Tableau1[[#This Row],[Différence HP
Instantané]]+Tableau1[[#This Row],[Différence_x000D_ HC
Instantané]]</f>
        <v>8</v>
      </c>
      <c r="AB631" s="80">
        <f>Tableau1[[#This Row],[Conso HP + HC
Instantané]]/(Tableau1[[#This Row],[Diff jour
Instantané]]*24)</f>
        <v>0.3392226148404312</v>
      </c>
      <c r="AC631" s="80">
        <f>IF(ISERROR(Tableau1[[#This Row],[Date]]-A630),"",Tableau1[[#This Row],[Conso HP + HC
Instantané]]/Tableau1[[#This Row],[Diff jour
Instantané]])</f>
        <v>8.1413427561703493</v>
      </c>
      <c r="AD631" s="80">
        <f>Tableau1[[#This Row],[Conso HP + HC / jour_x000D_
Instantané]]*365</f>
        <v>2971.5901060021774</v>
      </c>
      <c r="AE631" s="79">
        <f>Tableau1[[#This Row],[Différence HP
Cumul]]+Tableau1[[#This Row],[Différence HC
Cumul]]</f>
        <v>-292790</v>
      </c>
      <c r="AF631" s="77">
        <f>(Tableau1[[#This Row],[Conso HP + HC
Cumul]]-AE$6)/Tableau1[[#This Row],[Diff jour_x000D_
Cumul
depuis le 24/01]]</f>
        <v>-348.09069741747015</v>
      </c>
      <c r="AG631" s="77">
        <f>(Tableau1[[#This Row],[Conso HP + HC
Cumul]]-AE$59)/Tableau1[[#This Row],[Diff jour_x000D_
Cumul
depuis
précédente facture
16/02/2021]]</f>
        <v>-359.52511986763466</v>
      </c>
      <c r="AH631" s="80">
        <f>Tableau1[[#This Row],[Conso HP + HC
Cumul]]/(Tableau1[[#This Row],[Diff jour_x000D_
Cumul]]*24)</f>
        <v>-13.759952377409022</v>
      </c>
      <c r="AI631" s="80">
        <f>Tableau1[[#This Row],[Conso HP + HC
Cumul]]/Tableau1[[#This Row],[Diff jour_x000D_
Cumul]]</f>
        <v>-330.23885705781652</v>
      </c>
      <c r="AJ631" s="80">
        <f>Tableau1[[#This Row],[Conso HP + HC / jour_x000D_
Cumul]]*365</f>
        <v>-120537.18282610303</v>
      </c>
      <c r="AK631" s="83">
        <f>(Tableau1[[#This Row],[Différence HP
Cumul]]*0.1799)+(Tableau1[[#This Row],[Différence HC
Cumul]]*0.1346)</f>
        <v>-47360.499400000001</v>
      </c>
      <c r="AL631" s="83">
        <f>Tableau1[[#This Row],[Montant
Tarif HP/HC]]/Tableau1[[#This Row],[Diff jour_x000D_
Cumul]]</f>
        <v>-53.418071626569912</v>
      </c>
      <c r="AM631" s="83">
        <f>(Tableau1[[#This Row],[Montant
Tarif HP/HC]]-AK$6)/Tableau1[[#This Row],[Diff jour_x000D_
Cumul
depuis le 24/01]]</f>
        <v>-56.315789387534259</v>
      </c>
      <c r="AN631" s="83">
        <f>(Tableau1[[#This Row],[Montant
Tarif HP/HC]]-AK$59)/Tableau1[[#This Row],[Diff jour_x000D_
Cumul
depuis
précédente facture
16/02/2021]]</f>
        <v>-58.17504115980919</v>
      </c>
      <c r="AO631" s="83">
        <f>Tableau1[[#This Row],[Conso HP + HC
Cumul]]*0.1599</f>
        <v>-46817.120999999999</v>
      </c>
      <c r="AP631" s="83">
        <f>Tableau1[[#This Row],[Montant
Tarif normal]]/Tableau1[[#This Row],[Diff jour_x000D_
Cumul]]</f>
        <v>-52.805193243544856</v>
      </c>
      <c r="AQ631" s="83">
        <f>(Tableau1[[#This Row],[Conso HP / an
Cumul]]*0.1799)+(Tableau1[[#This Row],[Conso HC / an_x000D_
Cumul]]*0.1346)</f>
        <v>-19497.596143698018</v>
      </c>
      <c r="AR631" s="83">
        <f>Tableau1[[#This Row],[Conso HP + HC / an_x000D_
Cumul]]*0.1599</f>
        <v>-19273.895533893872</v>
      </c>
      <c r="AS631" s="79">
        <f>MONTH(Tableau1[[#This Row],[Date]])</f>
        <v>5</v>
      </c>
      <c r="AT631" s="79">
        <f>YEAR(Tableau1[[#This Row],[Date]])</f>
        <v>2023</v>
      </c>
    </row>
    <row r="632" spans="1:46" x14ac:dyDescent="0.2">
      <c r="A632" s="74">
        <v>45070.355555555558</v>
      </c>
      <c r="B632" s="75"/>
      <c r="C632" s="76">
        <f>IF(ISERROR(Tableau1[[#This Row],[Date]]-A631),"",Tableau1[[#This Row],[Date]]-A631)</f>
        <v>1.046527777776646</v>
      </c>
      <c r="D632" s="77">
        <f>IF(ISERROR(Tableau1[[#This Row],[Date]]-A631),"",Tableau1[[#This Row],[Date]]-A631)</f>
        <v>1.046527777776646</v>
      </c>
      <c r="E632" s="76">
        <f>Tableau1[[#This Row],[Date]]-$A$5</f>
        <v>887.6472222222219</v>
      </c>
      <c r="F632" s="77">
        <f>Tableau1[[#This Row],[Date]]-$A$5</f>
        <v>887.6472222222219</v>
      </c>
      <c r="G632" s="77">
        <f>Tableau1[[#This Row],[Diff jour_x000D_
Cumul]]-F$6</f>
        <v>849.56388888889342</v>
      </c>
      <c r="H632" s="77">
        <f>Tableau1[[#This Row],[Diff jour_x000D_
Cumul]]-F$59</f>
        <v>827.0444444444438</v>
      </c>
      <c r="I632" s="78">
        <v>4247</v>
      </c>
      <c r="J632" s="79">
        <f>IF(ISERROR(Tableau1[[#This Row],[Index HP
kWh]]-I631),"",Tableau1[[#This Row],[Index HP
kWh]]-I631)</f>
        <v>6</v>
      </c>
      <c r="K632" s="77">
        <f>IF(ISERROR(Tableau1[[#This Row],[Différence HP
Instantané]]/(Tableau1[[#This Row],[Diff jour
Instantané]]*24)),"",Tableau1[[#This Row],[Différence HP
Instantané]]/(Tableau1[[#This Row],[Diff jour
Instantané]]*24))</f>
        <v>0.23888520238911037</v>
      </c>
      <c r="L632" s="77">
        <f>Tableau1[[#This Row],[Différence HP
Instantané]]/Tableau1[[#This Row],[Diff jour
Instantané]]</f>
        <v>5.733244857338649</v>
      </c>
      <c r="M632" s="77">
        <f>Tableau1[[#This Row],[Conso HP / jour
Instantané]]*365</f>
        <v>2092.6343729286068</v>
      </c>
      <c r="N632" s="79">
        <f>Tableau1[[#This Row],[Index HP
kWh]]-$I$5</f>
        <v>-175512</v>
      </c>
      <c r="O632" s="80">
        <f>Tableau1[[#This Row],[Différence HP
Cumul]]/(Tableau1[[#This Row],[Diff jour_x000D_
Cumul]]*24)</f>
        <v>-8.2386333409481391</v>
      </c>
      <c r="P632" s="80">
        <f>Tableau1[[#This Row],[Différence HP
Cumul]]/Tableau1[[#This Row],[Diff jour_x000D_
Cumul]]</f>
        <v>-197.72720018275535</v>
      </c>
      <c r="Q632" s="80">
        <f>Tableau1[[#This Row],[Conso HP / jour
Cumul]]*365</f>
        <v>-72170.428066705703</v>
      </c>
      <c r="R632" s="78">
        <v>2162</v>
      </c>
      <c r="S632" s="79">
        <f>Tableau1[[#This Row],[Index HC_x000D_
kWh]]-R631</f>
        <v>2</v>
      </c>
      <c r="T632" s="81">
        <f>Tableau1[[#This Row],[Différence_x000D_ HC
Instantané]]/(Tableau1[[#This Row],[Diff jour
Instantané]]*24)</f>
        <v>7.9628400796370125E-2</v>
      </c>
      <c r="U632" s="81">
        <f>Tableau1[[#This Row],[Différence_x000D_ HC
Instantané]]/Tableau1[[#This Row],[Diff jour
Instantané]]</f>
        <v>1.911081619112883</v>
      </c>
      <c r="V632" s="81">
        <f>Tableau1[[#This Row],[Conso HC / jour_x000D_
Instantané]]*365</f>
        <v>697.54479097620231</v>
      </c>
      <c r="W632" s="79">
        <f>Tableau1[[#This Row],[Index HC_x000D_
kWh]]-$R$5</f>
        <v>-117270</v>
      </c>
      <c r="X632" s="82">
        <f>Tableau1[[#This Row],[Différence HC
Cumul]]/(Tableau1[[#This Row],[Diff jour_x000D_
Cumul]]*24)</f>
        <v>-5.5047206566672839</v>
      </c>
      <c r="Y632" s="82">
        <f>Tableau1[[#This Row],[Différence HC
Cumul]]/Tableau1[[#This Row],[Diff jour_x000D_
Cumul]]</f>
        <v>-132.11329576001481</v>
      </c>
      <c r="Z632" s="82">
        <f>Tableau1[[#This Row],[Conso HC / jour_x000D_
Cumul]]*365</f>
        <v>-48221.352952405403</v>
      </c>
      <c r="AA632" s="79">
        <f>Tableau1[[#This Row],[Différence HP
Instantané]]+Tableau1[[#This Row],[Différence_x000D_ HC
Instantané]]</f>
        <v>8</v>
      </c>
      <c r="AB632" s="80">
        <f>Tableau1[[#This Row],[Conso HP + HC
Instantané]]/(Tableau1[[#This Row],[Diff jour
Instantané]]*24)</f>
        <v>0.3185136031854805</v>
      </c>
      <c r="AC632" s="80">
        <f>IF(ISERROR(Tableau1[[#This Row],[Date]]-A631),"",Tableau1[[#This Row],[Conso HP + HC
Instantané]]/Tableau1[[#This Row],[Diff jour
Instantané]])</f>
        <v>7.644326476451532</v>
      </c>
      <c r="AD632" s="80">
        <f>Tableau1[[#This Row],[Conso HP + HC / jour_x000D_
Instantané]]*365</f>
        <v>2790.1791639048092</v>
      </c>
      <c r="AE632" s="79">
        <f>Tableau1[[#This Row],[Différence HP
Cumul]]+Tableau1[[#This Row],[Différence HC
Cumul]]</f>
        <v>-292782</v>
      </c>
      <c r="AF632" s="77">
        <f>(Tableau1[[#This Row],[Conso HP + HC
Cumul]]-AE$6)/Tableau1[[#This Row],[Diff jour_x000D_
Cumul
depuis le 24/01]]</f>
        <v>-347.6524883682132</v>
      </c>
      <c r="AG632" s="77">
        <f>(Tableau1[[#This Row],[Conso HP + HC
Cumul]]-AE$59)/Tableau1[[#This Row],[Diff jour_x000D_
Cumul
depuis
précédente facture
16/02/2021]]</f>
        <v>-359.06050998199777</v>
      </c>
      <c r="AH632" s="80">
        <f>Tableau1[[#This Row],[Conso HP + HC
Cumul]]/(Tableau1[[#This Row],[Diff jour_x000D_
Cumul]]*24)</f>
        <v>-13.743353997615424</v>
      </c>
      <c r="AI632" s="80">
        <f>Tableau1[[#This Row],[Conso HP + HC
Cumul]]/Tableau1[[#This Row],[Diff jour_x000D_
Cumul]]</f>
        <v>-329.84049594277019</v>
      </c>
      <c r="AJ632" s="80">
        <f>Tableau1[[#This Row],[Conso HP + HC / jour_x000D_
Cumul]]*365</f>
        <v>-120391.78101911112</v>
      </c>
      <c r="AK632" s="83">
        <f>(Tableau1[[#This Row],[Différence HP
Cumul]]*0.1799)+(Tableau1[[#This Row],[Différence HC
Cumul]]*0.1346)</f>
        <v>-47359.150800000003</v>
      </c>
      <c r="AL632" s="83">
        <f>Tableau1[[#This Row],[Montant
Tarif HP/HC]]/Tableau1[[#This Row],[Diff jour_x000D_
Cumul]]</f>
        <v>-53.353572922175687</v>
      </c>
      <c r="AM632" s="83">
        <f>(Tableau1[[#This Row],[Montant
Tarif HP/HC]]-AK$6)/Tableau1[[#This Row],[Diff jour_x000D_
Cumul
depuis le 24/01]]</f>
        <v>-56.244829876766545</v>
      </c>
      <c r="AN632" s="83">
        <f>(Tableau1[[#This Row],[Montant
Tarif HP/HC]]-AK$59)/Tableau1[[#This Row],[Diff jour_x000D_
Cumul
depuis
précédente facture
16/02/2021]]</f>
        <v>-58.099796840153743</v>
      </c>
      <c r="AO632" s="83">
        <f>Tableau1[[#This Row],[Conso HP + HC
Cumul]]*0.1599</f>
        <v>-46815.841799999995</v>
      </c>
      <c r="AP632" s="83">
        <f>Tableau1[[#This Row],[Montant
Tarif normal]]/Tableau1[[#This Row],[Diff jour_x000D_
Cumul]]</f>
        <v>-52.741495301248946</v>
      </c>
      <c r="AQ632" s="83">
        <f>(Tableau1[[#This Row],[Conso HP / an
Cumul]]*0.1799)+(Tableau1[[#This Row],[Conso HC / an_x000D_
Cumul]]*0.1346)</f>
        <v>-19474.054116594125</v>
      </c>
      <c r="AR632" s="83">
        <f>Tableau1[[#This Row],[Conso HP + HC / an_x000D_
Cumul]]*0.1599</f>
        <v>-19250.645784955868</v>
      </c>
      <c r="AS632" s="79">
        <f>MONTH(Tableau1[[#This Row],[Date]])</f>
        <v>5</v>
      </c>
      <c r="AT632" s="79">
        <f>YEAR(Tableau1[[#This Row],[Date]])</f>
        <v>2023</v>
      </c>
    </row>
    <row r="633" spans="1:46" x14ac:dyDescent="0.2">
      <c r="A633" s="74">
        <v>45071.323611111111</v>
      </c>
      <c r="B633" s="75"/>
      <c r="C633" s="76">
        <f>IF(ISERROR(Tableau1[[#This Row],[Date]]-A632),"",Tableau1[[#This Row],[Date]]-A632)</f>
        <v>0.96805555555329192</v>
      </c>
      <c r="D633" s="77">
        <f>IF(ISERROR(Tableau1[[#This Row],[Date]]-A632),"",Tableau1[[#This Row],[Date]]-A632)</f>
        <v>0.96805555555329192</v>
      </c>
      <c r="E633" s="76">
        <f>Tableau1[[#This Row],[Date]]-$A$5</f>
        <v>888.61527777777519</v>
      </c>
      <c r="F633" s="77">
        <f>Tableau1[[#This Row],[Date]]-$A$5</f>
        <v>888.61527777777519</v>
      </c>
      <c r="G633" s="77">
        <f>Tableau1[[#This Row],[Diff jour_x000D_
Cumul]]-F$6</f>
        <v>850.53194444444671</v>
      </c>
      <c r="H633" s="77">
        <f>Tableau1[[#This Row],[Diff jour_x000D_
Cumul]]-F$59</f>
        <v>828.01249999999709</v>
      </c>
      <c r="I633" s="78">
        <v>4256</v>
      </c>
      <c r="J633" s="79">
        <f>IF(ISERROR(Tableau1[[#This Row],[Index HP
kWh]]-I632),"",Tableau1[[#This Row],[Index HP
kWh]]-I632)</f>
        <v>9</v>
      </c>
      <c r="K633" s="77">
        <f>IF(ISERROR(Tableau1[[#This Row],[Différence HP
Instantané]]/(Tableau1[[#This Row],[Diff jour
Instantané]]*24)),"",Tableau1[[#This Row],[Différence HP
Instantané]]/(Tableau1[[#This Row],[Diff jour
Instantané]]*24))</f>
        <v>0.38737446198081971</v>
      </c>
      <c r="L633" s="77">
        <f>Tableau1[[#This Row],[Différence HP
Instantané]]/Tableau1[[#This Row],[Diff jour
Instantané]]</f>
        <v>9.296987087539673</v>
      </c>
      <c r="M633" s="77">
        <f>Tableau1[[#This Row],[Conso HP / jour
Instantané]]*365</f>
        <v>3393.4002869519804</v>
      </c>
      <c r="N633" s="79">
        <f>Tableau1[[#This Row],[Index HP
kWh]]-$I$5</f>
        <v>-175503</v>
      </c>
      <c r="O633" s="80">
        <f>Tableau1[[#This Row],[Différence HP
Cumul]]/(Tableau1[[#This Row],[Diff jour_x000D_
Cumul]]*24)</f>
        <v>-8.229236186763762</v>
      </c>
      <c r="P633" s="80">
        <f>Tableau1[[#This Row],[Différence HP
Cumul]]/Tableau1[[#This Row],[Diff jour_x000D_
Cumul]]</f>
        <v>-197.5016684823303</v>
      </c>
      <c r="Q633" s="80">
        <f>Tableau1[[#This Row],[Conso HP / jour
Cumul]]*365</f>
        <v>-72088.108996050563</v>
      </c>
      <c r="R633" s="78">
        <v>2164</v>
      </c>
      <c r="S633" s="79">
        <f>Tableau1[[#This Row],[Index HC_x000D_
kWh]]-R632</f>
        <v>2</v>
      </c>
      <c r="T633" s="81">
        <f>Tableau1[[#This Row],[Différence_x000D_ HC
Instantané]]/(Tableau1[[#This Row],[Diff jour
Instantané]]*24)</f>
        <v>8.6083213773515493E-2</v>
      </c>
      <c r="U633" s="81">
        <f>Tableau1[[#This Row],[Différence_x000D_ HC
Instantané]]/Tableau1[[#This Row],[Diff jour
Instantané]]</f>
        <v>2.0659971305643721</v>
      </c>
      <c r="V633" s="81">
        <f>Tableau1[[#This Row],[Conso HC / jour_x000D_
Instantané]]*365</f>
        <v>754.08895265599585</v>
      </c>
      <c r="W633" s="79">
        <f>Tableau1[[#This Row],[Index HC_x000D_
kWh]]-$R$5</f>
        <v>-117268</v>
      </c>
      <c r="X633" s="82">
        <f>Tableau1[[#This Row],[Différence HC
Cumul]]/(Tableau1[[#This Row],[Diff jour_x000D_
Cumul]]*24)</f>
        <v>-5.4986300470613774</v>
      </c>
      <c r="Y633" s="82">
        <f>Tableau1[[#This Row],[Différence HC
Cumul]]/Tableau1[[#This Row],[Diff jour_x000D_
Cumul]]</f>
        <v>-131.96712112947304</v>
      </c>
      <c r="Z633" s="82">
        <f>Tableau1[[#This Row],[Conso HC / jour_x000D_
Cumul]]*365</f>
        <v>-48167.999212257659</v>
      </c>
      <c r="AA633" s="79">
        <f>Tableau1[[#This Row],[Différence HP
Instantané]]+Tableau1[[#This Row],[Différence_x000D_ HC
Instantané]]</f>
        <v>11</v>
      </c>
      <c r="AB633" s="80">
        <f>Tableau1[[#This Row],[Conso HP + HC
Instantané]]/(Tableau1[[#This Row],[Diff jour
Instantané]]*24)</f>
        <v>0.47345767575433523</v>
      </c>
      <c r="AC633" s="80">
        <f>IF(ISERROR(Tableau1[[#This Row],[Date]]-A632),"",Tableau1[[#This Row],[Conso HP + HC
Instantané]]/Tableau1[[#This Row],[Diff jour
Instantané]])</f>
        <v>11.362984218104046</v>
      </c>
      <c r="AD633" s="80">
        <f>Tableau1[[#This Row],[Conso HP + HC / jour_x000D_
Instantané]]*365</f>
        <v>4147.4892396079767</v>
      </c>
      <c r="AE633" s="79">
        <f>Tableau1[[#This Row],[Différence HP
Cumul]]+Tableau1[[#This Row],[Différence HC
Cumul]]</f>
        <v>-292771</v>
      </c>
      <c r="AF633" s="77">
        <f>(Tableau1[[#This Row],[Conso HP + HC
Cumul]]-AE$6)/Tableau1[[#This Row],[Diff jour_x000D_
Cumul
depuis le 24/01]]</f>
        <v>-347.24386535876965</v>
      </c>
      <c r="AG633" s="77">
        <f>(Tableau1[[#This Row],[Conso HP + HC
Cumul]]-AE$59)/Tableau1[[#This Row],[Diff jour_x000D_
Cumul
depuis
précédente facture
16/02/2021]]</f>
        <v>-358.62743618001065</v>
      </c>
      <c r="AH633" s="80">
        <f>Tableau1[[#This Row],[Conso HP + HC
Cumul]]/(Tableau1[[#This Row],[Diff jour_x000D_
Cumul]]*24)</f>
        <v>-13.727866233825139</v>
      </c>
      <c r="AI633" s="80">
        <f>Tableau1[[#This Row],[Conso HP + HC
Cumul]]/Tableau1[[#This Row],[Diff jour_x000D_
Cumul]]</f>
        <v>-329.46878961180334</v>
      </c>
      <c r="AJ633" s="80">
        <f>Tableau1[[#This Row],[Conso HP + HC / jour_x000D_
Cumul]]*365</f>
        <v>-120256.10820830821</v>
      </c>
      <c r="AK633" s="83">
        <f>(Tableau1[[#This Row],[Différence HP
Cumul]]*0.1799)+(Tableau1[[#This Row],[Différence HC
Cumul]]*0.1346)</f>
        <v>-47357.262499999997</v>
      </c>
      <c r="AL633" s="83">
        <f>Tableau1[[#This Row],[Montant
Tarif HP/HC]]/Tableau1[[#This Row],[Diff jour_x000D_
Cumul]]</f>
        <v>-53.293324663998291</v>
      </c>
      <c r="AM633" s="83">
        <f>(Tableau1[[#This Row],[Montant
Tarif HP/HC]]-AK$6)/Tableau1[[#This Row],[Diff jour_x000D_
Cumul
depuis le 24/01]]</f>
        <v>-56.178593187596498</v>
      </c>
      <c r="AN633" s="83">
        <f>(Tableau1[[#This Row],[Montant
Tarif HP/HC]]-AK$59)/Tableau1[[#This Row],[Diff jour_x000D_
Cumul
depuis
précédente facture
16/02/2021]]</f>
        <v>-58.029590012228276</v>
      </c>
      <c r="AO633" s="83">
        <f>Tableau1[[#This Row],[Conso HP + HC
Cumul]]*0.1599</f>
        <v>-46814.082899999994</v>
      </c>
      <c r="AP633" s="83">
        <f>Tableau1[[#This Row],[Montant
Tarif normal]]/Tableau1[[#This Row],[Diff jour_x000D_
Cumul]]</f>
        <v>-52.682059458927348</v>
      </c>
      <c r="AQ633" s="83">
        <f>(Tableau1[[#This Row],[Conso HP / an
Cumul]]*0.1799)+(Tableau1[[#This Row],[Conso HC / an_x000D_
Cumul]]*0.1346)</f>
        <v>-19452.063502359379</v>
      </c>
      <c r="AR633" s="83">
        <f>Tableau1[[#This Row],[Conso HP + HC / an_x000D_
Cumul]]*0.1599</f>
        <v>-19228.951702508482</v>
      </c>
      <c r="AS633" s="79">
        <f>MONTH(Tableau1[[#This Row],[Date]])</f>
        <v>5</v>
      </c>
      <c r="AT633" s="79">
        <f>YEAR(Tableau1[[#This Row],[Date]])</f>
        <v>2023</v>
      </c>
    </row>
    <row r="634" spans="1:46" x14ac:dyDescent="0.2">
      <c r="A634" s="74">
        <v>45072.349305555559</v>
      </c>
      <c r="B634" s="75"/>
      <c r="C634" s="76">
        <f>IF(ISERROR(Tableau1[[#This Row],[Date]]-A633),"",Tableau1[[#This Row],[Date]]-A633)</f>
        <v>1.0256944444481633</v>
      </c>
      <c r="D634" s="77">
        <f>IF(ISERROR(Tableau1[[#This Row],[Date]]-A633),"",Tableau1[[#This Row],[Date]]-A633)</f>
        <v>1.0256944444481633</v>
      </c>
      <c r="E634" s="76">
        <f>Tableau1[[#This Row],[Date]]-$A$5</f>
        <v>889.64097222222335</v>
      </c>
      <c r="F634" s="77">
        <f>Tableau1[[#This Row],[Date]]-$A$5</f>
        <v>889.64097222222335</v>
      </c>
      <c r="G634" s="77">
        <f>Tableau1[[#This Row],[Diff jour_x000D_
Cumul]]-F$6</f>
        <v>851.55763888889487</v>
      </c>
      <c r="H634" s="77">
        <f>Tableau1[[#This Row],[Diff jour_x000D_
Cumul]]-F$59</f>
        <v>829.03819444444525</v>
      </c>
      <c r="I634" s="78">
        <v>4261</v>
      </c>
      <c r="J634" s="79">
        <f>IF(ISERROR(Tableau1[[#This Row],[Index HP
kWh]]-I633),"",Tableau1[[#This Row],[Index HP
kWh]]-I633)</f>
        <v>5</v>
      </c>
      <c r="K634" s="77">
        <f>IF(ISERROR(Tableau1[[#This Row],[Différence HP
Instantané]]/(Tableau1[[#This Row],[Diff jour
Instantané]]*24)),"",Tableau1[[#This Row],[Différence HP
Instantané]]/(Tableau1[[#This Row],[Diff jour
Instantané]]*24))</f>
        <v>0.20311442112316339</v>
      </c>
      <c r="L634" s="77">
        <f>Tableau1[[#This Row],[Différence HP
Instantané]]/Tableau1[[#This Row],[Diff jour
Instantané]]</f>
        <v>4.8747461069559206</v>
      </c>
      <c r="M634" s="77">
        <f>Tableau1[[#This Row],[Conso HP / jour
Instantané]]*365</f>
        <v>1779.282329038911</v>
      </c>
      <c r="N634" s="79">
        <f>Tableau1[[#This Row],[Index HP
kWh]]-$I$5</f>
        <v>-175498</v>
      </c>
      <c r="O634" s="80">
        <f>Tableau1[[#This Row],[Différence HP
Cumul]]/(Tableau1[[#This Row],[Diff jour_x000D_
Cumul]]*24)</f>
        <v>-8.2195142703478119</v>
      </c>
      <c r="P634" s="80">
        <f>Tableau1[[#This Row],[Différence HP
Cumul]]/Tableau1[[#This Row],[Diff jour_x000D_
Cumul]]</f>
        <v>-197.26834248834749</v>
      </c>
      <c r="Q634" s="80">
        <f>Tableau1[[#This Row],[Conso HP / jour
Cumul]]*365</f>
        <v>-72002.945008246839</v>
      </c>
      <c r="R634" s="78">
        <v>2166</v>
      </c>
      <c r="S634" s="79">
        <f>Tableau1[[#This Row],[Index HC_x000D_
kWh]]-R633</f>
        <v>2</v>
      </c>
      <c r="T634" s="81">
        <f>Tableau1[[#This Row],[Différence_x000D_ HC
Instantané]]/(Tableau1[[#This Row],[Diff jour
Instantané]]*24)</f>
        <v>8.1245768449265343E-2</v>
      </c>
      <c r="U634" s="81">
        <f>Tableau1[[#This Row],[Différence_x000D_ HC
Instantané]]/Tableau1[[#This Row],[Diff jour
Instantané]]</f>
        <v>1.9498984427823685</v>
      </c>
      <c r="V634" s="81">
        <f>Tableau1[[#This Row],[Conso HC / jour_x000D_
Instantané]]*365</f>
        <v>711.71293161556446</v>
      </c>
      <c r="W634" s="79">
        <f>Tableau1[[#This Row],[Index HC_x000D_
kWh]]-$R$5</f>
        <v>-117266</v>
      </c>
      <c r="X634" s="82">
        <f>Tableau1[[#This Row],[Différence HC
Cumul]]/(Tableau1[[#This Row],[Diff jour_x000D_
Cumul]]*24)</f>
        <v>-5.4921968365827905</v>
      </c>
      <c r="Y634" s="82">
        <f>Tableau1[[#This Row],[Différence HC
Cumul]]/Tableau1[[#This Row],[Diff jour_x000D_
Cumul]]</f>
        <v>-131.81272407798699</v>
      </c>
      <c r="Z634" s="82">
        <f>Tableau1[[#This Row],[Conso HC / jour_x000D_
Cumul]]*365</f>
        <v>-48111.64428846525</v>
      </c>
      <c r="AA634" s="79">
        <f>Tableau1[[#This Row],[Différence HP
Instantané]]+Tableau1[[#This Row],[Différence_x000D_ HC
Instantané]]</f>
        <v>7</v>
      </c>
      <c r="AB634" s="80">
        <f>Tableau1[[#This Row],[Conso HP + HC
Instantané]]/(Tableau1[[#This Row],[Diff jour
Instantané]]*24)</f>
        <v>0.2843601895724287</v>
      </c>
      <c r="AC634" s="80">
        <f>IF(ISERROR(Tableau1[[#This Row],[Date]]-A633),"",Tableau1[[#This Row],[Conso HP + HC
Instantané]]/Tableau1[[#This Row],[Diff jour
Instantané]])</f>
        <v>6.8246445497382897</v>
      </c>
      <c r="AD634" s="80">
        <f>Tableau1[[#This Row],[Conso HP + HC / jour_x000D_
Instantané]]*365</f>
        <v>2490.9952606544757</v>
      </c>
      <c r="AE634" s="79">
        <f>Tableau1[[#This Row],[Différence HP
Cumul]]+Tableau1[[#This Row],[Différence HC
Cumul]]</f>
        <v>-292764</v>
      </c>
      <c r="AF634" s="77">
        <f>(Tableau1[[#This Row],[Conso HP + HC
Cumul]]-AE$6)/Tableau1[[#This Row],[Diff jour_x000D_
Cumul
depuis le 24/01]]</f>
        <v>-346.81739263750904</v>
      </c>
      <c r="AG634" s="77">
        <f>(Tableau1[[#This Row],[Conso HP + HC
Cumul]]-AE$59)/Tableau1[[#This Row],[Diff jour_x000D_
Cumul
depuis
précédente facture
16/02/2021]]</f>
        <v>-358.17529516717377</v>
      </c>
      <c r="AH634" s="80">
        <f>Tableau1[[#This Row],[Conso HP + HC
Cumul]]/(Tableau1[[#This Row],[Diff jour_x000D_
Cumul]]*24)</f>
        <v>-13.711711106930602</v>
      </c>
      <c r="AI634" s="80">
        <f>Tableau1[[#This Row],[Conso HP + HC
Cumul]]/Tableau1[[#This Row],[Diff jour_x000D_
Cumul]]</f>
        <v>-329.08106656633447</v>
      </c>
      <c r="AJ634" s="80">
        <f>Tableau1[[#This Row],[Conso HP + HC / jour_x000D_
Cumul]]*365</f>
        <v>-120114.58929671209</v>
      </c>
      <c r="AK634" s="83">
        <f>(Tableau1[[#This Row],[Différence HP
Cumul]]*0.1799)+(Tableau1[[#This Row],[Différence HC
Cumul]]*0.1346)</f>
        <v>-47356.093800000002</v>
      </c>
      <c r="AL634" s="83">
        <f>Tableau1[[#This Row],[Montant
Tarif HP/HC]]/Tableau1[[#This Row],[Diff jour_x000D_
Cumul]]</f>
        <v>-53.230567474550767</v>
      </c>
      <c r="AM634" s="83">
        <f>(Tableau1[[#This Row],[Montant
Tarif HP/HC]]-AK$6)/Tableau1[[#This Row],[Diff jour_x000D_
Cumul
depuis le 24/01]]</f>
        <v>-56.109554090012765</v>
      </c>
      <c r="AN634" s="83">
        <f>(Tableau1[[#This Row],[Montant
Tarif HP/HC]]-AK$59)/Tableau1[[#This Row],[Diff jour_x000D_
Cumul
depuis
précédente facture
16/02/2021]]</f>
        <v>-57.956385510317709</v>
      </c>
      <c r="AO634" s="83">
        <f>Tableau1[[#This Row],[Conso HP + HC
Cumul]]*0.1599</f>
        <v>-46812.963599999995</v>
      </c>
      <c r="AP634" s="83">
        <f>Tableau1[[#This Row],[Montant
Tarif normal]]/Tableau1[[#This Row],[Diff jour_x000D_
Cumul]]</f>
        <v>-52.620062543956877</v>
      </c>
      <c r="AQ634" s="83">
        <f>(Tableau1[[#This Row],[Conso HP / an
Cumul]]*0.1799)+(Tableau1[[#This Row],[Conso HC / an_x000D_
Cumul]]*0.1346)</f>
        <v>-19429.157128211031</v>
      </c>
      <c r="AR634" s="83">
        <f>Tableau1[[#This Row],[Conso HP + HC / an_x000D_
Cumul]]*0.1599</f>
        <v>-19206.32282854426</v>
      </c>
      <c r="AS634" s="79">
        <f>MONTH(Tableau1[[#This Row],[Date]])</f>
        <v>5</v>
      </c>
      <c r="AT634" s="79">
        <f>YEAR(Tableau1[[#This Row],[Date]])</f>
        <v>2023</v>
      </c>
    </row>
    <row r="635" spans="1:46" x14ac:dyDescent="0.2">
      <c r="A635" s="74">
        <v>45073.304166666669</v>
      </c>
      <c r="B635" s="75"/>
      <c r="C635" s="76">
        <f>IF(ISERROR(Tableau1[[#This Row],[Date]]-A634),"",Tableau1[[#This Row],[Date]]-A634)</f>
        <v>0.95486111110949423</v>
      </c>
      <c r="D635" s="77">
        <f>IF(ISERROR(Tableau1[[#This Row],[Date]]-A634),"",Tableau1[[#This Row],[Date]]-A634)</f>
        <v>0.95486111110949423</v>
      </c>
      <c r="E635" s="76">
        <f>Tableau1[[#This Row],[Date]]-$A$5</f>
        <v>890.59583333333285</v>
      </c>
      <c r="F635" s="77">
        <f>Tableau1[[#This Row],[Date]]-$A$5</f>
        <v>890.59583333333285</v>
      </c>
      <c r="G635" s="77">
        <f>Tableau1[[#This Row],[Diff jour_x000D_
Cumul]]-F$6</f>
        <v>852.51250000000437</v>
      </c>
      <c r="H635" s="77">
        <f>Tableau1[[#This Row],[Diff jour_x000D_
Cumul]]-F$59</f>
        <v>829.99305555555475</v>
      </c>
      <c r="I635" s="78">
        <v>4267</v>
      </c>
      <c r="J635" s="79">
        <f>IF(ISERROR(Tableau1[[#This Row],[Index HP
kWh]]-I634),"",Tableau1[[#This Row],[Index HP
kWh]]-I634)</f>
        <v>6</v>
      </c>
      <c r="K635" s="77">
        <f>IF(ISERROR(Tableau1[[#This Row],[Différence HP
Instantané]]/(Tableau1[[#This Row],[Diff jour
Instantané]]*24)),"",Tableau1[[#This Row],[Différence HP
Instantané]]/(Tableau1[[#This Row],[Diff jour
Instantané]]*24))</f>
        <v>0.26181818181862515</v>
      </c>
      <c r="L635" s="77">
        <f>Tableau1[[#This Row],[Différence HP
Instantané]]/Tableau1[[#This Row],[Diff jour
Instantané]]</f>
        <v>6.2836363636470036</v>
      </c>
      <c r="M635" s="77">
        <f>Tableau1[[#This Row],[Conso HP / jour
Instantané]]*365</f>
        <v>2293.5272727311562</v>
      </c>
      <c r="N635" s="79">
        <f>Tableau1[[#This Row],[Index HP
kWh]]-$I$5</f>
        <v>-175492</v>
      </c>
      <c r="O635" s="80">
        <f>Tableau1[[#This Row],[Différence HP
Cumul]]/(Tableau1[[#This Row],[Diff jour_x000D_
Cumul]]*24)</f>
        <v>-8.2104209260654191</v>
      </c>
      <c r="P635" s="80">
        <f>Tableau1[[#This Row],[Différence HP
Cumul]]/Tableau1[[#This Row],[Diff jour_x000D_
Cumul]]</f>
        <v>-197.05010222557007</v>
      </c>
      <c r="Q635" s="80">
        <f>Tableau1[[#This Row],[Conso HP / jour
Cumul]]*365</f>
        <v>-71923.287312333079</v>
      </c>
      <c r="R635" s="78">
        <v>2169</v>
      </c>
      <c r="S635" s="79">
        <f>Tableau1[[#This Row],[Index HC_x000D_
kWh]]-R634</f>
        <v>3</v>
      </c>
      <c r="T635" s="81">
        <f>Tableau1[[#This Row],[Différence_x000D_ HC
Instantané]]/(Tableau1[[#This Row],[Diff jour
Instantané]]*24)</f>
        <v>0.13090909090931258</v>
      </c>
      <c r="U635" s="81">
        <f>Tableau1[[#This Row],[Différence_x000D_ HC
Instantané]]/Tableau1[[#This Row],[Diff jour
Instantané]]</f>
        <v>3.1418181818235018</v>
      </c>
      <c r="V635" s="81">
        <f>Tableau1[[#This Row],[Conso HC / jour_x000D_
Instantané]]*365</f>
        <v>1146.7636363655781</v>
      </c>
      <c r="W635" s="79">
        <f>Tableau1[[#This Row],[Index HC_x000D_
kWh]]-$R$5</f>
        <v>-117263</v>
      </c>
      <c r="X635" s="82">
        <f>Tableau1[[#This Row],[Différence HC
Cumul]]/(Tableau1[[#This Row],[Diff jour_x000D_
Cumul]]*24)</f>
        <v>-5.4861679680738114</v>
      </c>
      <c r="Y635" s="82">
        <f>Tableau1[[#This Row],[Différence HC
Cumul]]/Tableau1[[#This Row],[Diff jour_x000D_
Cumul]]</f>
        <v>-131.66803123377147</v>
      </c>
      <c r="Z635" s="82">
        <f>Tableau1[[#This Row],[Conso HC / jour_x000D_
Cumul]]*365</f>
        <v>-48058.831400326584</v>
      </c>
      <c r="AA635" s="79">
        <f>Tableau1[[#This Row],[Différence HP
Instantané]]+Tableau1[[#This Row],[Différence_x000D_ HC
Instantané]]</f>
        <v>9</v>
      </c>
      <c r="AB635" s="80">
        <f>Tableau1[[#This Row],[Conso HP + HC
Instantané]]/(Tableau1[[#This Row],[Diff jour
Instantané]]*24)</f>
        <v>0.39272727272793773</v>
      </c>
      <c r="AC635" s="80">
        <f>IF(ISERROR(Tableau1[[#This Row],[Date]]-A634),"",Tableau1[[#This Row],[Conso HP + HC
Instantané]]/Tableau1[[#This Row],[Diff jour
Instantané]])</f>
        <v>9.4254545454705063</v>
      </c>
      <c r="AD635" s="80">
        <f>Tableau1[[#This Row],[Conso HP + HC / jour_x000D_
Instantané]]*365</f>
        <v>3440.2909090967346</v>
      </c>
      <c r="AE635" s="79">
        <f>Tableau1[[#This Row],[Différence HP
Cumul]]+Tableau1[[#This Row],[Différence HC
Cumul]]</f>
        <v>-292755</v>
      </c>
      <c r="AF635" s="77">
        <f>(Tableau1[[#This Row],[Conso HP + HC
Cumul]]-AE$6)/Tableau1[[#This Row],[Diff jour_x000D_
Cumul
depuis le 24/01]]</f>
        <v>-346.41838096215423</v>
      </c>
      <c r="AG635" s="77">
        <f>(Tableau1[[#This Row],[Conso HP + HC
Cumul]]-AE$59)/Tableau1[[#This Row],[Diff jour_x000D_
Cumul
depuis
précédente facture
16/02/2021]]</f>
        <v>-357.75239083325698</v>
      </c>
      <c r="AH635" s="80">
        <f>Tableau1[[#This Row],[Conso HP + HC
Cumul]]/(Tableau1[[#This Row],[Diff jour_x000D_
Cumul]]*24)</f>
        <v>-13.69658889413923</v>
      </c>
      <c r="AI635" s="80">
        <f>Tableau1[[#This Row],[Conso HP + HC
Cumul]]/Tableau1[[#This Row],[Diff jour_x000D_
Cumul]]</f>
        <v>-328.71813345934152</v>
      </c>
      <c r="AJ635" s="80">
        <f>Tableau1[[#This Row],[Conso HP + HC / jour_x000D_
Cumul]]*365</f>
        <v>-119982.11871265965</v>
      </c>
      <c r="AK635" s="83">
        <f>(Tableau1[[#This Row],[Différence HP
Cumul]]*0.1799)+(Tableau1[[#This Row],[Différence HC
Cumul]]*0.1346)</f>
        <v>-47354.6106</v>
      </c>
      <c r="AL635" s="83">
        <f>Tableau1[[#This Row],[Montant
Tarif HP/HC]]/Tableau1[[#This Row],[Diff jour_x000D_
Cumul]]</f>
        <v>-53.171830394445692</v>
      </c>
      <c r="AM635" s="83">
        <f>(Tableau1[[#This Row],[Montant
Tarif HP/HC]]-AK$6)/Tableau1[[#This Row],[Diff jour_x000D_
Cumul
depuis le 24/01]]</f>
        <v>-56.044968490197803</v>
      </c>
      <c r="AN635" s="83">
        <f>(Tableau1[[#This Row],[Montant
Tarif HP/HC]]-AK$59)/Tableau1[[#This Row],[Diff jour_x000D_
Cumul
depuis
précédente facture
16/02/2021]]</f>
        <v>-57.887922890921168</v>
      </c>
      <c r="AO635" s="83">
        <f>Tableau1[[#This Row],[Conso HP + HC
Cumul]]*0.1599</f>
        <v>-46811.5245</v>
      </c>
      <c r="AP635" s="83">
        <f>Tableau1[[#This Row],[Montant
Tarif normal]]/Tableau1[[#This Row],[Diff jour_x000D_
Cumul]]</f>
        <v>-52.562029540148714</v>
      </c>
      <c r="AQ635" s="83">
        <f>(Tableau1[[#This Row],[Conso HP / an
Cumul]]*0.1799)+(Tableau1[[#This Row],[Conso HC / an_x000D_
Cumul]]*0.1346)</f>
        <v>-19407.718093972679</v>
      </c>
      <c r="AR635" s="83">
        <f>Tableau1[[#This Row],[Conso HP + HC / an_x000D_
Cumul]]*0.1599</f>
        <v>-19185.140782154278</v>
      </c>
      <c r="AS635" s="79">
        <f>MONTH(Tableau1[[#This Row],[Date]])</f>
        <v>5</v>
      </c>
      <c r="AT635" s="79">
        <f>YEAR(Tableau1[[#This Row],[Date]])</f>
        <v>2023</v>
      </c>
    </row>
    <row r="636" spans="1:46" x14ac:dyDescent="0.2">
      <c r="A636" s="74">
        <v>45074.361805555556</v>
      </c>
      <c r="B636" s="75"/>
      <c r="C636" s="76">
        <f>IF(ISERROR(Tableau1[[#This Row],[Date]]-A635),"",Tableau1[[#This Row],[Date]]-A635)</f>
        <v>1.0576388888875954</v>
      </c>
      <c r="D636" s="77">
        <f>IF(ISERROR(Tableau1[[#This Row],[Date]]-A635),"",Tableau1[[#This Row],[Date]]-A635)</f>
        <v>1.0576388888875954</v>
      </c>
      <c r="E636" s="76">
        <f>Tableau1[[#This Row],[Date]]-$A$5</f>
        <v>891.65347222222044</v>
      </c>
      <c r="F636" s="77">
        <f>Tableau1[[#This Row],[Date]]-$A$5</f>
        <v>891.65347222222044</v>
      </c>
      <c r="G636" s="77">
        <f>Tableau1[[#This Row],[Diff jour_x000D_
Cumul]]-F$6</f>
        <v>853.57013888889196</v>
      </c>
      <c r="H636" s="77">
        <f>Tableau1[[#This Row],[Diff jour_x000D_
Cumul]]-F$59</f>
        <v>831.05069444444234</v>
      </c>
      <c r="I636" s="78">
        <v>4276</v>
      </c>
      <c r="J636" s="79">
        <f>IF(ISERROR(Tableau1[[#This Row],[Index HP
kWh]]-I635),"",Tableau1[[#This Row],[Index HP
kWh]]-I635)</f>
        <v>9</v>
      </c>
      <c r="K636" s="77">
        <f>IF(ISERROR(Tableau1[[#This Row],[Différence HP
Instantané]]/(Tableau1[[#This Row],[Diff jour
Instantané]]*24)),"",Tableau1[[#This Row],[Différence HP
Instantané]]/(Tableau1[[#This Row],[Diff jour
Instantané]]*24))</f>
        <v>0.35456336178638242</v>
      </c>
      <c r="L636" s="77">
        <f>Tableau1[[#This Row],[Différence HP
Instantané]]/Tableau1[[#This Row],[Diff jour
Instantané]]</f>
        <v>8.5095206828731786</v>
      </c>
      <c r="M636" s="77">
        <f>Tableau1[[#This Row],[Conso HP / jour
Instantané]]*365</f>
        <v>3105.9750492487101</v>
      </c>
      <c r="N636" s="79">
        <f>Tableau1[[#This Row],[Index HP
kWh]]-$I$5</f>
        <v>-175483</v>
      </c>
      <c r="O636" s="80">
        <f>Tableau1[[#This Row],[Différence HP
Cumul]]/(Tableau1[[#This Row],[Diff jour_x000D_
Cumul]]*24)</f>
        <v>-8.2002615303497652</v>
      </c>
      <c r="P636" s="80">
        <f>Tableau1[[#This Row],[Différence HP
Cumul]]/Tableau1[[#This Row],[Diff jour_x000D_
Cumul]]</f>
        <v>-196.80627672839435</v>
      </c>
      <c r="Q636" s="80">
        <f>Tableau1[[#This Row],[Conso HP / jour
Cumul]]*365</f>
        <v>-71834.291005863939</v>
      </c>
      <c r="R636" s="78">
        <v>2171</v>
      </c>
      <c r="S636" s="79">
        <f>Tableau1[[#This Row],[Index HC_x000D_
kWh]]-R635</f>
        <v>2</v>
      </c>
      <c r="T636" s="81">
        <f>Tableau1[[#This Row],[Différence_x000D_ HC
Instantané]]/(Tableau1[[#This Row],[Diff jour
Instantané]]*24)</f>
        <v>7.879185817475165E-2</v>
      </c>
      <c r="U636" s="81">
        <f>Tableau1[[#This Row],[Différence_x000D_ HC
Instantané]]/Tableau1[[#This Row],[Diff jour
Instantané]]</f>
        <v>1.8910045961940396</v>
      </c>
      <c r="V636" s="81">
        <f>Tableau1[[#This Row],[Conso HC / jour_x000D_
Instantané]]*365</f>
        <v>690.21667761082449</v>
      </c>
      <c r="W636" s="79">
        <f>Tableau1[[#This Row],[Index HC_x000D_
kWh]]-$R$5</f>
        <v>-117261</v>
      </c>
      <c r="X636" s="82">
        <f>Tableau1[[#This Row],[Différence HC
Cumul]]/(Tableau1[[#This Row],[Diff jour_x000D_
Cumul]]*24)</f>
        <v>-5.4795670652447459</v>
      </c>
      <c r="Y636" s="82">
        <f>Tableau1[[#This Row],[Différence HC
Cumul]]/Tableau1[[#This Row],[Diff jour_x000D_
Cumul]]</f>
        <v>-131.50960956587389</v>
      </c>
      <c r="Z636" s="82">
        <f>Tableau1[[#This Row],[Conso HC / jour_x000D_
Cumul]]*365</f>
        <v>-48001.007491543969</v>
      </c>
      <c r="AA636" s="79">
        <f>Tableau1[[#This Row],[Différence HP
Instantané]]+Tableau1[[#This Row],[Différence_x000D_ HC
Instantané]]</f>
        <v>11</v>
      </c>
      <c r="AB636" s="80">
        <f>Tableau1[[#This Row],[Conso HP + HC
Instantané]]/(Tableau1[[#This Row],[Diff jour
Instantané]]*24)</f>
        <v>0.43335521996113407</v>
      </c>
      <c r="AC636" s="80">
        <f>IF(ISERROR(Tableau1[[#This Row],[Date]]-A635),"",Tableau1[[#This Row],[Conso HP + HC
Instantané]]/Tableau1[[#This Row],[Diff jour
Instantané]])</f>
        <v>10.400525279067217</v>
      </c>
      <c r="AD636" s="80">
        <f>Tableau1[[#This Row],[Conso HP + HC / jour_x000D_
Instantané]]*365</f>
        <v>3796.1917268595344</v>
      </c>
      <c r="AE636" s="79">
        <f>Tableau1[[#This Row],[Différence HP
Cumul]]+Tableau1[[#This Row],[Différence HC
Cumul]]</f>
        <v>-292744</v>
      </c>
      <c r="AF636" s="77">
        <f>(Tableau1[[#This Row],[Conso HP + HC
Cumul]]-AE$6)/Tableau1[[#This Row],[Diff jour_x000D_
Cumul
depuis le 24/01]]</f>
        <v>-345.97625496179728</v>
      </c>
      <c r="AG636" s="77">
        <f>(Tableau1[[#This Row],[Conso HP + HC
Cumul]]-AE$59)/Tableau1[[#This Row],[Diff jour_x000D_
Cumul
depuis
précédente facture
16/02/2021]]</f>
        <v>-357.28386003996036</v>
      </c>
      <c r="AH636" s="80">
        <f>Tableau1[[#This Row],[Conso HP + HC
Cumul]]/(Tableau1[[#This Row],[Diff jour_x000D_
Cumul]]*24)</f>
        <v>-13.679828595594511</v>
      </c>
      <c r="AI636" s="80">
        <f>Tableau1[[#This Row],[Conso HP + HC
Cumul]]/Tableau1[[#This Row],[Diff jour_x000D_
Cumul]]</f>
        <v>-328.31588629426824</v>
      </c>
      <c r="AJ636" s="80">
        <f>Tableau1[[#This Row],[Conso HP + HC / jour_x000D_
Cumul]]*365</f>
        <v>-119835.2984974079</v>
      </c>
      <c r="AK636" s="83">
        <f>(Tableau1[[#This Row],[Différence HP
Cumul]]*0.1799)+(Tableau1[[#This Row],[Différence HC
Cumul]]*0.1346)</f>
        <v>-47352.722300000001</v>
      </c>
      <c r="AL636" s="83">
        <f>Tableau1[[#This Row],[Montant
Tarif HP/HC]]/Tableau1[[#This Row],[Diff jour_x000D_
Cumul]]</f>
        <v>-53.106642631004775</v>
      </c>
      <c r="AM636" s="83">
        <f>(Tableau1[[#This Row],[Montant
Tarif HP/HC]]-AK$6)/Tableau1[[#This Row],[Diff jour_x000D_
Cumul
depuis le 24/01]]</f>
        <v>-55.973312236757018</v>
      </c>
      <c r="AN636" s="83">
        <f>(Tableau1[[#This Row],[Montant
Tarif HP/HC]]-AK$59)/Tableau1[[#This Row],[Diff jour_x000D_
Cumul
depuis
précédente facture
16/02/2021]]</f>
        <v>-57.811979487145351</v>
      </c>
      <c r="AO636" s="83">
        <f>Tableau1[[#This Row],[Conso HP + HC
Cumul]]*0.1599</f>
        <v>-46809.765599999999</v>
      </c>
      <c r="AP636" s="83">
        <f>Tableau1[[#This Row],[Montant
Tarif normal]]/Tableau1[[#This Row],[Diff jour_x000D_
Cumul]]</f>
        <v>-52.497710218453491</v>
      </c>
      <c r="AQ636" s="83">
        <f>(Tableau1[[#This Row],[Conso HP / an
Cumul]]*0.1799)+(Tableau1[[#This Row],[Conso HC / an_x000D_
Cumul]]*0.1346)</f>
        <v>-19383.92456031674</v>
      </c>
      <c r="AR636" s="83">
        <f>Tableau1[[#This Row],[Conso HP + HC / an_x000D_
Cumul]]*0.1599</f>
        <v>-19161.664229735521</v>
      </c>
      <c r="AS636" s="79">
        <f>MONTH(Tableau1[[#This Row],[Date]])</f>
        <v>5</v>
      </c>
      <c r="AT636" s="79">
        <f>YEAR(Tableau1[[#This Row],[Date]])</f>
        <v>2023</v>
      </c>
    </row>
    <row r="637" spans="1:46" x14ac:dyDescent="0.2">
      <c r="A637" s="74">
        <v>45075.333333333336</v>
      </c>
      <c r="B637" s="75"/>
      <c r="C637" s="76">
        <f>IF(ISERROR(Tableau1[[#This Row],[Date]]-A636),"",Tableau1[[#This Row],[Date]]-A636)</f>
        <v>0.97152777777955635</v>
      </c>
      <c r="D637" s="77">
        <f>IF(ISERROR(Tableau1[[#This Row],[Date]]-A636),"",Tableau1[[#This Row],[Date]]-A636)</f>
        <v>0.97152777777955635</v>
      </c>
      <c r="E637" s="76">
        <f>Tableau1[[#This Row],[Date]]-$A$5</f>
        <v>892.625</v>
      </c>
      <c r="F637" s="77">
        <f>Tableau1[[#This Row],[Date]]-$A$5</f>
        <v>892.625</v>
      </c>
      <c r="G637" s="77">
        <f>Tableau1[[#This Row],[Diff jour_x000D_
Cumul]]-F$6</f>
        <v>854.54166666667152</v>
      </c>
      <c r="H637" s="77">
        <f>Tableau1[[#This Row],[Diff jour_x000D_
Cumul]]-F$59</f>
        <v>832.0222222222219</v>
      </c>
      <c r="I637" s="78">
        <v>4280</v>
      </c>
      <c r="J637" s="79">
        <f>IF(ISERROR(Tableau1[[#This Row],[Index HP
kWh]]-I636),"",Tableau1[[#This Row],[Index HP
kWh]]-I636)</f>
        <v>4</v>
      </c>
      <c r="K637" s="77">
        <f>IF(ISERROR(Tableau1[[#This Row],[Différence HP
Instantané]]/(Tableau1[[#This Row],[Diff jour
Instantané]]*24)),"",Tableau1[[#This Row],[Différence HP
Instantané]]/(Tableau1[[#This Row],[Diff jour
Instantané]]*24))</f>
        <v>0.1715511079339247</v>
      </c>
      <c r="L637" s="77">
        <f>Tableau1[[#This Row],[Différence HP
Instantané]]/Tableau1[[#This Row],[Diff jour
Instantané]]</f>
        <v>4.1172265904141927</v>
      </c>
      <c r="M637" s="77">
        <f>Tableau1[[#This Row],[Conso HP / jour
Instantané]]*365</f>
        <v>1502.7877055011804</v>
      </c>
      <c r="N637" s="79">
        <f>Tableau1[[#This Row],[Index HP
kWh]]-$I$5</f>
        <v>-175479</v>
      </c>
      <c r="O637" s="80">
        <f>Tableau1[[#This Row],[Différence HP
Cumul]]/(Tableau1[[#This Row],[Diff jour_x000D_
Cumul]]*24)</f>
        <v>-8.1911496989217198</v>
      </c>
      <c r="P637" s="80">
        <f>Tableau1[[#This Row],[Différence HP
Cumul]]/Tableau1[[#This Row],[Diff jour_x000D_
Cumul]]</f>
        <v>-196.58759277412128</v>
      </c>
      <c r="Q637" s="80">
        <f>Tableau1[[#This Row],[Conso HP / jour
Cumul]]*365</f>
        <v>-71754.471362554264</v>
      </c>
      <c r="R637" s="78">
        <v>2173</v>
      </c>
      <c r="S637" s="79">
        <f>Tableau1[[#This Row],[Index HC_x000D_
kWh]]-R636</f>
        <v>2</v>
      </c>
      <c r="T637" s="81">
        <f>Tableau1[[#This Row],[Différence_x000D_ HC
Instantané]]/(Tableau1[[#This Row],[Diff jour
Instantané]]*24)</f>
        <v>8.5775553966962348E-2</v>
      </c>
      <c r="U637" s="81">
        <f>Tableau1[[#This Row],[Différence_x000D_ HC
Instantané]]/Tableau1[[#This Row],[Diff jour
Instantané]]</f>
        <v>2.0586132952070963</v>
      </c>
      <c r="V637" s="81">
        <f>Tableau1[[#This Row],[Conso HC / jour_x000D_
Instantané]]*365</f>
        <v>751.39385275059021</v>
      </c>
      <c r="W637" s="79">
        <f>Tableau1[[#This Row],[Index HC_x000D_
kWh]]-$R$5</f>
        <v>-117259</v>
      </c>
      <c r="X637" s="82">
        <f>Tableau1[[#This Row],[Différence HC
Cumul]]/(Tableau1[[#This Row],[Diff jour_x000D_
Cumul]]*24)</f>
        <v>-5.4735097792092615</v>
      </c>
      <c r="Y637" s="82">
        <f>Tableau1[[#This Row],[Différence HC
Cumul]]/Tableau1[[#This Row],[Diff jour_x000D_
Cumul]]</f>
        <v>-131.36423470102227</v>
      </c>
      <c r="Z637" s="82">
        <f>Tableau1[[#This Row],[Conso HC / jour_x000D_
Cumul]]*365</f>
        <v>-47947.945665873129</v>
      </c>
      <c r="AA637" s="79">
        <f>Tableau1[[#This Row],[Différence HP
Instantané]]+Tableau1[[#This Row],[Différence_x000D_ HC
Instantané]]</f>
        <v>6</v>
      </c>
      <c r="AB637" s="80">
        <f>Tableau1[[#This Row],[Conso HP + HC
Instantané]]/(Tableau1[[#This Row],[Diff jour
Instantané]]*24)</f>
        <v>0.25732666190088704</v>
      </c>
      <c r="AC637" s="80">
        <f>IF(ISERROR(Tableau1[[#This Row],[Date]]-A636),"",Tableau1[[#This Row],[Conso HP + HC
Instantané]]/Tableau1[[#This Row],[Diff jour
Instantané]])</f>
        <v>6.175839885621289</v>
      </c>
      <c r="AD637" s="80">
        <f>Tableau1[[#This Row],[Conso HP + HC / jour_x000D_
Instantané]]*365</f>
        <v>2254.1815582517706</v>
      </c>
      <c r="AE637" s="79">
        <f>Tableau1[[#This Row],[Différence HP
Cumul]]+Tableau1[[#This Row],[Différence HC
Cumul]]</f>
        <v>-292738</v>
      </c>
      <c r="AF637" s="77">
        <f>(Tableau1[[#This Row],[Conso HP + HC
Cumul]]-AE$6)/Tableau1[[#This Row],[Diff jour_x000D_
Cumul
depuis le 24/01]]</f>
        <v>-345.57589351016429</v>
      </c>
      <c r="AG637" s="77">
        <f>(Tableau1[[#This Row],[Conso HP + HC
Cumul]]-AE$59)/Tableau1[[#This Row],[Diff jour_x000D_
Cumul
depuis
précédente facture
16/02/2021]]</f>
        <v>-356.85945888197443</v>
      </c>
      <c r="AH637" s="80">
        <f>Tableau1[[#This Row],[Conso HP + HC
Cumul]]/(Tableau1[[#This Row],[Diff jour_x000D_
Cumul]]*24)</f>
        <v>-13.66465947813098</v>
      </c>
      <c r="AI637" s="80">
        <f>Tableau1[[#This Row],[Conso HP + HC
Cumul]]/Tableau1[[#This Row],[Diff jour_x000D_
Cumul]]</f>
        <v>-327.95182747514355</v>
      </c>
      <c r="AJ637" s="80">
        <f>Tableau1[[#This Row],[Conso HP + HC / jour_x000D_
Cumul]]*365</f>
        <v>-119702.4170284274</v>
      </c>
      <c r="AK637" s="83">
        <f>(Tableau1[[#This Row],[Différence HP
Cumul]]*0.1799)+(Tableau1[[#This Row],[Différence HC
Cumul]]*0.1346)</f>
        <v>-47351.733500000002</v>
      </c>
      <c r="AL637" s="83">
        <f>Tableau1[[#This Row],[Montant
Tarif HP/HC]]/Tableau1[[#This Row],[Diff jour_x000D_
Cumul]]</f>
        <v>-53.047733930822019</v>
      </c>
      <c r="AM637" s="83">
        <f>(Tableau1[[#This Row],[Montant
Tarif HP/HC]]-AK$6)/Tableau1[[#This Row],[Diff jour_x000D_
Cumul
depuis le 24/01]]</f>
        <v>-55.908519108683677</v>
      </c>
      <c r="AN637" s="83">
        <f>(Tableau1[[#This Row],[Montant
Tarif HP/HC]]-AK$59)/Tableau1[[#This Row],[Diff jour_x000D_
Cumul
depuis
précédente facture
16/02/2021]]</f>
        <v>-57.743285716193505</v>
      </c>
      <c r="AO637" s="83">
        <f>Tableau1[[#This Row],[Conso HP + HC
Cumul]]*0.1599</f>
        <v>-46808.806199999999</v>
      </c>
      <c r="AP637" s="83">
        <f>Tableau1[[#This Row],[Montant
Tarif normal]]/Tableau1[[#This Row],[Diff jour_x000D_
Cumul]]</f>
        <v>-52.439497213275452</v>
      </c>
      <c r="AQ637" s="83">
        <f>(Tableau1[[#This Row],[Conso HP / an
Cumul]]*0.1799)+(Tableau1[[#This Row],[Conso HC / an_x000D_
Cumul]]*0.1346)</f>
        <v>-19362.422884750034</v>
      </c>
      <c r="AR637" s="83">
        <f>Tableau1[[#This Row],[Conso HP + HC / an_x000D_
Cumul]]*0.1599</f>
        <v>-19140.41648284554</v>
      </c>
      <c r="AS637" s="79">
        <f>MONTH(Tableau1[[#This Row],[Date]])</f>
        <v>5</v>
      </c>
      <c r="AT637" s="79">
        <f>YEAR(Tableau1[[#This Row],[Date]])</f>
        <v>2023</v>
      </c>
    </row>
    <row r="638" spans="1:46" x14ac:dyDescent="0.2">
      <c r="A638" s="74">
        <v>45076.322222222225</v>
      </c>
      <c r="B638" s="75"/>
      <c r="C638" s="76">
        <f>IF(ISERROR(Tableau1[[#This Row],[Date]]-A637),"",Tableau1[[#This Row],[Date]]-A637)</f>
        <v>0.98888888888905058</v>
      </c>
      <c r="D638" s="77">
        <f>IF(ISERROR(Tableau1[[#This Row],[Date]]-A637),"",Tableau1[[#This Row],[Date]]-A637)</f>
        <v>0.98888888888905058</v>
      </c>
      <c r="E638" s="76">
        <f>Tableau1[[#This Row],[Date]]-$A$5</f>
        <v>893.61388888888905</v>
      </c>
      <c r="F638" s="77">
        <f>Tableau1[[#This Row],[Date]]-$A$5</f>
        <v>893.61388888888905</v>
      </c>
      <c r="G638" s="77">
        <f>Tableau1[[#This Row],[Diff jour_x000D_
Cumul]]-F$6</f>
        <v>855.53055555556057</v>
      </c>
      <c r="H638" s="77">
        <f>Tableau1[[#This Row],[Diff jour_x000D_
Cumul]]-F$59</f>
        <v>833.01111111111095</v>
      </c>
      <c r="I638" s="78">
        <v>4288</v>
      </c>
      <c r="J638" s="79">
        <f>IF(ISERROR(Tableau1[[#This Row],[Index HP
kWh]]-I637),"",Tableau1[[#This Row],[Index HP
kWh]]-I637)</f>
        <v>8</v>
      </c>
      <c r="K638" s="77">
        <f>IF(ISERROR(Tableau1[[#This Row],[Différence HP
Instantané]]/(Tableau1[[#This Row],[Diff jour
Instantané]]*24)),"",Tableau1[[#This Row],[Différence HP
Instantané]]/(Tableau1[[#This Row],[Diff jour
Instantané]]*24))</f>
        <v>0.33707865168533813</v>
      </c>
      <c r="L638" s="77">
        <f>Tableau1[[#This Row],[Différence HP
Instantané]]/Tableau1[[#This Row],[Diff jour
Instantané]]</f>
        <v>8.089887640448115</v>
      </c>
      <c r="M638" s="77">
        <f>Tableau1[[#This Row],[Conso HP / jour
Instantané]]*365</f>
        <v>2952.808988763562</v>
      </c>
      <c r="N638" s="79">
        <f>Tableau1[[#This Row],[Index HP
kWh]]-$I$5</f>
        <v>-175471</v>
      </c>
      <c r="O638" s="80">
        <f>Tableau1[[#This Row],[Différence HP
Cumul]]/(Tableau1[[#This Row],[Diff jour_x000D_
Cumul]]*24)</f>
        <v>-8.1817122110282519</v>
      </c>
      <c r="P638" s="80">
        <f>Tableau1[[#This Row],[Différence HP
Cumul]]/Tableau1[[#This Row],[Diff jour_x000D_
Cumul]]</f>
        <v>-196.36109306467804</v>
      </c>
      <c r="Q638" s="80">
        <f>Tableau1[[#This Row],[Conso HP / jour
Cumul]]*365</f>
        <v>-71671.798968607487</v>
      </c>
      <c r="R638" s="78">
        <v>2175</v>
      </c>
      <c r="S638" s="79">
        <f>Tableau1[[#This Row],[Index HC_x000D_
kWh]]-R637</f>
        <v>2</v>
      </c>
      <c r="T638" s="81">
        <f>Tableau1[[#This Row],[Différence_x000D_ HC
Instantané]]/(Tableau1[[#This Row],[Diff jour
Instantané]]*24)</f>
        <v>8.4269662921334532E-2</v>
      </c>
      <c r="U638" s="81">
        <f>Tableau1[[#This Row],[Différence_x000D_ HC
Instantané]]/Tableau1[[#This Row],[Diff jour
Instantané]]</f>
        <v>2.0224719101120288</v>
      </c>
      <c r="V638" s="81">
        <f>Tableau1[[#This Row],[Conso HC / jour_x000D_
Instantané]]*365</f>
        <v>738.20224719089049</v>
      </c>
      <c r="W638" s="79">
        <f>Tableau1[[#This Row],[Index HC_x000D_
kWh]]-$R$5</f>
        <v>-117257</v>
      </c>
      <c r="X638" s="82">
        <f>Tableau1[[#This Row],[Différence HC
Cumul]]/(Tableau1[[#This Row],[Diff jour_x000D_
Cumul]]*24)</f>
        <v>-5.4673594424636534</v>
      </c>
      <c r="Y638" s="82">
        <f>Tableau1[[#This Row],[Différence HC
Cumul]]/Tableau1[[#This Row],[Diff jour_x000D_
Cumul]]</f>
        <v>-131.21662661912768</v>
      </c>
      <c r="Z638" s="82">
        <f>Tableau1[[#This Row],[Conso HC / jour_x000D_
Cumul]]*365</f>
        <v>-47894.068715981601</v>
      </c>
      <c r="AA638" s="79">
        <f>Tableau1[[#This Row],[Différence HP
Instantané]]+Tableau1[[#This Row],[Différence_x000D_ HC
Instantané]]</f>
        <v>10</v>
      </c>
      <c r="AB638" s="80">
        <f>Tableau1[[#This Row],[Conso HP + HC
Instantané]]/(Tableau1[[#This Row],[Diff jour
Instantané]]*24)</f>
        <v>0.42134831460667266</v>
      </c>
      <c r="AC638" s="80">
        <f>IF(ISERROR(Tableau1[[#This Row],[Date]]-A637),"",Tableau1[[#This Row],[Conso HP + HC
Instantané]]/Tableau1[[#This Row],[Diff jour
Instantané]])</f>
        <v>10.112359550560145</v>
      </c>
      <c r="AD638" s="80">
        <f>Tableau1[[#This Row],[Conso HP + HC / jour_x000D_
Instantané]]*365</f>
        <v>3691.0112359544528</v>
      </c>
      <c r="AE638" s="79">
        <f>Tableau1[[#This Row],[Différence HP
Cumul]]+Tableau1[[#This Row],[Différence HC
Cumul]]</f>
        <v>-292728</v>
      </c>
      <c r="AF638" s="77">
        <f>(Tableau1[[#This Row],[Conso HP + HC
Cumul]]-AE$6)/Tableau1[[#This Row],[Diff jour_x000D_
Cumul
depuis le 24/01]]</f>
        <v>-345.16476130795826</v>
      </c>
      <c r="AG638" s="77">
        <f>(Tableau1[[#This Row],[Conso HP + HC
Cumul]]-AE$59)/Tableau1[[#This Row],[Diff jour_x000D_
Cumul
depuis
précédente facture
16/02/2021]]</f>
        <v>-356.42381720932099</v>
      </c>
      <c r="AH638" s="80">
        <f>Tableau1[[#This Row],[Conso HP + HC
Cumul]]/(Tableau1[[#This Row],[Diff jour_x000D_
Cumul]]*24)</f>
        <v>-13.649071653491905</v>
      </c>
      <c r="AI638" s="80">
        <f>Tableau1[[#This Row],[Conso HP + HC
Cumul]]/Tableau1[[#This Row],[Diff jour_x000D_
Cumul]]</f>
        <v>-327.5777196838057</v>
      </c>
      <c r="AJ638" s="80">
        <f>Tableau1[[#This Row],[Conso HP + HC / jour_x000D_
Cumul]]*365</f>
        <v>-119565.86768458907</v>
      </c>
      <c r="AK638" s="83">
        <f>(Tableau1[[#This Row],[Différence HP
Cumul]]*0.1799)+(Tableau1[[#This Row],[Différence HC
Cumul]]*0.1346)</f>
        <v>-47350.025099999999</v>
      </c>
      <c r="AL638" s="83">
        <f>Tableau1[[#This Row],[Montant
Tarif HP/HC]]/Tableau1[[#This Row],[Diff jour_x000D_
Cumul]]</f>
        <v>-52.98711858527016</v>
      </c>
      <c r="AM638" s="83">
        <f>(Tableau1[[#This Row],[Montant
Tarif HP/HC]]-AK$6)/Tableau1[[#This Row],[Diff jour_x000D_
Cumul
depuis le 24/01]]</f>
        <v>-55.841898795743703</v>
      </c>
      <c r="AN638" s="83">
        <f>(Tableau1[[#This Row],[Montant
Tarif HP/HC]]-AK$59)/Tableau1[[#This Row],[Diff jour_x000D_
Cumul
depuis
précédente facture
16/02/2021]]</f>
        <v>-57.672686305371421</v>
      </c>
      <c r="AO638" s="83">
        <f>Tableau1[[#This Row],[Conso HP + HC
Cumul]]*0.1599</f>
        <v>-46807.207199999997</v>
      </c>
      <c r="AP638" s="83">
        <f>Tableau1[[#This Row],[Montant
Tarif normal]]/Tableau1[[#This Row],[Diff jour_x000D_
Cumul]]</f>
        <v>-52.37967737744053</v>
      </c>
      <c r="AQ638" s="83">
        <f>(Tableau1[[#This Row],[Conso HP / an
Cumul]]*0.1799)+(Tableau1[[#This Row],[Conso HC / an_x000D_
Cumul]]*0.1346)</f>
        <v>-19340.298283623611</v>
      </c>
      <c r="AR638" s="83">
        <f>Tableau1[[#This Row],[Conso HP + HC / an_x000D_
Cumul]]*0.1599</f>
        <v>-19118.582242765791</v>
      </c>
      <c r="AS638" s="79">
        <f>MONTH(Tableau1[[#This Row],[Date]])</f>
        <v>5</v>
      </c>
      <c r="AT638" s="79">
        <f>YEAR(Tableau1[[#This Row],[Date]])</f>
        <v>2023</v>
      </c>
    </row>
    <row r="639" spans="1:46" x14ac:dyDescent="0.2">
      <c r="A639" s="74">
        <v>45077.393750000003</v>
      </c>
      <c r="B639" s="75"/>
      <c r="C639" s="76">
        <f>IF(ISERROR(Tableau1[[#This Row],[Date]]-A638),"",Tableau1[[#This Row],[Date]]-A638)</f>
        <v>1.0715277777781012</v>
      </c>
      <c r="D639" s="77">
        <f>IF(ISERROR(Tableau1[[#This Row],[Date]]-A638),"",Tableau1[[#This Row],[Date]]-A638)</f>
        <v>1.0715277777781012</v>
      </c>
      <c r="E639" s="76">
        <f>Tableau1[[#This Row],[Date]]-$A$5</f>
        <v>894.68541666666715</v>
      </c>
      <c r="F639" s="77">
        <f>Tableau1[[#This Row],[Date]]-$A$5</f>
        <v>894.68541666666715</v>
      </c>
      <c r="G639" s="77">
        <f>Tableau1[[#This Row],[Diff jour_x000D_
Cumul]]-F$6</f>
        <v>856.60208333333867</v>
      </c>
      <c r="H639" s="77">
        <f>Tableau1[[#This Row],[Diff jour_x000D_
Cumul]]-F$59</f>
        <v>834.08263888888905</v>
      </c>
      <c r="I639" s="78">
        <v>4294</v>
      </c>
      <c r="J639" s="79">
        <f>IF(ISERROR(Tableau1[[#This Row],[Index HP
kWh]]-I638),"",Tableau1[[#This Row],[Index HP
kWh]]-I638)</f>
        <v>6</v>
      </c>
      <c r="K639" s="77">
        <f>IF(ISERROR(Tableau1[[#This Row],[Différence HP
Instantané]]/(Tableau1[[#This Row],[Diff jour
Instantané]]*24)),"",Tableau1[[#This Row],[Différence HP
Instantané]]/(Tableau1[[#This Row],[Diff jour
Instantané]]*24))</f>
        <v>0.23331173039526334</v>
      </c>
      <c r="L639" s="77">
        <f>Tableau1[[#This Row],[Différence HP
Instantané]]/Tableau1[[#This Row],[Diff jour
Instantané]]</f>
        <v>5.5994815294863205</v>
      </c>
      <c r="M639" s="77">
        <f>Tableau1[[#This Row],[Conso HP / jour
Instantané]]*365</f>
        <v>2043.8107582625071</v>
      </c>
      <c r="N639" s="79">
        <f>Tableau1[[#This Row],[Index HP
kWh]]-$I$5</f>
        <v>-175465</v>
      </c>
      <c r="O639" s="80">
        <f>Tableau1[[#This Row],[Différence HP
Cumul]]/(Tableau1[[#This Row],[Diff jour_x000D_
Cumul]]*24)</f>
        <v>-8.1716338843494754</v>
      </c>
      <c r="P639" s="80">
        <f>Tableau1[[#This Row],[Différence HP
Cumul]]/Tableau1[[#This Row],[Diff jour_x000D_
Cumul]]</f>
        <v>-196.11921322438744</v>
      </c>
      <c r="Q639" s="80">
        <f>Tableau1[[#This Row],[Conso HP / jour
Cumul]]*365</f>
        <v>-71583.512826901409</v>
      </c>
      <c r="R639" s="78">
        <v>2177</v>
      </c>
      <c r="S639" s="79">
        <f>Tableau1[[#This Row],[Index HC_x000D_
kWh]]-R638</f>
        <v>2</v>
      </c>
      <c r="T639" s="81">
        <f>Tableau1[[#This Row],[Différence_x000D_ HC
Instantané]]/(Tableau1[[#This Row],[Diff jour
Instantané]]*24)</f>
        <v>7.7770576798421115E-2</v>
      </c>
      <c r="U639" s="81">
        <f>Tableau1[[#This Row],[Différence_x000D_ HC
Instantané]]/Tableau1[[#This Row],[Diff jour
Instantané]]</f>
        <v>1.8664938431621068</v>
      </c>
      <c r="V639" s="81">
        <f>Tableau1[[#This Row],[Conso HC / jour_x000D_
Instantané]]*365</f>
        <v>681.27025275416895</v>
      </c>
      <c r="W639" s="79">
        <f>Tableau1[[#This Row],[Index HC_x000D_
kWh]]-$R$5</f>
        <v>-117255</v>
      </c>
      <c r="X639" s="82">
        <f>Tableau1[[#This Row],[Différence HC
Cumul]]/(Tableau1[[#This Row],[Diff jour_x000D_
Cumul]]*24)</f>
        <v>-5.4607182692240492</v>
      </c>
      <c r="Y639" s="82">
        <f>Tableau1[[#This Row],[Différence HC
Cumul]]/Tableau1[[#This Row],[Diff jour_x000D_
Cumul]]</f>
        <v>-131.05723846137718</v>
      </c>
      <c r="Z639" s="82">
        <f>Tableau1[[#This Row],[Conso HC / jour_x000D_
Cumul]]*365</f>
        <v>-47835.892038402671</v>
      </c>
      <c r="AA639" s="79">
        <f>Tableau1[[#This Row],[Différence HP
Instantané]]+Tableau1[[#This Row],[Différence_x000D_ HC
Instantané]]</f>
        <v>8</v>
      </c>
      <c r="AB639" s="80">
        <f>Tableau1[[#This Row],[Conso HP + HC
Instantané]]/(Tableau1[[#This Row],[Diff jour
Instantané]]*24)</f>
        <v>0.31108230719368446</v>
      </c>
      <c r="AC639" s="80">
        <f>IF(ISERROR(Tableau1[[#This Row],[Date]]-A638),"",Tableau1[[#This Row],[Conso HP + HC
Instantané]]/Tableau1[[#This Row],[Diff jour
Instantané]])</f>
        <v>7.465975372648427</v>
      </c>
      <c r="AD639" s="80">
        <f>Tableau1[[#This Row],[Conso HP + HC / jour_x000D_
Instantané]]*365</f>
        <v>2725.0810110166758</v>
      </c>
      <c r="AE639" s="79">
        <f>Tableau1[[#This Row],[Différence HP
Cumul]]+Tableau1[[#This Row],[Différence HC
Cumul]]</f>
        <v>-292720</v>
      </c>
      <c r="AF639" s="77">
        <f>(Tableau1[[#This Row],[Conso HP + HC
Cumul]]-AE$6)/Tableau1[[#This Row],[Diff jour_x000D_
Cumul
depuis le 24/01]]</f>
        <v>-344.7236537773984</v>
      </c>
      <c r="AG639" s="77">
        <f>(Tableau1[[#This Row],[Conso HP + HC
Cumul]]-AE$59)/Tableau1[[#This Row],[Diff jour_x000D_
Cumul
depuis
précédente facture
16/02/2021]]</f>
        <v>-355.95633592794474</v>
      </c>
      <c r="AH639" s="80">
        <f>Tableau1[[#This Row],[Conso HP + HC
Cumul]]/(Tableau1[[#This Row],[Diff jour_x000D_
Cumul]]*24)</f>
        <v>-13.632352153573525</v>
      </c>
      <c r="AI639" s="80">
        <f>Tableau1[[#This Row],[Conso HP + HC
Cumul]]/Tableau1[[#This Row],[Diff jour_x000D_
Cumul]]</f>
        <v>-327.17645168576462</v>
      </c>
      <c r="AJ639" s="80">
        <f>Tableau1[[#This Row],[Conso HP + HC / jour_x000D_
Cumul]]*365</f>
        <v>-119419.40486530408</v>
      </c>
      <c r="AK639" s="83">
        <f>(Tableau1[[#This Row],[Différence HP
Cumul]]*0.1799)+(Tableau1[[#This Row],[Différence HC
Cumul]]*0.1346)</f>
        <v>-47348.676500000001</v>
      </c>
      <c r="AL639" s="83">
        <f>Tableau1[[#This Row],[Montant
Tarif HP/HC]]/Tableau1[[#This Row],[Diff jour_x000D_
Cumul]]</f>
        <v>-52.922150755968666</v>
      </c>
      <c r="AM639" s="83">
        <f>(Tableau1[[#This Row],[Montant
Tarif HP/HC]]-AK$6)/Tableau1[[#This Row],[Diff jour_x000D_
Cumul
depuis le 24/01]]</f>
        <v>-55.770471528738447</v>
      </c>
      <c r="AN639" s="83">
        <f>(Tableau1[[#This Row],[Montant
Tarif HP/HC]]-AK$59)/Tableau1[[#This Row],[Diff jour_x000D_
Cumul
depuis
précédente facture
16/02/2021]]</f>
        <v>-57.596978596745082</v>
      </c>
      <c r="AO639" s="83">
        <f>Tableau1[[#This Row],[Conso HP + HC
Cumul]]*0.1599</f>
        <v>-46805.927999999993</v>
      </c>
      <c r="AP639" s="83">
        <f>Tableau1[[#This Row],[Montant
Tarif normal]]/Tableau1[[#This Row],[Diff jour_x000D_
Cumul]]</f>
        <v>-52.315514624553749</v>
      </c>
      <c r="AQ639" s="83">
        <f>(Tableau1[[#This Row],[Conso HP / an
Cumul]]*0.1799)+(Tableau1[[#This Row],[Conso HC / an_x000D_
Cumul]]*0.1346)</f>
        <v>-19316.585025928565</v>
      </c>
      <c r="AR639" s="83">
        <f>Tableau1[[#This Row],[Conso HP + HC / an_x000D_
Cumul]]*0.1599</f>
        <v>-19095.162837962122</v>
      </c>
      <c r="AS639" s="79">
        <f>MONTH(Tableau1[[#This Row],[Date]])</f>
        <v>5</v>
      </c>
      <c r="AT639" s="79">
        <f>YEAR(Tableau1[[#This Row],[Date]])</f>
        <v>2023</v>
      </c>
    </row>
    <row r="640" spans="1:46" x14ac:dyDescent="0.2">
      <c r="A640" s="74">
        <v>45078.322222222225</v>
      </c>
      <c r="B640" s="75"/>
      <c r="C640" s="76">
        <f>IF(ISERROR(Tableau1[[#This Row],[Date]]-A639),"",Tableau1[[#This Row],[Date]]-A639)</f>
        <v>0.92847222222189885</v>
      </c>
      <c r="D640" s="77">
        <f>IF(ISERROR(Tableau1[[#This Row],[Date]]-A639),"",Tableau1[[#This Row],[Date]]-A639)</f>
        <v>0.92847222222189885</v>
      </c>
      <c r="E640" s="76">
        <f>Tableau1[[#This Row],[Date]]-$A$5</f>
        <v>895.61388888888905</v>
      </c>
      <c r="F640" s="77">
        <f>Tableau1[[#This Row],[Date]]-$A$5</f>
        <v>895.61388888888905</v>
      </c>
      <c r="G640" s="77">
        <f>Tableau1[[#This Row],[Diff jour_x000D_
Cumul]]-F$6</f>
        <v>857.53055555556057</v>
      </c>
      <c r="H640" s="77">
        <f>Tableau1[[#This Row],[Diff jour_x000D_
Cumul]]-F$59</f>
        <v>835.01111111111095</v>
      </c>
      <c r="I640" s="78">
        <v>4301</v>
      </c>
      <c r="J640" s="79">
        <f>IF(ISERROR(Tableau1[[#This Row],[Index HP
kWh]]-I639),"",Tableau1[[#This Row],[Index HP
kWh]]-I639)</f>
        <v>7</v>
      </c>
      <c r="K640" s="77">
        <f>IF(ISERROR(Tableau1[[#This Row],[Différence HP
Instantané]]/(Tableau1[[#This Row],[Diff jour
Instantané]]*24)),"",Tableau1[[#This Row],[Différence HP
Instantané]]/(Tableau1[[#This Row],[Diff jour
Instantané]]*24))</f>
        <v>0.31413612565455967</v>
      </c>
      <c r="L640" s="77">
        <f>Tableau1[[#This Row],[Différence HP
Instantané]]/Tableau1[[#This Row],[Diff jour
Instantané]]</f>
        <v>7.5392670157094317</v>
      </c>
      <c r="M640" s="77">
        <f>Tableau1[[#This Row],[Conso HP / jour
Instantané]]*365</f>
        <v>2751.8324607339428</v>
      </c>
      <c r="N640" s="79">
        <f>Tableau1[[#This Row],[Index HP
kWh]]-$I$5</f>
        <v>-175458</v>
      </c>
      <c r="O640" s="80">
        <f>Tableau1[[#This Row],[Différence HP
Cumul]]/(Tableau1[[#This Row],[Diff jour_x000D_
Cumul]]*24)</f>
        <v>-8.1628367879263433</v>
      </c>
      <c r="P640" s="80">
        <f>Tableau1[[#This Row],[Différence HP
Cumul]]/Tableau1[[#This Row],[Diff jour_x000D_
Cumul]]</f>
        <v>-195.90808291023225</v>
      </c>
      <c r="Q640" s="80">
        <f>Tableau1[[#This Row],[Conso HP / jour
Cumul]]*365</f>
        <v>-71506.450262234779</v>
      </c>
      <c r="R640" s="78">
        <v>2179</v>
      </c>
      <c r="S640" s="79">
        <f>Tableau1[[#This Row],[Index HC_x000D_
kWh]]-R639</f>
        <v>2</v>
      </c>
      <c r="T640" s="81">
        <f>Tableau1[[#This Row],[Différence_x000D_ HC
Instantané]]/(Tableau1[[#This Row],[Diff jour
Instantané]]*24)</f>
        <v>8.9753178758445615E-2</v>
      </c>
      <c r="U640" s="81">
        <f>Tableau1[[#This Row],[Différence_x000D_ HC
Instantané]]/Tableau1[[#This Row],[Diff jour
Instantané]]</f>
        <v>2.1540762902026951</v>
      </c>
      <c r="V640" s="81">
        <f>Tableau1[[#This Row],[Conso HC / jour_x000D_
Instantané]]*365</f>
        <v>786.23784592398374</v>
      </c>
      <c r="W640" s="79">
        <f>Tableau1[[#This Row],[Index HC_x000D_
kWh]]-$R$5</f>
        <v>-117253</v>
      </c>
      <c r="X640" s="82">
        <f>Tableau1[[#This Row],[Différence HC
Cumul]]/(Tableau1[[#This Row],[Diff jour_x000D_
Cumul]]*24)</f>
        <v>-5.4549641617636562</v>
      </c>
      <c r="Y640" s="82">
        <f>Tableau1[[#This Row],[Différence HC
Cumul]]/Tableau1[[#This Row],[Diff jour_x000D_
Cumul]]</f>
        <v>-130.91913988232773</v>
      </c>
      <c r="Z640" s="82">
        <f>Tableau1[[#This Row],[Conso HC / jour_x000D_
Cumul]]*365</f>
        <v>-47785.486057049624</v>
      </c>
      <c r="AA640" s="79">
        <f>Tableau1[[#This Row],[Différence HP
Instantané]]+Tableau1[[#This Row],[Différence_x000D_ HC
Instantané]]</f>
        <v>9</v>
      </c>
      <c r="AB640" s="80">
        <f>Tableau1[[#This Row],[Conso HP + HC
Instantané]]/(Tableau1[[#This Row],[Diff jour
Instantané]]*24)</f>
        <v>0.4038893044130053</v>
      </c>
      <c r="AC640" s="80">
        <f>IF(ISERROR(Tableau1[[#This Row],[Date]]-A639),"",Tableau1[[#This Row],[Conso HP + HC
Instantané]]/Tableau1[[#This Row],[Diff jour
Instantané]])</f>
        <v>9.6933433059121263</v>
      </c>
      <c r="AD640" s="80">
        <f>Tableau1[[#This Row],[Conso HP + HC / jour_x000D_
Instantané]]*365</f>
        <v>3538.0703066579263</v>
      </c>
      <c r="AE640" s="79">
        <f>Tableau1[[#This Row],[Différence HP
Cumul]]+Tableau1[[#This Row],[Différence HC
Cumul]]</f>
        <v>-292711</v>
      </c>
      <c r="AF640" s="77">
        <f>(Tableau1[[#This Row],[Conso HP + HC
Cumul]]-AE$6)/Tableau1[[#This Row],[Diff jour_x000D_
Cumul
depuis le 24/01]]</f>
        <v>-344.33991662104484</v>
      </c>
      <c r="AG640" s="77">
        <f>(Tableau1[[#This Row],[Conso HP + HC
Cumul]]-AE$59)/Tableau1[[#This Row],[Diff jour_x000D_
Cumul
depuis
précédente facture
16/02/2021]]</f>
        <v>-355.54975981690205</v>
      </c>
      <c r="AH640" s="80">
        <f>Tableau1[[#This Row],[Conso HP + HC
Cumul]]/(Tableau1[[#This Row],[Diff jour_x000D_
Cumul]]*24)</f>
        <v>-13.617800949689999</v>
      </c>
      <c r="AI640" s="80">
        <f>Tableau1[[#This Row],[Conso HP + HC
Cumul]]/Tableau1[[#This Row],[Diff jour_x000D_
Cumul]]</f>
        <v>-326.82722279255995</v>
      </c>
      <c r="AJ640" s="80">
        <f>Tableau1[[#This Row],[Conso HP + HC / jour_x000D_
Cumul]]*365</f>
        <v>-119291.93631928439</v>
      </c>
      <c r="AK640" s="83">
        <f>(Tableau1[[#This Row],[Différence HP
Cumul]]*0.1799)+(Tableau1[[#This Row],[Différence HC
Cumul]]*0.1346)</f>
        <v>-47347.148000000001</v>
      </c>
      <c r="AL640" s="83">
        <f>Tableau1[[#This Row],[Montant
Tarif HP/HC]]/Tableau1[[#This Row],[Diff jour_x000D_
Cumul]]</f>
        <v>-52.865580343712097</v>
      </c>
      <c r="AM640" s="83">
        <f>(Tableau1[[#This Row],[Montant
Tarif HP/HC]]-AK$6)/Tableau1[[#This Row],[Diff jour_x000D_
Cumul
depuis le 24/01]]</f>
        <v>-55.708304841744869</v>
      </c>
      <c r="AN640" s="83">
        <f>(Tableau1[[#This Row],[Montant
Tarif HP/HC]]-AK$59)/Tableau1[[#This Row],[Diff jour_x000D_
Cumul
depuis
précédente facture
16/02/2021]]</f>
        <v>-57.531104389828492</v>
      </c>
      <c r="AO640" s="83">
        <f>Tableau1[[#This Row],[Conso HP + HC
Cumul]]*0.1599</f>
        <v>-46804.488899999997</v>
      </c>
      <c r="AP640" s="83">
        <f>Tableau1[[#This Row],[Montant
Tarif normal]]/Tableau1[[#This Row],[Diff jour_x000D_
Cumul]]</f>
        <v>-52.259672924530335</v>
      </c>
      <c r="AQ640" s="83">
        <f>(Tableau1[[#This Row],[Conso HP / an
Cumul]]*0.1799)+(Tableau1[[#This Row],[Conso HC / an_x000D_
Cumul]]*0.1346)</f>
        <v>-19295.936825454915</v>
      </c>
      <c r="AR640" s="83">
        <f>Tableau1[[#This Row],[Conso HP + HC / an_x000D_
Cumul]]*0.1599</f>
        <v>-19074.780617453573</v>
      </c>
      <c r="AS640" s="79">
        <f>MONTH(Tableau1[[#This Row],[Date]])</f>
        <v>6</v>
      </c>
      <c r="AT640" s="79">
        <f>YEAR(Tableau1[[#This Row],[Date]])</f>
        <v>2023</v>
      </c>
    </row>
    <row r="641" spans="1:46" x14ac:dyDescent="0.2">
      <c r="A641" s="74">
        <v>45079.311111111114</v>
      </c>
      <c r="B641" s="75"/>
      <c r="C641" s="76">
        <f>IF(ISERROR(Tableau1[[#This Row],[Date]]-A640),"",Tableau1[[#This Row],[Date]]-A640)</f>
        <v>0.98888888888905058</v>
      </c>
      <c r="D641" s="77">
        <f>IF(ISERROR(Tableau1[[#This Row],[Date]]-A640),"",Tableau1[[#This Row],[Date]]-A640)</f>
        <v>0.98888888888905058</v>
      </c>
      <c r="E641" s="76">
        <f>Tableau1[[#This Row],[Date]]-$A$5</f>
        <v>896.6027777777781</v>
      </c>
      <c r="F641" s="77">
        <f>Tableau1[[#This Row],[Date]]-$A$5</f>
        <v>896.6027777777781</v>
      </c>
      <c r="G641" s="77">
        <f>Tableau1[[#This Row],[Diff jour_x000D_
Cumul]]-F$6</f>
        <v>858.51944444444962</v>
      </c>
      <c r="H641" s="77">
        <f>Tableau1[[#This Row],[Diff jour_x000D_
Cumul]]-F$59</f>
        <v>836</v>
      </c>
      <c r="I641" s="78">
        <v>4304</v>
      </c>
      <c r="J641" s="79">
        <f>IF(ISERROR(Tableau1[[#This Row],[Index HP
kWh]]-I640),"",Tableau1[[#This Row],[Index HP
kWh]]-I640)</f>
        <v>3</v>
      </c>
      <c r="K641" s="77">
        <f>IF(ISERROR(Tableau1[[#This Row],[Différence HP
Instantané]]/(Tableau1[[#This Row],[Diff jour
Instantané]]*24)),"",Tableau1[[#This Row],[Différence HP
Instantané]]/(Tableau1[[#This Row],[Diff jour
Instantané]]*24))</f>
        <v>0.1264044943820018</v>
      </c>
      <c r="L641" s="77">
        <f>Tableau1[[#This Row],[Différence HP
Instantané]]/Tableau1[[#This Row],[Diff jour
Instantané]]</f>
        <v>3.0337078651680431</v>
      </c>
      <c r="M641" s="77">
        <f>Tableau1[[#This Row],[Conso HP / jour
Instantané]]*365</f>
        <v>1107.3033707863358</v>
      </c>
      <c r="N641" s="79">
        <f>Tableau1[[#This Row],[Index HP
kWh]]-$I$5</f>
        <v>-175455</v>
      </c>
      <c r="O641" s="80">
        <f>Tableau1[[#This Row],[Différence HP
Cumul]]/(Tableau1[[#This Row],[Diff jour_x000D_
Cumul]]*24)</f>
        <v>-8.1536943462514344</v>
      </c>
      <c r="P641" s="80">
        <f>Tableau1[[#This Row],[Différence HP
Cumul]]/Tableau1[[#This Row],[Diff jour_x000D_
Cumul]]</f>
        <v>-195.6886643100344</v>
      </c>
      <c r="Q641" s="80">
        <f>Tableau1[[#This Row],[Conso HP / jour
Cumul]]*365</f>
        <v>-71426.36247316256</v>
      </c>
      <c r="R641" s="78">
        <v>2181</v>
      </c>
      <c r="S641" s="79">
        <f>Tableau1[[#This Row],[Index HC_x000D_
kWh]]-R640</f>
        <v>2</v>
      </c>
      <c r="T641" s="81">
        <f>Tableau1[[#This Row],[Différence_x000D_ HC
Instantané]]/(Tableau1[[#This Row],[Diff jour
Instantané]]*24)</f>
        <v>8.4269662921334532E-2</v>
      </c>
      <c r="U641" s="81">
        <f>Tableau1[[#This Row],[Différence_x000D_ HC
Instantané]]/Tableau1[[#This Row],[Diff jour
Instantané]]</f>
        <v>2.0224719101120288</v>
      </c>
      <c r="V641" s="81">
        <f>Tableau1[[#This Row],[Conso HC / jour_x000D_
Instantané]]*365</f>
        <v>738.20224719089049</v>
      </c>
      <c r="W641" s="79">
        <f>Tableau1[[#This Row],[Index HC_x000D_
kWh]]-$R$5</f>
        <v>-117251</v>
      </c>
      <c r="X641" s="82">
        <f>Tableau1[[#This Row],[Différence HC
Cumul]]/(Tableau1[[#This Row],[Diff jour_x000D_
Cumul]]*24)</f>
        <v>-5.4488547820941378</v>
      </c>
      <c r="Y641" s="82">
        <f>Tableau1[[#This Row],[Différence HC
Cumul]]/Tableau1[[#This Row],[Diff jour_x000D_
Cumul]]</f>
        <v>-130.77251477025931</v>
      </c>
      <c r="Z641" s="82">
        <f>Tableau1[[#This Row],[Conso HC / jour_x000D_
Cumul]]*365</f>
        <v>-47731.967891144646</v>
      </c>
      <c r="AA641" s="79">
        <f>Tableau1[[#This Row],[Différence HP
Instantané]]+Tableau1[[#This Row],[Différence_x000D_ HC
Instantané]]</f>
        <v>5</v>
      </c>
      <c r="AB641" s="80">
        <f>Tableau1[[#This Row],[Conso HP + HC
Instantané]]/(Tableau1[[#This Row],[Diff jour
Instantané]]*24)</f>
        <v>0.21067415730333633</v>
      </c>
      <c r="AC641" s="80">
        <f>IF(ISERROR(Tableau1[[#This Row],[Date]]-A640),"",Tableau1[[#This Row],[Conso HP + HC
Instantané]]/Tableau1[[#This Row],[Diff jour
Instantané]])</f>
        <v>5.0561797752800723</v>
      </c>
      <c r="AD641" s="80">
        <f>Tableau1[[#This Row],[Conso HP + HC / jour_x000D_
Instantané]]*365</f>
        <v>1845.5056179772264</v>
      </c>
      <c r="AE641" s="79">
        <f>Tableau1[[#This Row],[Différence HP
Cumul]]+Tableau1[[#This Row],[Différence HC
Cumul]]</f>
        <v>-292706</v>
      </c>
      <c r="AF641" s="77">
        <f>(Tableau1[[#This Row],[Conso HP + HC
Cumul]]-AE$6)/Tableau1[[#This Row],[Diff jour_x000D_
Cumul
depuis le 24/01]]</f>
        <v>-343.93746339790192</v>
      </c>
      <c r="AG641" s="77">
        <f>(Tableau1[[#This Row],[Conso HP + HC
Cumul]]-AE$59)/Tableau1[[#This Row],[Diff jour_x000D_
Cumul
depuis
précédente facture
16/02/2021]]</f>
        <v>-355.1232057416268</v>
      </c>
      <c r="AH641" s="80">
        <f>Tableau1[[#This Row],[Conso HP + HC
Cumul]]/(Tableau1[[#This Row],[Diff jour_x000D_
Cumul]]*24)</f>
        <v>-13.60254912834557</v>
      </c>
      <c r="AI641" s="80">
        <f>Tableau1[[#This Row],[Conso HP + HC
Cumul]]/Tableau1[[#This Row],[Diff jour_x000D_
Cumul]]</f>
        <v>-326.46117908029373</v>
      </c>
      <c r="AJ641" s="80">
        <f>Tableau1[[#This Row],[Conso HP + HC / jour_x000D_
Cumul]]*365</f>
        <v>-119158.33036430721</v>
      </c>
      <c r="AK641" s="83">
        <f>(Tableau1[[#This Row],[Différence HP
Cumul]]*0.1799)+(Tableau1[[#This Row],[Différence HC
Cumul]]*0.1346)</f>
        <v>-47346.339099999997</v>
      </c>
      <c r="AL641" s="83">
        <f>Tableau1[[#This Row],[Montant
Tarif HP/HC]]/Tableau1[[#This Row],[Diff jour_x000D_
Cumul]]</f>
        <v>-52.806371197452087</v>
      </c>
      <c r="AM641" s="83">
        <f>(Tableau1[[#This Row],[Montant
Tarif HP/HC]]-AK$6)/Tableau1[[#This Row],[Diff jour_x000D_
Cumul
depuis le 24/01]]</f>
        <v>-55.643194815363323</v>
      </c>
      <c r="AN641" s="83">
        <f>(Tableau1[[#This Row],[Montant
Tarif HP/HC]]-AK$59)/Tableau1[[#This Row],[Diff jour_x000D_
Cumul
depuis
précédente facture
16/02/2021]]</f>
        <v>-57.46208433014354</v>
      </c>
      <c r="AO641" s="83">
        <f>Tableau1[[#This Row],[Conso HP + HC
Cumul]]*0.1599</f>
        <v>-46803.689399999996</v>
      </c>
      <c r="AP641" s="83">
        <f>Tableau1[[#This Row],[Montant
Tarif normal]]/Tableau1[[#This Row],[Diff jour_x000D_
Cumul]]</f>
        <v>-52.20114253493896</v>
      </c>
      <c r="AQ641" s="83">
        <f>(Tableau1[[#This Row],[Conso HP / an
Cumul]]*0.1799)+(Tableau1[[#This Row],[Conso HC / an_x000D_
Cumul]]*0.1346)</f>
        <v>-19274.325487070015</v>
      </c>
      <c r="AR641" s="83">
        <f>Tableau1[[#This Row],[Conso HP + HC / an_x000D_
Cumul]]*0.1599</f>
        <v>-19053.417025252722</v>
      </c>
      <c r="AS641" s="79">
        <f>MONTH(Tableau1[[#This Row],[Date]])</f>
        <v>6</v>
      </c>
      <c r="AT641" s="79">
        <f>YEAR(Tableau1[[#This Row],[Date]])</f>
        <v>2023</v>
      </c>
    </row>
    <row r="642" spans="1:46" x14ac:dyDescent="0.2">
      <c r="A642" s="74">
        <v>45080.3125</v>
      </c>
      <c r="B642" s="75"/>
      <c r="C642" s="76">
        <f>IF(ISERROR(Tableau1[[#This Row],[Date]]-A641),"",Tableau1[[#This Row],[Date]]-A641)</f>
        <v>1.0013888888861402</v>
      </c>
      <c r="D642" s="77">
        <f>IF(ISERROR(Tableau1[[#This Row],[Date]]-A641),"",Tableau1[[#This Row],[Date]]-A641)</f>
        <v>1.0013888888861402</v>
      </c>
      <c r="E642" s="76">
        <f>Tableau1[[#This Row],[Date]]-$A$5</f>
        <v>897.60416666666424</v>
      </c>
      <c r="F642" s="77">
        <f>Tableau1[[#This Row],[Date]]-$A$5</f>
        <v>897.60416666666424</v>
      </c>
      <c r="G642" s="77">
        <f>Tableau1[[#This Row],[Diff jour_x000D_
Cumul]]-F$6</f>
        <v>859.52083333333576</v>
      </c>
      <c r="H642" s="77">
        <f>Tableau1[[#This Row],[Diff jour_x000D_
Cumul]]-F$59</f>
        <v>837.00138888888614</v>
      </c>
      <c r="I642" s="78">
        <v>4308</v>
      </c>
      <c r="J642" s="79">
        <f>IF(ISERROR(Tableau1[[#This Row],[Index HP
kWh]]-I641),"",Tableau1[[#This Row],[Index HP
kWh]]-I641)</f>
        <v>4</v>
      </c>
      <c r="K642" s="77">
        <f>IF(ISERROR(Tableau1[[#This Row],[Différence HP
Instantané]]/(Tableau1[[#This Row],[Diff jour
Instantané]]*24)),"",Tableau1[[#This Row],[Différence HP
Instantané]]/(Tableau1[[#This Row],[Diff jour
Instantané]]*24))</f>
        <v>0.16643550624178832</v>
      </c>
      <c r="L642" s="77">
        <f>Tableau1[[#This Row],[Différence HP
Instantané]]/Tableau1[[#This Row],[Diff jour
Instantané]]</f>
        <v>3.9944521498029197</v>
      </c>
      <c r="M642" s="77">
        <f>Tableau1[[#This Row],[Conso HP / jour
Instantané]]*365</f>
        <v>1457.9750346780656</v>
      </c>
      <c r="N642" s="79">
        <f>Tableau1[[#This Row],[Index HP
kWh]]-$I$5</f>
        <v>-175451</v>
      </c>
      <c r="O642" s="80">
        <f>Tableau1[[#This Row],[Différence HP
Cumul]]/(Tableau1[[#This Row],[Diff jour_x000D_
Cumul]]*24)</f>
        <v>-8.1444122084252282</v>
      </c>
      <c r="P642" s="80">
        <f>Tableau1[[#This Row],[Différence HP
Cumul]]/Tableau1[[#This Row],[Diff jour_x000D_
Cumul]]</f>
        <v>-195.46589300220546</v>
      </c>
      <c r="Q642" s="80">
        <f>Tableau1[[#This Row],[Conso HP / jour
Cumul]]*365</f>
        <v>-71345.050945804993</v>
      </c>
      <c r="R642" s="78">
        <v>2182</v>
      </c>
      <c r="S642" s="79">
        <f>Tableau1[[#This Row],[Index HC_x000D_
kWh]]-R641</f>
        <v>1</v>
      </c>
      <c r="T642" s="81">
        <f>Tableau1[[#This Row],[Différence_x000D_ HC
Instantané]]/(Tableau1[[#This Row],[Diff jour
Instantané]]*24)</f>
        <v>4.1608876560447081E-2</v>
      </c>
      <c r="U642" s="81">
        <f>Tableau1[[#This Row],[Différence_x000D_ HC
Instantané]]/Tableau1[[#This Row],[Diff jour
Instantané]]</f>
        <v>0.99861303745072993</v>
      </c>
      <c r="V642" s="81">
        <f>Tableau1[[#This Row],[Conso HC / jour_x000D_
Instantané]]*365</f>
        <v>364.49375866951641</v>
      </c>
      <c r="W642" s="79">
        <f>Tableau1[[#This Row],[Index HC_x000D_
kWh]]-$R$5</f>
        <v>-117250</v>
      </c>
      <c r="X642" s="82">
        <f>Tableau1[[#This Row],[Différence HC
Cumul]]/(Tableau1[[#This Row],[Diff jour_x000D_
Cumul]]*24)</f>
        <v>-5.4427294882209729</v>
      </c>
      <c r="Y642" s="82">
        <f>Tableau1[[#This Row],[Différence HC
Cumul]]/Tableau1[[#This Row],[Diff jour_x000D_
Cumul]]</f>
        <v>-130.62550771730335</v>
      </c>
      <c r="Z642" s="82">
        <f>Tableau1[[#This Row],[Conso HC / jour_x000D_
Cumul]]*365</f>
        <v>-47678.310316815725</v>
      </c>
      <c r="AA642" s="79">
        <f>Tableau1[[#This Row],[Différence HP
Instantané]]+Tableau1[[#This Row],[Différence_x000D_ HC
Instantané]]</f>
        <v>5</v>
      </c>
      <c r="AB642" s="80">
        <f>Tableau1[[#This Row],[Conso HP + HC
Instantané]]/(Tableau1[[#This Row],[Diff jour
Instantané]]*24)</f>
        <v>0.20804438280223542</v>
      </c>
      <c r="AC642" s="80">
        <f>IF(ISERROR(Tableau1[[#This Row],[Date]]-A641),"",Tableau1[[#This Row],[Conso HP + HC
Instantané]]/Tableau1[[#This Row],[Diff jour
Instantané]])</f>
        <v>4.9930651872536496</v>
      </c>
      <c r="AD642" s="80">
        <f>Tableau1[[#This Row],[Conso HP + HC / jour_x000D_
Instantané]]*365</f>
        <v>1822.4687933475821</v>
      </c>
      <c r="AE642" s="79">
        <f>Tableau1[[#This Row],[Différence HP
Cumul]]+Tableau1[[#This Row],[Différence HC
Cumul]]</f>
        <v>-292701</v>
      </c>
      <c r="AF642" s="77">
        <f>(Tableau1[[#This Row],[Conso HP + HC
Cumul]]-AE$6)/Tableau1[[#This Row],[Diff jour_x000D_
Cumul
depuis le 24/01]]</f>
        <v>-343.5309402040856</v>
      </c>
      <c r="AG642" s="77">
        <f>(Tableau1[[#This Row],[Conso HP + HC
Cumul]]-AE$59)/Tableau1[[#This Row],[Diff jour_x000D_
Cumul
depuis
précédente facture
16/02/2021]]</f>
        <v>-354.69236245127814</v>
      </c>
      <c r="AH642" s="80">
        <f>Tableau1[[#This Row],[Conso HP + HC
Cumul]]/(Tableau1[[#This Row],[Diff jour_x000D_
Cumul]]*24)</f>
        <v>-13.587141696646201</v>
      </c>
      <c r="AI642" s="80">
        <f>Tableau1[[#This Row],[Conso HP + HC
Cumul]]/Tableau1[[#This Row],[Diff jour_x000D_
Cumul]]</f>
        <v>-326.09140071950884</v>
      </c>
      <c r="AJ642" s="80">
        <f>Tableau1[[#This Row],[Conso HP + HC / jour_x000D_
Cumul]]*365</f>
        <v>-119023.36126262073</v>
      </c>
      <c r="AK642" s="83">
        <f>(Tableau1[[#This Row],[Différence HP
Cumul]]*0.1799)+(Tableau1[[#This Row],[Différence HC
Cumul]]*0.1346)</f>
        <v>-47345.484900000003</v>
      </c>
      <c r="AL642" s="83">
        <f>Tableau1[[#This Row],[Montant
Tarif HP/HC]]/Tableau1[[#This Row],[Diff jour_x000D_
Cumul]]</f>
        <v>-52.746507489845797</v>
      </c>
      <c r="AM642" s="83">
        <f>(Tableau1[[#This Row],[Montant
Tarif HP/HC]]-AK$6)/Tableau1[[#This Row],[Diff jour_x000D_
Cumul
depuis le 24/01]]</f>
        <v>-55.57737363356506</v>
      </c>
      <c r="AN642" s="83">
        <f>(Tableau1[[#This Row],[Montant
Tarif HP/HC]]-AK$59)/Tableau1[[#This Row],[Diff jour_x000D_
Cumul
depuis
précédente facture
16/02/2021]]</f>
        <v>-57.39231611523298</v>
      </c>
      <c r="AO642" s="83">
        <f>Tableau1[[#This Row],[Conso HP + HC
Cumul]]*0.1599</f>
        <v>-46802.889899999995</v>
      </c>
      <c r="AP642" s="83">
        <f>Tableau1[[#This Row],[Montant
Tarif normal]]/Tableau1[[#This Row],[Diff jour_x000D_
Cumul]]</f>
        <v>-52.142014975049456</v>
      </c>
      <c r="AQ642" s="83">
        <f>(Tableau1[[#This Row],[Conso HP / an
Cumul]]*0.1799)+(Tableau1[[#This Row],[Conso HC / an_x000D_
Cumul]]*0.1346)</f>
        <v>-19252.475233793717</v>
      </c>
      <c r="AR642" s="83">
        <f>Tableau1[[#This Row],[Conso HP + HC / an_x000D_
Cumul]]*0.1599</f>
        <v>-19031.835465893055</v>
      </c>
      <c r="AS642" s="79">
        <f>MONTH(Tableau1[[#This Row],[Date]])</f>
        <v>6</v>
      </c>
      <c r="AT642" s="79">
        <f>YEAR(Tableau1[[#This Row],[Date]])</f>
        <v>2023</v>
      </c>
    </row>
    <row r="643" spans="1:46" x14ac:dyDescent="0.2">
      <c r="A643" s="74">
        <v>45081.324999999997</v>
      </c>
      <c r="B643" s="75"/>
      <c r="C643" s="76">
        <f>IF(ISERROR(Tableau1[[#This Row],[Date]]-A642),"",Tableau1[[#This Row],[Date]]-A642)</f>
        <v>1.0124999999970896</v>
      </c>
      <c r="D643" s="77">
        <f>IF(ISERROR(Tableau1[[#This Row],[Date]]-A642),"",Tableau1[[#This Row],[Date]]-A642)</f>
        <v>1.0124999999970896</v>
      </c>
      <c r="E643" s="76">
        <f>Tableau1[[#This Row],[Date]]-$A$5</f>
        <v>898.61666666666133</v>
      </c>
      <c r="F643" s="77">
        <f>Tableau1[[#This Row],[Date]]-$A$5</f>
        <v>898.61666666666133</v>
      </c>
      <c r="G643" s="77">
        <f>Tableau1[[#This Row],[Diff jour_x000D_
Cumul]]-F$6</f>
        <v>860.53333333333285</v>
      </c>
      <c r="H643" s="77">
        <f>Tableau1[[#This Row],[Diff jour_x000D_
Cumul]]-F$59</f>
        <v>838.01388888888323</v>
      </c>
      <c r="I643" s="78">
        <v>4317</v>
      </c>
      <c r="J643" s="79">
        <f>IF(ISERROR(Tableau1[[#This Row],[Index HP
kWh]]-I642),"",Tableau1[[#This Row],[Index HP
kWh]]-I642)</f>
        <v>9</v>
      </c>
      <c r="K643" s="77">
        <f>IF(ISERROR(Tableau1[[#This Row],[Différence HP
Instantané]]/(Tableau1[[#This Row],[Diff jour
Instantané]]*24)),"",Tableau1[[#This Row],[Différence HP
Instantané]]/(Tableau1[[#This Row],[Diff jour
Instantané]]*24))</f>
        <v>0.370370370371435</v>
      </c>
      <c r="L643" s="77">
        <f>Tableau1[[#This Row],[Différence HP
Instantané]]/Tableau1[[#This Row],[Diff jour
Instantané]]</f>
        <v>8.8888888889144404</v>
      </c>
      <c r="M643" s="77">
        <f>Tableau1[[#This Row],[Conso HP / jour
Instantané]]*365</f>
        <v>3244.4444444537708</v>
      </c>
      <c r="N643" s="79">
        <f>Tableau1[[#This Row],[Index HP
kWh]]-$I$5</f>
        <v>-175442</v>
      </c>
      <c r="O643" s="80">
        <f>Tableau1[[#This Row],[Différence HP
Cumul]]/(Tableau1[[#This Row],[Diff jour_x000D_
Cumul]]*24)</f>
        <v>-8.1348183318805312</v>
      </c>
      <c r="P643" s="80">
        <f>Tableau1[[#This Row],[Différence HP
Cumul]]/Tableau1[[#This Row],[Diff jour_x000D_
Cumul]]</f>
        <v>-195.23563996513275</v>
      </c>
      <c r="Q643" s="80">
        <f>Tableau1[[#This Row],[Conso HP / jour
Cumul]]*365</f>
        <v>-71261.008587273449</v>
      </c>
      <c r="R643" s="78">
        <v>2187</v>
      </c>
      <c r="S643" s="79">
        <f>Tableau1[[#This Row],[Index HC_x000D_
kWh]]-R642</f>
        <v>5</v>
      </c>
      <c r="T643" s="81">
        <f>Tableau1[[#This Row],[Différence_x000D_ HC
Instantané]]/(Tableau1[[#This Row],[Diff jour
Instantané]]*24)</f>
        <v>0.20576131687301943</v>
      </c>
      <c r="U643" s="81">
        <f>Tableau1[[#This Row],[Différence_x000D_ HC
Instantané]]/Tableau1[[#This Row],[Diff jour
Instantané]]</f>
        <v>4.9382716049524662</v>
      </c>
      <c r="V643" s="81">
        <f>Tableau1[[#This Row],[Conso HC / jour_x000D_
Instantané]]*365</f>
        <v>1802.4691358076502</v>
      </c>
      <c r="W643" s="79">
        <f>Tableau1[[#This Row],[Index HC_x000D_
kWh]]-$R$5</f>
        <v>-117245</v>
      </c>
      <c r="X643" s="82">
        <f>Tableau1[[#This Row],[Différence HC
Cumul]]/(Tableau1[[#This Row],[Diff jour_x000D_
Cumul]]*24)</f>
        <v>-5.4363651538476132</v>
      </c>
      <c r="Y643" s="82">
        <f>Tableau1[[#This Row],[Différence HC
Cumul]]/Tableau1[[#This Row],[Diff jour_x000D_
Cumul]]</f>
        <v>-130.47276369234271</v>
      </c>
      <c r="Z643" s="82">
        <f>Tableau1[[#This Row],[Conso HC / jour_x000D_
Cumul]]*365</f>
        <v>-47622.558747705087</v>
      </c>
      <c r="AA643" s="79">
        <f>Tableau1[[#This Row],[Différence HP
Instantané]]+Tableau1[[#This Row],[Différence_x000D_ HC
Instantané]]</f>
        <v>14</v>
      </c>
      <c r="AB643" s="80">
        <f>Tableau1[[#This Row],[Conso HP + HC
Instantané]]/(Tableau1[[#This Row],[Diff jour
Instantané]]*24)</f>
        <v>0.5761316872444544</v>
      </c>
      <c r="AC643" s="80">
        <f>IF(ISERROR(Tableau1[[#This Row],[Date]]-A642),"",Tableau1[[#This Row],[Conso HP + HC
Instantané]]/Tableau1[[#This Row],[Diff jour
Instantané]])</f>
        <v>13.827160493866906</v>
      </c>
      <c r="AD643" s="80">
        <f>Tableau1[[#This Row],[Conso HP + HC / jour_x000D_
Instantané]]*365</f>
        <v>5046.913580261421</v>
      </c>
      <c r="AE643" s="79">
        <f>Tableau1[[#This Row],[Différence HP
Cumul]]+Tableau1[[#This Row],[Différence HC
Cumul]]</f>
        <v>-292687</v>
      </c>
      <c r="AF643" s="77">
        <f>(Tableau1[[#This Row],[Conso HP + HC
Cumul]]-AE$6)/Tableau1[[#This Row],[Diff jour_x000D_
Cumul
depuis le 24/01]]</f>
        <v>-343.11047412457413</v>
      </c>
      <c r="AG643" s="77">
        <f>(Tableau1[[#This Row],[Conso HP + HC
Cumul]]-AE$59)/Tableau1[[#This Row],[Diff jour_x000D_
Cumul
depuis
précédente facture
16/02/2021]]</f>
        <v>-354.24711205396596</v>
      </c>
      <c r="AH643" s="80">
        <f>Tableau1[[#This Row],[Conso HP + HC
Cumul]]/(Tableau1[[#This Row],[Diff jour_x000D_
Cumul]]*24)</f>
        <v>-13.571183485728143</v>
      </c>
      <c r="AI643" s="80">
        <f>Tableau1[[#This Row],[Conso HP + HC
Cumul]]/Tableau1[[#This Row],[Diff jour_x000D_
Cumul]]</f>
        <v>-325.70840365747546</v>
      </c>
      <c r="AJ643" s="80">
        <f>Tableau1[[#This Row],[Conso HP + HC / jour_x000D_
Cumul]]*365</f>
        <v>-118883.56733497854</v>
      </c>
      <c r="AK643" s="83">
        <f>(Tableau1[[#This Row],[Différence HP
Cumul]]*0.1799)+(Tableau1[[#This Row],[Différence HC
Cumul]]*0.1346)</f>
        <v>-47343.192800000004</v>
      </c>
      <c r="AL643" s="83">
        <f>Tableau1[[#This Row],[Montant
Tarif HP/HC]]/Tableau1[[#This Row],[Diff jour_x000D_
Cumul]]</f>
        <v>-52.684525622716713</v>
      </c>
      <c r="AM643" s="83">
        <f>(Tableau1[[#This Row],[Montant
Tarif HP/HC]]-AK$6)/Tableau1[[#This Row],[Diff jour_x000D_
Cumul
depuis le 24/01]]</f>
        <v>-55.509317942361363</v>
      </c>
      <c r="AN643" s="83">
        <f>(Tableau1[[#This Row],[Montant
Tarif HP/HC]]-AK$59)/Tableau1[[#This Row],[Diff jour_x000D_
Cumul
depuis
précédente facture
16/02/2021]]</f>
        <v>-57.320238765600273</v>
      </c>
      <c r="AO643" s="83">
        <f>Tableau1[[#This Row],[Conso HP + HC
Cumul]]*0.1599</f>
        <v>-46800.651299999998</v>
      </c>
      <c r="AP643" s="83">
        <f>Tableau1[[#This Row],[Montant
Tarif normal]]/Tableau1[[#This Row],[Diff jour_x000D_
Cumul]]</f>
        <v>-52.080773744830324</v>
      </c>
      <c r="AQ643" s="83">
        <f>(Tableau1[[#This Row],[Conso HP / an
Cumul]]*0.1799)+(Tableau1[[#This Row],[Conso HC / an_x000D_
Cumul]]*0.1346)</f>
        <v>-19229.851852291598</v>
      </c>
      <c r="AR643" s="83">
        <f>Tableau1[[#This Row],[Conso HP + HC / an_x000D_
Cumul]]*0.1599</f>
        <v>-19009.482416863066</v>
      </c>
      <c r="AS643" s="79">
        <f>MONTH(Tableau1[[#This Row],[Date]])</f>
        <v>6</v>
      </c>
      <c r="AT643" s="79">
        <f>YEAR(Tableau1[[#This Row],[Date]])</f>
        <v>2023</v>
      </c>
    </row>
    <row r="644" spans="1:46" x14ac:dyDescent="0.2">
      <c r="A644" s="74">
        <v>45082.320833333331</v>
      </c>
      <c r="B644" s="75"/>
      <c r="C644" s="76">
        <f>IF(ISERROR(Tableau1[[#This Row],[Date]]-A643),"",Tableau1[[#This Row],[Date]]-A643)</f>
        <v>0.99583333333430346</v>
      </c>
      <c r="D644" s="77">
        <f>IF(ISERROR(Tableau1[[#This Row],[Date]]-A643),"",Tableau1[[#This Row],[Date]]-A643)</f>
        <v>0.99583333333430346</v>
      </c>
      <c r="E644" s="76">
        <f>Tableau1[[#This Row],[Date]]-$A$5</f>
        <v>899.61249999999563</v>
      </c>
      <c r="F644" s="77">
        <f>Tableau1[[#This Row],[Date]]-$A$5</f>
        <v>899.61249999999563</v>
      </c>
      <c r="G644" s="77">
        <f>Tableau1[[#This Row],[Diff jour_x000D_
Cumul]]-F$6</f>
        <v>861.52916666666715</v>
      </c>
      <c r="H644" s="77">
        <f>Tableau1[[#This Row],[Diff jour_x000D_
Cumul]]-F$59</f>
        <v>839.00972222221753</v>
      </c>
      <c r="I644" s="78">
        <v>4325</v>
      </c>
      <c r="J644" s="79">
        <f>IF(ISERROR(Tableau1[[#This Row],[Index HP
kWh]]-I643),"",Tableau1[[#This Row],[Index HP
kWh]]-I643)</f>
        <v>8</v>
      </c>
      <c r="K644" s="77">
        <f>IF(ISERROR(Tableau1[[#This Row],[Différence HP
Instantané]]/(Tableau1[[#This Row],[Diff jour
Instantané]]*24)),"",Tableau1[[#This Row],[Différence HP
Instantané]]/(Tableau1[[#This Row],[Diff jour
Instantané]]*24))</f>
        <v>0.33472803347247726</v>
      </c>
      <c r="L644" s="77">
        <f>Tableau1[[#This Row],[Différence HP
Instantané]]/Tableau1[[#This Row],[Diff jour
Instantané]]</f>
        <v>8.0334728033394533</v>
      </c>
      <c r="M644" s="77">
        <f>Tableau1[[#This Row],[Conso HP / jour
Instantané]]*365</f>
        <v>2932.2175732189003</v>
      </c>
      <c r="N644" s="79">
        <f>Tableau1[[#This Row],[Index HP
kWh]]-$I$5</f>
        <v>-175434</v>
      </c>
      <c r="O644" s="80">
        <f>Tableau1[[#This Row],[Différence HP
Cumul]]/(Tableau1[[#This Row],[Diff jour_x000D_
Cumul]]*24)</f>
        <v>-8.1254428990260088</v>
      </c>
      <c r="P644" s="80">
        <f>Tableau1[[#This Row],[Différence HP
Cumul]]/Tableau1[[#This Row],[Diff jour_x000D_
Cumul]]</f>
        <v>-195.01062957662421</v>
      </c>
      <c r="Q644" s="80">
        <f>Tableau1[[#This Row],[Conso HP / jour
Cumul]]*365</f>
        <v>-71178.87979546783</v>
      </c>
      <c r="R644" s="78">
        <v>2189</v>
      </c>
      <c r="S644" s="79">
        <f>Tableau1[[#This Row],[Index HC_x000D_
kWh]]-R643</f>
        <v>2</v>
      </c>
      <c r="T644" s="81">
        <f>Tableau1[[#This Row],[Différence_x000D_ HC
Instantané]]/(Tableau1[[#This Row],[Diff jour
Instantané]]*24)</f>
        <v>8.3682008368119315E-2</v>
      </c>
      <c r="U644" s="81">
        <f>Tableau1[[#This Row],[Différence_x000D_ HC
Instantané]]/Tableau1[[#This Row],[Diff jour
Instantané]]</f>
        <v>2.0083682008348633</v>
      </c>
      <c r="V644" s="81">
        <f>Tableau1[[#This Row],[Conso HC / jour_x000D_
Instantané]]*365</f>
        <v>733.05439330472507</v>
      </c>
      <c r="W644" s="79">
        <f>Tableau1[[#This Row],[Index HC_x000D_
kWh]]-$R$5</f>
        <v>-117243</v>
      </c>
      <c r="X644" s="82">
        <f>Tableau1[[#This Row],[Différence HC
Cumul]]/(Tableau1[[#This Row],[Diff jour_x000D_
Cumul]]*24)</f>
        <v>-5.4302546929928424</v>
      </c>
      <c r="Y644" s="82">
        <f>Tableau1[[#This Row],[Différence HC
Cumul]]/Tableau1[[#This Row],[Diff jour_x000D_
Cumul]]</f>
        <v>-130.32611263182824</v>
      </c>
      <c r="Z644" s="82">
        <f>Tableau1[[#This Row],[Conso HC / jour_x000D_
Cumul]]*365</f>
        <v>-47569.03111061731</v>
      </c>
      <c r="AA644" s="79">
        <f>Tableau1[[#This Row],[Différence HP
Instantané]]+Tableau1[[#This Row],[Différence_x000D_ HC
Instantané]]</f>
        <v>10</v>
      </c>
      <c r="AB644" s="80">
        <f>Tableau1[[#This Row],[Conso HP + HC
Instantané]]/(Tableau1[[#This Row],[Diff jour
Instantané]]*24)</f>
        <v>0.41841004184059655</v>
      </c>
      <c r="AC644" s="80">
        <f>IF(ISERROR(Tableau1[[#This Row],[Date]]-A643),"",Tableau1[[#This Row],[Conso HP + HC
Instantané]]/Tableau1[[#This Row],[Diff jour
Instantané]])</f>
        <v>10.041841004174318</v>
      </c>
      <c r="AD644" s="80">
        <f>Tableau1[[#This Row],[Conso HP + HC / jour_x000D_
Instantané]]*365</f>
        <v>3665.2719665236259</v>
      </c>
      <c r="AE644" s="79">
        <f>Tableau1[[#This Row],[Différence HP
Cumul]]+Tableau1[[#This Row],[Différence HC
Cumul]]</f>
        <v>-292677</v>
      </c>
      <c r="AF644" s="77">
        <f>(Tableau1[[#This Row],[Conso HP + HC
Cumul]]-AE$6)/Tableau1[[#This Row],[Diff jour_x000D_
Cumul
depuis le 24/01]]</f>
        <v>-342.70226873727415</v>
      </c>
      <c r="AG644" s="77">
        <f>(Tableau1[[#This Row],[Conso HP + HC
Cumul]]-AE$59)/Tableau1[[#This Row],[Diff jour_x000D_
Cumul
depuis
précédente facture
16/02/2021]]</f>
        <v>-353.81473198397117</v>
      </c>
      <c r="AH644" s="80">
        <f>Tableau1[[#This Row],[Conso HP + HC
Cumul]]/(Tableau1[[#This Row],[Diff jour_x000D_
Cumul]]*24)</f>
        <v>-13.555697592018852</v>
      </c>
      <c r="AI644" s="80">
        <f>Tableau1[[#This Row],[Conso HP + HC
Cumul]]/Tableau1[[#This Row],[Diff jour_x000D_
Cumul]]</f>
        <v>-325.33674220845245</v>
      </c>
      <c r="AJ644" s="80">
        <f>Tableau1[[#This Row],[Conso HP + HC / jour_x000D_
Cumul]]*365</f>
        <v>-118747.91090608515</v>
      </c>
      <c r="AK644" s="83">
        <f>(Tableau1[[#This Row],[Différence HP
Cumul]]*0.1799)+(Tableau1[[#This Row],[Différence HC
Cumul]]*0.1346)</f>
        <v>-47341.484400000001</v>
      </c>
      <c r="AL644" s="83">
        <f>Tableau1[[#This Row],[Montant
Tarif HP/HC]]/Tableau1[[#This Row],[Diff jour_x000D_
Cumul]]</f>
        <v>-52.624307021078778</v>
      </c>
      <c r="AM644" s="83">
        <f>(Tableau1[[#This Row],[Montant
Tarif HP/HC]]-AK$6)/Tableau1[[#This Row],[Diff jour_x000D_
Cumul
depuis le 24/01]]</f>
        <v>-55.443172266367426</v>
      </c>
      <c r="AN644" s="83">
        <f>(Tableau1[[#This Row],[Montant
Tarif HP/HC]]-AK$59)/Tableau1[[#This Row],[Diff jour_x000D_
Cumul
depuis
précédente facture
16/02/2021]]</f>
        <v>-57.250168296950925</v>
      </c>
      <c r="AO644" s="83">
        <f>Tableau1[[#This Row],[Conso HP + HC
Cumul]]*0.1599</f>
        <v>-46799.052299999996</v>
      </c>
      <c r="AP644" s="83">
        <f>Tableau1[[#This Row],[Montant
Tarif normal]]/Tableau1[[#This Row],[Diff jour_x000D_
Cumul]]</f>
        <v>-52.021345079131542</v>
      </c>
      <c r="AQ644" s="83">
        <f>(Tableau1[[#This Row],[Conso HP / an
Cumul]]*0.1799)+(Tableau1[[#This Row],[Conso HC / an_x000D_
Cumul]]*0.1346)</f>
        <v>-19207.87206269375</v>
      </c>
      <c r="AR644" s="83">
        <f>Tableau1[[#This Row],[Conso HP + HC / an_x000D_
Cumul]]*0.1599</f>
        <v>-18987.790953883014</v>
      </c>
      <c r="AS644" s="79">
        <f>MONTH(Tableau1[[#This Row],[Date]])</f>
        <v>6</v>
      </c>
      <c r="AT644" s="79">
        <f>YEAR(Tableau1[[#This Row],[Date]])</f>
        <v>2023</v>
      </c>
    </row>
    <row r="645" spans="1:46" x14ac:dyDescent="0.2">
      <c r="A645" s="74">
        <v>45083.314583333333</v>
      </c>
      <c r="B645" s="75"/>
      <c r="C645" s="76">
        <f>IF(ISERROR(Tableau1[[#This Row],[Date]]-A644),"",Tableau1[[#This Row],[Date]]-A644)</f>
        <v>0.99375000000145519</v>
      </c>
      <c r="D645" s="77">
        <f>IF(ISERROR(Tableau1[[#This Row],[Date]]-A644),"",Tableau1[[#This Row],[Date]]-A644)</f>
        <v>0.99375000000145519</v>
      </c>
      <c r="E645" s="76">
        <f>Tableau1[[#This Row],[Date]]-$A$5</f>
        <v>900.60624999999709</v>
      </c>
      <c r="F645" s="77">
        <f>Tableau1[[#This Row],[Date]]-$A$5</f>
        <v>900.60624999999709</v>
      </c>
      <c r="G645" s="77">
        <f>Tableau1[[#This Row],[Diff jour_x000D_
Cumul]]-F$6</f>
        <v>862.52291666666861</v>
      </c>
      <c r="H645" s="77">
        <f>Tableau1[[#This Row],[Diff jour_x000D_
Cumul]]-F$59</f>
        <v>840.00347222221899</v>
      </c>
      <c r="I645" s="78">
        <v>4329</v>
      </c>
      <c r="J645" s="79">
        <f>IF(ISERROR(Tableau1[[#This Row],[Index HP
kWh]]-I644),"",Tableau1[[#This Row],[Index HP
kWh]]-I644)</f>
        <v>4</v>
      </c>
      <c r="K645" s="77">
        <f>IF(ISERROR(Tableau1[[#This Row],[Différence HP
Instantané]]/(Tableau1[[#This Row],[Diff jour
Instantané]]*24)),"",Tableau1[[#This Row],[Différence HP
Instantané]]/(Tableau1[[#This Row],[Diff jour
Instantané]]*24))</f>
        <v>0.16771488469577117</v>
      </c>
      <c r="L645" s="77">
        <f>Tableau1[[#This Row],[Différence HP
Instantané]]/Tableau1[[#This Row],[Diff jour
Instantané]]</f>
        <v>4.0251572326985086</v>
      </c>
      <c r="M645" s="77">
        <f>Tableau1[[#This Row],[Conso HP / jour
Instantané]]*365</f>
        <v>1469.1823899349556</v>
      </c>
      <c r="N645" s="79">
        <f>Tableau1[[#This Row],[Index HP
kWh]]-$I$5</f>
        <v>-175430</v>
      </c>
      <c r="O645" s="80">
        <f>Tableau1[[#This Row],[Différence HP
Cumul]]/(Tableau1[[#This Row],[Diff jour_x000D_
Cumul]]*24)</f>
        <v>-8.1162920347636458</v>
      </c>
      <c r="P645" s="80">
        <f>Tableau1[[#This Row],[Différence HP
Cumul]]/Tableau1[[#This Row],[Diff jour_x000D_
Cumul]]</f>
        <v>-194.7910088343275</v>
      </c>
      <c r="Q645" s="80">
        <f>Tableau1[[#This Row],[Conso HP / jour
Cumul]]*365</f>
        <v>-71098.718224529541</v>
      </c>
      <c r="R645" s="78">
        <v>2191</v>
      </c>
      <c r="S645" s="79">
        <f>Tableau1[[#This Row],[Index HC_x000D_
kWh]]-R644</f>
        <v>2</v>
      </c>
      <c r="T645" s="81">
        <f>Tableau1[[#This Row],[Différence_x000D_ HC
Instantané]]/(Tableau1[[#This Row],[Diff jour
Instantané]]*24)</f>
        <v>8.3857442347885586E-2</v>
      </c>
      <c r="U645" s="81">
        <f>Tableau1[[#This Row],[Différence_x000D_ HC
Instantané]]/Tableau1[[#This Row],[Diff jour
Instantané]]</f>
        <v>2.0125786163492543</v>
      </c>
      <c r="V645" s="81">
        <f>Tableau1[[#This Row],[Conso HC / jour_x000D_
Instantané]]*365</f>
        <v>734.5911949674778</v>
      </c>
      <c r="W645" s="79">
        <f>Tableau1[[#This Row],[Index HC_x000D_
kWh]]-$R$5</f>
        <v>-117241</v>
      </c>
      <c r="X645" s="82">
        <f>Tableau1[[#This Row],[Différence HC
Cumul]]/(Tableau1[[#This Row],[Diff jour_x000D_
Cumul]]*24)</f>
        <v>-5.4241702926963722</v>
      </c>
      <c r="Y645" s="82">
        <f>Tableau1[[#This Row],[Différence HC
Cumul]]/Tableau1[[#This Row],[Diff jour_x000D_
Cumul]]</f>
        <v>-130.18008702471295</v>
      </c>
      <c r="Z645" s="82">
        <f>Tableau1[[#This Row],[Conso HC / jour_x000D_
Cumul]]*365</f>
        <v>-47515.731764020224</v>
      </c>
      <c r="AA645" s="79">
        <f>Tableau1[[#This Row],[Différence HP
Instantané]]+Tableau1[[#This Row],[Différence_x000D_ HC
Instantané]]</f>
        <v>6</v>
      </c>
      <c r="AB645" s="80">
        <f>Tableau1[[#This Row],[Conso HP + HC
Instantané]]/(Tableau1[[#This Row],[Diff jour
Instantané]]*24)</f>
        <v>0.25157232704365678</v>
      </c>
      <c r="AC645" s="80">
        <f>IF(ISERROR(Tableau1[[#This Row],[Date]]-A644),"",Tableau1[[#This Row],[Conso HP + HC
Instantané]]/Tableau1[[#This Row],[Diff jour
Instantané]])</f>
        <v>6.0377358490477624</v>
      </c>
      <c r="AD645" s="80">
        <f>Tableau1[[#This Row],[Conso HP + HC / jour_x000D_
Instantané]]*365</f>
        <v>2203.7735849024334</v>
      </c>
      <c r="AE645" s="79">
        <f>Tableau1[[#This Row],[Différence HP
Cumul]]+Tableau1[[#This Row],[Différence HC
Cumul]]</f>
        <v>-292671</v>
      </c>
      <c r="AF645" s="77">
        <f>(Tableau1[[#This Row],[Conso HP + HC
Cumul]]-AE$6)/Tableau1[[#This Row],[Diff jour_x000D_
Cumul
depuis le 24/01]]</f>
        <v>-342.30047027735901</v>
      </c>
      <c r="AG645" s="77">
        <f>(Tableau1[[#This Row],[Conso HP + HC
Cumul]]-AE$59)/Tableau1[[#This Row],[Diff jour_x000D_
Cumul
depuis
précédente facture
16/02/2021]]</f>
        <v>-353.38901542239131</v>
      </c>
      <c r="AH645" s="80">
        <f>Tableau1[[#This Row],[Conso HP + HC
Cumul]]/(Tableau1[[#This Row],[Diff jour_x000D_
Cumul]]*24)</f>
        <v>-13.540462327460018</v>
      </c>
      <c r="AI645" s="80">
        <f>Tableau1[[#This Row],[Conso HP + HC
Cumul]]/Tableau1[[#This Row],[Diff jour_x000D_
Cumul]]</f>
        <v>-324.97109585904047</v>
      </c>
      <c r="AJ645" s="80">
        <f>Tableau1[[#This Row],[Conso HP + HC / jour_x000D_
Cumul]]*365</f>
        <v>-118614.44998854978</v>
      </c>
      <c r="AK645" s="83">
        <f>(Tableau1[[#This Row],[Différence HP
Cumul]]*0.1799)+(Tableau1[[#This Row],[Différence HC
Cumul]]*0.1346)</f>
        <v>-47340.495600000002</v>
      </c>
      <c r="AL645" s="83">
        <f>Tableau1[[#This Row],[Montant
Tarif HP/HC]]/Tableau1[[#This Row],[Diff jour_x000D_
Cumul]]</f>
        <v>-52.565142202821882</v>
      </c>
      <c r="AM645" s="83">
        <f>(Tableau1[[#This Row],[Montant
Tarif HP/HC]]-AK$6)/Tableau1[[#This Row],[Diff jour_x000D_
Cumul
depuis le 24/01]]</f>
        <v>-55.378147382557351</v>
      </c>
      <c r="AN645" s="83">
        <f>(Tableau1[[#This Row],[Montant
Tarif HP/HC]]-AK$59)/Tableau1[[#This Row],[Diff jour_x000D_
Cumul
depuis
précédente facture
16/02/2021]]</f>
        <v>-57.181262445178611</v>
      </c>
      <c r="AO645" s="83">
        <f>Tableau1[[#This Row],[Conso HP + HC
Cumul]]*0.1599</f>
        <v>-46798.092899999996</v>
      </c>
      <c r="AP645" s="83">
        <f>Tableau1[[#This Row],[Montant
Tarif normal]]/Tableau1[[#This Row],[Diff jour_x000D_
Cumul]]</f>
        <v>-51.962878227860564</v>
      </c>
      <c r="AQ645" s="83">
        <f>(Tableau1[[#This Row],[Conso HP / an
Cumul]]*0.1799)+(Tableau1[[#This Row],[Conso HC / an_x000D_
Cumul]]*0.1346)</f>
        <v>-19186.276904029986</v>
      </c>
      <c r="AR645" s="83">
        <f>Tableau1[[#This Row],[Conso HP + HC / an_x000D_
Cumul]]*0.1599</f>
        <v>-18966.450553169107</v>
      </c>
      <c r="AS645" s="79">
        <f>MONTH(Tableau1[[#This Row],[Date]])</f>
        <v>6</v>
      </c>
      <c r="AT645" s="79">
        <f>YEAR(Tableau1[[#This Row],[Date]])</f>
        <v>2023</v>
      </c>
    </row>
    <row r="646" spans="1:46" x14ac:dyDescent="0.2">
      <c r="A646" s="74">
        <v>45084.361805555556</v>
      </c>
      <c r="B646" s="75"/>
      <c r="C646" s="76">
        <f>IF(ISERROR(Tableau1[[#This Row],[Date]]-A645),"",Tableau1[[#This Row],[Date]]-A645)</f>
        <v>1.047222222223354</v>
      </c>
      <c r="D646" s="77">
        <f>IF(ISERROR(Tableau1[[#This Row],[Date]]-A645),"",Tableau1[[#This Row],[Date]]-A645)</f>
        <v>1.047222222223354</v>
      </c>
      <c r="E646" s="76">
        <f>Tableau1[[#This Row],[Date]]-$A$5</f>
        <v>901.65347222222044</v>
      </c>
      <c r="F646" s="77">
        <f>Tableau1[[#This Row],[Date]]-$A$5</f>
        <v>901.65347222222044</v>
      </c>
      <c r="G646" s="77">
        <f>Tableau1[[#This Row],[Diff jour_x000D_
Cumul]]-F$6</f>
        <v>863.57013888889196</v>
      </c>
      <c r="H646" s="77">
        <f>Tableau1[[#This Row],[Diff jour_x000D_
Cumul]]-F$59</f>
        <v>841.05069444444234</v>
      </c>
      <c r="I646" s="78">
        <v>4334</v>
      </c>
      <c r="J646" s="79">
        <f>IF(ISERROR(Tableau1[[#This Row],[Index HP
kWh]]-I645),"",Tableau1[[#This Row],[Index HP
kWh]]-I645)</f>
        <v>5</v>
      </c>
      <c r="K646" s="77">
        <f>IF(ISERROR(Tableau1[[#This Row],[Différence HP
Instantané]]/(Tableau1[[#This Row],[Diff jour
Instantané]]*24)),"",Tableau1[[#This Row],[Différence HP
Instantané]]/(Tableau1[[#This Row],[Diff jour
Instantané]]*24))</f>
        <v>0.19893899204222532</v>
      </c>
      <c r="L646" s="77">
        <f>Tableau1[[#This Row],[Différence HP
Instantané]]/Tableau1[[#This Row],[Diff jour
Instantané]]</f>
        <v>4.7745358090134076</v>
      </c>
      <c r="M646" s="77">
        <f>Tableau1[[#This Row],[Conso HP / jour
Instantané]]*365</f>
        <v>1742.7055702898938</v>
      </c>
      <c r="N646" s="79">
        <f>Tableau1[[#This Row],[Index HP
kWh]]-$I$5</f>
        <v>-175425</v>
      </c>
      <c r="O646" s="80">
        <f>Tableau1[[#This Row],[Différence HP
Cumul]]/(Tableau1[[#This Row],[Diff jour_x000D_
Cumul]]*24)</f>
        <v>-8.1066343392270994</v>
      </c>
      <c r="P646" s="80">
        <f>Tableau1[[#This Row],[Différence HP
Cumul]]/Tableau1[[#This Row],[Diff jour_x000D_
Cumul]]</f>
        <v>-194.55922414145039</v>
      </c>
      <c r="Q646" s="80">
        <f>Tableau1[[#This Row],[Conso HP / jour
Cumul]]*365</f>
        <v>-71014.116811629385</v>
      </c>
      <c r="R646" s="78">
        <v>2194</v>
      </c>
      <c r="S646" s="79">
        <f>Tableau1[[#This Row],[Index HC_x000D_
kWh]]-R645</f>
        <v>3</v>
      </c>
      <c r="T646" s="81">
        <f>Tableau1[[#This Row],[Différence_x000D_ HC
Instantané]]/(Tableau1[[#This Row],[Diff jour
Instantané]]*24)</f>
        <v>0.11936339522533519</v>
      </c>
      <c r="U646" s="81">
        <f>Tableau1[[#This Row],[Différence_x000D_ HC
Instantané]]/Tableau1[[#This Row],[Diff jour
Instantané]]</f>
        <v>2.8647214854080443</v>
      </c>
      <c r="V646" s="81">
        <f>Tableau1[[#This Row],[Conso HC / jour_x000D_
Instantané]]*365</f>
        <v>1045.6233421739362</v>
      </c>
      <c r="W646" s="79">
        <f>Tableau1[[#This Row],[Index HC_x000D_
kWh]]-$R$5</f>
        <v>-117238</v>
      </c>
      <c r="X646" s="82">
        <f>Tableau1[[#This Row],[Différence HC
Cumul]]/(Tableau1[[#This Row],[Diff jour_x000D_
Cumul]]*24)</f>
        <v>-5.4177317751877254</v>
      </c>
      <c r="Y646" s="82">
        <f>Tableau1[[#This Row],[Différence HC
Cumul]]/Tableau1[[#This Row],[Diff jour_x000D_
Cumul]]</f>
        <v>-130.02556260450541</v>
      </c>
      <c r="Z646" s="82">
        <f>Tableau1[[#This Row],[Conso HC / jour_x000D_
Cumul]]*365</f>
        <v>-47459.330350644472</v>
      </c>
      <c r="AA646" s="79">
        <f>Tableau1[[#This Row],[Différence HP
Instantané]]+Tableau1[[#This Row],[Différence_x000D_ HC
Instantané]]</f>
        <v>8</v>
      </c>
      <c r="AB646" s="80">
        <f>Tableau1[[#This Row],[Conso HP + HC
Instantané]]/(Tableau1[[#This Row],[Diff jour
Instantané]]*24)</f>
        <v>0.31830238726756049</v>
      </c>
      <c r="AC646" s="80">
        <f>IF(ISERROR(Tableau1[[#This Row],[Date]]-A645),"",Tableau1[[#This Row],[Conso HP + HC
Instantané]]/Tableau1[[#This Row],[Diff jour
Instantané]])</f>
        <v>7.6392572944214523</v>
      </c>
      <c r="AD646" s="80">
        <f>Tableau1[[#This Row],[Conso HP + HC / jour_x000D_
Instantané]]*365</f>
        <v>2788.32891246383</v>
      </c>
      <c r="AE646" s="79">
        <f>Tableau1[[#This Row],[Différence HP
Cumul]]+Tableau1[[#This Row],[Différence HC
Cumul]]</f>
        <v>-292663</v>
      </c>
      <c r="AF646" s="77">
        <f>(Tableau1[[#This Row],[Conso HP + HC
Cumul]]-AE$6)/Tableau1[[#This Row],[Diff jour_x000D_
Cumul
depuis le 24/01]]</f>
        <v>-341.87611023681444</v>
      </c>
      <c r="AG646" s="77">
        <f>(Tableau1[[#This Row],[Conso HP + HC
Cumul]]-AE$59)/Tableau1[[#This Row],[Diff jour_x000D_
Cumul
depuis
précédente facture
16/02/2021]]</f>
        <v>-352.93948624116911</v>
      </c>
      <c r="AH646" s="80">
        <f>Tableau1[[#This Row],[Conso HP + HC
Cumul]]/(Tableau1[[#This Row],[Diff jour_x000D_
Cumul]]*24)</f>
        <v>-13.524366114414825</v>
      </c>
      <c r="AI646" s="80">
        <f>Tableau1[[#This Row],[Conso HP + HC
Cumul]]/Tableau1[[#This Row],[Diff jour_x000D_
Cumul]]</f>
        <v>-324.5847867459558</v>
      </c>
      <c r="AJ646" s="80">
        <f>Tableau1[[#This Row],[Conso HP + HC / jour_x000D_
Cumul]]*365</f>
        <v>-118473.44716227386</v>
      </c>
      <c r="AK646" s="83">
        <f>(Tableau1[[#This Row],[Différence HP
Cumul]]*0.1799)+(Tableau1[[#This Row],[Différence HC
Cumul]]*0.1346)</f>
        <v>-47339.192300000002</v>
      </c>
      <c r="AL646" s="83">
        <f>Tableau1[[#This Row],[Montant
Tarif HP/HC]]/Tableau1[[#This Row],[Diff jour_x000D_
Cumul]]</f>
        <v>-52.502645149613357</v>
      </c>
      <c r="AM646" s="83">
        <f>(Tableau1[[#This Row],[Montant
Tarif HP/HC]]-AK$6)/Tableau1[[#This Row],[Diff jour_x000D_
Cumul
depuis le 24/01]]</f>
        <v>-55.309482981260579</v>
      </c>
      <c r="AN646" s="83">
        <f>(Tableau1[[#This Row],[Montant
Tarif HP/HC]]-AK$59)/Tableau1[[#This Row],[Diff jour_x000D_
Cumul
depuis
précédente facture
16/02/2021]]</f>
        <v>-57.108514406170336</v>
      </c>
      <c r="AO646" s="83">
        <f>Tableau1[[#This Row],[Conso HP + HC
Cumul]]*0.1599</f>
        <v>-46796.813699999999</v>
      </c>
      <c r="AP646" s="83">
        <f>Tableau1[[#This Row],[Montant
Tarif normal]]/Tableau1[[#This Row],[Diff jour_x000D_
Cumul]]</f>
        <v>-51.901107400678328</v>
      </c>
      <c r="AQ646" s="83">
        <f>(Tableau1[[#This Row],[Conso HP / an
Cumul]]*0.1799)+(Tableau1[[#This Row],[Conso HC / an_x000D_
Cumul]]*0.1346)</f>
        <v>-19163.465479608873</v>
      </c>
      <c r="AR646" s="83">
        <f>Tableau1[[#This Row],[Conso HP + HC / an_x000D_
Cumul]]*0.1599</f>
        <v>-18943.904201247587</v>
      </c>
      <c r="AS646" s="79">
        <f>MONTH(Tableau1[[#This Row],[Date]])</f>
        <v>6</v>
      </c>
      <c r="AT646" s="79">
        <f>YEAR(Tableau1[[#This Row],[Date]])</f>
        <v>2023</v>
      </c>
    </row>
    <row r="647" spans="1:46" x14ac:dyDescent="0.2">
      <c r="A647" s="74">
        <v>45085.355555555558</v>
      </c>
      <c r="B647" s="75"/>
      <c r="C647" s="76">
        <f>IF(ISERROR(Tableau1[[#This Row],[Date]]-A646),"",Tableau1[[#This Row],[Date]]-A646)</f>
        <v>0.99375000000145519</v>
      </c>
      <c r="D647" s="77">
        <f>IF(ISERROR(Tableau1[[#This Row],[Date]]-A646),"",Tableau1[[#This Row],[Date]]-A646)</f>
        <v>0.99375000000145519</v>
      </c>
      <c r="E647" s="76">
        <f>Tableau1[[#This Row],[Date]]-$A$5</f>
        <v>902.6472222222219</v>
      </c>
      <c r="F647" s="77">
        <f>Tableau1[[#This Row],[Date]]-$A$5</f>
        <v>902.6472222222219</v>
      </c>
      <c r="G647" s="77">
        <f>Tableau1[[#This Row],[Diff jour_x000D_
Cumul]]-F$6</f>
        <v>864.56388888889342</v>
      </c>
      <c r="H647" s="77">
        <f>Tableau1[[#This Row],[Diff jour_x000D_
Cumul]]-F$59</f>
        <v>842.0444444444438</v>
      </c>
      <c r="I647" s="78">
        <v>4339</v>
      </c>
      <c r="J647" s="79">
        <f>IF(ISERROR(Tableau1[[#This Row],[Index HP
kWh]]-I646),"",Tableau1[[#This Row],[Index HP
kWh]]-I646)</f>
        <v>5</v>
      </c>
      <c r="K647" s="77">
        <f>IF(ISERROR(Tableau1[[#This Row],[Différence HP
Instantané]]/(Tableau1[[#This Row],[Diff jour
Instantané]]*24)),"",Tableau1[[#This Row],[Différence HP
Instantané]]/(Tableau1[[#This Row],[Diff jour
Instantané]]*24))</f>
        <v>0.20964360586971398</v>
      </c>
      <c r="L647" s="77">
        <f>Tableau1[[#This Row],[Différence HP
Instantané]]/Tableau1[[#This Row],[Diff jour
Instantané]]</f>
        <v>5.0314465408731355</v>
      </c>
      <c r="M647" s="77">
        <f>Tableau1[[#This Row],[Conso HP / jour
Instantané]]*365</f>
        <v>1836.4779874186945</v>
      </c>
      <c r="N647" s="79">
        <f>Tableau1[[#This Row],[Index HP
kWh]]-$I$5</f>
        <v>-175420</v>
      </c>
      <c r="O647" s="80">
        <f>Tableau1[[#This Row],[Différence HP
Cumul]]/(Tableau1[[#This Row],[Diff jour_x000D_
Cumul]]*24)</f>
        <v>-8.0974787123060903</v>
      </c>
      <c r="P647" s="80">
        <f>Tableau1[[#This Row],[Différence HP
Cumul]]/Tableau1[[#This Row],[Diff jour_x000D_
Cumul]]</f>
        <v>-194.33948909534615</v>
      </c>
      <c r="Q647" s="80">
        <f>Tableau1[[#This Row],[Conso HP / jour
Cumul]]*365</f>
        <v>-70933.913519801339</v>
      </c>
      <c r="R647" s="78">
        <v>2196</v>
      </c>
      <c r="S647" s="79">
        <f>Tableau1[[#This Row],[Index HC_x000D_
kWh]]-R646</f>
        <v>2</v>
      </c>
      <c r="T647" s="81">
        <f>Tableau1[[#This Row],[Différence_x000D_ HC
Instantané]]/(Tableau1[[#This Row],[Diff jour
Instantané]]*24)</f>
        <v>8.3857442347885586E-2</v>
      </c>
      <c r="U647" s="81">
        <f>Tableau1[[#This Row],[Différence_x000D_ HC
Instantané]]/Tableau1[[#This Row],[Diff jour
Instantané]]</f>
        <v>2.0125786163492543</v>
      </c>
      <c r="V647" s="81">
        <f>Tableau1[[#This Row],[Conso HC / jour_x000D_
Instantané]]*365</f>
        <v>734.5911949674778</v>
      </c>
      <c r="W647" s="79">
        <f>Tableau1[[#This Row],[Index HC_x000D_
kWh]]-$R$5</f>
        <v>-117236</v>
      </c>
      <c r="X647" s="82">
        <f>Tableau1[[#This Row],[Différence HC
Cumul]]/(Tableau1[[#This Row],[Diff jour_x000D_
Cumul]]*24)</f>
        <v>-5.4116749191421549</v>
      </c>
      <c r="Y647" s="82">
        <f>Tableau1[[#This Row],[Différence HC
Cumul]]/Tableau1[[#This Row],[Diff jour_x000D_
Cumul]]</f>
        <v>-129.88019805941173</v>
      </c>
      <c r="Z647" s="82">
        <f>Tableau1[[#This Row],[Conso HC / jour_x000D_
Cumul]]*365</f>
        <v>-47406.27229168528</v>
      </c>
      <c r="AA647" s="79">
        <f>Tableau1[[#This Row],[Différence HP
Instantané]]+Tableau1[[#This Row],[Différence_x000D_ HC
Instantané]]</f>
        <v>7</v>
      </c>
      <c r="AB647" s="80">
        <f>Tableau1[[#This Row],[Conso HP + HC
Instantané]]/(Tableau1[[#This Row],[Diff jour
Instantané]]*24)</f>
        <v>0.29350104821759954</v>
      </c>
      <c r="AC647" s="80">
        <f>IF(ISERROR(Tableau1[[#This Row],[Date]]-A646),"",Tableau1[[#This Row],[Conso HP + HC
Instantané]]/Tableau1[[#This Row],[Diff jour
Instantané]])</f>
        <v>7.0440251572223893</v>
      </c>
      <c r="AD647" s="80">
        <f>Tableau1[[#This Row],[Conso HP + HC / jour_x000D_
Instantané]]*365</f>
        <v>2571.0691823861721</v>
      </c>
      <c r="AE647" s="79">
        <f>Tableau1[[#This Row],[Différence HP
Cumul]]+Tableau1[[#This Row],[Différence HC
Cumul]]</f>
        <v>-292656</v>
      </c>
      <c r="AF647" s="77">
        <f>(Tableau1[[#This Row],[Conso HP + HC
Cumul]]-AE$6)/Tableau1[[#This Row],[Diff jour_x000D_
Cumul
depuis le 24/01]]</f>
        <v>-341.47505325420792</v>
      </c>
      <c r="AG647" s="77">
        <f>(Tableau1[[#This Row],[Conso HP + HC
Cumul]]-AE$59)/Tableau1[[#This Row],[Diff jour_x000D_
Cumul
depuis
précédente facture
16/02/2021]]</f>
        <v>-352.51464689116466</v>
      </c>
      <c r="AH647" s="80">
        <f>Tableau1[[#This Row],[Conso HP + HC
Cumul]]/(Tableau1[[#This Row],[Diff jour_x000D_
Cumul]]*24)</f>
        <v>-13.509153631448244</v>
      </c>
      <c r="AI647" s="80">
        <f>Tableau1[[#This Row],[Conso HP + HC
Cumul]]/Tableau1[[#This Row],[Diff jour_x000D_
Cumul]]</f>
        <v>-324.21968715475788</v>
      </c>
      <c r="AJ647" s="80">
        <f>Tableau1[[#This Row],[Conso HP + HC / jour_x000D_
Cumul]]*365</f>
        <v>-118340.18581148662</v>
      </c>
      <c r="AK647" s="83">
        <f>(Tableau1[[#This Row],[Différence HP
Cumul]]*0.1799)+(Tableau1[[#This Row],[Différence HC
Cumul]]*0.1346)</f>
        <v>-47338.0236</v>
      </c>
      <c r="AL647" s="83">
        <f>Tableau1[[#This Row],[Montant
Tarif HP/HC]]/Tableau1[[#This Row],[Diff jour_x000D_
Cumul]]</f>
        <v>-52.44354874704959</v>
      </c>
      <c r="AM647" s="83">
        <f>(Tableau1[[#This Row],[Montant
Tarif HP/HC]]-AK$6)/Tableau1[[#This Row],[Diff jour_x000D_
Cumul
depuis le 24/01]]</f>
        <v>-55.244557185221552</v>
      </c>
      <c r="AN647" s="83">
        <f>(Tableau1[[#This Row],[Montant
Tarif HP/HC]]-AK$59)/Tableau1[[#This Row],[Diff jour_x000D_
Cumul
depuis
précédente facture
16/02/2021]]</f>
        <v>-57.03972909849049</v>
      </c>
      <c r="AO647" s="83">
        <f>Tableau1[[#This Row],[Conso HP + HC
Cumul]]*0.1599</f>
        <v>-46795.694399999993</v>
      </c>
      <c r="AP647" s="83">
        <f>Tableau1[[#This Row],[Montant
Tarif normal]]/Tableau1[[#This Row],[Diff jour_x000D_
Cumul]]</f>
        <v>-51.842727976045779</v>
      </c>
      <c r="AQ647" s="83">
        <f>(Tableau1[[#This Row],[Conso HP / an
Cumul]]*0.1799)+(Tableau1[[#This Row],[Conso HC / an_x000D_
Cumul]]*0.1346)</f>
        <v>-19141.8952926731</v>
      </c>
      <c r="AR647" s="83">
        <f>Tableau1[[#This Row],[Conso HP + HC / an_x000D_
Cumul]]*0.1599</f>
        <v>-18922.595711256708</v>
      </c>
      <c r="AS647" s="79">
        <f>MONTH(Tableau1[[#This Row],[Date]])</f>
        <v>6</v>
      </c>
      <c r="AT647" s="79">
        <f>YEAR(Tableau1[[#This Row],[Date]])</f>
        <v>2023</v>
      </c>
    </row>
    <row r="648" spans="1:46" x14ac:dyDescent="0.2">
      <c r="A648" s="74">
        <v>45086.355555555558</v>
      </c>
      <c r="B648" s="75"/>
      <c r="C648" s="76">
        <f>IF(ISERROR(Tableau1[[#This Row],[Date]]-A647),"",Tableau1[[#This Row],[Date]]-A647)</f>
        <v>1</v>
      </c>
      <c r="D648" s="77">
        <f>IF(ISERROR(Tableau1[[#This Row],[Date]]-A647),"",Tableau1[[#This Row],[Date]]-A647)</f>
        <v>1</v>
      </c>
      <c r="E648" s="76">
        <f>Tableau1[[#This Row],[Date]]-$A$5</f>
        <v>903.6472222222219</v>
      </c>
      <c r="F648" s="77">
        <f>Tableau1[[#This Row],[Date]]-$A$5</f>
        <v>903.6472222222219</v>
      </c>
      <c r="G648" s="77">
        <f>Tableau1[[#This Row],[Diff jour_x000D_
Cumul]]-F$6</f>
        <v>865.56388888889342</v>
      </c>
      <c r="H648" s="77">
        <f>Tableau1[[#This Row],[Diff jour_x000D_
Cumul]]-F$59</f>
        <v>843.0444444444438</v>
      </c>
      <c r="I648" s="78">
        <v>4344</v>
      </c>
      <c r="J648" s="79">
        <f>IF(ISERROR(Tableau1[[#This Row],[Index HP
kWh]]-I647),"",Tableau1[[#This Row],[Index HP
kWh]]-I647)</f>
        <v>5</v>
      </c>
      <c r="K648" s="77">
        <f>IF(ISERROR(Tableau1[[#This Row],[Différence HP
Instantané]]/(Tableau1[[#This Row],[Diff jour
Instantané]]*24)),"",Tableau1[[#This Row],[Différence HP
Instantané]]/(Tableau1[[#This Row],[Diff jour
Instantané]]*24))</f>
        <v>0.20833333333333334</v>
      </c>
      <c r="L648" s="77">
        <f>Tableau1[[#This Row],[Différence HP
Instantané]]/Tableau1[[#This Row],[Diff jour
Instantané]]</f>
        <v>5</v>
      </c>
      <c r="M648" s="77">
        <f>Tableau1[[#This Row],[Conso HP / jour
Instantané]]*365</f>
        <v>1825</v>
      </c>
      <c r="N648" s="79">
        <f>Tableau1[[#This Row],[Index HP
kWh]]-$I$5</f>
        <v>-175415</v>
      </c>
      <c r="O648" s="80">
        <f>Tableau1[[#This Row],[Différence HP
Cumul]]/(Tableau1[[#This Row],[Diff jour_x000D_
Cumul]]*24)</f>
        <v>-8.0882872802500998</v>
      </c>
      <c r="P648" s="80">
        <f>Tableau1[[#This Row],[Différence HP
Cumul]]/Tableau1[[#This Row],[Diff jour_x000D_
Cumul]]</f>
        <v>-194.11889472600242</v>
      </c>
      <c r="Q648" s="80">
        <f>Tableau1[[#This Row],[Conso HP / jour
Cumul]]*365</f>
        <v>-70853.396574990882</v>
      </c>
      <c r="R648" s="78">
        <v>2198</v>
      </c>
      <c r="S648" s="79">
        <f>Tableau1[[#This Row],[Index HC_x000D_
kWh]]-R647</f>
        <v>2</v>
      </c>
      <c r="T648" s="81">
        <f>Tableau1[[#This Row],[Différence_x000D_ HC
Instantané]]/(Tableau1[[#This Row],[Diff jour
Instantané]]*24)</f>
        <v>8.3333333333333329E-2</v>
      </c>
      <c r="U648" s="81">
        <f>Tableau1[[#This Row],[Différence_x000D_ HC
Instantané]]/Tableau1[[#This Row],[Diff jour
Instantané]]</f>
        <v>2</v>
      </c>
      <c r="V648" s="81">
        <f>Tableau1[[#This Row],[Conso HC / jour_x000D_
Instantané]]*365</f>
        <v>730</v>
      </c>
      <c r="W648" s="79">
        <f>Tableau1[[#This Row],[Index HC_x000D_
kWh]]-$R$5</f>
        <v>-117234</v>
      </c>
      <c r="X648" s="82">
        <f>Tableau1[[#This Row],[Différence HC
Cumul]]/(Tableau1[[#This Row],[Diff jour_x000D_
Cumul]]*24)</f>
        <v>-5.4055939971658082</v>
      </c>
      <c r="Y648" s="82">
        <f>Tableau1[[#This Row],[Différence HC
Cumul]]/Tableau1[[#This Row],[Diff jour_x000D_
Cumul]]</f>
        <v>-129.73425593197939</v>
      </c>
      <c r="Z648" s="82">
        <f>Tableau1[[#This Row],[Conso HC / jour_x000D_
Cumul]]*365</f>
        <v>-47353.003415172476</v>
      </c>
      <c r="AA648" s="79">
        <f>Tableau1[[#This Row],[Différence HP
Instantané]]+Tableau1[[#This Row],[Différence_x000D_ HC
Instantané]]</f>
        <v>7</v>
      </c>
      <c r="AB648" s="80">
        <f>Tableau1[[#This Row],[Conso HP + HC
Instantané]]/(Tableau1[[#This Row],[Diff jour
Instantané]]*24)</f>
        <v>0.29166666666666669</v>
      </c>
      <c r="AC648" s="80">
        <f>IF(ISERROR(Tableau1[[#This Row],[Date]]-A647),"",Tableau1[[#This Row],[Conso HP + HC
Instantané]]/Tableau1[[#This Row],[Diff jour
Instantané]])</f>
        <v>7</v>
      </c>
      <c r="AD648" s="80">
        <f>Tableau1[[#This Row],[Conso HP + HC / jour_x000D_
Instantané]]*365</f>
        <v>2555</v>
      </c>
      <c r="AE648" s="79">
        <f>Tableau1[[#This Row],[Différence HP
Cumul]]+Tableau1[[#This Row],[Différence HC
Cumul]]</f>
        <v>-292649</v>
      </c>
      <c r="AF648" s="77">
        <f>(Tableau1[[#This Row],[Conso HP + HC
Cumul]]-AE$6)/Tableau1[[#This Row],[Diff jour_x000D_
Cumul
depuis le 24/01]]</f>
        <v>-341.07245437303055</v>
      </c>
      <c r="AG648" s="77">
        <f>(Tableau1[[#This Row],[Conso HP + HC
Cumul]]-AE$59)/Tableau1[[#This Row],[Diff jour_x000D_
Cumul
depuis
précédente facture
16/02/2021]]</f>
        <v>-352.08819885599837</v>
      </c>
      <c r="AH648" s="80">
        <f>Tableau1[[#This Row],[Conso HP + HC
Cumul]]/(Tableau1[[#This Row],[Diff jour_x000D_
Cumul]]*24)</f>
        <v>-13.493881277415909</v>
      </c>
      <c r="AI648" s="80">
        <f>Tableau1[[#This Row],[Conso HP + HC
Cumul]]/Tableau1[[#This Row],[Diff jour_x000D_
Cumul]]</f>
        <v>-323.85315065798181</v>
      </c>
      <c r="AJ648" s="80">
        <f>Tableau1[[#This Row],[Conso HP + HC / jour_x000D_
Cumul]]*365</f>
        <v>-118206.39999016337</v>
      </c>
      <c r="AK648" s="83">
        <f>(Tableau1[[#This Row],[Différence HP
Cumul]]*0.1799)+(Tableau1[[#This Row],[Différence HC
Cumul]]*0.1346)</f>
        <v>-47336.854899999998</v>
      </c>
      <c r="AL648" s="83">
        <f>Tableau1[[#This Row],[Montant
Tarif HP/HC]]/Tableau1[[#This Row],[Diff jour_x000D_
Cumul]]</f>
        <v>-52.38422000965226</v>
      </c>
      <c r="AM648" s="83">
        <f>(Tableau1[[#This Row],[Montant
Tarif HP/HC]]-AK$6)/Tableau1[[#This Row],[Diff jour_x000D_
Cumul
depuis le 24/01]]</f>
        <v>-55.179382034190652</v>
      </c>
      <c r="AN648" s="83">
        <f>(Tableau1[[#This Row],[Montant
Tarif HP/HC]]-AK$59)/Tableau1[[#This Row],[Diff jour_x000D_
Cumul
depuis
précédente facture
16/02/2021]]</f>
        <v>-56.970683593853011</v>
      </c>
      <c r="AO648" s="83">
        <f>Tableau1[[#This Row],[Conso HP + HC
Cumul]]*0.1599</f>
        <v>-46794.575099999995</v>
      </c>
      <c r="AP648" s="83">
        <f>Tableau1[[#This Row],[Montant
Tarif normal]]/Tableau1[[#This Row],[Diff jour_x000D_
Cumul]]</f>
        <v>-51.784118790211288</v>
      </c>
      <c r="AQ648" s="83">
        <f>(Tableau1[[#This Row],[Conso HP / an
Cumul]]*0.1799)+(Tableau1[[#This Row],[Conso HC / an_x000D_
Cumul]]*0.1346)</f>
        <v>-19120.240303523075</v>
      </c>
      <c r="AR648" s="83">
        <f>Tableau1[[#This Row],[Conso HP + HC / an_x000D_
Cumul]]*0.1599</f>
        <v>-18901.203358427119</v>
      </c>
      <c r="AS648" s="79">
        <f>MONTH(Tableau1[[#This Row],[Date]])</f>
        <v>6</v>
      </c>
      <c r="AT648" s="79">
        <f>YEAR(Tableau1[[#This Row],[Date]])</f>
        <v>2023</v>
      </c>
    </row>
    <row r="649" spans="1:46" x14ac:dyDescent="0.2">
      <c r="A649" s="74">
        <v>45087.315972222219</v>
      </c>
      <c r="B649" s="75"/>
      <c r="C649" s="76">
        <f>IF(ISERROR(Tableau1[[#This Row],[Date]]-A648),"",Tableau1[[#This Row],[Date]]-A648)</f>
        <v>0.96041666666133096</v>
      </c>
      <c r="D649" s="77">
        <f>IF(ISERROR(Tableau1[[#This Row],[Date]]-A648),"",Tableau1[[#This Row],[Date]]-A648)</f>
        <v>0.96041666666133096</v>
      </c>
      <c r="E649" s="76">
        <f>Tableau1[[#This Row],[Date]]-$A$5</f>
        <v>904.60763888888323</v>
      </c>
      <c r="F649" s="77">
        <f>Tableau1[[#This Row],[Date]]-$A$5</f>
        <v>904.60763888888323</v>
      </c>
      <c r="G649" s="77">
        <f>Tableau1[[#This Row],[Diff jour_x000D_
Cumul]]-F$6</f>
        <v>866.52430555555475</v>
      </c>
      <c r="H649" s="77">
        <f>Tableau1[[#This Row],[Diff jour_x000D_
Cumul]]-F$59</f>
        <v>844.00486111110513</v>
      </c>
      <c r="I649" s="78">
        <v>4348</v>
      </c>
      <c r="J649" s="79">
        <f>IF(ISERROR(Tableau1[[#This Row],[Index HP
kWh]]-I648),"",Tableau1[[#This Row],[Index HP
kWh]]-I648)</f>
        <v>4</v>
      </c>
      <c r="K649" s="77">
        <f>IF(ISERROR(Tableau1[[#This Row],[Différence HP
Instantané]]/(Tableau1[[#This Row],[Diff jour
Instantané]]*24)),"",Tableau1[[#This Row],[Différence HP
Instantané]]/(Tableau1[[#This Row],[Diff jour
Instantané]]*24))</f>
        <v>0.17353579175801398</v>
      </c>
      <c r="L649" s="77">
        <f>Tableau1[[#This Row],[Différence HP
Instantané]]/Tableau1[[#This Row],[Diff jour
Instantané]]</f>
        <v>4.164859002192336</v>
      </c>
      <c r="M649" s="77">
        <f>Tableau1[[#This Row],[Conso HP / jour
Instantané]]*365</f>
        <v>1520.1735358002027</v>
      </c>
      <c r="N649" s="79">
        <f>Tableau1[[#This Row],[Index HP
kWh]]-$I$5</f>
        <v>-175411</v>
      </c>
      <c r="O649" s="80">
        <f>Tableau1[[#This Row],[Différence HP
Cumul]]/(Tableau1[[#This Row],[Diff jour_x000D_
Cumul]]*24)</f>
        <v>-8.079515750766765</v>
      </c>
      <c r="P649" s="80">
        <f>Tableau1[[#This Row],[Différence HP
Cumul]]/Tableau1[[#This Row],[Diff jour_x000D_
Cumul]]</f>
        <v>-193.90837801840237</v>
      </c>
      <c r="Q649" s="80">
        <f>Tableau1[[#This Row],[Conso HP / jour
Cumul]]*365</f>
        <v>-70776.557976716867</v>
      </c>
      <c r="R649" s="78">
        <v>2201</v>
      </c>
      <c r="S649" s="79">
        <f>Tableau1[[#This Row],[Index HC_x000D_
kWh]]-R648</f>
        <v>3</v>
      </c>
      <c r="T649" s="81">
        <f>Tableau1[[#This Row],[Différence_x000D_ HC
Instantané]]/(Tableau1[[#This Row],[Diff jour
Instantané]]*24)</f>
        <v>0.1301518438185105</v>
      </c>
      <c r="U649" s="81">
        <f>Tableau1[[#This Row],[Différence_x000D_ HC
Instantané]]/Tableau1[[#This Row],[Diff jour
Instantané]]</f>
        <v>3.1236442516442517</v>
      </c>
      <c r="V649" s="81">
        <f>Tableau1[[#This Row],[Conso HC / jour_x000D_
Instantané]]*365</f>
        <v>1140.1301518501518</v>
      </c>
      <c r="W649" s="79">
        <f>Tableau1[[#This Row],[Index HC_x000D_
kWh]]-$R$5</f>
        <v>-117231</v>
      </c>
      <c r="X649" s="82">
        <f>Tableau1[[#This Row],[Différence HC
Cumul]]/(Tableau1[[#This Row],[Diff jour_x000D_
Cumul]]*24)</f>
        <v>-5.399716728016708</v>
      </c>
      <c r="Y649" s="82">
        <f>Tableau1[[#This Row],[Différence HC
Cumul]]/Tableau1[[#This Row],[Diff jour_x000D_
Cumul]]</f>
        <v>-129.59320147240098</v>
      </c>
      <c r="Z649" s="82">
        <f>Tableau1[[#This Row],[Conso HC / jour_x000D_
Cumul]]*365</f>
        <v>-47301.51853742636</v>
      </c>
      <c r="AA649" s="79">
        <f>Tableau1[[#This Row],[Différence HP
Instantané]]+Tableau1[[#This Row],[Différence_x000D_ HC
Instantané]]</f>
        <v>7</v>
      </c>
      <c r="AB649" s="80">
        <f>Tableau1[[#This Row],[Conso HP + HC
Instantané]]/(Tableau1[[#This Row],[Diff jour
Instantané]]*24)</f>
        <v>0.30368763557652451</v>
      </c>
      <c r="AC649" s="80">
        <f>IF(ISERROR(Tableau1[[#This Row],[Date]]-A648),"",Tableau1[[#This Row],[Conso HP + HC
Instantané]]/Tableau1[[#This Row],[Diff jour
Instantané]])</f>
        <v>7.2885032538365877</v>
      </c>
      <c r="AD649" s="80">
        <f>Tableau1[[#This Row],[Conso HP + HC / jour_x000D_
Instantané]]*365</f>
        <v>2660.3036876503547</v>
      </c>
      <c r="AE649" s="79">
        <f>Tableau1[[#This Row],[Différence HP
Cumul]]+Tableau1[[#This Row],[Différence HC
Cumul]]</f>
        <v>-292642</v>
      </c>
      <c r="AF649" s="77">
        <f>(Tableau1[[#This Row],[Conso HP + HC
Cumul]]-AE$6)/Tableau1[[#This Row],[Diff jour_x000D_
Cumul
depuis le 24/01]]</f>
        <v>-340.68634671560665</v>
      </c>
      <c r="AG649" s="77">
        <f>(Tableau1[[#This Row],[Conso HP + HC
Cumul]]-AE$59)/Tableau1[[#This Row],[Diff jour_x000D_
Cumul
depuis
précédente facture
16/02/2021]]</f>
        <v>-351.67925408539401</v>
      </c>
      <c r="AH649" s="80">
        <f>Tableau1[[#This Row],[Conso HP + HC
Cumul]]/(Tableau1[[#This Row],[Diff jour_x000D_
Cumul]]*24)</f>
        <v>-13.479232478783473</v>
      </c>
      <c r="AI649" s="80">
        <f>Tableau1[[#This Row],[Conso HP + HC
Cumul]]/Tableau1[[#This Row],[Diff jour_x000D_
Cumul]]</f>
        <v>-323.50157949080335</v>
      </c>
      <c r="AJ649" s="80">
        <f>Tableau1[[#This Row],[Conso HP + HC / jour_x000D_
Cumul]]*365</f>
        <v>-118078.07651414322</v>
      </c>
      <c r="AK649" s="83">
        <f>(Tableau1[[#This Row],[Différence HP
Cumul]]*0.1799)+(Tableau1[[#This Row],[Différence HC
Cumul]]*0.1346)</f>
        <v>-47335.731500000002</v>
      </c>
      <c r="AL649" s="83">
        <f>Tableau1[[#This Row],[Montant
Tarif HP/HC]]/Tableau1[[#This Row],[Diff jour_x000D_
Cumul]]</f>
        <v>-52.327362123695764</v>
      </c>
      <c r="AM649" s="83">
        <f>(Tableau1[[#This Row],[Montant
Tarif HP/HC]]-AK$6)/Tableau1[[#This Row],[Diff jour_x000D_
Cumul
depuis le 24/01]]</f>
        <v>-55.116927238849385</v>
      </c>
      <c r="AN649" s="83">
        <f>(Tableau1[[#This Row],[Montant
Tarif HP/HC]]-AK$59)/Tableau1[[#This Row],[Diff jour_x000D_
Cumul
depuis
précédente facture
16/02/2021]]</f>
        <v>-56.904524029367664</v>
      </c>
      <c r="AO649" s="83">
        <f>Tableau1[[#This Row],[Conso HP + HC
Cumul]]*0.1599</f>
        <v>-46793.455799999996</v>
      </c>
      <c r="AP649" s="83">
        <f>Tableau1[[#This Row],[Montant
Tarif normal]]/Tableau1[[#This Row],[Diff jour_x000D_
Cumul]]</f>
        <v>-51.727902560579452</v>
      </c>
      <c r="AQ649" s="83">
        <f>(Tableau1[[#This Row],[Conso HP / an
Cumul]]*0.1799)+(Tableau1[[#This Row],[Conso HC / an_x000D_
Cumul]]*0.1346)</f>
        <v>-19099.487175148952</v>
      </c>
      <c r="AR649" s="83">
        <f>Tableau1[[#This Row],[Conso HP + HC / an_x000D_
Cumul]]*0.1599</f>
        <v>-18880.684434611499</v>
      </c>
      <c r="AS649" s="79">
        <f>MONTH(Tableau1[[#This Row],[Date]])</f>
        <v>6</v>
      </c>
      <c r="AT649" s="79">
        <f>YEAR(Tableau1[[#This Row],[Date]])</f>
        <v>2023</v>
      </c>
    </row>
    <row r="650" spans="1:46" x14ac:dyDescent="0.2">
      <c r="A650" s="74">
        <v>45088.431944444441</v>
      </c>
      <c r="B650" s="75"/>
      <c r="C650" s="76">
        <f>IF(ISERROR(Tableau1[[#This Row],[Date]]-A649),"",Tableau1[[#This Row],[Date]]-A649)</f>
        <v>1.1159722222218988</v>
      </c>
      <c r="D650" s="77">
        <f>IF(ISERROR(Tableau1[[#This Row],[Date]]-A649),"",Tableau1[[#This Row],[Date]]-A649)</f>
        <v>1.1159722222218988</v>
      </c>
      <c r="E650" s="76">
        <f>Tableau1[[#This Row],[Date]]-$A$5</f>
        <v>905.72361111110513</v>
      </c>
      <c r="F650" s="77">
        <f>Tableau1[[#This Row],[Date]]-$A$5</f>
        <v>905.72361111110513</v>
      </c>
      <c r="G650" s="77">
        <f>Tableau1[[#This Row],[Diff jour_x000D_
Cumul]]-F$6</f>
        <v>867.64027777777665</v>
      </c>
      <c r="H650" s="77">
        <f>Tableau1[[#This Row],[Diff jour_x000D_
Cumul]]-F$59</f>
        <v>845.12083333332703</v>
      </c>
      <c r="I650" s="78">
        <v>4353</v>
      </c>
      <c r="J650" s="79">
        <f>IF(ISERROR(Tableau1[[#This Row],[Index HP
kWh]]-I649),"",Tableau1[[#This Row],[Index HP
kWh]]-I649)</f>
        <v>5</v>
      </c>
      <c r="K650" s="77">
        <f>IF(ISERROR(Tableau1[[#This Row],[Différence HP
Instantané]]/(Tableau1[[#This Row],[Diff jour
Instantané]]*24)),"",Tableau1[[#This Row],[Différence HP
Instantané]]/(Tableau1[[#This Row],[Diff jour
Instantané]]*24))</f>
        <v>0.18668326073434158</v>
      </c>
      <c r="L650" s="77">
        <f>Tableau1[[#This Row],[Différence HP
Instantané]]/Tableau1[[#This Row],[Diff jour
Instantané]]</f>
        <v>4.4803982576241985</v>
      </c>
      <c r="M650" s="77">
        <f>Tableau1[[#This Row],[Conso HP / jour
Instantané]]*365</f>
        <v>1635.3453640328325</v>
      </c>
      <c r="N650" s="79">
        <f>Tableau1[[#This Row],[Index HP
kWh]]-$I$5</f>
        <v>-175406</v>
      </c>
      <c r="O650" s="80">
        <f>Tableau1[[#This Row],[Différence HP
Cumul]]/(Tableau1[[#This Row],[Diff jour_x000D_
Cumul]]*24)</f>
        <v>-8.0693306916968393</v>
      </c>
      <c r="P650" s="80">
        <f>Tableau1[[#This Row],[Différence HP
Cumul]]/Tableau1[[#This Row],[Diff jour_x000D_
Cumul]]</f>
        <v>-193.66393660072416</v>
      </c>
      <c r="Q650" s="80">
        <f>Tableau1[[#This Row],[Conso HP / jour
Cumul]]*365</f>
        <v>-70687.336859264324</v>
      </c>
      <c r="R650" s="78">
        <v>2204</v>
      </c>
      <c r="S650" s="79">
        <f>Tableau1[[#This Row],[Index HC_x000D_
kWh]]-R649</f>
        <v>3</v>
      </c>
      <c r="T650" s="81">
        <f>Tableau1[[#This Row],[Différence_x000D_ HC
Instantané]]/(Tableau1[[#This Row],[Diff jour
Instantané]]*24)</f>
        <v>0.11200995644060495</v>
      </c>
      <c r="U650" s="81">
        <f>Tableau1[[#This Row],[Différence_x000D_ HC
Instantané]]/Tableau1[[#This Row],[Diff jour
Instantané]]</f>
        <v>2.6882389545745187</v>
      </c>
      <c r="V650" s="81">
        <f>Tableau1[[#This Row],[Conso HC / jour_x000D_
Instantané]]*365</f>
        <v>981.2072184196993</v>
      </c>
      <c r="W650" s="79">
        <f>Tableau1[[#This Row],[Index HC_x000D_
kWh]]-$R$5</f>
        <v>-117228</v>
      </c>
      <c r="X650" s="82">
        <f>Tableau1[[#This Row],[Différence HC
Cumul]]/(Tableau1[[#This Row],[Diff jour_x000D_
Cumul]]*24)</f>
        <v>-5.392925546026003</v>
      </c>
      <c r="Y650" s="82">
        <f>Tableau1[[#This Row],[Différence HC
Cumul]]/Tableau1[[#This Row],[Diff jour_x000D_
Cumul]]</f>
        <v>-129.43021310462407</v>
      </c>
      <c r="Z650" s="82">
        <f>Tableau1[[#This Row],[Conso HC / jour_x000D_
Cumul]]*365</f>
        <v>-47242.02778318779</v>
      </c>
      <c r="AA650" s="79">
        <f>Tableau1[[#This Row],[Différence HP
Instantané]]+Tableau1[[#This Row],[Différence_x000D_ HC
Instantané]]</f>
        <v>8</v>
      </c>
      <c r="AB650" s="80">
        <f>Tableau1[[#This Row],[Conso HP + HC
Instantané]]/(Tableau1[[#This Row],[Diff jour
Instantané]]*24)</f>
        <v>0.29869321717494651</v>
      </c>
      <c r="AC650" s="80">
        <f>IF(ISERROR(Tableau1[[#This Row],[Date]]-A649),"",Tableau1[[#This Row],[Conso HP + HC
Instantané]]/Tableau1[[#This Row],[Diff jour
Instantané]])</f>
        <v>7.1686372121987167</v>
      </c>
      <c r="AD650" s="80">
        <f>Tableau1[[#This Row],[Conso HP + HC / jour_x000D_
Instantané]]*365</f>
        <v>2616.5525824525316</v>
      </c>
      <c r="AE650" s="79">
        <f>Tableau1[[#This Row],[Différence HP
Cumul]]+Tableau1[[#This Row],[Différence HC
Cumul]]</f>
        <v>-292634</v>
      </c>
      <c r="AF650" s="77">
        <f>(Tableau1[[#This Row],[Conso HP + HC
Cumul]]-AE$6)/Tableau1[[#This Row],[Diff jour_x000D_
Cumul
depuis le 24/01]]</f>
        <v>-340.23893030425802</v>
      </c>
      <c r="AG650" s="77">
        <f>(Tableau1[[#This Row],[Conso HP + HC
Cumul]]-AE$59)/Tableau1[[#This Row],[Diff jour_x000D_
Cumul
depuis
précédente facture
16/02/2021]]</f>
        <v>-351.2053996223446</v>
      </c>
      <c r="AH650" s="80">
        <f>Tableau1[[#This Row],[Conso HP + HC
Cumul]]/(Tableau1[[#This Row],[Diff jour_x000D_
Cumul]]*24)</f>
        <v>-13.462256237722842</v>
      </c>
      <c r="AI650" s="80">
        <f>Tableau1[[#This Row],[Conso HP + HC
Cumul]]/Tableau1[[#This Row],[Diff jour_x000D_
Cumul]]</f>
        <v>-323.09414970534823</v>
      </c>
      <c r="AJ650" s="80">
        <f>Tableau1[[#This Row],[Conso HP + HC / jour_x000D_
Cumul]]*365</f>
        <v>-117929.3646424521</v>
      </c>
      <c r="AK650" s="83">
        <f>(Tableau1[[#This Row],[Différence HP
Cumul]]*0.1799)+(Tableau1[[#This Row],[Différence HC
Cumul]]*0.1346)</f>
        <v>-47334.428200000002</v>
      </c>
      <c r="AL650" s="83">
        <f>Tableau1[[#This Row],[Montant
Tarif HP/HC]]/Tableau1[[#This Row],[Diff jour_x000D_
Cumul]]</f>
        <v>-52.261448878352681</v>
      </c>
      <c r="AM650" s="83">
        <f>(Tableau1[[#This Row],[Montant
Tarif HP/HC]]-AK$6)/Tableau1[[#This Row],[Diff jour_x000D_
Cumul
depuis le 24/01]]</f>
        <v>-55.044532882130888</v>
      </c>
      <c r="AN650" s="83">
        <f>(Tableau1[[#This Row],[Montant
Tarif HP/HC]]-AK$59)/Tableau1[[#This Row],[Diff jour_x000D_
Cumul
depuis
précédente facture
16/02/2021]]</f>
        <v>-56.827840121482069</v>
      </c>
      <c r="AO650" s="83">
        <f>Tableau1[[#This Row],[Conso HP + HC
Cumul]]*0.1599</f>
        <v>-46792.176599999999</v>
      </c>
      <c r="AP650" s="83">
        <f>Tableau1[[#This Row],[Montant
Tarif normal]]/Tableau1[[#This Row],[Diff jour_x000D_
Cumul]]</f>
        <v>-51.662754537885178</v>
      </c>
      <c r="AQ650" s="83">
        <f>(Tableau1[[#This Row],[Conso HP / an
Cumul]]*0.1799)+(Tableau1[[#This Row],[Conso HC / an_x000D_
Cumul]]*0.1346)</f>
        <v>-19075.428840598728</v>
      </c>
      <c r="AR650" s="83">
        <f>Tableau1[[#This Row],[Conso HP + HC / an_x000D_
Cumul]]*0.1599</f>
        <v>-18856.905406328089</v>
      </c>
      <c r="AS650" s="79">
        <f>MONTH(Tableau1[[#This Row],[Date]])</f>
        <v>6</v>
      </c>
      <c r="AT650" s="79">
        <f>YEAR(Tableau1[[#This Row],[Date]])</f>
        <v>2023</v>
      </c>
    </row>
    <row r="651" spans="1:46" x14ac:dyDescent="0.2">
      <c r="A651" s="74">
        <v>45089.319444444445</v>
      </c>
      <c r="B651" s="75"/>
      <c r="C651" s="76">
        <f>IF(ISERROR(Tableau1[[#This Row],[Date]]-A650),"",Tableau1[[#This Row],[Date]]-A650)</f>
        <v>0.88750000000436557</v>
      </c>
      <c r="D651" s="77">
        <f>IF(ISERROR(Tableau1[[#This Row],[Date]]-A650),"",Tableau1[[#This Row],[Date]]-A650)</f>
        <v>0.88750000000436557</v>
      </c>
      <c r="E651" s="76">
        <f>Tableau1[[#This Row],[Date]]-$A$5</f>
        <v>906.61111111110949</v>
      </c>
      <c r="F651" s="77">
        <f>Tableau1[[#This Row],[Date]]-$A$5</f>
        <v>906.61111111110949</v>
      </c>
      <c r="G651" s="77">
        <f>Tableau1[[#This Row],[Diff jour_x000D_
Cumul]]-F$6</f>
        <v>868.52777777778101</v>
      </c>
      <c r="H651" s="77">
        <f>Tableau1[[#This Row],[Diff jour_x000D_
Cumul]]-F$59</f>
        <v>846.00833333333139</v>
      </c>
      <c r="I651" s="78">
        <v>4356</v>
      </c>
      <c r="J651" s="79">
        <f>IF(ISERROR(Tableau1[[#This Row],[Index HP
kWh]]-I650),"",Tableau1[[#This Row],[Index HP
kWh]]-I650)</f>
        <v>3</v>
      </c>
      <c r="K651" s="77">
        <f>IF(ISERROR(Tableau1[[#This Row],[Différence HP
Instantané]]/(Tableau1[[#This Row],[Diff jour
Instantané]]*24)),"",Tableau1[[#This Row],[Différence HP
Instantané]]/(Tableau1[[#This Row],[Diff jour
Instantané]]*24))</f>
        <v>0.14084507042184241</v>
      </c>
      <c r="L651" s="77">
        <f>Tableau1[[#This Row],[Différence HP
Instantané]]/Tableau1[[#This Row],[Diff jour
Instantané]]</f>
        <v>3.3802816901242174</v>
      </c>
      <c r="M651" s="77">
        <f>Tableau1[[#This Row],[Conso HP / jour
Instantané]]*365</f>
        <v>1233.8028168953394</v>
      </c>
      <c r="N651" s="79">
        <f>Tableau1[[#This Row],[Index HP
kWh]]-$I$5</f>
        <v>-175403</v>
      </c>
      <c r="O651" s="80">
        <f>Tableau1[[#This Row],[Différence HP
Cumul]]/(Tableau1[[#This Row],[Diff jour_x000D_
Cumul]]*24)</f>
        <v>-8.0612935841657105</v>
      </c>
      <c r="P651" s="80">
        <f>Tableau1[[#This Row],[Différence HP
Cumul]]/Tableau1[[#This Row],[Diff jour_x000D_
Cumul]]</f>
        <v>-193.47104601997705</v>
      </c>
      <c r="Q651" s="80">
        <f>Tableau1[[#This Row],[Conso HP / jour
Cumul]]*365</f>
        <v>-70616.931797291618</v>
      </c>
      <c r="R651" s="78">
        <v>2206</v>
      </c>
      <c r="S651" s="79">
        <f>Tableau1[[#This Row],[Index HC_x000D_
kWh]]-R650</f>
        <v>2</v>
      </c>
      <c r="T651" s="81">
        <f>Tableau1[[#This Row],[Différence_x000D_ HC
Instantané]]/(Tableau1[[#This Row],[Diff jour
Instantané]]*24)</f>
        <v>9.3896713614561603E-2</v>
      </c>
      <c r="U651" s="81">
        <f>Tableau1[[#This Row],[Différence_x000D_ HC
Instantané]]/Tableau1[[#This Row],[Diff jour
Instantané]]</f>
        <v>2.2535211267494786</v>
      </c>
      <c r="V651" s="81">
        <f>Tableau1[[#This Row],[Conso HC / jour_x000D_
Instantané]]*365</f>
        <v>822.53521126355963</v>
      </c>
      <c r="W651" s="79">
        <f>Tableau1[[#This Row],[Index HC_x000D_
kWh]]-$R$5</f>
        <v>-117226</v>
      </c>
      <c r="X651" s="82">
        <f>Tableau1[[#This Row],[Différence HC
Cumul]]/(Tableau1[[#This Row],[Diff jour_x000D_
Cumul]]*24)</f>
        <v>-5.3875543844598415</v>
      </c>
      <c r="Y651" s="82">
        <f>Tableau1[[#This Row],[Différence HC
Cumul]]/Tableau1[[#This Row],[Diff jour_x000D_
Cumul]]</f>
        <v>-129.30130522703621</v>
      </c>
      <c r="Z651" s="82">
        <f>Tableau1[[#This Row],[Conso HC / jour_x000D_
Cumul]]*365</f>
        <v>-47194.97640786822</v>
      </c>
      <c r="AA651" s="79">
        <f>Tableau1[[#This Row],[Différence HP
Instantané]]+Tableau1[[#This Row],[Différence_x000D_ HC
Instantané]]</f>
        <v>5</v>
      </c>
      <c r="AB651" s="80">
        <f>Tableau1[[#This Row],[Conso HP + HC
Instantané]]/(Tableau1[[#This Row],[Diff jour
Instantané]]*24)</f>
        <v>0.234741784036404</v>
      </c>
      <c r="AC651" s="80">
        <f>IF(ISERROR(Tableau1[[#This Row],[Date]]-A650),"",Tableau1[[#This Row],[Conso HP + HC
Instantané]]/Tableau1[[#This Row],[Diff jour
Instantané]])</f>
        <v>5.633802816873696</v>
      </c>
      <c r="AD651" s="80">
        <f>Tableau1[[#This Row],[Conso HP + HC / jour_x000D_
Instantané]]*365</f>
        <v>2056.3380281588989</v>
      </c>
      <c r="AE651" s="79">
        <f>Tableau1[[#This Row],[Différence HP
Cumul]]+Tableau1[[#This Row],[Différence HC
Cumul]]</f>
        <v>-292629</v>
      </c>
      <c r="AF651" s="77">
        <f>(Tableau1[[#This Row],[Conso HP + HC
Cumul]]-AE$6)/Tableau1[[#This Row],[Diff jour_x000D_
Cumul
depuis le 24/01]]</f>
        <v>-339.88550228675473</v>
      </c>
      <c r="AG651" s="77">
        <f>(Tableau1[[#This Row],[Conso HP + HC
Cumul]]-AE$59)/Tableau1[[#This Row],[Diff jour_x000D_
Cumul
depuis
précédente facture
16/02/2021]]</f>
        <v>-350.83105958373227</v>
      </c>
      <c r="AH651" s="80">
        <f>Tableau1[[#This Row],[Conso HP + HC
Cumul]]/(Tableau1[[#This Row],[Diff jour_x000D_
Cumul]]*24)</f>
        <v>-13.448847968625552</v>
      </c>
      <c r="AI651" s="80">
        <f>Tableau1[[#This Row],[Conso HP + HC
Cumul]]/Tableau1[[#This Row],[Diff jour_x000D_
Cumul]]</f>
        <v>-322.77235124701326</v>
      </c>
      <c r="AJ651" s="80">
        <f>Tableau1[[#This Row],[Conso HP + HC / jour_x000D_
Cumul]]*365</f>
        <v>-117811.90820515984</v>
      </c>
      <c r="AK651" s="83">
        <f>(Tableau1[[#This Row],[Différence HP
Cumul]]*0.1799)+(Tableau1[[#This Row],[Différence HC
Cumul]]*0.1346)</f>
        <v>-47333.619299999998</v>
      </c>
      <c r="AL651" s="83">
        <f>Tableau1[[#This Row],[Montant
Tarif HP/HC]]/Tableau1[[#This Row],[Diff jour_x000D_
Cumul]]</f>
        <v>-52.209396862552943</v>
      </c>
      <c r="AM651" s="83">
        <f>(Tableau1[[#This Row],[Montant
Tarif HP/HC]]-AK$6)/Tableau1[[#This Row],[Diff jour_x000D_
Cumul
depuis le 24/01]]</f>
        <v>-54.987354603895277</v>
      </c>
      <c r="AN651" s="83">
        <f>(Tableau1[[#This Row],[Montant
Tarif HP/HC]]-AK$59)/Tableau1[[#This Row],[Diff jour_x000D_
Cumul
depuis
précédente facture
16/02/2021]]</f>
        <v>-56.767269077333886</v>
      </c>
      <c r="AO651" s="83">
        <f>Tableau1[[#This Row],[Conso HP + HC
Cumul]]*0.1599</f>
        <v>-46791.377099999998</v>
      </c>
      <c r="AP651" s="83">
        <f>Tableau1[[#This Row],[Montant
Tarif normal]]/Tableau1[[#This Row],[Diff jour_x000D_
Cumul]]</f>
        <v>-51.61129896439742</v>
      </c>
      <c r="AQ651" s="83">
        <f>(Tableau1[[#This Row],[Conso HP / an
Cumul]]*0.1799)+(Tableau1[[#This Row],[Conso HC / an_x000D_
Cumul]]*0.1346)</f>
        <v>-19056.429854831826</v>
      </c>
      <c r="AR651" s="83">
        <f>Tableau1[[#This Row],[Conso HP + HC / an_x000D_
Cumul]]*0.1599</f>
        <v>-18838.124122005058</v>
      </c>
      <c r="AS651" s="79">
        <f>MONTH(Tableau1[[#This Row],[Date]])</f>
        <v>6</v>
      </c>
      <c r="AT651" s="79">
        <f>YEAR(Tableau1[[#This Row],[Date]])</f>
        <v>2023</v>
      </c>
    </row>
    <row r="652" spans="1:46" x14ac:dyDescent="0.2">
      <c r="A652" s="74">
        <v>45090.314583333333</v>
      </c>
      <c r="B652" s="75"/>
      <c r="C652" s="76">
        <f>IF(ISERROR(Tableau1[[#This Row],[Date]]-A651),"",Tableau1[[#This Row],[Date]]-A651)</f>
        <v>0.99513888888759539</v>
      </c>
      <c r="D652" s="77">
        <f>IF(ISERROR(Tableau1[[#This Row],[Date]]-A651),"",Tableau1[[#This Row],[Date]]-A651)</f>
        <v>0.99513888888759539</v>
      </c>
      <c r="E652" s="76">
        <f>Tableau1[[#This Row],[Date]]-$A$5</f>
        <v>907.60624999999709</v>
      </c>
      <c r="F652" s="77">
        <f>Tableau1[[#This Row],[Date]]-$A$5</f>
        <v>907.60624999999709</v>
      </c>
      <c r="G652" s="77">
        <f>Tableau1[[#This Row],[Diff jour_x000D_
Cumul]]-F$6</f>
        <v>869.52291666666861</v>
      </c>
      <c r="H652" s="77">
        <f>Tableau1[[#This Row],[Diff jour_x000D_
Cumul]]-F$59</f>
        <v>847.00347222221899</v>
      </c>
      <c r="I652" s="78">
        <v>4361</v>
      </c>
      <c r="J652" s="79">
        <f>IF(ISERROR(Tableau1[[#This Row],[Index HP
kWh]]-I651),"",Tableau1[[#This Row],[Index HP
kWh]]-I651)</f>
        <v>5</v>
      </c>
      <c r="K652" s="77">
        <f>IF(ISERROR(Tableau1[[#This Row],[Différence HP
Instantané]]/(Tableau1[[#This Row],[Diff jour
Instantané]]*24)),"",Tableau1[[#This Row],[Différence HP
Instantané]]/(Tableau1[[#This Row],[Diff jour
Instantané]]*24))</f>
        <v>0.20935101186349611</v>
      </c>
      <c r="L652" s="77">
        <f>Tableau1[[#This Row],[Différence HP
Instantané]]/Tableau1[[#This Row],[Diff jour
Instantané]]</f>
        <v>5.0244242847239073</v>
      </c>
      <c r="M652" s="77">
        <f>Tableau1[[#This Row],[Conso HP / jour
Instantané]]*365</f>
        <v>1833.9148639242262</v>
      </c>
      <c r="N652" s="79">
        <f>Tableau1[[#This Row],[Index HP
kWh]]-$I$5</f>
        <v>-175398</v>
      </c>
      <c r="O652" s="80">
        <f>Tableau1[[#This Row],[Différence HP
Cumul]]/(Tableau1[[#This Row],[Diff jour_x000D_
Cumul]]*24)</f>
        <v>-8.0522252904274545</v>
      </c>
      <c r="P652" s="80">
        <f>Tableau1[[#This Row],[Différence HP
Cumul]]/Tableau1[[#This Row],[Diff jour_x000D_
Cumul]]</f>
        <v>-193.25340697025894</v>
      </c>
      <c r="Q652" s="80">
        <f>Tableau1[[#This Row],[Conso HP / jour
Cumul]]*365</f>
        <v>-70537.493544144512</v>
      </c>
      <c r="R652" s="78">
        <v>2208</v>
      </c>
      <c r="S652" s="79">
        <f>Tableau1[[#This Row],[Index HC_x000D_
kWh]]-R651</f>
        <v>2</v>
      </c>
      <c r="T652" s="81">
        <f>Tableau1[[#This Row],[Différence_x000D_ HC
Instantané]]/(Tableau1[[#This Row],[Diff jour
Instantané]]*24)</f>
        <v>8.3740404745398456E-2</v>
      </c>
      <c r="U652" s="81">
        <f>Tableau1[[#This Row],[Différence_x000D_ HC
Instantané]]/Tableau1[[#This Row],[Diff jour
Instantané]]</f>
        <v>2.0097697138895629</v>
      </c>
      <c r="V652" s="81">
        <f>Tableau1[[#This Row],[Conso HC / jour_x000D_
Instantané]]*365</f>
        <v>733.56594556969048</v>
      </c>
      <c r="W652" s="79">
        <f>Tableau1[[#This Row],[Index HC_x000D_
kWh]]-$R$5</f>
        <v>-117224</v>
      </c>
      <c r="X652" s="82">
        <f>Tableau1[[#This Row],[Différence HC
Cumul]]/(Tableau1[[#This Row],[Diff jour_x000D_
Cumul]]*24)</f>
        <v>-5.3815554193609278</v>
      </c>
      <c r="Y652" s="82">
        <f>Tableau1[[#This Row],[Différence HC
Cumul]]/Tableau1[[#This Row],[Diff jour_x000D_
Cumul]]</f>
        <v>-129.15733006466226</v>
      </c>
      <c r="Z652" s="82">
        <f>Tableau1[[#This Row],[Conso HC / jour_x000D_
Cumul]]*365</f>
        <v>-47142.425473601725</v>
      </c>
      <c r="AA652" s="79">
        <f>Tableau1[[#This Row],[Différence HP
Instantané]]+Tableau1[[#This Row],[Différence_x000D_ HC
Instantané]]</f>
        <v>7</v>
      </c>
      <c r="AB652" s="80">
        <f>Tableau1[[#This Row],[Conso HP + HC
Instantané]]/(Tableau1[[#This Row],[Diff jour
Instantané]]*24)</f>
        <v>0.29309141660889459</v>
      </c>
      <c r="AC652" s="80">
        <f>IF(ISERROR(Tableau1[[#This Row],[Date]]-A651),"",Tableau1[[#This Row],[Conso HP + HC
Instantané]]/Tableau1[[#This Row],[Diff jour
Instantané]])</f>
        <v>7.0341939986134694</v>
      </c>
      <c r="AD652" s="80">
        <f>Tableau1[[#This Row],[Conso HP + HC / jour_x000D_
Instantané]]*365</f>
        <v>2567.4808094939162</v>
      </c>
      <c r="AE652" s="79">
        <f>Tableau1[[#This Row],[Différence HP
Cumul]]+Tableau1[[#This Row],[Différence HC
Cumul]]</f>
        <v>-292622</v>
      </c>
      <c r="AF652" s="77">
        <f>(Tableau1[[#This Row],[Conso HP + HC
Cumul]]-AE$6)/Tableau1[[#This Row],[Diff jour_x000D_
Cumul
depuis le 24/01]]</f>
        <v>-339.48846469927162</v>
      </c>
      <c r="AG652" s="77">
        <f>(Tableau1[[#This Row],[Conso HP + HC
Cumul]]-AE$59)/Tableau1[[#This Row],[Diff jour_x000D_
Cumul
depuis
précédente facture
16/02/2021]]</f>
        <v>-350.41060601712871</v>
      </c>
      <c r="AH652" s="80">
        <f>Tableau1[[#This Row],[Conso HP + HC
Cumul]]/(Tableau1[[#This Row],[Diff jour_x000D_
Cumul]]*24)</f>
        <v>-13.433780709788383</v>
      </c>
      <c r="AI652" s="80">
        <f>Tableau1[[#This Row],[Conso HP + HC
Cumul]]/Tableau1[[#This Row],[Diff jour_x000D_
Cumul]]</f>
        <v>-322.41073703492117</v>
      </c>
      <c r="AJ652" s="80">
        <f>Tableau1[[#This Row],[Conso HP + HC / jour_x000D_
Cumul]]*365</f>
        <v>-117679.91901774623</v>
      </c>
      <c r="AK652" s="83">
        <f>(Tableau1[[#This Row],[Différence HP
Cumul]]*0.1799)+(Tableau1[[#This Row],[Différence HC
Cumul]]*0.1346)</f>
        <v>-47332.450599999996</v>
      </c>
      <c r="AL652" s="83">
        <f>Tableau1[[#This Row],[Montant
Tarif HP/HC]]/Tableau1[[#This Row],[Diff jour_x000D_
Cumul]]</f>
        <v>-52.150864540653117</v>
      </c>
      <c r="AM652" s="83">
        <f>(Tableau1[[#This Row],[Montant
Tarif HP/HC]]-AK$6)/Tableau1[[#This Row],[Diff jour_x000D_
Cumul
depuis le 24/01]]</f>
        <v>-54.923079408966956</v>
      </c>
      <c r="AN652" s="83">
        <f>(Tableau1[[#This Row],[Montant
Tarif HP/HC]]-AK$59)/Tableau1[[#This Row],[Diff jour_x000D_
Cumul
depuis
précédente facture
16/02/2021]]</f>
        <v>-56.699193775442232</v>
      </c>
      <c r="AO652" s="83">
        <f>Tableau1[[#This Row],[Conso HP + HC
Cumul]]*0.1599</f>
        <v>-46790.257799999999</v>
      </c>
      <c r="AP652" s="83">
        <f>Tableau1[[#This Row],[Montant
Tarif normal]]/Tableau1[[#This Row],[Diff jour_x000D_
Cumul]]</f>
        <v>-51.5534768518839</v>
      </c>
      <c r="AQ652" s="83">
        <f>(Tableau1[[#This Row],[Conso HP / an
Cumul]]*0.1799)+(Tableau1[[#This Row],[Conso HC / an_x000D_
Cumul]]*0.1346)</f>
        <v>-19035.065557338388</v>
      </c>
      <c r="AR652" s="83">
        <f>Tableau1[[#This Row],[Conso HP + HC / an_x000D_
Cumul]]*0.1599</f>
        <v>-18817.019050937619</v>
      </c>
      <c r="AS652" s="79">
        <f>MONTH(Tableau1[[#This Row],[Date]])</f>
        <v>6</v>
      </c>
      <c r="AT652" s="79">
        <f>YEAR(Tableau1[[#This Row],[Date]])</f>
        <v>2023</v>
      </c>
    </row>
    <row r="653" spans="1:46" x14ac:dyDescent="0.2">
      <c r="A653" s="74">
        <v>45091.330555555556</v>
      </c>
      <c r="B653" s="75"/>
      <c r="C653" s="76">
        <f>IF(ISERROR(Tableau1[[#This Row],[Date]]-A652),"",Tableau1[[#This Row],[Date]]-A652)</f>
        <v>1.015972222223354</v>
      </c>
      <c r="D653" s="77">
        <f>IF(ISERROR(Tableau1[[#This Row],[Date]]-A652),"",Tableau1[[#This Row],[Date]]-A652)</f>
        <v>1.015972222223354</v>
      </c>
      <c r="E653" s="76">
        <f>Tableau1[[#This Row],[Date]]-$A$5</f>
        <v>908.62222222222044</v>
      </c>
      <c r="F653" s="77">
        <f>Tableau1[[#This Row],[Date]]-$A$5</f>
        <v>908.62222222222044</v>
      </c>
      <c r="G653" s="77">
        <f>Tableau1[[#This Row],[Diff jour_x000D_
Cumul]]-F$6</f>
        <v>870.53888888889196</v>
      </c>
      <c r="H653" s="77">
        <f>Tableau1[[#This Row],[Diff jour_x000D_
Cumul]]-F$59</f>
        <v>848.01944444444234</v>
      </c>
      <c r="I653" s="78">
        <v>4365</v>
      </c>
      <c r="J653" s="79">
        <f>IF(ISERROR(Tableau1[[#This Row],[Index HP
kWh]]-I652),"",Tableau1[[#This Row],[Index HP
kWh]]-I652)</f>
        <v>4</v>
      </c>
      <c r="K653" s="77">
        <f>IF(ISERROR(Tableau1[[#This Row],[Différence HP
Instantané]]/(Tableau1[[#This Row],[Diff jour
Instantané]]*24)),"",Tableau1[[#This Row],[Différence HP
Instantané]]/(Tableau1[[#This Row],[Diff jour
Instantané]]*24))</f>
        <v>0.16404647983577078</v>
      </c>
      <c r="L653" s="77">
        <f>Tableau1[[#This Row],[Différence HP
Instantané]]/Tableau1[[#This Row],[Diff jour
Instantané]]</f>
        <v>3.9371155160584985</v>
      </c>
      <c r="M653" s="77">
        <f>Tableau1[[#This Row],[Conso HP / jour
Instantané]]*365</f>
        <v>1437.047163361352</v>
      </c>
      <c r="N653" s="79">
        <f>Tableau1[[#This Row],[Index HP
kWh]]-$I$5</f>
        <v>-175394</v>
      </c>
      <c r="O653" s="80">
        <f>Tableau1[[#This Row],[Différence HP
Cumul]]/(Tableau1[[#This Row],[Diff jour_x000D_
Cumul]]*24)</f>
        <v>-8.0430382997456622</v>
      </c>
      <c r="P653" s="80">
        <f>Tableau1[[#This Row],[Différence HP
Cumul]]/Tableau1[[#This Row],[Diff jour_x000D_
Cumul]]</f>
        <v>-193.03291919389591</v>
      </c>
      <c r="Q653" s="80">
        <f>Tableau1[[#This Row],[Conso HP / jour
Cumul]]*365</f>
        <v>-70457.015505772011</v>
      </c>
      <c r="R653" s="78">
        <v>2210</v>
      </c>
      <c r="S653" s="79">
        <f>Tableau1[[#This Row],[Index HC_x000D_
kWh]]-R652</f>
        <v>2</v>
      </c>
      <c r="T653" s="81">
        <f>Tableau1[[#This Row],[Différence_x000D_ HC
Instantané]]/(Tableau1[[#This Row],[Diff jour
Instantané]]*24)</f>
        <v>8.202323991788539E-2</v>
      </c>
      <c r="U653" s="81">
        <f>Tableau1[[#This Row],[Différence_x000D_ HC
Instantané]]/Tableau1[[#This Row],[Diff jour
Instantané]]</f>
        <v>1.9685577580292493</v>
      </c>
      <c r="V653" s="81">
        <f>Tableau1[[#This Row],[Conso HC / jour_x000D_
Instantané]]*365</f>
        <v>718.52358168067599</v>
      </c>
      <c r="W653" s="79">
        <f>Tableau1[[#This Row],[Index HC_x000D_
kWh]]-$R$5</f>
        <v>-117222</v>
      </c>
      <c r="X653" s="82">
        <f>Tableau1[[#This Row],[Différence HC
Cumul]]/(Tableau1[[#This Row],[Diff jour_x000D_
Cumul]]*24)</f>
        <v>-5.3754463412248201</v>
      </c>
      <c r="Y653" s="82">
        <f>Tableau1[[#This Row],[Différence HC
Cumul]]/Tableau1[[#This Row],[Diff jour_x000D_
Cumul]]</f>
        <v>-129.01071218939566</v>
      </c>
      <c r="Z653" s="82">
        <f>Tableau1[[#This Row],[Conso HC / jour_x000D_
Cumul]]*365</f>
        <v>-47088.909949129418</v>
      </c>
      <c r="AA653" s="79">
        <f>Tableau1[[#This Row],[Différence HP
Instantané]]+Tableau1[[#This Row],[Différence_x000D_ HC
Instantané]]</f>
        <v>6</v>
      </c>
      <c r="AB653" s="80">
        <f>Tableau1[[#This Row],[Conso HP + HC
Instantané]]/(Tableau1[[#This Row],[Diff jour
Instantané]]*24)</f>
        <v>0.24606971975365616</v>
      </c>
      <c r="AC653" s="80">
        <f>IF(ISERROR(Tableau1[[#This Row],[Date]]-A652),"",Tableau1[[#This Row],[Conso HP + HC
Instantané]]/Tableau1[[#This Row],[Diff jour
Instantané]])</f>
        <v>5.9056732740877473</v>
      </c>
      <c r="AD653" s="80">
        <f>Tableau1[[#This Row],[Conso HP + HC / jour_x000D_
Instantané]]*365</f>
        <v>2155.5707450420277</v>
      </c>
      <c r="AE653" s="79">
        <f>Tableau1[[#This Row],[Différence HP
Cumul]]+Tableau1[[#This Row],[Différence HC
Cumul]]</f>
        <v>-292616</v>
      </c>
      <c r="AF653" s="77">
        <f>(Tableau1[[#This Row],[Conso HP + HC
Cumul]]-AE$6)/Tableau1[[#This Row],[Diff jour_x000D_
Cumul
depuis le 24/01]]</f>
        <v>-339.08536857757207</v>
      </c>
      <c r="AG653" s="77">
        <f>(Tableau1[[#This Row],[Conso HP + HC
Cumul]]-AE$59)/Tableau1[[#This Row],[Diff jour_x000D_
Cumul
depuis
précédente facture
16/02/2021]]</f>
        <v>-349.98372023702376</v>
      </c>
      <c r="AH653" s="80">
        <f>Tableau1[[#This Row],[Conso HP + HC
Cumul]]/(Tableau1[[#This Row],[Diff jour_x000D_
Cumul]]*24)</f>
        <v>-13.418484640970481</v>
      </c>
      <c r="AI653" s="80">
        <f>Tableau1[[#This Row],[Conso HP + HC
Cumul]]/Tableau1[[#This Row],[Diff jour_x000D_
Cumul]]</f>
        <v>-322.0436313832916</v>
      </c>
      <c r="AJ653" s="80">
        <f>Tableau1[[#This Row],[Conso HP + HC / jour_x000D_
Cumul]]*365</f>
        <v>-117545.92545490143</v>
      </c>
      <c r="AK653" s="83">
        <f>(Tableau1[[#This Row],[Différence HP
Cumul]]*0.1799)+(Tableau1[[#This Row],[Différence HC
Cumul]]*0.1346)</f>
        <v>-47331.461800000005</v>
      </c>
      <c r="AL653" s="83">
        <f>Tableau1[[#This Row],[Montant
Tarif HP/HC]]/Tableau1[[#This Row],[Diff jour_x000D_
Cumul]]</f>
        <v>-52.091464023674533</v>
      </c>
      <c r="AM653" s="83">
        <f>(Tableau1[[#This Row],[Montant
Tarif HP/HC]]-AK$6)/Tableau1[[#This Row],[Diff jour_x000D_
Cumul
depuis le 24/01]]</f>
        <v>-54.85784496193272</v>
      </c>
      <c r="AN653" s="83">
        <f>(Tableau1[[#This Row],[Montant
Tarif HP/HC]]-AK$59)/Tableau1[[#This Row],[Diff jour_x000D_
Cumul
depuis
précédente facture
16/02/2021]]</f>
        <v>-56.630099126395962</v>
      </c>
      <c r="AO653" s="83">
        <f>Tableau1[[#This Row],[Conso HP + HC
Cumul]]*0.1599</f>
        <v>-46789.2984</v>
      </c>
      <c r="AP653" s="83">
        <f>Tableau1[[#This Row],[Montant
Tarif normal]]/Tableau1[[#This Row],[Diff jour_x000D_
Cumul]]</f>
        <v>-51.494776658188322</v>
      </c>
      <c r="AQ653" s="83">
        <f>(Tableau1[[#This Row],[Conso HP / an
Cumul]]*0.1799)+(Tableau1[[#This Row],[Conso HC / an_x000D_
Cumul]]*0.1346)</f>
        <v>-19013.384368641207</v>
      </c>
      <c r="AR653" s="83">
        <f>Tableau1[[#This Row],[Conso HP + HC / an_x000D_
Cumul]]*0.1599</f>
        <v>-18795.593480238738</v>
      </c>
      <c r="AS653" s="79">
        <f>MONTH(Tableau1[[#This Row],[Date]])</f>
        <v>6</v>
      </c>
      <c r="AT653" s="79">
        <f>YEAR(Tableau1[[#This Row],[Date]])</f>
        <v>2023</v>
      </c>
    </row>
    <row r="654" spans="1:46" x14ac:dyDescent="0.2">
      <c r="A654" s="74">
        <v>45092.324999999997</v>
      </c>
      <c r="B654" s="75"/>
      <c r="C654" s="76">
        <f>IF(ISERROR(Tableau1[[#This Row],[Date]]-A653),"",Tableau1[[#This Row],[Date]]-A653)</f>
        <v>0.99444444444088731</v>
      </c>
      <c r="D654" s="77">
        <f>IF(ISERROR(Tableau1[[#This Row],[Date]]-A653),"",Tableau1[[#This Row],[Date]]-A653)</f>
        <v>0.99444444444088731</v>
      </c>
      <c r="E654" s="76">
        <f>Tableau1[[#This Row],[Date]]-$A$5</f>
        <v>909.61666666666133</v>
      </c>
      <c r="F654" s="77">
        <f>Tableau1[[#This Row],[Date]]-$A$5</f>
        <v>909.61666666666133</v>
      </c>
      <c r="G654" s="77">
        <f>Tableau1[[#This Row],[Diff jour_x000D_
Cumul]]-F$6</f>
        <v>871.53333333333285</v>
      </c>
      <c r="H654" s="77">
        <f>Tableau1[[#This Row],[Diff jour_x000D_
Cumul]]-F$59</f>
        <v>849.01388888888323</v>
      </c>
      <c r="I654" s="78">
        <v>4372</v>
      </c>
      <c r="J654" s="79">
        <f>IF(ISERROR(Tableau1[[#This Row],[Index HP
kWh]]-I653),"",Tableau1[[#This Row],[Index HP
kWh]]-I653)</f>
        <v>7</v>
      </c>
      <c r="K654" s="77">
        <f>IF(ISERROR(Tableau1[[#This Row],[Différence HP
Instantané]]/(Tableau1[[#This Row],[Diff jour
Instantané]]*24)),"",Tableau1[[#This Row],[Différence HP
Instantané]]/(Tableau1[[#This Row],[Diff jour
Instantané]]*24))</f>
        <v>0.29329608938652396</v>
      </c>
      <c r="L654" s="77">
        <f>Tableau1[[#This Row],[Différence HP
Instantané]]/Tableau1[[#This Row],[Diff jour
Instantané]]</f>
        <v>7.039106145276576</v>
      </c>
      <c r="M654" s="77">
        <f>Tableau1[[#This Row],[Conso HP / jour
Instantané]]*365</f>
        <v>2569.2737430259504</v>
      </c>
      <c r="N654" s="79">
        <f>Tableau1[[#This Row],[Index HP
kWh]]-$I$5</f>
        <v>-175387</v>
      </c>
      <c r="O654" s="80">
        <f>Tableau1[[#This Row],[Différence HP
Cumul]]/(Tableau1[[#This Row],[Diff jour_x000D_
Cumul]]*24)</f>
        <v>-8.0339245469703826</v>
      </c>
      <c r="P654" s="80">
        <f>Tableau1[[#This Row],[Différence HP
Cumul]]/Tableau1[[#This Row],[Diff jour_x000D_
Cumul]]</f>
        <v>-192.81418912728918</v>
      </c>
      <c r="Q654" s="80">
        <f>Tableau1[[#This Row],[Conso HP / jour
Cumul]]*365</f>
        <v>-70377.179031460546</v>
      </c>
      <c r="R654" s="78">
        <v>2213</v>
      </c>
      <c r="S654" s="79">
        <f>Tableau1[[#This Row],[Index HC_x000D_
kWh]]-R653</f>
        <v>3</v>
      </c>
      <c r="T654" s="81">
        <f>Tableau1[[#This Row],[Différence_x000D_ HC
Instantané]]/(Tableau1[[#This Row],[Diff jour
Instantané]]*24)</f>
        <v>0.12569832402279599</v>
      </c>
      <c r="U654" s="81">
        <f>Tableau1[[#This Row],[Différence_x000D_ HC
Instantané]]/Tableau1[[#This Row],[Diff jour
Instantané]]</f>
        <v>3.0167597765471039</v>
      </c>
      <c r="V654" s="81">
        <f>Tableau1[[#This Row],[Conso HC / jour_x000D_
Instantané]]*365</f>
        <v>1101.117318439693</v>
      </c>
      <c r="W654" s="79">
        <f>Tableau1[[#This Row],[Index HC_x000D_
kWh]]-$R$5</f>
        <v>-117219</v>
      </c>
      <c r="X654" s="82">
        <f>Tableau1[[#This Row],[Différence HC
Cumul]]/(Tableau1[[#This Row],[Diff jour_x000D_
Cumul]]*24)</f>
        <v>-5.3694321783901957</v>
      </c>
      <c r="Y654" s="82">
        <f>Tableau1[[#This Row],[Différence HC
Cumul]]/Tableau1[[#This Row],[Diff jour_x000D_
Cumul]]</f>
        <v>-128.8663722813647</v>
      </c>
      <c r="Z654" s="82">
        <f>Tableau1[[#This Row],[Conso HC / jour_x000D_
Cumul]]*365</f>
        <v>-47036.22588269812</v>
      </c>
      <c r="AA654" s="79">
        <f>Tableau1[[#This Row],[Différence HP
Instantané]]+Tableau1[[#This Row],[Différence_x000D_ HC
Instantané]]</f>
        <v>10</v>
      </c>
      <c r="AB654" s="80">
        <f>Tableau1[[#This Row],[Conso HP + HC
Instantané]]/(Tableau1[[#This Row],[Diff jour
Instantané]]*24)</f>
        <v>0.41899441340931998</v>
      </c>
      <c r="AC654" s="80">
        <f>IF(ISERROR(Tableau1[[#This Row],[Date]]-A653),"",Tableau1[[#This Row],[Conso HP + HC
Instantané]]/Tableau1[[#This Row],[Diff jour
Instantané]])</f>
        <v>10.055865921823679</v>
      </c>
      <c r="AD654" s="80">
        <f>Tableau1[[#This Row],[Conso HP + HC / jour_x000D_
Instantané]]*365</f>
        <v>3670.3910614656429</v>
      </c>
      <c r="AE654" s="79">
        <f>Tableau1[[#This Row],[Différence HP
Cumul]]+Tableau1[[#This Row],[Différence HC
Cumul]]</f>
        <v>-292606</v>
      </c>
      <c r="AF654" s="77">
        <f>(Tableau1[[#This Row],[Conso HP + HC
Cumul]]-AE$6)/Tableau1[[#This Row],[Diff jour_x000D_
Cumul
depuis le 24/01]]</f>
        <v>-338.68698844947619</v>
      </c>
      <c r="AG654" s="77">
        <f>(Tableau1[[#This Row],[Conso HP + HC
Cumul]]-AE$59)/Tableau1[[#This Row],[Diff jour_x000D_
Cumul
depuis
précédente facture
16/02/2021]]</f>
        <v>-349.56200821214389</v>
      </c>
      <c r="AH654" s="80">
        <f>Tableau1[[#This Row],[Conso HP + HC
Cumul]]/(Tableau1[[#This Row],[Diff jour_x000D_
Cumul]]*24)</f>
        <v>-13.403356725360579</v>
      </c>
      <c r="AI654" s="80">
        <f>Tableau1[[#This Row],[Conso HP + HC
Cumul]]/Tableau1[[#This Row],[Diff jour_x000D_
Cumul]]</f>
        <v>-321.68056140865389</v>
      </c>
      <c r="AJ654" s="80">
        <f>Tableau1[[#This Row],[Conso HP + HC / jour_x000D_
Cumul]]*365</f>
        <v>-117413.40491415867</v>
      </c>
      <c r="AK654" s="83">
        <f>(Tableau1[[#This Row],[Différence HP
Cumul]]*0.1799)+(Tableau1[[#This Row],[Différence HC
Cumul]]*0.1346)</f>
        <v>-47329.798699999999</v>
      </c>
      <c r="AL654" s="83">
        <f>Tableau1[[#This Row],[Montant
Tarif HP/HC]]/Tableau1[[#This Row],[Diff jour_x000D_
Cumul]]</f>
        <v>-52.032686333071013</v>
      </c>
      <c r="AM654" s="83">
        <f>(Tableau1[[#This Row],[Montant
Tarif HP/HC]]-AK$6)/Tableau1[[#This Row],[Diff jour_x000D_
Cumul
depuis le 24/01]]</f>
        <v>-54.793342346821724</v>
      </c>
      <c r="AN654" s="83">
        <f>(Tableau1[[#This Row],[Montant
Tarif HP/HC]]-AK$59)/Tableau1[[#This Row],[Diff jour_x000D_
Cumul
depuis
précédente facture
16/02/2021]]</f>
        <v>-56.561809798950136</v>
      </c>
      <c r="AO654" s="83">
        <f>Tableau1[[#This Row],[Conso HP + HC
Cumul]]*0.1599</f>
        <v>-46787.699399999998</v>
      </c>
      <c r="AP654" s="83">
        <f>Tableau1[[#This Row],[Montant
Tarif normal]]/Tableau1[[#This Row],[Diff jour_x000D_
Cumul]]</f>
        <v>-51.436721769243753</v>
      </c>
      <c r="AQ654" s="83">
        <f>(Tableau1[[#This Row],[Conso HP / an
Cumul]]*0.1799)+(Tableau1[[#This Row],[Conso HC / an_x000D_
Cumul]]*0.1346)</f>
        <v>-18991.930511570918</v>
      </c>
      <c r="AR654" s="83">
        <f>Tableau1[[#This Row],[Conso HP + HC / an_x000D_
Cumul]]*0.1599</f>
        <v>-18774.403445773969</v>
      </c>
      <c r="AS654" s="79">
        <f>MONTH(Tableau1[[#This Row],[Date]])</f>
        <v>6</v>
      </c>
      <c r="AT654" s="79">
        <f>YEAR(Tableau1[[#This Row],[Date]])</f>
        <v>2023</v>
      </c>
    </row>
    <row r="655" spans="1:46" x14ac:dyDescent="0.2">
      <c r="A655" s="74">
        <v>45093.313888888886</v>
      </c>
      <c r="B655" s="75"/>
      <c r="C655" s="76">
        <f>IF(ISERROR(Tableau1[[#This Row],[Date]]-A654),"",Tableau1[[#This Row],[Date]]-A654)</f>
        <v>0.98888888888905058</v>
      </c>
      <c r="D655" s="77">
        <f>IF(ISERROR(Tableau1[[#This Row],[Date]]-A654),"",Tableau1[[#This Row],[Date]]-A654)</f>
        <v>0.98888888888905058</v>
      </c>
      <c r="E655" s="76">
        <f>Tableau1[[#This Row],[Date]]-$A$5</f>
        <v>910.60555555555038</v>
      </c>
      <c r="F655" s="77">
        <f>Tableau1[[#This Row],[Date]]-$A$5</f>
        <v>910.60555555555038</v>
      </c>
      <c r="G655" s="77">
        <f>Tableau1[[#This Row],[Diff jour_x000D_
Cumul]]-F$6</f>
        <v>872.5222222222219</v>
      </c>
      <c r="H655" s="77">
        <f>Tableau1[[#This Row],[Diff jour_x000D_
Cumul]]-F$59</f>
        <v>850.00277777777228</v>
      </c>
      <c r="I655" s="78">
        <v>4377</v>
      </c>
      <c r="J655" s="79">
        <f>IF(ISERROR(Tableau1[[#This Row],[Index HP
kWh]]-I654),"",Tableau1[[#This Row],[Index HP
kWh]]-I654)</f>
        <v>5</v>
      </c>
      <c r="K655" s="77">
        <f>IF(ISERROR(Tableau1[[#This Row],[Différence HP
Instantané]]/(Tableau1[[#This Row],[Diff jour
Instantané]]*24)),"",Tableau1[[#This Row],[Différence HP
Instantané]]/(Tableau1[[#This Row],[Diff jour
Instantané]]*24))</f>
        <v>0.21067415730333633</v>
      </c>
      <c r="L655" s="77">
        <f>Tableau1[[#This Row],[Différence HP
Instantané]]/Tableau1[[#This Row],[Diff jour
Instantané]]</f>
        <v>5.0561797752800723</v>
      </c>
      <c r="M655" s="77">
        <f>Tableau1[[#This Row],[Conso HP / jour
Instantané]]*365</f>
        <v>1845.5056179772264</v>
      </c>
      <c r="N655" s="79">
        <f>Tableau1[[#This Row],[Index HP
kWh]]-$I$5</f>
        <v>-175382</v>
      </c>
      <c r="O655" s="80">
        <f>Tableau1[[#This Row],[Différence HP
Cumul]]/(Tableau1[[#This Row],[Diff jour_x000D_
Cumul]]*24)</f>
        <v>-8.0249711730289821</v>
      </c>
      <c r="P655" s="80">
        <f>Tableau1[[#This Row],[Différence HP
Cumul]]/Tableau1[[#This Row],[Diff jour_x000D_
Cumul]]</f>
        <v>-192.59930815269558</v>
      </c>
      <c r="Q655" s="80">
        <f>Tableau1[[#This Row],[Conso HP / jour
Cumul]]*365</f>
        <v>-70298.747475733893</v>
      </c>
      <c r="R655" s="78">
        <v>2215</v>
      </c>
      <c r="S655" s="79">
        <f>Tableau1[[#This Row],[Index HC_x000D_
kWh]]-R654</f>
        <v>2</v>
      </c>
      <c r="T655" s="81">
        <f>Tableau1[[#This Row],[Différence_x000D_ HC
Instantané]]/(Tableau1[[#This Row],[Diff jour
Instantané]]*24)</f>
        <v>8.4269662921334532E-2</v>
      </c>
      <c r="U655" s="81">
        <f>Tableau1[[#This Row],[Différence_x000D_ HC
Instantané]]/Tableau1[[#This Row],[Diff jour
Instantané]]</f>
        <v>2.0224719101120288</v>
      </c>
      <c r="V655" s="81">
        <f>Tableau1[[#This Row],[Conso HC / jour_x000D_
Instantané]]*365</f>
        <v>738.20224719089049</v>
      </c>
      <c r="W655" s="79">
        <f>Tableau1[[#This Row],[Index HC_x000D_
kWh]]-$R$5</f>
        <v>-117217</v>
      </c>
      <c r="X655" s="82">
        <f>Tableau1[[#This Row],[Différence HC
Cumul]]/(Tableau1[[#This Row],[Diff jour_x000D_
Cumul]]*24)</f>
        <v>-5.3635096303436969</v>
      </c>
      <c r="Y655" s="82">
        <f>Tableau1[[#This Row],[Différence HC
Cumul]]/Tableau1[[#This Row],[Diff jour_x000D_
Cumul]]</f>
        <v>-128.72423112824873</v>
      </c>
      <c r="Z655" s="82">
        <f>Tableau1[[#This Row],[Conso HC / jour_x000D_
Cumul]]*365</f>
        <v>-46984.344361810785</v>
      </c>
      <c r="AA655" s="79">
        <f>Tableau1[[#This Row],[Différence HP
Instantané]]+Tableau1[[#This Row],[Différence_x000D_ HC
Instantané]]</f>
        <v>7</v>
      </c>
      <c r="AB655" s="80">
        <f>Tableau1[[#This Row],[Conso HP + HC
Instantané]]/(Tableau1[[#This Row],[Diff jour
Instantané]]*24)</f>
        <v>0.29494382022467086</v>
      </c>
      <c r="AC655" s="80">
        <f>IF(ISERROR(Tableau1[[#This Row],[Date]]-A654),"",Tableau1[[#This Row],[Conso HP + HC
Instantané]]/Tableau1[[#This Row],[Diff jour
Instantané]])</f>
        <v>7.0786516853921011</v>
      </c>
      <c r="AD655" s="80">
        <f>Tableau1[[#This Row],[Conso HP + HC / jour_x000D_
Instantané]]*365</f>
        <v>2583.7078651681168</v>
      </c>
      <c r="AE655" s="79">
        <f>Tableau1[[#This Row],[Différence HP
Cumul]]+Tableau1[[#This Row],[Différence HC
Cumul]]</f>
        <v>-292599</v>
      </c>
      <c r="AF655" s="77">
        <f>(Tableau1[[#This Row],[Conso HP + HC
Cumul]]-AE$6)/Tableau1[[#This Row],[Diff jour_x000D_
Cumul
depuis le 24/01]]</f>
        <v>-338.29510868873137</v>
      </c>
      <c r="AG655" s="77">
        <f>(Tableau1[[#This Row],[Conso HP + HC
Cumul]]-AE$59)/Tableau1[[#This Row],[Diff jour_x000D_
Cumul
depuis
précédente facture
16/02/2021]]</f>
        <v>-349.14709429054381</v>
      </c>
      <c r="AH655" s="80">
        <f>Tableau1[[#This Row],[Conso HP + HC
Cumul]]/(Tableau1[[#This Row],[Diff jour_x000D_
Cumul]]*24)</f>
        <v>-13.38848080337268</v>
      </c>
      <c r="AI655" s="80">
        <f>Tableau1[[#This Row],[Conso HP + HC
Cumul]]/Tableau1[[#This Row],[Diff jour_x000D_
Cumul]]</f>
        <v>-321.32353928094432</v>
      </c>
      <c r="AJ655" s="80">
        <f>Tableau1[[#This Row],[Conso HP + HC / jour_x000D_
Cumul]]*365</f>
        <v>-117283.09183754468</v>
      </c>
      <c r="AK655" s="83">
        <f>(Tableau1[[#This Row],[Différence HP
Cumul]]*0.1799)+(Tableau1[[#This Row],[Différence HC
Cumul]]*0.1346)</f>
        <v>-47328.63</v>
      </c>
      <c r="AL655" s="83">
        <f>Tableau1[[#This Row],[Montant
Tarif HP/HC]]/Tableau1[[#This Row],[Diff jour_x000D_
Cumul]]</f>
        <v>-51.974897046532206</v>
      </c>
      <c r="AM655" s="83">
        <f>(Tableau1[[#This Row],[Montant
Tarif HP/HC]]-AK$6)/Tableau1[[#This Row],[Diff jour_x000D_
Cumul
depuis le 24/01]]</f>
        <v>-54.72990186814728</v>
      </c>
      <c r="AN655" s="83">
        <f>(Tableau1[[#This Row],[Montant
Tarif HP/HC]]-AK$59)/Tableau1[[#This Row],[Diff jour_x000D_
Cumul
depuis
précédente facture
16/02/2021]]</f>
        <v>-56.494631141728661</v>
      </c>
      <c r="AO655" s="83">
        <f>Tableau1[[#This Row],[Conso HP + HC
Cumul]]*0.1599</f>
        <v>-46786.580099999999</v>
      </c>
      <c r="AP655" s="83">
        <f>Tableau1[[#This Row],[Montant
Tarif normal]]/Tableau1[[#This Row],[Diff jour_x000D_
Cumul]]</f>
        <v>-51.379633931022994</v>
      </c>
      <c r="AQ655" s="83">
        <f>(Tableau1[[#This Row],[Conso HP / an
Cumul]]*0.1799)+(Tableau1[[#This Row],[Conso HC / an_x000D_
Cumul]]*0.1346)</f>
        <v>-18970.837421984259</v>
      </c>
      <c r="AR655" s="83">
        <f>Tableau1[[#This Row],[Conso HP + HC / an_x000D_
Cumul]]*0.1599</f>
        <v>-18753.566384823393</v>
      </c>
      <c r="AS655" s="79">
        <f>MONTH(Tableau1[[#This Row],[Date]])</f>
        <v>6</v>
      </c>
      <c r="AT655" s="79">
        <f>YEAR(Tableau1[[#This Row],[Date]])</f>
        <v>2023</v>
      </c>
    </row>
    <row r="656" spans="1:46" x14ac:dyDescent="0.2">
      <c r="A656" s="74">
        <v>45094.336805555555</v>
      </c>
      <c r="B656" s="75"/>
      <c r="C656" s="76">
        <f>IF(ISERROR(Tableau1[[#This Row],[Date]]-A655),"",Tableau1[[#This Row],[Date]]-A655)</f>
        <v>1.0229166666686069</v>
      </c>
      <c r="D656" s="77">
        <f>IF(ISERROR(Tableau1[[#This Row],[Date]]-A655),"",Tableau1[[#This Row],[Date]]-A655)</f>
        <v>1.0229166666686069</v>
      </c>
      <c r="E656" s="76">
        <f>Tableau1[[#This Row],[Date]]-$A$5</f>
        <v>911.62847222221899</v>
      </c>
      <c r="F656" s="77">
        <f>Tableau1[[#This Row],[Date]]-$A$5</f>
        <v>911.62847222221899</v>
      </c>
      <c r="G656" s="77">
        <f>Tableau1[[#This Row],[Diff jour_x000D_
Cumul]]-F$6</f>
        <v>873.54513888889051</v>
      </c>
      <c r="H656" s="77">
        <f>Tableau1[[#This Row],[Diff jour_x000D_
Cumul]]-F$59</f>
        <v>851.02569444444089</v>
      </c>
      <c r="I656" s="78">
        <v>4382</v>
      </c>
      <c r="J656" s="79">
        <f>IF(ISERROR(Tableau1[[#This Row],[Index HP
kWh]]-I655),"",Tableau1[[#This Row],[Index HP
kWh]]-I655)</f>
        <v>5</v>
      </c>
      <c r="K656" s="77">
        <f>IF(ISERROR(Tableau1[[#This Row],[Différence HP
Instantané]]/(Tableau1[[#This Row],[Diff jour
Instantané]]*24)),"",Tableau1[[#This Row],[Différence HP
Instantané]]/(Tableau1[[#This Row],[Diff jour
Instantané]]*24))</f>
        <v>0.20366598777965442</v>
      </c>
      <c r="L656" s="77">
        <f>Tableau1[[#This Row],[Différence HP
Instantané]]/Tableau1[[#This Row],[Diff jour
Instantané]]</f>
        <v>4.8879837067117062</v>
      </c>
      <c r="M656" s="77">
        <f>Tableau1[[#This Row],[Conso HP / jour
Instantané]]*365</f>
        <v>1784.1140529497727</v>
      </c>
      <c r="N656" s="79">
        <f>Tableau1[[#This Row],[Index HP
kWh]]-$I$5</f>
        <v>-175377</v>
      </c>
      <c r="O656" s="80">
        <f>Tableau1[[#This Row],[Différence HP
Cumul]]/(Tableau1[[#This Row],[Diff jour_x000D_
Cumul]]*24)</f>
        <v>-8.0157380146182522</v>
      </c>
      <c r="P656" s="80">
        <f>Tableau1[[#This Row],[Différence HP
Cumul]]/Tableau1[[#This Row],[Diff jour_x000D_
Cumul]]</f>
        <v>-192.37771235083804</v>
      </c>
      <c r="Q656" s="80">
        <f>Tableau1[[#This Row],[Conso HP / jour
Cumul]]*365</f>
        <v>-70217.865008055887</v>
      </c>
      <c r="R656" s="78">
        <v>2217</v>
      </c>
      <c r="S656" s="79">
        <f>Tableau1[[#This Row],[Index HC_x000D_
kWh]]-R655</f>
        <v>2</v>
      </c>
      <c r="T656" s="81">
        <f>Tableau1[[#This Row],[Différence_x000D_ HC
Instantané]]/(Tableau1[[#This Row],[Diff jour
Instantané]]*24)</f>
        <v>8.1466395111861767E-2</v>
      </c>
      <c r="U656" s="81">
        <f>Tableau1[[#This Row],[Différence_x000D_ HC
Instantané]]/Tableau1[[#This Row],[Diff jour
Instantané]]</f>
        <v>1.9551934826846824</v>
      </c>
      <c r="V656" s="81">
        <f>Tableau1[[#This Row],[Conso HC / jour_x000D_
Instantané]]*365</f>
        <v>713.64562117990909</v>
      </c>
      <c r="W656" s="79">
        <f>Tableau1[[#This Row],[Index HC_x000D_
kWh]]-$R$5</f>
        <v>-117215</v>
      </c>
      <c r="X656" s="82">
        <f>Tableau1[[#This Row],[Différence HC
Cumul]]/(Tableau1[[#This Row],[Diff jour_x000D_
Cumul]]*24)</f>
        <v>-5.3573999520089775</v>
      </c>
      <c r="Y656" s="82">
        <f>Tableau1[[#This Row],[Différence HC
Cumul]]/Tableau1[[#This Row],[Diff jour_x000D_
Cumul]]</f>
        <v>-128.57759884821544</v>
      </c>
      <c r="Z656" s="82">
        <f>Tableau1[[#This Row],[Conso HC / jour_x000D_
Cumul]]*365</f>
        <v>-46930.82357959864</v>
      </c>
      <c r="AA656" s="79">
        <f>Tableau1[[#This Row],[Différence HP
Instantané]]+Tableau1[[#This Row],[Différence_x000D_ HC
Instantané]]</f>
        <v>7</v>
      </c>
      <c r="AB656" s="80">
        <f>Tableau1[[#This Row],[Conso HP + HC
Instantané]]/(Tableau1[[#This Row],[Diff jour
Instantané]]*24)</f>
        <v>0.28513238289151621</v>
      </c>
      <c r="AC656" s="80">
        <f>IF(ISERROR(Tableau1[[#This Row],[Date]]-A655),"",Tableau1[[#This Row],[Conso HP + HC
Instantané]]/Tableau1[[#This Row],[Diff jour
Instantané]])</f>
        <v>6.8431771893963882</v>
      </c>
      <c r="AD656" s="80">
        <f>Tableau1[[#This Row],[Conso HP + HC / jour_x000D_
Instantané]]*365</f>
        <v>2497.7596741296816</v>
      </c>
      <c r="AE656" s="79">
        <f>Tableau1[[#This Row],[Différence HP
Cumul]]+Tableau1[[#This Row],[Différence HC
Cumul]]</f>
        <v>-292592</v>
      </c>
      <c r="AF656" s="77">
        <f>(Tableau1[[#This Row],[Conso HP + HC
Cumul]]-AE$6)/Tableau1[[#This Row],[Diff jour_x000D_
Cumul
depuis le 24/01]]</f>
        <v>-337.8909536093737</v>
      </c>
      <c r="AG656" s="77">
        <f>(Tableau1[[#This Row],[Conso HP + HC
Cumul]]-AE$59)/Tableau1[[#This Row],[Diff jour_x000D_
Cumul
depuis
précédente facture
16/02/2021]]</f>
        <v>-348.71920076835534</v>
      </c>
      <c r="AH656" s="80">
        <f>Tableau1[[#This Row],[Conso HP + HC
Cumul]]/(Tableau1[[#This Row],[Diff jour_x000D_
Cumul]]*24)</f>
        <v>-13.37313796662723</v>
      </c>
      <c r="AI656" s="80">
        <f>Tableau1[[#This Row],[Conso HP + HC
Cumul]]/Tableau1[[#This Row],[Diff jour_x000D_
Cumul]]</f>
        <v>-320.95531119905348</v>
      </c>
      <c r="AJ656" s="80">
        <f>Tableau1[[#This Row],[Conso HP + HC / jour_x000D_
Cumul]]*365</f>
        <v>-117148.68858765453</v>
      </c>
      <c r="AK656" s="83">
        <f>(Tableau1[[#This Row],[Différence HP
Cumul]]*0.1799)+(Tableau1[[#This Row],[Différence HC
Cumul]]*0.1346)</f>
        <v>-47327.461299999995</v>
      </c>
      <c r="AL656" s="83">
        <f>Tableau1[[#This Row],[Montant
Tarif HP/HC]]/Tableau1[[#This Row],[Diff jour_x000D_
Cumul]]</f>
        <v>-51.915295256885564</v>
      </c>
      <c r="AM656" s="83">
        <f>(Tableau1[[#This Row],[Montant
Tarif HP/HC]]-AK$6)/Tableau1[[#This Row],[Diff jour_x000D_
Cumul
depuis le 24/01]]</f>
        <v>-54.664475565324778</v>
      </c>
      <c r="AN656" s="83">
        <f>(Tableau1[[#This Row],[Montant
Tarif HP/HC]]-AK$59)/Tableau1[[#This Row],[Diff jour_x000D_
Cumul
depuis
précédente facture
16/02/2021]]</f>
        <v>-56.425352387682743</v>
      </c>
      <c r="AO656" s="83">
        <f>Tableau1[[#This Row],[Conso HP + HC
Cumul]]*0.1599</f>
        <v>-46785.460799999993</v>
      </c>
      <c r="AP656" s="83">
        <f>Tableau1[[#This Row],[Montant
Tarif normal]]/Tableau1[[#This Row],[Diff jour_x000D_
Cumul]]</f>
        <v>-51.320754260728648</v>
      </c>
      <c r="AQ656" s="83">
        <f>(Tableau1[[#This Row],[Conso HP / an
Cumul]]*0.1799)+(Tableau1[[#This Row],[Conso HC / an_x000D_
Cumul]]*0.1346)</f>
        <v>-18949.08276876323</v>
      </c>
      <c r="AR656" s="83">
        <f>Tableau1[[#This Row],[Conso HP + HC / an_x000D_
Cumul]]*0.1599</f>
        <v>-18732.075305165956</v>
      </c>
      <c r="AS656" s="79">
        <f>MONTH(Tableau1[[#This Row],[Date]])</f>
        <v>6</v>
      </c>
      <c r="AT656" s="79">
        <f>YEAR(Tableau1[[#This Row],[Date]])</f>
        <v>2023</v>
      </c>
    </row>
    <row r="657" spans="1:46" x14ac:dyDescent="0.2">
      <c r="A657" s="74">
        <v>45096.323611111111</v>
      </c>
      <c r="B657" s="75"/>
      <c r="C657" s="76">
        <f>IF(ISERROR(Tableau1[[#This Row],[Date]]-A656),"",Tableau1[[#This Row],[Date]]-A656)</f>
        <v>1.9868055555562023</v>
      </c>
      <c r="D657" s="77">
        <f>IF(ISERROR(Tableau1[[#This Row],[Date]]-A656),"",Tableau1[[#This Row],[Date]]-A656)</f>
        <v>1.9868055555562023</v>
      </c>
      <c r="E657" s="76">
        <f>Tableau1[[#This Row],[Date]]-$A$5</f>
        <v>913.61527777777519</v>
      </c>
      <c r="F657" s="77">
        <f>Tableau1[[#This Row],[Date]]-$A$5</f>
        <v>913.61527777777519</v>
      </c>
      <c r="G657" s="77">
        <f>Tableau1[[#This Row],[Diff jour_x000D_
Cumul]]-F$6</f>
        <v>875.53194444444671</v>
      </c>
      <c r="H657" s="77">
        <f>Tableau1[[#This Row],[Diff jour_x000D_
Cumul]]-F$59</f>
        <v>853.01249999999709</v>
      </c>
      <c r="I657" s="78">
        <v>4391</v>
      </c>
      <c r="J657" s="79">
        <f>IF(ISERROR(Tableau1[[#This Row],[Index HP
kWh]]-I656),"",Tableau1[[#This Row],[Index HP
kWh]]-I656)</f>
        <v>9</v>
      </c>
      <c r="K657" s="77">
        <f>IF(ISERROR(Tableau1[[#This Row],[Différence HP
Instantané]]/(Tableau1[[#This Row],[Diff jour
Instantané]]*24)),"",Tableau1[[#This Row],[Différence HP
Instantané]]/(Tableau1[[#This Row],[Diff jour
Instantané]]*24))</f>
        <v>0.18874519398805462</v>
      </c>
      <c r="L657" s="77">
        <f>Tableau1[[#This Row],[Différence HP
Instantané]]/Tableau1[[#This Row],[Diff jour
Instantané]]</f>
        <v>4.5298846557133103</v>
      </c>
      <c r="M657" s="77">
        <f>Tableau1[[#This Row],[Conso HP / jour
Instantané]]*365</f>
        <v>1653.4078993353583</v>
      </c>
      <c r="N657" s="79">
        <f>Tableau1[[#This Row],[Index HP
kWh]]-$I$5</f>
        <v>-175368</v>
      </c>
      <c r="O657" s="80">
        <f>Tableau1[[#This Row],[Différence HP
Cumul]]/(Tableau1[[#This Row],[Diff jour_x000D_
Cumul]]*24)</f>
        <v>-7.9978960266219747</v>
      </c>
      <c r="P657" s="80">
        <f>Tableau1[[#This Row],[Différence HP
Cumul]]/Tableau1[[#This Row],[Diff jour_x000D_
Cumul]]</f>
        <v>-191.94950463892741</v>
      </c>
      <c r="Q657" s="80">
        <f>Tableau1[[#This Row],[Conso HP / jour
Cumul]]*365</f>
        <v>-70061.569193208503</v>
      </c>
      <c r="R657" s="78">
        <v>2222</v>
      </c>
      <c r="S657" s="79">
        <f>Tableau1[[#This Row],[Index HC_x000D_
kWh]]-R656</f>
        <v>5</v>
      </c>
      <c r="T657" s="81">
        <f>Tableau1[[#This Row],[Différence_x000D_ HC
Instantané]]/(Tableau1[[#This Row],[Diff jour
Instantané]]*24)</f>
        <v>0.10485844110447477</v>
      </c>
      <c r="U657" s="81">
        <f>Tableau1[[#This Row],[Différence_x000D_ HC
Instantané]]/Tableau1[[#This Row],[Diff jour
Instantané]]</f>
        <v>2.5166025865073949</v>
      </c>
      <c r="V657" s="81">
        <f>Tableau1[[#This Row],[Conso HC / jour_x000D_
Instantané]]*365</f>
        <v>918.55994407519916</v>
      </c>
      <c r="W657" s="79">
        <f>Tableau1[[#This Row],[Index HC_x000D_
kWh]]-$R$5</f>
        <v>-117210</v>
      </c>
      <c r="X657" s="82">
        <f>Tableau1[[#This Row],[Différence HC
Cumul]]/(Tableau1[[#This Row],[Diff jour_x000D_
Cumul]]*24)</f>
        <v>-5.3455213795011725</v>
      </c>
      <c r="Y657" s="82">
        <f>Tableau1[[#This Row],[Différence HC
Cumul]]/Tableau1[[#This Row],[Diff jour_x000D_
Cumul]]</f>
        <v>-128.29251310802815</v>
      </c>
      <c r="Z657" s="82">
        <f>Tableau1[[#This Row],[Conso HC / jour_x000D_
Cumul]]*365</f>
        <v>-46826.767284430272</v>
      </c>
      <c r="AA657" s="79">
        <f>Tableau1[[#This Row],[Différence HP
Instantané]]+Tableau1[[#This Row],[Différence_x000D_ HC
Instantané]]</f>
        <v>14</v>
      </c>
      <c r="AB657" s="80">
        <f>Tableau1[[#This Row],[Conso HP + HC
Instantané]]/(Tableau1[[#This Row],[Diff jour
Instantané]]*24)</f>
        <v>0.2936036350925294</v>
      </c>
      <c r="AC657" s="80">
        <f>IF(ISERROR(Tableau1[[#This Row],[Date]]-A656),"",Tableau1[[#This Row],[Conso HP + HC
Instantané]]/Tableau1[[#This Row],[Diff jour
Instantané]])</f>
        <v>7.0464872422207048</v>
      </c>
      <c r="AD657" s="80">
        <f>Tableau1[[#This Row],[Conso HP + HC / jour_x000D_
Instantané]]*365</f>
        <v>2571.9678434105572</v>
      </c>
      <c r="AE657" s="79">
        <f>Tableau1[[#This Row],[Différence HP
Cumul]]+Tableau1[[#This Row],[Différence HC
Cumul]]</f>
        <v>-292578</v>
      </c>
      <c r="AF657" s="77">
        <f>(Tableau1[[#This Row],[Conso HP + HC
Cumul]]-AE$6)/Tableau1[[#This Row],[Diff jour_x000D_
Cumul
depuis le 24/01]]</f>
        <v>-337.10820247373334</v>
      </c>
      <c r="AG657" s="77">
        <f>(Tableau1[[#This Row],[Conso HP + HC
Cumul]]-AE$59)/Tableau1[[#This Row],[Diff jour_x000D_
Cumul
depuis
précédente facture
16/02/2021]]</f>
        <v>-347.89056432350174</v>
      </c>
      <c r="AH657" s="80">
        <f>Tableau1[[#This Row],[Conso HP + HC
Cumul]]/(Tableau1[[#This Row],[Diff jour_x000D_
Cumul]]*24)</f>
        <v>-13.343417406123148</v>
      </c>
      <c r="AI657" s="80">
        <f>Tableau1[[#This Row],[Conso HP + HC
Cumul]]/Tableau1[[#This Row],[Diff jour_x000D_
Cumul]]</f>
        <v>-320.24201774695553</v>
      </c>
      <c r="AJ657" s="80">
        <f>Tableau1[[#This Row],[Conso HP + HC / jour_x000D_
Cumul]]*365</f>
        <v>-116888.33647763876</v>
      </c>
      <c r="AK657" s="83">
        <f>(Tableau1[[#This Row],[Différence HP
Cumul]]*0.1799)+(Tableau1[[#This Row],[Différence HC
Cumul]]*0.1346)</f>
        <v>-47325.169200000004</v>
      </c>
      <c r="AL657" s="83">
        <f>Tableau1[[#This Row],[Montant
Tarif HP/HC]]/Tableau1[[#This Row],[Diff jour_x000D_
Cumul]]</f>
        <v>-51.799888148883632</v>
      </c>
      <c r="AM657" s="83">
        <f>(Tableau1[[#This Row],[Montant
Tarif HP/HC]]-AK$6)/Tableau1[[#This Row],[Diff jour_x000D_
Cumul
depuis le 24/01]]</f>
        <v>-54.537809959976578</v>
      </c>
      <c r="AN657" s="83">
        <f>(Tableau1[[#This Row],[Montant
Tarif HP/HC]]-AK$59)/Tableau1[[#This Row],[Diff jour_x000D_
Cumul
depuis
précédente facture
16/02/2021]]</f>
        <v>-56.291241453085583</v>
      </c>
      <c r="AO657" s="83">
        <f>Tableau1[[#This Row],[Conso HP + HC
Cumul]]*0.1599</f>
        <v>-46783.222199999997</v>
      </c>
      <c r="AP657" s="83">
        <f>Tableau1[[#This Row],[Montant
Tarif normal]]/Tableau1[[#This Row],[Diff jour_x000D_
Cumul]]</f>
        <v>-51.206698637738185</v>
      </c>
      <c r="AQ657" s="83">
        <f>(Tableau1[[#This Row],[Conso HP / an
Cumul]]*0.1799)+(Tableau1[[#This Row],[Conso HC / an_x000D_
Cumul]]*0.1346)</f>
        <v>-18906.959174342526</v>
      </c>
      <c r="AR657" s="83">
        <f>Tableau1[[#This Row],[Conso HP + HC / an_x000D_
Cumul]]*0.1599</f>
        <v>-18690.445002774435</v>
      </c>
      <c r="AS657" s="79">
        <f>MONTH(Tableau1[[#This Row],[Date]])</f>
        <v>6</v>
      </c>
      <c r="AT657" s="79">
        <f>YEAR(Tableau1[[#This Row],[Date]])</f>
        <v>2023</v>
      </c>
    </row>
    <row r="658" spans="1:46" x14ac:dyDescent="0.2">
      <c r="A658" s="74">
        <v>45097.320833333331</v>
      </c>
      <c r="B658" s="75"/>
      <c r="C658" s="76">
        <f>IF(ISERROR(Tableau1[[#This Row],[Date]]-A657),"",Tableau1[[#This Row],[Date]]-A657)</f>
        <v>0.99722222222044365</v>
      </c>
      <c r="D658" s="77">
        <f>IF(ISERROR(Tableau1[[#This Row],[Date]]-A657),"",Tableau1[[#This Row],[Date]]-A657)</f>
        <v>0.99722222222044365</v>
      </c>
      <c r="E658" s="76">
        <f>Tableau1[[#This Row],[Date]]-$A$5</f>
        <v>914.61249999999563</v>
      </c>
      <c r="F658" s="77">
        <f>Tableau1[[#This Row],[Date]]-$A$5</f>
        <v>914.61249999999563</v>
      </c>
      <c r="G658" s="77">
        <f>Tableau1[[#This Row],[Diff jour_x000D_
Cumul]]-F$6</f>
        <v>876.52916666666715</v>
      </c>
      <c r="H658" s="77">
        <f>Tableau1[[#This Row],[Diff jour_x000D_
Cumul]]-F$59</f>
        <v>854.00972222221753</v>
      </c>
      <c r="I658" s="78">
        <v>4394</v>
      </c>
      <c r="J658" s="79">
        <f>IF(ISERROR(Tableau1[[#This Row],[Index HP
kWh]]-I657),"",Tableau1[[#This Row],[Index HP
kWh]]-I657)</f>
        <v>3</v>
      </c>
      <c r="K658" s="77">
        <f>IF(ISERROR(Tableau1[[#This Row],[Différence HP
Instantané]]/(Tableau1[[#This Row],[Diff jour
Instantané]]*24)),"",Tableau1[[#This Row],[Différence HP
Instantané]]/(Tableau1[[#This Row],[Diff jour
Instantané]]*24))</f>
        <v>0.12534818941526535</v>
      </c>
      <c r="L658" s="77">
        <f>Tableau1[[#This Row],[Différence HP
Instantané]]/Tableau1[[#This Row],[Diff jour
Instantané]]</f>
        <v>3.0083565459663681</v>
      </c>
      <c r="M658" s="77">
        <f>Tableau1[[#This Row],[Conso HP / jour
Instantané]]*365</f>
        <v>1098.0501392777244</v>
      </c>
      <c r="N658" s="79">
        <f>Tableau1[[#This Row],[Index HP
kWh]]-$I$5</f>
        <v>-175365</v>
      </c>
      <c r="O658" s="80">
        <f>Tableau1[[#This Row],[Différence HP
Cumul]]/(Tableau1[[#This Row],[Diff jour_x000D_
Cumul]]*24)</f>
        <v>-7.9890390739247881</v>
      </c>
      <c r="P658" s="80">
        <f>Tableau1[[#This Row],[Différence HP
Cumul]]/Tableau1[[#This Row],[Diff jour_x000D_
Cumul]]</f>
        <v>-191.7369377741949</v>
      </c>
      <c r="Q658" s="80">
        <f>Tableau1[[#This Row],[Conso HP / jour
Cumul]]*365</f>
        <v>-69983.982287581137</v>
      </c>
      <c r="R658" s="78">
        <v>2224</v>
      </c>
      <c r="S658" s="79">
        <f>Tableau1[[#This Row],[Index HC_x000D_
kWh]]-R657</f>
        <v>2</v>
      </c>
      <c r="T658" s="81">
        <f>Tableau1[[#This Row],[Différence_x000D_ HC
Instantané]]/(Tableau1[[#This Row],[Diff jour
Instantané]]*24)</f>
        <v>8.356545961017689E-2</v>
      </c>
      <c r="U658" s="81">
        <f>Tableau1[[#This Row],[Différence_x000D_ HC
Instantané]]/Tableau1[[#This Row],[Diff jour
Instantané]]</f>
        <v>2.0055710306442456</v>
      </c>
      <c r="V658" s="81">
        <f>Tableau1[[#This Row],[Conso HC / jour_x000D_
Instantané]]*365</f>
        <v>732.03342618514966</v>
      </c>
      <c r="W658" s="79">
        <f>Tableau1[[#This Row],[Index HC_x000D_
kWh]]-$R$5</f>
        <v>-117208</v>
      </c>
      <c r="X658" s="82">
        <f>Tableau1[[#This Row],[Différence HC
Cumul]]/(Tableau1[[#This Row],[Diff jour_x000D_
Cumul]]*24)</f>
        <v>-5.3396019261344998</v>
      </c>
      <c r="Y658" s="82">
        <f>Tableau1[[#This Row],[Différence HC
Cumul]]/Tableau1[[#This Row],[Diff jour_x000D_
Cumul]]</f>
        <v>-128.150446227228</v>
      </c>
      <c r="Z658" s="82">
        <f>Tableau1[[#This Row],[Conso HC / jour_x000D_
Cumul]]*365</f>
        <v>-46774.912872938221</v>
      </c>
      <c r="AA658" s="79">
        <f>Tableau1[[#This Row],[Différence HP
Instantané]]+Tableau1[[#This Row],[Différence_x000D_ HC
Instantané]]</f>
        <v>5</v>
      </c>
      <c r="AB658" s="80">
        <f>Tableau1[[#This Row],[Conso HP + HC
Instantané]]/(Tableau1[[#This Row],[Diff jour
Instantané]]*24)</f>
        <v>0.20891364902544224</v>
      </c>
      <c r="AC658" s="80">
        <f>IF(ISERROR(Tableau1[[#This Row],[Date]]-A657),"",Tableau1[[#This Row],[Conso HP + HC
Instantané]]/Tableau1[[#This Row],[Diff jour
Instantané]])</f>
        <v>5.0139275766106142</v>
      </c>
      <c r="AD658" s="80">
        <f>Tableau1[[#This Row],[Conso HP + HC / jour_x000D_
Instantané]]*365</f>
        <v>1830.0835654628743</v>
      </c>
      <c r="AE658" s="79">
        <f>Tableau1[[#This Row],[Différence HP
Cumul]]+Tableau1[[#This Row],[Différence HC
Cumul]]</f>
        <v>-292573</v>
      </c>
      <c r="AF658" s="77">
        <f>(Tableau1[[#This Row],[Conso HP + HC
Cumul]]-AE$6)/Tableau1[[#This Row],[Diff jour_x000D_
Cumul
depuis le 24/01]]</f>
        <v>-336.71897208212295</v>
      </c>
      <c r="AG658" s="77">
        <f>(Tableau1[[#This Row],[Conso HP + HC
Cumul]]-AE$59)/Tableau1[[#This Row],[Diff jour_x000D_
Cumul
depuis
précédente facture
16/02/2021]]</f>
        <v>-347.4784797857186</v>
      </c>
      <c r="AH658" s="80">
        <f>Tableau1[[#This Row],[Conso HP + HC
Cumul]]/(Tableau1[[#This Row],[Diff jour_x000D_
Cumul]]*24)</f>
        <v>-13.328641000059287</v>
      </c>
      <c r="AI658" s="80">
        <f>Tableau1[[#This Row],[Conso HP + HC
Cumul]]/Tableau1[[#This Row],[Diff jour_x000D_
Cumul]]</f>
        <v>-319.8873840014229</v>
      </c>
      <c r="AJ658" s="80">
        <f>Tableau1[[#This Row],[Conso HP + HC / jour_x000D_
Cumul]]*365</f>
        <v>-116758.89516051936</v>
      </c>
      <c r="AK658" s="83">
        <f>(Tableau1[[#This Row],[Différence HP
Cumul]]*0.1799)+(Tableau1[[#This Row],[Différence HC
Cumul]]*0.1346)</f>
        <v>-47324.3603</v>
      </c>
      <c r="AL658" s="83">
        <f>Tableau1[[#This Row],[Montant
Tarif HP/HC]]/Tableau1[[#This Row],[Diff jour_x000D_
Cumul]]</f>
        <v>-51.742525167762551</v>
      </c>
      <c r="AM658" s="83">
        <f>(Tableau1[[#This Row],[Montant
Tarif HP/HC]]-AK$6)/Tableau1[[#This Row],[Diff jour_x000D_
Cumul
depuis le 24/01]]</f>
        <v>-54.474839760989099</v>
      </c>
      <c r="AN658" s="83">
        <f>(Tableau1[[#This Row],[Montant
Tarif HP/HC]]-AK$59)/Tableau1[[#This Row],[Diff jour_x000D_
Cumul
depuis
précédente facture
16/02/2021]]</f>
        <v>-56.224563316512125</v>
      </c>
      <c r="AO658" s="83">
        <f>Tableau1[[#This Row],[Conso HP + HC
Cumul]]*0.1599</f>
        <v>-46782.422699999996</v>
      </c>
      <c r="AP658" s="83">
        <f>Tableau1[[#This Row],[Montant
Tarif normal]]/Tableau1[[#This Row],[Diff jour_x000D_
Cumul]]</f>
        <v>-51.149992701827514</v>
      </c>
      <c r="AQ658" s="83">
        <f>(Tableau1[[#This Row],[Conso HP / an
Cumul]]*0.1799)+(Tableau1[[#This Row],[Conso HC / an_x000D_
Cumul]]*0.1346)</f>
        <v>-18886.021686233333</v>
      </c>
      <c r="AR658" s="83">
        <f>Tableau1[[#This Row],[Conso HP + HC / an_x000D_
Cumul]]*0.1599</f>
        <v>-18669.747336167045</v>
      </c>
      <c r="AS658" s="79">
        <f>MONTH(Tableau1[[#This Row],[Date]])</f>
        <v>6</v>
      </c>
      <c r="AT658" s="79">
        <f>YEAR(Tableau1[[#This Row],[Date]])</f>
        <v>2023</v>
      </c>
    </row>
    <row r="659" spans="1:46" x14ac:dyDescent="0.2">
      <c r="A659" s="74">
        <v>45098.526388888888</v>
      </c>
      <c r="B659" s="75"/>
      <c r="C659" s="76">
        <f>IF(ISERROR(Tableau1[[#This Row],[Date]]-A658),"",Tableau1[[#This Row],[Date]]-A658)</f>
        <v>1.2055555555562023</v>
      </c>
      <c r="D659" s="77">
        <f>IF(ISERROR(Tableau1[[#This Row],[Date]]-A658),"",Tableau1[[#This Row],[Date]]-A658)</f>
        <v>1.2055555555562023</v>
      </c>
      <c r="E659" s="76">
        <f>Tableau1[[#This Row],[Date]]-$A$5</f>
        <v>915.81805555555184</v>
      </c>
      <c r="F659" s="77">
        <f>Tableau1[[#This Row],[Date]]-$A$5</f>
        <v>915.81805555555184</v>
      </c>
      <c r="G659" s="77">
        <f>Tableau1[[#This Row],[Diff jour_x000D_
Cumul]]-F$6</f>
        <v>877.73472222222335</v>
      </c>
      <c r="H659" s="77">
        <f>Tableau1[[#This Row],[Diff jour_x000D_
Cumul]]-F$59</f>
        <v>855.21527777777374</v>
      </c>
      <c r="I659" s="78">
        <v>4401</v>
      </c>
      <c r="J659" s="79">
        <f>IF(ISERROR(Tableau1[[#This Row],[Index HP
kWh]]-I658),"",Tableau1[[#This Row],[Index HP
kWh]]-I658)</f>
        <v>7</v>
      </c>
      <c r="K659" s="77">
        <f>IF(ISERROR(Tableau1[[#This Row],[Différence HP
Instantané]]/(Tableau1[[#This Row],[Diff jour
Instantané]]*24)),"",Tableau1[[#This Row],[Différence HP
Instantané]]/(Tableau1[[#This Row],[Diff jour
Instantané]]*24))</f>
        <v>0.24193548387083794</v>
      </c>
      <c r="L659" s="77">
        <f>Tableau1[[#This Row],[Différence HP
Instantané]]/Tableau1[[#This Row],[Diff jour
Instantané]]</f>
        <v>5.8064516129001111</v>
      </c>
      <c r="M659" s="77">
        <f>Tableau1[[#This Row],[Conso HP / jour
Instantané]]*365</f>
        <v>2119.3548387085407</v>
      </c>
      <c r="N659" s="79">
        <f>Tableau1[[#This Row],[Index HP
kWh]]-$I$5</f>
        <v>-175358</v>
      </c>
      <c r="O659" s="80">
        <f>Tableau1[[#This Row],[Différence HP
Cumul]]/(Tableau1[[#This Row],[Diff jour_x000D_
Cumul]]*24)</f>
        <v>-7.978204064672024</v>
      </c>
      <c r="P659" s="80">
        <f>Tableau1[[#This Row],[Différence HP
Cumul]]/Tableau1[[#This Row],[Diff jour_x000D_
Cumul]]</f>
        <v>-191.47689755212858</v>
      </c>
      <c r="Q659" s="80">
        <f>Tableau1[[#This Row],[Conso HP / jour
Cumul]]*365</f>
        <v>-69889.067606526936</v>
      </c>
      <c r="R659" s="78">
        <v>2226</v>
      </c>
      <c r="S659" s="79">
        <f>Tableau1[[#This Row],[Index HC_x000D_
kWh]]-R658</f>
        <v>2</v>
      </c>
      <c r="T659" s="81">
        <f>Tableau1[[#This Row],[Différence_x000D_ HC
Instantané]]/(Tableau1[[#This Row],[Diff jour
Instantané]]*24)</f>
        <v>6.9124423963096551E-2</v>
      </c>
      <c r="U659" s="81">
        <f>Tableau1[[#This Row],[Différence_x000D_ HC
Instantané]]/Tableau1[[#This Row],[Diff jour
Instantané]]</f>
        <v>1.6589861751143173</v>
      </c>
      <c r="V659" s="81">
        <f>Tableau1[[#This Row],[Conso HC / jour_x000D_
Instantané]]*365</f>
        <v>605.52995391672584</v>
      </c>
      <c r="W659" s="79">
        <f>Tableau1[[#This Row],[Index HC_x000D_
kWh]]-$R$5</f>
        <v>-117206</v>
      </c>
      <c r="X659" s="82">
        <f>Tableau1[[#This Row],[Différence HC
Cumul]]/(Tableau1[[#This Row],[Diff jour_x000D_
Cumul]]*24)</f>
        <v>-5.332482040191775</v>
      </c>
      <c r="Y659" s="82">
        <f>Tableau1[[#This Row],[Différence HC
Cumul]]/Tableau1[[#This Row],[Diff jour_x000D_
Cumul]]</f>
        <v>-127.97956896460259</v>
      </c>
      <c r="Z659" s="82">
        <f>Tableau1[[#This Row],[Conso HC / jour_x000D_
Cumul]]*365</f>
        <v>-46712.542672079944</v>
      </c>
      <c r="AA659" s="79">
        <f>Tableau1[[#This Row],[Différence HP
Instantané]]+Tableau1[[#This Row],[Différence_x000D_ HC
Instantané]]</f>
        <v>9</v>
      </c>
      <c r="AB659" s="80">
        <f>Tableau1[[#This Row],[Conso HP + HC
Instantané]]/(Tableau1[[#This Row],[Diff jour
Instantané]]*24)</f>
        <v>0.3110599078339345</v>
      </c>
      <c r="AC659" s="80">
        <f>IF(ISERROR(Tableau1[[#This Row],[Date]]-A658),"",Tableau1[[#This Row],[Conso HP + HC
Instantané]]/Tableau1[[#This Row],[Diff jour
Instantané]])</f>
        <v>7.4654377880144285</v>
      </c>
      <c r="AD659" s="80">
        <f>Tableau1[[#This Row],[Conso HP + HC / jour_x000D_
Instantané]]*365</f>
        <v>2724.8847926252665</v>
      </c>
      <c r="AE659" s="79">
        <f>Tableau1[[#This Row],[Différence HP
Cumul]]+Tableau1[[#This Row],[Différence HC
Cumul]]</f>
        <v>-292564</v>
      </c>
      <c r="AF659" s="77">
        <f>(Tableau1[[#This Row],[Conso HP + HC
Cumul]]-AE$6)/Tableau1[[#This Row],[Diff jour_x000D_
Cumul
depuis le 24/01]]</f>
        <v>-336.24623992632507</v>
      </c>
      <c r="AG659" s="77">
        <f>(Tableau1[[#This Row],[Conso HP + HC
Cumul]]-AE$59)/Tableau1[[#This Row],[Diff jour_x000D_
Cumul
depuis
précédente facture
16/02/2021]]</f>
        <v>-346.97813253648127</v>
      </c>
      <c r="AH659" s="80">
        <f>Tableau1[[#This Row],[Conso HP + HC
Cumul]]/(Tableau1[[#This Row],[Diff jour_x000D_
Cumul]]*24)</f>
        <v>-13.3106861048638</v>
      </c>
      <c r="AI659" s="80">
        <f>Tableau1[[#This Row],[Conso HP + HC
Cumul]]/Tableau1[[#This Row],[Diff jour_x000D_
Cumul]]</f>
        <v>-319.45646651673115</v>
      </c>
      <c r="AJ659" s="80">
        <f>Tableau1[[#This Row],[Conso HP + HC / jour_x000D_
Cumul]]*365</f>
        <v>-116601.61027860687</v>
      </c>
      <c r="AK659" s="83">
        <f>(Tableau1[[#This Row],[Différence HP
Cumul]]*0.1799)+(Tableau1[[#This Row],[Différence HC
Cumul]]*0.1346)</f>
        <v>-47322.8318</v>
      </c>
      <c r="AL659" s="83">
        <f>Tableau1[[#This Row],[Montant
Tarif HP/HC]]/Tableau1[[#This Row],[Diff jour_x000D_
Cumul]]</f>
        <v>-51.672743852263444</v>
      </c>
      <c r="AM659" s="83">
        <f>(Tableau1[[#This Row],[Montant
Tarif HP/HC]]-AK$6)/Tableau1[[#This Row],[Diff jour_x000D_
Cumul
depuis le 24/01]]</f>
        <v>-54.398277966165992</v>
      </c>
      <c r="AN659" s="83">
        <f>(Tableau1[[#This Row],[Montant
Tarif HP/HC]]-AK$59)/Tableau1[[#This Row],[Diff jour_x000D_
Cumul
depuis
précédente facture
16/02/2021]]</f>
        <v>-56.143519003500032</v>
      </c>
      <c r="AO659" s="83">
        <f>Tableau1[[#This Row],[Conso HP + HC
Cumul]]*0.1599</f>
        <v>-46780.9836</v>
      </c>
      <c r="AP659" s="83">
        <f>Tableau1[[#This Row],[Montant
Tarif normal]]/Tableau1[[#This Row],[Diff jour_x000D_
Cumul]]</f>
        <v>-51.081088996025315</v>
      </c>
      <c r="AQ659" s="83">
        <f>(Tableau1[[#This Row],[Conso HP / an
Cumul]]*0.1799)+(Tableau1[[#This Row],[Conso HC / an_x000D_
Cumul]]*0.1346)</f>
        <v>-18860.551506076157</v>
      </c>
      <c r="AR659" s="83">
        <f>Tableau1[[#This Row],[Conso HP + HC / an_x000D_
Cumul]]*0.1599</f>
        <v>-18644.597483549238</v>
      </c>
      <c r="AS659" s="79">
        <f>MONTH(Tableau1[[#This Row],[Date]])</f>
        <v>6</v>
      </c>
      <c r="AT659" s="79">
        <f>YEAR(Tableau1[[#This Row],[Date]])</f>
        <v>2023</v>
      </c>
    </row>
    <row r="660" spans="1:46" x14ac:dyDescent="0.2">
      <c r="A660" s="74">
        <v>45099.324305555558</v>
      </c>
      <c r="B660" s="75"/>
      <c r="C660" s="76">
        <f>IF(ISERROR(Tableau1[[#This Row],[Date]]-A659),"",Tableau1[[#This Row],[Date]]-A659)</f>
        <v>0.79791666667006211</v>
      </c>
      <c r="D660" s="77">
        <f>IF(ISERROR(Tableau1[[#This Row],[Date]]-A659),"",Tableau1[[#This Row],[Date]]-A659)</f>
        <v>0.79791666667006211</v>
      </c>
      <c r="E660" s="76">
        <f>Tableau1[[#This Row],[Date]]-$A$5</f>
        <v>916.6159722222219</v>
      </c>
      <c r="F660" s="77">
        <f>Tableau1[[#This Row],[Date]]-$A$5</f>
        <v>916.6159722222219</v>
      </c>
      <c r="G660" s="77">
        <f>Tableau1[[#This Row],[Diff jour_x000D_
Cumul]]-F$6</f>
        <v>878.53263888889342</v>
      </c>
      <c r="H660" s="77">
        <f>Tableau1[[#This Row],[Diff jour_x000D_
Cumul]]-F$59</f>
        <v>856.0131944444438</v>
      </c>
      <c r="I660" s="78">
        <v>4405</v>
      </c>
      <c r="J660" s="79">
        <f>IF(ISERROR(Tableau1[[#This Row],[Index HP
kWh]]-I659),"",Tableau1[[#This Row],[Index HP
kWh]]-I659)</f>
        <v>4</v>
      </c>
      <c r="K660" s="77">
        <f>IF(ISERROR(Tableau1[[#This Row],[Différence HP
Instantané]]/(Tableau1[[#This Row],[Diff jour
Instantané]]*24)),"",Tableau1[[#This Row],[Différence HP
Instantané]]/(Tableau1[[#This Row],[Diff jour
Instantané]]*24))</f>
        <v>0.20887728459441141</v>
      </c>
      <c r="L660" s="77">
        <f>Tableau1[[#This Row],[Différence HP
Instantané]]/Tableau1[[#This Row],[Diff jour
Instantané]]</f>
        <v>5.0130548302658742</v>
      </c>
      <c r="M660" s="77">
        <f>Tableau1[[#This Row],[Conso HP / jour
Instantané]]*365</f>
        <v>1829.765013047044</v>
      </c>
      <c r="N660" s="79">
        <f>Tableau1[[#This Row],[Index HP
kWh]]-$I$5</f>
        <v>-175354</v>
      </c>
      <c r="O660" s="80">
        <f>Tableau1[[#This Row],[Différence HP
Cumul]]/(Tableau1[[#This Row],[Diff jour_x000D_
Cumul]]*24)</f>
        <v>-7.9710771883596623</v>
      </c>
      <c r="P660" s="80">
        <f>Tableau1[[#This Row],[Différence HP
Cumul]]/Tableau1[[#This Row],[Diff jour_x000D_
Cumul]]</f>
        <v>-191.3058525206319</v>
      </c>
      <c r="Q660" s="80">
        <f>Tableau1[[#This Row],[Conso HP / jour
Cumul]]*365</f>
        <v>-69826.636170030644</v>
      </c>
      <c r="R660" s="78">
        <v>2228</v>
      </c>
      <c r="S660" s="79">
        <f>Tableau1[[#This Row],[Index HC_x000D_
kWh]]-R659</f>
        <v>2</v>
      </c>
      <c r="T660" s="81">
        <f>Tableau1[[#This Row],[Différence_x000D_ HC
Instantané]]/(Tableau1[[#This Row],[Diff jour
Instantané]]*24)</f>
        <v>0.1044386422972057</v>
      </c>
      <c r="U660" s="81">
        <f>Tableau1[[#This Row],[Différence_x000D_ HC
Instantané]]/Tableau1[[#This Row],[Diff jour
Instantané]]</f>
        <v>2.5065274151329371</v>
      </c>
      <c r="V660" s="81">
        <f>Tableau1[[#This Row],[Conso HC / jour_x000D_
Instantané]]*365</f>
        <v>914.88250652352201</v>
      </c>
      <c r="W660" s="79">
        <f>Tableau1[[#This Row],[Index HC_x000D_
kWh]]-$R$5</f>
        <v>-117204</v>
      </c>
      <c r="X660" s="82">
        <f>Tableau1[[#This Row],[Différence HC
Cumul]]/(Tableau1[[#This Row],[Diff jour_x000D_
Cumul]]*24)</f>
        <v>-5.3277491861292345</v>
      </c>
      <c r="Y660" s="82">
        <f>Tableau1[[#This Row],[Différence HC
Cumul]]/Tableau1[[#This Row],[Diff jour_x000D_
Cumul]]</f>
        <v>-127.86598046710164</v>
      </c>
      <c r="Z660" s="82">
        <f>Tableau1[[#This Row],[Conso HC / jour_x000D_
Cumul]]*365</f>
        <v>-46671.0828704921</v>
      </c>
      <c r="AA660" s="79">
        <f>Tableau1[[#This Row],[Différence HP
Instantané]]+Tableau1[[#This Row],[Différence_x000D_ HC
Instantané]]</f>
        <v>6</v>
      </c>
      <c r="AB660" s="80">
        <f>Tableau1[[#This Row],[Conso HP + HC
Instantané]]/(Tableau1[[#This Row],[Diff jour
Instantané]]*24)</f>
        <v>0.31331592689161714</v>
      </c>
      <c r="AC660" s="80">
        <f>IF(ISERROR(Tableau1[[#This Row],[Date]]-A659),"",Tableau1[[#This Row],[Conso HP + HC
Instantané]]/Tableau1[[#This Row],[Diff jour
Instantané]])</f>
        <v>7.5195822453988104</v>
      </c>
      <c r="AD660" s="80">
        <f>Tableau1[[#This Row],[Conso HP + HC / jour_x000D_
Instantané]]*365</f>
        <v>2744.6475195705657</v>
      </c>
      <c r="AE660" s="79">
        <f>Tableau1[[#This Row],[Différence HP
Cumul]]+Tableau1[[#This Row],[Différence HC
Cumul]]</f>
        <v>-292558</v>
      </c>
      <c r="AF660" s="77">
        <f>(Tableau1[[#This Row],[Conso HP + HC
Cumul]]-AE$6)/Tableau1[[#This Row],[Diff jour_x000D_
Cumul
depuis le 24/01]]</f>
        <v>-335.93401876708703</v>
      </c>
      <c r="AG660" s="77">
        <f>(Tableau1[[#This Row],[Conso HP + HC
Cumul]]-AE$59)/Tableau1[[#This Row],[Diff jour_x000D_
Cumul
depuis
précédente facture
16/02/2021]]</f>
        <v>-346.64769413114277</v>
      </c>
      <c r="AH660" s="80">
        <f>Tableau1[[#This Row],[Conso HP + HC
Cumul]]/(Tableau1[[#This Row],[Diff jour_x000D_
Cumul]]*24)</f>
        <v>-13.298826374488897</v>
      </c>
      <c r="AI660" s="80">
        <f>Tableau1[[#This Row],[Conso HP + HC
Cumul]]/Tableau1[[#This Row],[Diff jour_x000D_
Cumul]]</f>
        <v>-319.17183298773352</v>
      </c>
      <c r="AJ660" s="80">
        <f>Tableau1[[#This Row],[Conso HP + HC / jour_x000D_
Cumul]]*365</f>
        <v>-116497.71904052273</v>
      </c>
      <c r="AK660" s="83">
        <f>(Tableau1[[#This Row],[Différence HP
Cumul]]*0.1799)+(Tableau1[[#This Row],[Différence HC
Cumul]]*0.1346)</f>
        <v>-47321.843000000001</v>
      </c>
      <c r="AL660" s="83">
        <f>Tableau1[[#This Row],[Montant
Tarif HP/HC]]/Tableau1[[#This Row],[Diff jour_x000D_
Cumul]]</f>
        <v>-51.626683839333559</v>
      </c>
      <c r="AM660" s="83">
        <f>(Tableau1[[#This Row],[Montant
Tarif HP/HC]]-AK$6)/Tableau1[[#This Row],[Diff jour_x000D_
Cumul
depuis le 24/01]]</f>
        <v>-54.347745873603671</v>
      </c>
      <c r="AN660" s="83">
        <f>(Tableau1[[#This Row],[Montant
Tarif HP/HC]]-AK$59)/Tableau1[[#This Row],[Diff jour_x000D_
Cumul
depuis
précédente facture
16/02/2021]]</f>
        <v>-56.090030751408179</v>
      </c>
      <c r="AO660" s="83">
        <f>Tableau1[[#This Row],[Conso HP + HC
Cumul]]*0.1599</f>
        <v>-46780.024199999993</v>
      </c>
      <c r="AP660" s="83">
        <f>Tableau1[[#This Row],[Montant
Tarif normal]]/Tableau1[[#This Row],[Diff jour_x000D_
Cumul]]</f>
        <v>-51.03557609473858</v>
      </c>
      <c r="AQ660" s="83">
        <f>(Tableau1[[#This Row],[Conso HP / an
Cumul]]*0.1799)+(Tableau1[[#This Row],[Conso HC / an_x000D_
Cumul]]*0.1346)</f>
        <v>-18843.739601356749</v>
      </c>
      <c r="AR660" s="83">
        <f>Tableau1[[#This Row],[Conso HP + HC / an_x000D_
Cumul]]*0.1599</f>
        <v>-18627.985274579583</v>
      </c>
      <c r="AS660" s="79">
        <f>MONTH(Tableau1[[#This Row],[Date]])</f>
        <v>6</v>
      </c>
      <c r="AT660" s="79">
        <f>YEAR(Tableau1[[#This Row],[Date]])</f>
        <v>2023</v>
      </c>
    </row>
    <row r="661" spans="1:46" x14ac:dyDescent="0.2">
      <c r="A661" s="74">
        <v>45100.335416666669</v>
      </c>
      <c r="B661" s="75"/>
      <c r="C661" s="76">
        <f>IF(ISERROR(Tableau1[[#This Row],[Date]]-A660),"",Tableau1[[#This Row],[Date]]-A660)</f>
        <v>1.0111111111109494</v>
      </c>
      <c r="D661" s="77">
        <f>IF(ISERROR(Tableau1[[#This Row],[Date]]-A660),"",Tableau1[[#This Row],[Date]]-A660)</f>
        <v>1.0111111111109494</v>
      </c>
      <c r="E661" s="76">
        <f>Tableau1[[#This Row],[Date]]-$A$5</f>
        <v>917.62708333333285</v>
      </c>
      <c r="F661" s="77">
        <f>Tableau1[[#This Row],[Date]]-$A$5</f>
        <v>917.62708333333285</v>
      </c>
      <c r="G661" s="77">
        <f>Tableau1[[#This Row],[Diff jour_x000D_
Cumul]]-F$6</f>
        <v>879.54375000000437</v>
      </c>
      <c r="H661" s="77">
        <f>Tableau1[[#This Row],[Diff jour_x000D_
Cumul]]-F$59</f>
        <v>857.02430555555475</v>
      </c>
      <c r="I661" s="78">
        <v>4409</v>
      </c>
      <c r="J661" s="79">
        <f>IF(ISERROR(Tableau1[[#This Row],[Index HP
kWh]]-I660),"",Tableau1[[#This Row],[Index HP
kWh]]-I660)</f>
        <v>4</v>
      </c>
      <c r="K661" s="77">
        <f>IF(ISERROR(Tableau1[[#This Row],[Différence HP
Instantané]]/(Tableau1[[#This Row],[Diff jour
Instantané]]*24)),"",Tableau1[[#This Row],[Différence HP
Instantané]]/(Tableau1[[#This Row],[Diff jour
Instantané]]*24))</f>
        <v>0.1648351648351912</v>
      </c>
      <c r="L661" s="77">
        <f>Tableau1[[#This Row],[Différence HP
Instantané]]/Tableau1[[#This Row],[Diff jour
Instantané]]</f>
        <v>3.9560439560445886</v>
      </c>
      <c r="M661" s="77">
        <f>Tableau1[[#This Row],[Conso HP / jour
Instantané]]*365</f>
        <v>1443.9560439562749</v>
      </c>
      <c r="N661" s="79">
        <f>Tableau1[[#This Row],[Index HP
kWh]]-$I$5</f>
        <v>-175350</v>
      </c>
      <c r="O661" s="80">
        <f>Tableau1[[#This Row],[Différence HP
Cumul]]/(Tableau1[[#This Row],[Diff jour_x000D_
Cumul]]*24)</f>
        <v>-7.9621124231203257</v>
      </c>
      <c r="P661" s="80">
        <f>Tableau1[[#This Row],[Différence HP
Cumul]]/Tableau1[[#This Row],[Diff jour_x000D_
Cumul]]</f>
        <v>-191.09069815488783</v>
      </c>
      <c r="Q661" s="80">
        <f>Tableau1[[#This Row],[Conso HP / jour
Cumul]]*365</f>
        <v>-69748.104826534065</v>
      </c>
      <c r="R661" s="78">
        <v>2231</v>
      </c>
      <c r="S661" s="79">
        <f>Tableau1[[#This Row],[Index HC_x000D_
kWh]]-R660</f>
        <v>3</v>
      </c>
      <c r="T661" s="81">
        <f>Tableau1[[#This Row],[Différence_x000D_ HC
Instantané]]/(Tableau1[[#This Row],[Diff jour
Instantané]]*24)</f>
        <v>0.12362637362639339</v>
      </c>
      <c r="U661" s="81">
        <f>Tableau1[[#This Row],[Différence_x000D_ HC
Instantané]]/Tableau1[[#This Row],[Diff jour
Instantané]]</f>
        <v>2.9670329670334414</v>
      </c>
      <c r="V661" s="81">
        <f>Tableau1[[#This Row],[Conso HC / jour_x000D_
Instantané]]*365</f>
        <v>1082.967032967206</v>
      </c>
      <c r="W661" s="79">
        <f>Tableau1[[#This Row],[Index HC_x000D_
kWh]]-$R$5</f>
        <v>-117201</v>
      </c>
      <c r="X661" s="82">
        <f>Tableau1[[#This Row],[Différence HC
Cumul]]/(Tableau1[[#This Row],[Diff jour_x000D_
Cumul]]*24)</f>
        <v>-5.3217424471179084</v>
      </c>
      <c r="Y661" s="82">
        <f>Tableau1[[#This Row],[Différence HC
Cumul]]/Tableau1[[#This Row],[Diff jour_x000D_
Cumul]]</f>
        <v>-127.72181873082981</v>
      </c>
      <c r="Z661" s="82">
        <f>Tableau1[[#This Row],[Conso HC / jour_x000D_
Cumul]]*365</f>
        <v>-46618.463836752882</v>
      </c>
      <c r="AA661" s="79">
        <f>Tableau1[[#This Row],[Différence HP
Instantané]]+Tableau1[[#This Row],[Différence_x000D_ HC
Instantané]]</f>
        <v>7</v>
      </c>
      <c r="AB661" s="80">
        <f>Tableau1[[#This Row],[Conso HP + HC
Instantané]]/(Tableau1[[#This Row],[Diff jour
Instantané]]*24)</f>
        <v>0.28846153846158457</v>
      </c>
      <c r="AC661" s="80">
        <f>IF(ISERROR(Tableau1[[#This Row],[Date]]-A660),"",Tableau1[[#This Row],[Conso HP + HC
Instantané]]/Tableau1[[#This Row],[Diff jour
Instantané]])</f>
        <v>6.92307692307803</v>
      </c>
      <c r="AD661" s="80">
        <f>Tableau1[[#This Row],[Conso HP + HC / jour_x000D_
Instantané]]*365</f>
        <v>2526.9230769234809</v>
      </c>
      <c r="AE661" s="79">
        <f>Tableau1[[#This Row],[Différence HP
Cumul]]+Tableau1[[#This Row],[Différence HC
Cumul]]</f>
        <v>-292551</v>
      </c>
      <c r="AF661" s="77">
        <f>(Tableau1[[#This Row],[Conso HP + HC
Cumul]]-AE$6)/Tableau1[[#This Row],[Diff jour_x000D_
Cumul
depuis le 24/01]]</f>
        <v>-335.53987507727561</v>
      </c>
      <c r="AG661" s="77">
        <f>(Tableau1[[#This Row],[Conso HP + HC
Cumul]]-AE$59)/Tableau1[[#This Row],[Diff jour_x000D_
Cumul
depuis
précédente facture
16/02/2021]]</f>
        <v>-346.23055387869073</v>
      </c>
      <c r="AH661" s="80">
        <f>Tableau1[[#This Row],[Conso HP + HC
Cumul]]/(Tableau1[[#This Row],[Diff jour_x000D_
Cumul]]*24)</f>
        <v>-13.283854870238235</v>
      </c>
      <c r="AI661" s="80">
        <f>Tableau1[[#This Row],[Conso HP + HC
Cumul]]/Tableau1[[#This Row],[Diff jour_x000D_
Cumul]]</f>
        <v>-318.81251688571763</v>
      </c>
      <c r="AJ661" s="80">
        <f>Tableau1[[#This Row],[Conso HP + HC / jour_x000D_
Cumul]]*365</f>
        <v>-116366.56866328693</v>
      </c>
      <c r="AK661" s="83">
        <f>(Tableau1[[#This Row],[Différence HP
Cumul]]*0.1799)+(Tableau1[[#This Row],[Différence HC
Cumul]]*0.1346)</f>
        <v>-47320.719599999997</v>
      </c>
      <c r="AL661" s="83">
        <f>Tableau1[[#This Row],[Montant
Tarif HP/HC]]/Tableau1[[#This Row],[Diff jour_x000D_
Cumul]]</f>
        <v>-51.568573399234005</v>
      </c>
      <c r="AM661" s="83">
        <f>(Tableau1[[#This Row],[Montant
Tarif HP/HC]]-AK$6)/Tableau1[[#This Row],[Diff jour_x000D_
Cumul
depuis le 24/01]]</f>
        <v>-54.28399121703697</v>
      </c>
      <c r="AN661" s="83">
        <f>(Tableau1[[#This Row],[Montant
Tarif HP/HC]]-AK$59)/Tableau1[[#This Row],[Diff jour_x000D_
Cumul
depuis
précédente facture
16/02/2021]]</f>
        <v>-56.022545321951405</v>
      </c>
      <c r="AO661" s="83">
        <f>Tableau1[[#This Row],[Conso HP + HC
Cumul]]*0.1599</f>
        <v>-46778.904899999994</v>
      </c>
      <c r="AP661" s="83">
        <f>Tableau1[[#This Row],[Montant
Tarif normal]]/Tableau1[[#This Row],[Diff jour_x000D_
Cumul]]</f>
        <v>-50.978121450026244</v>
      </c>
      <c r="AQ661" s="83">
        <f>(Tableau1[[#This Row],[Conso HP / an
Cumul]]*0.1799)+(Tableau1[[#This Row],[Conso HC / an_x000D_
Cumul]]*0.1346)</f>
        <v>-18822.529290720417</v>
      </c>
      <c r="AR661" s="83">
        <f>Tableau1[[#This Row],[Conso HP + HC / an_x000D_
Cumul]]*0.1599</f>
        <v>-18607.014329259579</v>
      </c>
      <c r="AS661" s="79">
        <f>MONTH(Tableau1[[#This Row],[Date]])</f>
        <v>6</v>
      </c>
      <c r="AT661" s="79">
        <f>YEAR(Tableau1[[#This Row],[Date]])</f>
        <v>2023</v>
      </c>
    </row>
    <row r="662" spans="1:46" x14ac:dyDescent="0.2">
      <c r="A662" s="74">
        <v>45101.365277777775</v>
      </c>
      <c r="B662" s="75"/>
      <c r="C662" s="76">
        <f>IF(ISERROR(Tableau1[[#This Row],[Date]]-A661),"",Tableau1[[#This Row],[Date]]-A661)</f>
        <v>1.0298611111065838</v>
      </c>
      <c r="D662" s="77">
        <f>IF(ISERROR(Tableau1[[#This Row],[Date]]-A661),"",Tableau1[[#This Row],[Date]]-A661)</f>
        <v>1.0298611111065838</v>
      </c>
      <c r="E662" s="76">
        <f>Tableau1[[#This Row],[Date]]-$A$5</f>
        <v>918.65694444443943</v>
      </c>
      <c r="F662" s="77">
        <f>Tableau1[[#This Row],[Date]]-$A$5</f>
        <v>918.65694444443943</v>
      </c>
      <c r="G662" s="77">
        <f>Tableau1[[#This Row],[Diff jour_x000D_
Cumul]]-F$6</f>
        <v>880.57361111111095</v>
      </c>
      <c r="H662" s="77">
        <f>Tableau1[[#This Row],[Diff jour_x000D_
Cumul]]-F$59</f>
        <v>858.05416666666133</v>
      </c>
      <c r="I662" s="78">
        <v>4416</v>
      </c>
      <c r="J662" s="79">
        <f>IF(ISERROR(Tableau1[[#This Row],[Index HP
kWh]]-I661),"",Tableau1[[#This Row],[Index HP
kWh]]-I661)</f>
        <v>7</v>
      </c>
      <c r="K662" s="77">
        <f>IF(ISERROR(Tableau1[[#This Row],[Différence HP
Instantané]]/(Tableau1[[#This Row],[Diff jour
Instantané]]*24)),"",Tableau1[[#This Row],[Différence HP
Instantané]]/(Tableau1[[#This Row],[Diff jour
Instantané]]*24))</f>
        <v>0.28320971004844658</v>
      </c>
      <c r="L662" s="77">
        <f>Tableau1[[#This Row],[Différence HP
Instantané]]/Tableau1[[#This Row],[Diff jour
Instantané]]</f>
        <v>6.7970330411627184</v>
      </c>
      <c r="M662" s="77">
        <f>Tableau1[[#This Row],[Conso HP / jour
Instantané]]*365</f>
        <v>2480.9170600243924</v>
      </c>
      <c r="N662" s="79">
        <f>Tableau1[[#This Row],[Index HP
kWh]]-$I$5</f>
        <v>-175343</v>
      </c>
      <c r="O662" s="80">
        <f>Tableau1[[#This Row],[Différence HP
Cumul]]/(Tableau1[[#This Row],[Diff jour_x000D_
Cumul]]*24)</f>
        <v>-7.9528689980693867</v>
      </c>
      <c r="P662" s="80">
        <f>Tableau1[[#This Row],[Différence HP
Cumul]]/Tableau1[[#This Row],[Diff jour_x000D_
Cumul]]</f>
        <v>-190.86885595366527</v>
      </c>
      <c r="Q662" s="80">
        <f>Tableau1[[#This Row],[Conso HP / jour
Cumul]]*365</f>
        <v>-69667.132423087824</v>
      </c>
      <c r="R662" s="78">
        <v>2233</v>
      </c>
      <c r="S662" s="79">
        <f>Tableau1[[#This Row],[Index HC_x000D_
kWh]]-R661</f>
        <v>2</v>
      </c>
      <c r="T662" s="81">
        <f>Tableau1[[#This Row],[Différence_x000D_ HC
Instantané]]/(Tableau1[[#This Row],[Diff jour
Instantané]]*24)</f>
        <v>8.0917060013841885E-2</v>
      </c>
      <c r="U662" s="81">
        <f>Tableau1[[#This Row],[Différence_x000D_ HC
Instantané]]/Tableau1[[#This Row],[Diff jour
Instantané]]</f>
        <v>1.9420094403322052</v>
      </c>
      <c r="V662" s="81">
        <f>Tableau1[[#This Row],[Conso HC / jour_x000D_
Instantané]]*365</f>
        <v>708.83344572125486</v>
      </c>
      <c r="W662" s="79">
        <f>Tableau1[[#This Row],[Index HC_x000D_
kWh]]-$R$5</f>
        <v>-117199</v>
      </c>
      <c r="X662" s="82">
        <f>Tableau1[[#This Row],[Différence HC
Cumul]]/(Tableau1[[#This Row],[Diff jour_x000D_
Cumul]]*24)</f>
        <v>-5.3156857913046665</v>
      </c>
      <c r="Y662" s="82">
        <f>Tableau1[[#This Row],[Différence HC
Cumul]]/Tableau1[[#This Row],[Diff jour_x000D_
Cumul]]</f>
        <v>-127.57645899131198</v>
      </c>
      <c r="Z662" s="82">
        <f>Tableau1[[#This Row],[Conso HC / jour_x000D_
Cumul]]*365</f>
        <v>-46565.407531828874</v>
      </c>
      <c r="AA662" s="79">
        <f>Tableau1[[#This Row],[Différence HP
Instantané]]+Tableau1[[#This Row],[Différence_x000D_ HC
Instantané]]</f>
        <v>9</v>
      </c>
      <c r="AB662" s="80">
        <f>Tableau1[[#This Row],[Conso HP + HC
Instantané]]/(Tableau1[[#This Row],[Diff jour
Instantané]]*24)</f>
        <v>0.3641267700622885</v>
      </c>
      <c r="AC662" s="80">
        <f>IF(ISERROR(Tableau1[[#This Row],[Date]]-A661),"",Tableau1[[#This Row],[Conso HP + HC
Instantané]]/Tableau1[[#This Row],[Diff jour
Instantané]])</f>
        <v>8.7390424814949235</v>
      </c>
      <c r="AD662" s="80">
        <f>Tableau1[[#This Row],[Conso HP + HC / jour_x000D_
Instantané]]*365</f>
        <v>3189.7505057456469</v>
      </c>
      <c r="AE662" s="79">
        <f>Tableau1[[#This Row],[Différence HP
Cumul]]+Tableau1[[#This Row],[Différence HC
Cumul]]</f>
        <v>-292542</v>
      </c>
      <c r="AF662" s="77">
        <f>(Tableau1[[#This Row],[Conso HP + HC
Cumul]]-AE$6)/Tableau1[[#This Row],[Diff jour_x000D_
Cumul
depuis le 24/01]]</f>
        <v>-335.13722904735397</v>
      </c>
      <c r="AG662" s="77">
        <f>(Tableau1[[#This Row],[Conso HP + HC
Cumul]]-AE$59)/Tableau1[[#This Row],[Diff jour_x000D_
Cumul
depuis
précédente facture
16/02/2021]]</f>
        <v>-345.80450923358785</v>
      </c>
      <c r="AH662" s="80">
        <f>Tableau1[[#This Row],[Conso HP + HC
Cumul]]/(Tableau1[[#This Row],[Diff jour_x000D_
Cumul]]*24)</f>
        <v>-13.268554789374052</v>
      </c>
      <c r="AI662" s="80">
        <f>Tableau1[[#This Row],[Conso HP + HC
Cumul]]/Tableau1[[#This Row],[Diff jour_x000D_
Cumul]]</f>
        <v>-318.44531494497727</v>
      </c>
      <c r="AJ662" s="80">
        <f>Tableau1[[#This Row],[Conso HP + HC / jour_x000D_
Cumul]]*365</f>
        <v>-116232.53995491671</v>
      </c>
      <c r="AK662" s="83">
        <f>(Tableau1[[#This Row],[Différence HP
Cumul]]*0.1799)+(Tableau1[[#This Row],[Différence HC
Cumul]]*0.1346)</f>
        <v>-47319.191100000004</v>
      </c>
      <c r="AL662" s="83">
        <f>Tableau1[[#This Row],[Montant
Tarif HP/HC]]/Tableau1[[#This Row],[Diff jour_x000D_
Cumul]]</f>
        <v>-51.509098566294981</v>
      </c>
      <c r="AM662" s="83">
        <f>(Tableau1[[#This Row],[Montant
Tarif HP/HC]]-AK$6)/Tableau1[[#This Row],[Diff jour_x000D_
Cumul
depuis le 24/01]]</f>
        <v>-54.218768422729518</v>
      </c>
      <c r="AN662" s="83">
        <f>(Tableau1[[#This Row],[Montant
Tarif HP/HC]]-AK$59)/Tableau1[[#This Row],[Diff jour_x000D_
Cumul
depuis
précédente facture
16/02/2021]]</f>
        <v>-55.953524107355655</v>
      </c>
      <c r="AO662" s="83">
        <f>Tableau1[[#This Row],[Conso HP + HC
Cumul]]*0.1599</f>
        <v>-46777.465799999998</v>
      </c>
      <c r="AP662" s="83">
        <f>Tableau1[[#This Row],[Montant
Tarif normal]]/Tableau1[[#This Row],[Diff jour_x000D_
Cumul]]</f>
        <v>-50.919405859701861</v>
      </c>
      <c r="AQ662" s="83">
        <f>(Tableau1[[#This Row],[Conso HP / an
Cumul]]*0.1799)+(Tableau1[[#This Row],[Conso HC / an_x000D_
Cumul]]*0.1346)</f>
        <v>-18800.820976697665</v>
      </c>
      <c r="AR662" s="83">
        <f>Tableau1[[#This Row],[Conso HP + HC / an_x000D_
Cumul]]*0.1599</f>
        <v>-18585.583138791178</v>
      </c>
      <c r="AS662" s="79">
        <f>MONTH(Tableau1[[#This Row],[Date]])</f>
        <v>6</v>
      </c>
      <c r="AT662" s="79">
        <f>YEAR(Tableau1[[#This Row],[Date]])</f>
        <v>2023</v>
      </c>
    </row>
    <row r="663" spans="1:46" x14ac:dyDescent="0.2">
      <c r="A663" s="74">
        <v>45102.376388888886</v>
      </c>
      <c r="B663" s="75"/>
      <c r="C663" s="76">
        <f>IF(ISERROR(Tableau1[[#This Row],[Date]]-A662),"",Tableau1[[#This Row],[Date]]-A662)</f>
        <v>1.0111111111109494</v>
      </c>
      <c r="D663" s="77">
        <f>IF(ISERROR(Tableau1[[#This Row],[Date]]-A662),"",Tableau1[[#This Row],[Date]]-A662)</f>
        <v>1.0111111111109494</v>
      </c>
      <c r="E663" s="76">
        <f>Tableau1[[#This Row],[Date]]-$A$5</f>
        <v>919.66805555555038</v>
      </c>
      <c r="F663" s="77">
        <f>Tableau1[[#This Row],[Date]]-$A$5</f>
        <v>919.66805555555038</v>
      </c>
      <c r="G663" s="77">
        <f>Tableau1[[#This Row],[Diff jour_x000D_
Cumul]]-F$6</f>
        <v>881.5847222222219</v>
      </c>
      <c r="H663" s="77">
        <f>Tableau1[[#This Row],[Diff jour_x000D_
Cumul]]-F$59</f>
        <v>859.06527777777228</v>
      </c>
      <c r="I663" s="78">
        <v>4421</v>
      </c>
      <c r="J663" s="79">
        <f>IF(ISERROR(Tableau1[[#This Row],[Index HP
kWh]]-I662),"",Tableau1[[#This Row],[Index HP
kWh]]-I662)</f>
        <v>5</v>
      </c>
      <c r="K663" s="77">
        <f>IF(ISERROR(Tableau1[[#This Row],[Différence HP
Instantané]]/(Tableau1[[#This Row],[Diff jour
Instantané]]*24)),"",Tableau1[[#This Row],[Différence HP
Instantané]]/(Tableau1[[#This Row],[Diff jour
Instantané]]*24))</f>
        <v>0.20604395604398898</v>
      </c>
      <c r="L663" s="77">
        <f>Tableau1[[#This Row],[Différence HP
Instantané]]/Tableau1[[#This Row],[Diff jour
Instantané]]</f>
        <v>4.9450549450557357</v>
      </c>
      <c r="M663" s="77">
        <f>Tableau1[[#This Row],[Conso HP / jour
Instantané]]*365</f>
        <v>1804.9450549453436</v>
      </c>
      <c r="N663" s="79">
        <f>Tableau1[[#This Row],[Index HP
kWh]]-$I$5</f>
        <v>-175338</v>
      </c>
      <c r="O663" s="80">
        <f>Tableau1[[#This Row],[Différence HP
Cumul]]/(Tableau1[[#This Row],[Diff jour_x000D_
Cumul]]*24)</f>
        <v>-7.9438988403122952</v>
      </c>
      <c r="P663" s="80">
        <f>Tableau1[[#This Row],[Différence HP
Cumul]]/Tableau1[[#This Row],[Diff jour_x000D_
Cumul]]</f>
        <v>-190.65357216749507</v>
      </c>
      <c r="Q663" s="80">
        <f>Tableau1[[#This Row],[Conso HP / jour
Cumul]]*365</f>
        <v>-69588.553841135697</v>
      </c>
      <c r="R663" s="78">
        <v>2236</v>
      </c>
      <c r="S663" s="79">
        <f>Tableau1[[#This Row],[Index HC_x000D_
kWh]]-R662</f>
        <v>3</v>
      </c>
      <c r="T663" s="81">
        <f>Tableau1[[#This Row],[Différence_x000D_ HC
Instantané]]/(Tableau1[[#This Row],[Diff jour
Instantané]]*24)</f>
        <v>0.12362637362639339</v>
      </c>
      <c r="U663" s="81">
        <f>Tableau1[[#This Row],[Différence_x000D_ HC
Instantané]]/Tableau1[[#This Row],[Diff jour
Instantané]]</f>
        <v>2.9670329670334414</v>
      </c>
      <c r="V663" s="81">
        <f>Tableau1[[#This Row],[Conso HC / jour_x000D_
Instantané]]*365</f>
        <v>1082.967032967206</v>
      </c>
      <c r="W663" s="79">
        <f>Tableau1[[#This Row],[Index HC_x000D_
kWh]]-$R$5</f>
        <v>-117196</v>
      </c>
      <c r="X663" s="82">
        <f>Tableau1[[#This Row],[Différence HC
Cumul]]/(Tableau1[[#This Row],[Diff jour_x000D_
Cumul]]*24)</f>
        <v>-5.3097056456058569</v>
      </c>
      <c r="Y663" s="82">
        <f>Tableau1[[#This Row],[Différence HC
Cumul]]/Tableau1[[#This Row],[Diff jour_x000D_
Cumul]]</f>
        <v>-127.43293549454056</v>
      </c>
      <c r="Z663" s="82">
        <f>Tableau1[[#This Row],[Conso HC / jour_x000D_
Cumul]]*365</f>
        <v>-46513.021455507303</v>
      </c>
      <c r="AA663" s="79">
        <f>Tableau1[[#This Row],[Différence HP
Instantané]]+Tableau1[[#This Row],[Différence_x000D_ HC
Instantané]]</f>
        <v>8</v>
      </c>
      <c r="AB663" s="80">
        <f>Tableau1[[#This Row],[Conso HP + HC
Instantané]]/(Tableau1[[#This Row],[Diff jour
Instantané]]*24)</f>
        <v>0.3296703296703824</v>
      </c>
      <c r="AC663" s="80">
        <f>IF(ISERROR(Tableau1[[#This Row],[Date]]-A662),"",Tableau1[[#This Row],[Conso HP + HC
Instantané]]/Tableau1[[#This Row],[Diff jour
Instantané]])</f>
        <v>7.9120879120891772</v>
      </c>
      <c r="AD663" s="80">
        <f>Tableau1[[#This Row],[Conso HP + HC / jour_x000D_
Instantané]]*365</f>
        <v>2887.9120879125499</v>
      </c>
      <c r="AE663" s="79">
        <f>Tableau1[[#This Row],[Différence HP
Cumul]]+Tableau1[[#This Row],[Différence HC
Cumul]]</f>
        <v>-292534</v>
      </c>
      <c r="AF663" s="77">
        <f>(Tableau1[[#This Row],[Conso HP + HC
Cumul]]-AE$6)/Tableau1[[#This Row],[Diff jour_x000D_
Cumul
depuis le 24/01]]</f>
        <v>-334.7437773832163</v>
      </c>
      <c r="AG663" s="77">
        <f>(Tableau1[[#This Row],[Conso HP + HC
Cumul]]-AE$59)/Tableau1[[#This Row],[Diff jour_x000D_
Cumul
depuis
précédente facture
16/02/2021]]</f>
        <v>-345.38818838951471</v>
      </c>
      <c r="AH663" s="80">
        <f>Tableau1[[#This Row],[Conso HP + HC
Cumul]]/(Tableau1[[#This Row],[Diff jour_x000D_
Cumul]]*24)</f>
        <v>-13.253604485918151</v>
      </c>
      <c r="AI663" s="80">
        <f>Tableau1[[#This Row],[Conso HP + HC
Cumul]]/Tableau1[[#This Row],[Diff jour_x000D_
Cumul]]</f>
        <v>-318.08650766203567</v>
      </c>
      <c r="AJ663" s="80">
        <f>Tableau1[[#This Row],[Conso HP + HC / jour_x000D_
Cumul]]*365</f>
        <v>-116101.57529664302</v>
      </c>
      <c r="AK663" s="83">
        <f>(Tableau1[[#This Row],[Différence HP
Cumul]]*0.1799)+(Tableau1[[#This Row],[Différence HC
Cumul]]*0.1346)</f>
        <v>-47317.887799999997</v>
      </c>
      <c r="AL663" s="83">
        <f>Tableau1[[#This Row],[Montant
Tarif HP/HC]]/Tableau1[[#This Row],[Diff jour_x000D_
Cumul]]</f>
        <v>-51.451050750497522</v>
      </c>
      <c r="AM663" s="83">
        <f>(Tableau1[[#This Row],[Montant
Tarif HP/HC]]-AK$6)/Tableau1[[#This Row],[Diff jour_x000D_
Cumul
depuis le 24/01]]</f>
        <v>-54.155105228746862</v>
      </c>
      <c r="AN663" s="83">
        <f>(Tableau1[[#This Row],[Montant
Tarif HP/HC]]-AK$59)/Tableau1[[#This Row],[Diff jour_x000D_
Cumul
depuis
précédente facture
16/02/2021]]</f>
        <v>-55.88615026344884</v>
      </c>
      <c r="AO663" s="83">
        <f>Tableau1[[#This Row],[Conso HP + HC
Cumul]]*0.1599</f>
        <v>-46776.186599999994</v>
      </c>
      <c r="AP663" s="83">
        <f>Tableau1[[#This Row],[Montant
Tarif normal]]/Tableau1[[#This Row],[Diff jour_x000D_
Cumul]]</f>
        <v>-50.862032575159496</v>
      </c>
      <c r="AQ663" s="83">
        <f>(Tableau1[[#This Row],[Conso HP / an
Cumul]]*0.1799)+(Tableau1[[#This Row],[Conso HC / an_x000D_
Cumul]]*0.1346)</f>
        <v>-18779.633523931596</v>
      </c>
      <c r="AR663" s="83">
        <f>Tableau1[[#This Row],[Conso HP + HC / an_x000D_
Cumul]]*0.1599</f>
        <v>-18564.641889933217</v>
      </c>
      <c r="AS663" s="79">
        <f>MONTH(Tableau1[[#This Row],[Date]])</f>
        <v>6</v>
      </c>
      <c r="AT663" s="79">
        <f>YEAR(Tableau1[[#This Row],[Date]])</f>
        <v>2023</v>
      </c>
    </row>
    <row r="664" spans="1:46" x14ac:dyDescent="0.2">
      <c r="A664" s="74">
        <v>45103.318055555559</v>
      </c>
      <c r="B664" s="75"/>
      <c r="C664" s="76">
        <f>IF(ISERROR(Tableau1[[#This Row],[Date]]-A663),"",Tableau1[[#This Row],[Date]]-A663)</f>
        <v>0.9416666666729725</v>
      </c>
      <c r="D664" s="77">
        <f>IF(ISERROR(Tableau1[[#This Row],[Date]]-A663),"",Tableau1[[#This Row],[Date]]-A663)</f>
        <v>0.9416666666729725</v>
      </c>
      <c r="E664" s="76">
        <f>Tableau1[[#This Row],[Date]]-$A$5</f>
        <v>920.60972222222335</v>
      </c>
      <c r="F664" s="77">
        <f>Tableau1[[#This Row],[Date]]-$A$5</f>
        <v>920.60972222222335</v>
      </c>
      <c r="G664" s="77">
        <f>Tableau1[[#This Row],[Diff jour_x000D_
Cumul]]-F$6</f>
        <v>882.52638888889487</v>
      </c>
      <c r="H664" s="77">
        <f>Tableau1[[#This Row],[Diff jour_x000D_
Cumul]]-F$59</f>
        <v>860.00694444444525</v>
      </c>
      <c r="I664" s="78">
        <v>4427</v>
      </c>
      <c r="J664" s="79">
        <f>IF(ISERROR(Tableau1[[#This Row],[Index HP
kWh]]-I663),"",Tableau1[[#This Row],[Index HP
kWh]]-I663)</f>
        <v>6</v>
      </c>
      <c r="K664" s="77">
        <f>IF(ISERROR(Tableau1[[#This Row],[Différence HP
Instantané]]/(Tableau1[[#This Row],[Diff jour
Instantané]]*24)),"",Tableau1[[#This Row],[Différence HP
Instantané]]/(Tableau1[[#This Row],[Diff jour
Instantané]]*24))</f>
        <v>0.26548672566193898</v>
      </c>
      <c r="L664" s="77">
        <f>Tableau1[[#This Row],[Différence HP
Instantané]]/Tableau1[[#This Row],[Diff jour
Instantané]]</f>
        <v>6.3716814158865356</v>
      </c>
      <c r="M664" s="77">
        <f>Tableau1[[#This Row],[Conso HP / jour
Instantané]]*365</f>
        <v>2325.6637167985855</v>
      </c>
      <c r="N664" s="79">
        <f>Tableau1[[#This Row],[Index HP
kWh]]-$I$5</f>
        <v>-175332</v>
      </c>
      <c r="O664" s="80">
        <f>Tableau1[[#This Row],[Différence HP
Cumul]]/(Tableau1[[#This Row],[Diff jour_x000D_
Cumul]]*24)</f>
        <v>-7.9355016829124319</v>
      </c>
      <c r="P664" s="80">
        <f>Tableau1[[#This Row],[Différence HP
Cumul]]/Tableau1[[#This Row],[Diff jour_x000D_
Cumul]]</f>
        <v>-190.45204038989837</v>
      </c>
      <c r="Q664" s="80">
        <f>Tableau1[[#This Row],[Conso HP / jour
Cumul]]*365</f>
        <v>-69514.994742312905</v>
      </c>
      <c r="R664" s="78">
        <v>2239</v>
      </c>
      <c r="S664" s="79">
        <f>Tableau1[[#This Row],[Index HC_x000D_
kWh]]-R663</f>
        <v>3</v>
      </c>
      <c r="T664" s="81">
        <f>Tableau1[[#This Row],[Différence_x000D_ HC
Instantané]]/(Tableau1[[#This Row],[Diff jour
Instantané]]*24)</f>
        <v>0.13274336283096949</v>
      </c>
      <c r="U664" s="81">
        <f>Tableau1[[#This Row],[Différence_x000D_ HC
Instantané]]/Tableau1[[#This Row],[Diff jour
Instantané]]</f>
        <v>3.1858407079432678</v>
      </c>
      <c r="V664" s="81">
        <f>Tableau1[[#This Row],[Conso HC / jour_x000D_
Instantané]]*365</f>
        <v>1162.8318583992927</v>
      </c>
      <c r="W664" s="79">
        <f>Tableau1[[#This Row],[Index HC_x000D_
kWh]]-$R$5</f>
        <v>-117193</v>
      </c>
      <c r="X664" s="82">
        <f>Tableau1[[#This Row],[Différence HC
Cumul]]/(Tableau1[[#This Row],[Diff jour_x000D_
Cumul]]*24)</f>
        <v>-5.3041387124173376</v>
      </c>
      <c r="Y664" s="82">
        <f>Tableau1[[#This Row],[Différence HC
Cumul]]/Tableau1[[#This Row],[Diff jour_x000D_
Cumul]]</f>
        <v>-127.2993290980161</v>
      </c>
      <c r="Z664" s="82">
        <f>Tableau1[[#This Row],[Conso HC / jour_x000D_
Cumul]]*365</f>
        <v>-46464.255120775881</v>
      </c>
      <c r="AA664" s="79">
        <f>Tableau1[[#This Row],[Différence HP
Instantané]]+Tableau1[[#This Row],[Différence_x000D_ HC
Instantané]]</f>
        <v>9</v>
      </c>
      <c r="AB664" s="80">
        <f>Tableau1[[#This Row],[Conso HP + HC
Instantané]]/(Tableau1[[#This Row],[Diff jour
Instantané]]*24)</f>
        <v>0.39823008849290847</v>
      </c>
      <c r="AC664" s="80">
        <f>IF(ISERROR(Tableau1[[#This Row],[Date]]-A663),"",Tableau1[[#This Row],[Conso HP + HC
Instantané]]/Tableau1[[#This Row],[Diff jour
Instantané]])</f>
        <v>9.5575221238298038</v>
      </c>
      <c r="AD664" s="80">
        <f>Tableau1[[#This Row],[Conso HP + HC / jour_x000D_
Instantané]]*365</f>
        <v>3488.4955751978782</v>
      </c>
      <c r="AE664" s="79">
        <f>Tableau1[[#This Row],[Différence HP
Cumul]]+Tableau1[[#This Row],[Différence HC
Cumul]]</f>
        <v>-292525</v>
      </c>
      <c r="AF664" s="77">
        <f>(Tableau1[[#This Row],[Conso HP + HC
Cumul]]-AE$6)/Tableau1[[#This Row],[Diff jour_x000D_
Cumul
depuis le 24/01]]</f>
        <v>-334.37640360140091</v>
      </c>
      <c r="AG664" s="77">
        <f>(Tableau1[[#This Row],[Conso HP + HC
Cumul]]-AE$59)/Tableau1[[#This Row],[Diff jour_x000D_
Cumul
depuis
précédente facture
16/02/2021]]</f>
        <v>-344.99953973239849</v>
      </c>
      <c r="AH664" s="80">
        <f>Tableau1[[#This Row],[Conso HP + HC
Cumul]]/(Tableau1[[#This Row],[Diff jour_x000D_
Cumul]]*24)</f>
        <v>-13.23964039532977</v>
      </c>
      <c r="AI664" s="80">
        <f>Tableau1[[#This Row],[Conso HP + HC
Cumul]]/Tableau1[[#This Row],[Diff jour_x000D_
Cumul]]</f>
        <v>-317.75136948791447</v>
      </c>
      <c r="AJ664" s="80">
        <f>Tableau1[[#This Row],[Conso HP + HC / jour_x000D_
Cumul]]*365</f>
        <v>-115979.24986308879</v>
      </c>
      <c r="AK664" s="83">
        <f>(Tableau1[[#This Row],[Différence HP
Cumul]]*0.1799)+(Tableau1[[#This Row],[Différence HC
Cumul]]*0.1346)</f>
        <v>-47316.404600000002</v>
      </c>
      <c r="AL664" s="83">
        <f>Tableau1[[#This Row],[Montant
Tarif HP/HC]]/Tableau1[[#This Row],[Diff jour_x000D_
Cumul]]</f>
        <v>-51.396811762735688</v>
      </c>
      <c r="AM664" s="83">
        <f>(Tableau1[[#This Row],[Montant
Tarif HP/HC]]-AK$6)/Tableau1[[#This Row],[Diff jour_x000D_
Cumul
depuis le 24/01]]</f>
        <v>-54.09564042623807</v>
      </c>
      <c r="AN664" s="83">
        <f>(Tableau1[[#This Row],[Montant
Tarif HP/HC]]-AK$59)/Tableau1[[#This Row],[Diff jour_x000D_
Cumul
depuis
précédente facture
16/02/2021]]</f>
        <v>-55.823232951930251</v>
      </c>
      <c r="AO664" s="83">
        <f>Tableau1[[#This Row],[Conso HP + HC
Cumul]]*0.1599</f>
        <v>-46774.747499999998</v>
      </c>
      <c r="AP664" s="83">
        <f>Tableau1[[#This Row],[Montant
Tarif normal]]/Tableau1[[#This Row],[Diff jour_x000D_
Cumul]]</f>
        <v>-50.80844398111752</v>
      </c>
      <c r="AQ664" s="83">
        <f>(Tableau1[[#This Row],[Conso HP / an
Cumul]]*0.1799)+(Tableau1[[#This Row],[Conso HC / an_x000D_
Cumul]]*0.1346)</f>
        <v>-18759.836293398526</v>
      </c>
      <c r="AR664" s="83">
        <f>Tableau1[[#This Row],[Conso HP + HC / an_x000D_
Cumul]]*0.1599</f>
        <v>-18545.082053107897</v>
      </c>
      <c r="AS664" s="79">
        <f>MONTH(Tableau1[[#This Row],[Date]])</f>
        <v>6</v>
      </c>
      <c r="AT664" s="79">
        <f>YEAR(Tableau1[[#This Row],[Date]])</f>
        <v>2023</v>
      </c>
    </row>
    <row r="665" spans="1:46" x14ac:dyDescent="0.2">
      <c r="A665" s="74">
        <v>45104.311111111114</v>
      </c>
      <c r="B665" s="75"/>
      <c r="C665" s="76">
        <f>IF(ISERROR(Tableau1[[#This Row],[Date]]-A664),"",Tableau1[[#This Row],[Date]]-A664)</f>
        <v>0.99305555555474712</v>
      </c>
      <c r="D665" s="77">
        <f>IF(ISERROR(Tableau1[[#This Row],[Date]]-A664),"",Tableau1[[#This Row],[Date]]-A664)</f>
        <v>0.99305555555474712</v>
      </c>
      <c r="E665" s="76">
        <f>Tableau1[[#This Row],[Date]]-$A$5</f>
        <v>921.6027777777781</v>
      </c>
      <c r="F665" s="77">
        <f>Tableau1[[#This Row],[Date]]-$A$5</f>
        <v>921.6027777777781</v>
      </c>
      <c r="G665" s="77">
        <f>Tableau1[[#This Row],[Diff jour_x000D_
Cumul]]-F$6</f>
        <v>883.51944444444962</v>
      </c>
      <c r="H665" s="77">
        <f>Tableau1[[#This Row],[Diff jour_x000D_
Cumul]]-F$59</f>
        <v>861</v>
      </c>
      <c r="I665" s="78">
        <v>4431</v>
      </c>
      <c r="J665" s="79">
        <f>IF(ISERROR(Tableau1[[#This Row],[Index HP
kWh]]-I664),"",Tableau1[[#This Row],[Index HP
kWh]]-I664)</f>
        <v>4</v>
      </c>
      <c r="K665" s="77">
        <f>IF(ISERROR(Tableau1[[#This Row],[Différence HP
Instantané]]/(Tableau1[[#This Row],[Diff jour
Instantané]]*24)),"",Tableau1[[#This Row],[Différence HP
Instantané]]/(Tableau1[[#This Row],[Diff jour
Instantané]]*24))</f>
        <v>0.16783216783230445</v>
      </c>
      <c r="L665" s="77">
        <f>Tableau1[[#This Row],[Différence HP
Instantané]]/Tableau1[[#This Row],[Diff jour
Instantané]]</f>
        <v>4.0279720279753075</v>
      </c>
      <c r="M665" s="77">
        <f>Tableau1[[#This Row],[Conso HP / jour
Instantané]]*365</f>
        <v>1470.2097902109872</v>
      </c>
      <c r="N665" s="79">
        <f>Tableau1[[#This Row],[Index HP
kWh]]-$I$5</f>
        <v>-175328</v>
      </c>
      <c r="O665" s="80">
        <f>Tableau1[[#This Row],[Différence HP
Cumul]]/(Tableau1[[#This Row],[Diff jour_x000D_
Cumul]]*24)</f>
        <v>-7.9267700895480973</v>
      </c>
      <c r="P665" s="80">
        <f>Tableau1[[#This Row],[Différence HP
Cumul]]/Tableau1[[#This Row],[Diff jour_x000D_
Cumul]]</f>
        <v>-190.24248214915434</v>
      </c>
      <c r="Q665" s="80">
        <f>Tableau1[[#This Row],[Conso HP / jour
Cumul]]*365</f>
        <v>-69438.505984441334</v>
      </c>
      <c r="R665" s="78">
        <v>2241</v>
      </c>
      <c r="S665" s="79">
        <f>Tableau1[[#This Row],[Index HC_x000D_
kWh]]-R664</f>
        <v>2</v>
      </c>
      <c r="T665" s="81">
        <f>Tableau1[[#This Row],[Différence_x000D_ HC
Instantané]]/(Tableau1[[#This Row],[Diff jour
Instantané]]*24)</f>
        <v>8.3916083916152226E-2</v>
      </c>
      <c r="U665" s="81">
        <f>Tableau1[[#This Row],[Différence_x000D_ HC
Instantané]]/Tableau1[[#This Row],[Diff jour
Instantané]]</f>
        <v>2.0139860139876538</v>
      </c>
      <c r="V665" s="81">
        <f>Tableau1[[#This Row],[Conso HC / jour_x000D_
Instantané]]*365</f>
        <v>735.1048951054936</v>
      </c>
      <c r="W665" s="79">
        <f>Tableau1[[#This Row],[Index HC_x000D_
kWh]]-$R$5</f>
        <v>-117191</v>
      </c>
      <c r="X665" s="82">
        <f>Tableau1[[#This Row],[Différence HC
Cumul]]/(Tableau1[[#This Row],[Diff jour_x000D_
Cumul]]*24)</f>
        <v>-5.2983329163866069</v>
      </c>
      <c r="Y665" s="82">
        <f>Tableau1[[#This Row],[Différence HC
Cumul]]/Tableau1[[#This Row],[Diff jour_x000D_
Cumul]]</f>
        <v>-127.15998999327857</v>
      </c>
      <c r="Z665" s="82">
        <f>Tableau1[[#This Row],[Conso HC / jour_x000D_
Cumul]]*365</f>
        <v>-46413.396347546681</v>
      </c>
      <c r="AA665" s="79">
        <f>Tableau1[[#This Row],[Différence HP
Instantané]]+Tableau1[[#This Row],[Différence_x000D_ HC
Instantané]]</f>
        <v>6</v>
      </c>
      <c r="AB665" s="80">
        <f>Tableau1[[#This Row],[Conso HP + HC
Instantané]]/(Tableau1[[#This Row],[Diff jour
Instantané]]*24)</f>
        <v>0.25174825174845672</v>
      </c>
      <c r="AC665" s="80">
        <f>IF(ISERROR(Tableau1[[#This Row],[Date]]-A664),"",Tableau1[[#This Row],[Conso HP + HC
Instantané]]/Tableau1[[#This Row],[Diff jour
Instantané]])</f>
        <v>6.0419580419629604</v>
      </c>
      <c r="AD665" s="80">
        <f>Tableau1[[#This Row],[Conso HP + HC / jour_x000D_
Instantané]]*365</f>
        <v>2205.3146853164803</v>
      </c>
      <c r="AE665" s="79">
        <f>Tableau1[[#This Row],[Différence HP
Cumul]]+Tableau1[[#This Row],[Différence HC
Cumul]]</f>
        <v>-292519</v>
      </c>
      <c r="AF665" s="77">
        <f>(Tableau1[[#This Row],[Conso HP + HC
Cumul]]-AE$6)/Tableau1[[#This Row],[Diff jour_x000D_
Cumul
depuis le 24/01]]</f>
        <v>-333.99378118446549</v>
      </c>
      <c r="AG665" s="77">
        <f>(Tableau1[[#This Row],[Conso HP + HC
Cumul]]-AE$59)/Tableau1[[#This Row],[Diff jour_x000D_
Cumul
depuis
précédente facture
16/02/2021]]</f>
        <v>-344.59465737514518</v>
      </c>
      <c r="AH665" s="80">
        <f>Tableau1[[#This Row],[Conso HP + HC
Cumul]]/(Tableau1[[#This Row],[Diff jour_x000D_
Cumul]]*24)</f>
        <v>-13.225103005934704</v>
      </c>
      <c r="AI665" s="80">
        <f>Tableau1[[#This Row],[Conso HP + HC
Cumul]]/Tableau1[[#This Row],[Diff jour_x000D_
Cumul]]</f>
        <v>-317.40247214243288</v>
      </c>
      <c r="AJ665" s="80">
        <f>Tableau1[[#This Row],[Conso HP + HC / jour_x000D_
Cumul]]*365</f>
        <v>-115851.90233198801</v>
      </c>
      <c r="AK665" s="83">
        <f>(Tableau1[[#This Row],[Différence HP
Cumul]]*0.1799)+(Tableau1[[#This Row],[Différence HC
Cumul]]*0.1346)</f>
        <v>-47315.415800000002</v>
      </c>
      <c r="AL665" s="83">
        <f>Tableau1[[#This Row],[Montant
Tarif HP/HC]]/Tableau1[[#This Row],[Diff jour_x000D_
Cumul]]</f>
        <v>-51.340357191728167</v>
      </c>
      <c r="AM665" s="83">
        <f>(Tableau1[[#This Row],[Montant
Tarif HP/HC]]-AK$6)/Tableau1[[#This Row],[Diff jour_x000D_
Cumul
depuis le 24/01]]</f>
        <v>-54.033719008887751</v>
      </c>
      <c r="AN665" s="83">
        <f>(Tableau1[[#This Row],[Montant
Tarif HP/HC]]-AK$59)/Tableau1[[#This Row],[Diff jour_x000D_
Cumul
depuis
précédente facture
16/02/2021]]</f>
        <v>-55.757699419279909</v>
      </c>
      <c r="AO665" s="83">
        <f>Tableau1[[#This Row],[Conso HP + HC
Cumul]]*0.1599</f>
        <v>-46773.788099999998</v>
      </c>
      <c r="AP665" s="83">
        <f>Tableau1[[#This Row],[Montant
Tarif normal]]/Tableau1[[#This Row],[Diff jour_x000D_
Cumul]]</f>
        <v>-50.752655295575018</v>
      </c>
      <c r="AQ665" s="83">
        <f>(Tableau1[[#This Row],[Conso HP / an
Cumul]]*0.1799)+(Tableau1[[#This Row],[Conso HC / an_x000D_
Cumul]]*0.1346)</f>
        <v>-18739.23037498078</v>
      </c>
      <c r="AR665" s="83">
        <f>Tableau1[[#This Row],[Conso HP + HC / an_x000D_
Cumul]]*0.1599</f>
        <v>-18524.719182884881</v>
      </c>
      <c r="AS665" s="79">
        <f>MONTH(Tableau1[[#This Row],[Date]])</f>
        <v>6</v>
      </c>
      <c r="AT665" s="79">
        <f>YEAR(Tableau1[[#This Row],[Date]])</f>
        <v>2023</v>
      </c>
    </row>
    <row r="666" spans="1:46" x14ac:dyDescent="0.2">
      <c r="A666" s="74">
        <v>45105.315972222219</v>
      </c>
      <c r="B666" s="75"/>
      <c r="C666" s="76">
        <f>IF(ISERROR(Tableau1[[#This Row],[Date]]-A665),"",Tableau1[[#This Row],[Date]]-A665)</f>
        <v>1.0048611111051287</v>
      </c>
      <c r="D666" s="77">
        <f>IF(ISERROR(Tableau1[[#This Row],[Date]]-A665),"",Tableau1[[#This Row],[Date]]-A665)</f>
        <v>1.0048611111051287</v>
      </c>
      <c r="E666" s="76">
        <f>Tableau1[[#This Row],[Date]]-$A$5</f>
        <v>922.60763888888323</v>
      </c>
      <c r="F666" s="77">
        <f>Tableau1[[#This Row],[Date]]-$A$5</f>
        <v>922.60763888888323</v>
      </c>
      <c r="G666" s="77">
        <f>Tableau1[[#This Row],[Diff jour_x000D_
Cumul]]-F$6</f>
        <v>884.52430555555475</v>
      </c>
      <c r="H666" s="77">
        <f>Tableau1[[#This Row],[Diff jour_x000D_
Cumul]]-F$59</f>
        <v>862.00486111110513</v>
      </c>
      <c r="I666" s="78">
        <v>4435</v>
      </c>
      <c r="J666" s="79">
        <f>IF(ISERROR(Tableau1[[#This Row],[Index HP
kWh]]-I665),"",Tableau1[[#This Row],[Index HP
kWh]]-I665)</f>
        <v>4</v>
      </c>
      <c r="K666" s="77">
        <f>IF(ISERROR(Tableau1[[#This Row],[Différence HP
Instantané]]/(Tableau1[[#This Row],[Diff jour
Instantané]]*24)),"",Tableau1[[#This Row],[Différence HP
Instantané]]/(Tableau1[[#This Row],[Diff jour
Instantané]]*24))</f>
        <v>0.16586040083028947</v>
      </c>
      <c r="L666" s="77">
        <f>Tableau1[[#This Row],[Différence HP
Instantané]]/Tableau1[[#This Row],[Diff jour
Instantané]]</f>
        <v>3.9806496199269468</v>
      </c>
      <c r="M666" s="77">
        <f>Tableau1[[#This Row],[Conso HP / jour
Instantané]]*365</f>
        <v>1452.9371112733356</v>
      </c>
      <c r="N666" s="79">
        <f>Tableau1[[#This Row],[Index HP
kWh]]-$I$5</f>
        <v>-175324</v>
      </c>
      <c r="O666" s="80">
        <f>Tableau1[[#This Row],[Différence HP
Cumul]]/(Tableau1[[#This Row],[Diff jour_x000D_
Cumul]]*24)</f>
        <v>-7.9179559747244674</v>
      </c>
      <c r="P666" s="80">
        <f>Tableau1[[#This Row],[Différence HP
Cumul]]/Tableau1[[#This Row],[Diff jour_x000D_
Cumul]]</f>
        <v>-190.03094339338722</v>
      </c>
      <c r="Q666" s="80">
        <f>Tableau1[[#This Row],[Conso HP / jour
Cumul]]*365</f>
        <v>-69361.294338586333</v>
      </c>
      <c r="R666" s="78">
        <v>2244</v>
      </c>
      <c r="S666" s="79">
        <f>Tableau1[[#This Row],[Index HC_x000D_
kWh]]-R665</f>
        <v>3</v>
      </c>
      <c r="T666" s="81">
        <f>Tableau1[[#This Row],[Différence_x000D_ HC
Instantané]]/(Tableau1[[#This Row],[Diff jour
Instantané]]*24)</f>
        <v>0.12439530062271709</v>
      </c>
      <c r="U666" s="81">
        <f>Tableau1[[#This Row],[Différence_x000D_ HC
Instantané]]/Tableau1[[#This Row],[Diff jour
Instantané]]</f>
        <v>2.9854872149452101</v>
      </c>
      <c r="V666" s="81">
        <f>Tableau1[[#This Row],[Conso HC / jour_x000D_
Instantané]]*365</f>
        <v>1089.7028334550016</v>
      </c>
      <c r="W666" s="79">
        <f>Tableau1[[#This Row],[Index HC_x000D_
kWh]]-$R$5</f>
        <v>-117188</v>
      </c>
      <c r="X666" s="82">
        <f>Tableau1[[#This Row],[Différence HC
Cumul]]/(Tableau1[[#This Row],[Diff jour_x000D_
Cumul]]*24)</f>
        <v>-5.2924267343091129</v>
      </c>
      <c r="Y666" s="82">
        <f>Tableau1[[#This Row],[Différence HC
Cumul]]/Tableau1[[#This Row],[Diff jour_x000D_
Cumul]]</f>
        <v>-127.0182416234187</v>
      </c>
      <c r="Z666" s="82">
        <f>Tableau1[[#This Row],[Conso HC / jour_x000D_
Cumul]]*365</f>
        <v>-46361.658192547824</v>
      </c>
      <c r="AA666" s="79">
        <f>Tableau1[[#This Row],[Différence HP
Instantané]]+Tableau1[[#This Row],[Différence_x000D_ HC
Instantané]]</f>
        <v>7</v>
      </c>
      <c r="AB666" s="80">
        <f>Tableau1[[#This Row],[Conso HP + HC
Instantané]]/(Tableau1[[#This Row],[Diff jour
Instantané]]*24)</f>
        <v>0.29025570145300655</v>
      </c>
      <c r="AC666" s="80">
        <f>IF(ISERROR(Tableau1[[#This Row],[Date]]-A665),"",Tableau1[[#This Row],[Conso HP + HC
Instantané]]/Tableau1[[#This Row],[Diff jour
Instantané]])</f>
        <v>6.9661368348721568</v>
      </c>
      <c r="AD666" s="80">
        <f>Tableau1[[#This Row],[Conso HP + HC / jour_x000D_
Instantané]]*365</f>
        <v>2542.6399447283375</v>
      </c>
      <c r="AE666" s="79">
        <f>Tableau1[[#This Row],[Différence HP
Cumul]]+Tableau1[[#This Row],[Différence HC
Cumul]]</f>
        <v>-292512</v>
      </c>
      <c r="AF666" s="77">
        <f>(Tableau1[[#This Row],[Conso HP + HC
Cumul]]-AE$6)/Tableau1[[#This Row],[Diff jour_x000D_
Cumul
depuis le 24/01]]</f>
        <v>-333.60643472048332</v>
      </c>
      <c r="AG666" s="77">
        <f>(Tableau1[[#This Row],[Conso HP + HC
Cumul]]-AE$59)/Tableau1[[#This Row],[Diff jour_x000D_
Cumul
depuis
précédente facture
16/02/2021]]</f>
        <v>-344.18483396668375</v>
      </c>
      <c r="AH666" s="80">
        <f>Tableau1[[#This Row],[Conso HP + HC
Cumul]]/(Tableau1[[#This Row],[Diff jour_x000D_
Cumul]]*24)</f>
        <v>-13.210382709033579</v>
      </c>
      <c r="AI666" s="80">
        <f>Tableau1[[#This Row],[Conso HP + HC
Cumul]]/Tableau1[[#This Row],[Diff jour_x000D_
Cumul]]</f>
        <v>-317.04918501680589</v>
      </c>
      <c r="AJ666" s="80">
        <f>Tableau1[[#This Row],[Conso HP + HC / jour_x000D_
Cumul]]*365</f>
        <v>-115722.95253113416</v>
      </c>
      <c r="AK666" s="83">
        <f>(Tableau1[[#This Row],[Différence HP
Cumul]]*0.1799)+(Tableau1[[#This Row],[Différence HC
Cumul]]*0.1346)</f>
        <v>-47314.292399999998</v>
      </c>
      <c r="AL666" s="83">
        <f>Tableau1[[#This Row],[Montant
Tarif HP/HC]]/Tableau1[[#This Row],[Diff jour_x000D_
Cumul]]</f>
        <v>-51.283222038982515</v>
      </c>
      <c r="AM666" s="83">
        <f>(Tableau1[[#This Row],[Montant
Tarif HP/HC]]-AK$6)/Tableau1[[#This Row],[Diff jour_x000D_
Cumul
depuis le 24/01]]</f>
        <v>-53.971064107747857</v>
      </c>
      <c r="AN666" s="83">
        <f>(Tableau1[[#This Row],[Montant
Tarif HP/HC]]-AK$59)/Tableau1[[#This Row],[Diff jour_x000D_
Cumul
depuis
précédente facture
16/02/2021]]</f>
        <v>-55.691398002235161</v>
      </c>
      <c r="AO666" s="83">
        <f>Tableau1[[#This Row],[Conso HP + HC
Cumul]]*0.1599</f>
        <v>-46772.668799999999</v>
      </c>
      <c r="AP666" s="83">
        <f>Tableau1[[#This Row],[Montant
Tarif normal]]/Tableau1[[#This Row],[Diff jour_x000D_
Cumul]]</f>
        <v>-50.696164684187266</v>
      </c>
      <c r="AQ666" s="83">
        <f>(Tableau1[[#This Row],[Conso HP / an
Cumul]]*0.1799)+(Tableau1[[#This Row],[Conso HC / an_x000D_
Cumul]]*0.1346)</f>
        <v>-18718.376044228618</v>
      </c>
      <c r="AR666" s="83">
        <f>Tableau1[[#This Row],[Conso HP + HC / an_x000D_
Cumul]]*0.1599</f>
        <v>-18504.100109728352</v>
      </c>
      <c r="AS666" s="79">
        <f>MONTH(Tableau1[[#This Row],[Date]])</f>
        <v>6</v>
      </c>
      <c r="AT666" s="79">
        <f>YEAR(Tableau1[[#This Row],[Date]])</f>
        <v>2023</v>
      </c>
    </row>
    <row r="667" spans="1:46" x14ac:dyDescent="0.2">
      <c r="A667" s="74">
        <v>45106.342361111114</v>
      </c>
      <c r="B667" s="75"/>
      <c r="C667" s="76">
        <f>IF(ISERROR(Tableau1[[#This Row],[Date]]-A666),"",Tableau1[[#This Row],[Date]]-A666)</f>
        <v>1.0263888888948713</v>
      </c>
      <c r="D667" s="77">
        <f>IF(ISERROR(Tableau1[[#This Row],[Date]]-A666),"",Tableau1[[#This Row],[Date]]-A666)</f>
        <v>1.0263888888948713</v>
      </c>
      <c r="E667" s="76">
        <f>Tableau1[[#This Row],[Date]]-$A$5</f>
        <v>923.6340277777781</v>
      </c>
      <c r="F667" s="77">
        <f>Tableau1[[#This Row],[Date]]-$A$5</f>
        <v>923.6340277777781</v>
      </c>
      <c r="G667" s="77">
        <f>Tableau1[[#This Row],[Diff jour_x000D_
Cumul]]-F$6</f>
        <v>885.55069444444962</v>
      </c>
      <c r="H667" s="77">
        <f>Tableau1[[#This Row],[Diff jour_x000D_
Cumul]]-F$59</f>
        <v>863.03125</v>
      </c>
      <c r="I667" s="78">
        <v>4442</v>
      </c>
      <c r="J667" s="79">
        <f>IF(ISERROR(Tableau1[[#This Row],[Index HP
kWh]]-I666),"",Tableau1[[#This Row],[Index HP
kWh]]-I666)</f>
        <v>7</v>
      </c>
      <c r="K667" s="77">
        <f>IF(ISERROR(Tableau1[[#This Row],[Différence HP
Instantané]]/(Tableau1[[#This Row],[Diff jour
Instantané]]*24)),"",Tableau1[[#This Row],[Différence HP
Instantané]]/(Tableau1[[#This Row],[Diff jour
Instantané]]*24))</f>
        <v>0.28416779431498779</v>
      </c>
      <c r="L667" s="77">
        <f>Tableau1[[#This Row],[Différence HP
Instantané]]/Tableau1[[#This Row],[Diff jour
Instantané]]</f>
        <v>6.8200270635597073</v>
      </c>
      <c r="M667" s="77">
        <f>Tableau1[[#This Row],[Conso HP / jour
Instantané]]*365</f>
        <v>2489.3098781992931</v>
      </c>
      <c r="N667" s="79">
        <f>Tableau1[[#This Row],[Index HP
kWh]]-$I$5</f>
        <v>-175317</v>
      </c>
      <c r="O667" s="80">
        <f>Tableau1[[#This Row],[Différence HP
Cumul]]/(Tableau1[[#This Row],[Diff jour_x000D_
Cumul]]*24)</f>
        <v>-7.9088413595752858</v>
      </c>
      <c r="P667" s="80">
        <f>Tableau1[[#This Row],[Différence HP
Cumul]]/Tableau1[[#This Row],[Diff jour_x000D_
Cumul]]</f>
        <v>-189.81219262980687</v>
      </c>
      <c r="Q667" s="80">
        <f>Tableau1[[#This Row],[Conso HP / jour
Cumul]]*365</f>
        <v>-69281.45030987951</v>
      </c>
      <c r="R667" s="78">
        <v>2246</v>
      </c>
      <c r="S667" s="79">
        <f>Tableau1[[#This Row],[Index HC_x000D_
kWh]]-R666</f>
        <v>2</v>
      </c>
      <c r="T667" s="81">
        <f>Tableau1[[#This Row],[Différence_x000D_ HC
Instantané]]/(Tableau1[[#This Row],[Diff jour
Instantané]]*24)</f>
        <v>8.1190798375710804E-2</v>
      </c>
      <c r="U667" s="81">
        <f>Tableau1[[#This Row],[Différence_x000D_ HC
Instantané]]/Tableau1[[#This Row],[Diff jour
Instantané]]</f>
        <v>1.9485791610170593</v>
      </c>
      <c r="V667" s="81">
        <f>Tableau1[[#This Row],[Conso HC / jour_x000D_
Instantané]]*365</f>
        <v>711.23139377122664</v>
      </c>
      <c r="W667" s="79">
        <f>Tableau1[[#This Row],[Index HC_x000D_
kWh]]-$R$5</f>
        <v>-117186</v>
      </c>
      <c r="X667" s="82">
        <f>Tableau1[[#This Row],[Différence HC
Cumul]]/(Tableau1[[#This Row],[Diff jour_x000D_
Cumul]]*24)</f>
        <v>-5.2864552984775548</v>
      </c>
      <c r="Y667" s="82">
        <f>Tableau1[[#This Row],[Différence HC
Cumul]]/Tableau1[[#This Row],[Diff jour_x000D_
Cumul]]</f>
        <v>-126.87492716346131</v>
      </c>
      <c r="Z667" s="82">
        <f>Tableau1[[#This Row],[Conso HC / jour_x000D_
Cumul]]*365</f>
        <v>-46309.348414663378</v>
      </c>
      <c r="AA667" s="79">
        <f>Tableau1[[#This Row],[Différence HP
Instantané]]+Tableau1[[#This Row],[Différence_x000D_ HC
Instantané]]</f>
        <v>9</v>
      </c>
      <c r="AB667" s="80">
        <f>Tableau1[[#This Row],[Conso HP + HC
Instantané]]/(Tableau1[[#This Row],[Diff jour
Instantané]]*24)</f>
        <v>0.36535859269069859</v>
      </c>
      <c r="AC667" s="80">
        <f>IF(ISERROR(Tableau1[[#This Row],[Date]]-A666),"",Tableau1[[#This Row],[Conso HP + HC
Instantané]]/Tableau1[[#This Row],[Diff jour
Instantané]])</f>
        <v>8.7686062245767662</v>
      </c>
      <c r="AD667" s="80">
        <f>Tableau1[[#This Row],[Conso HP + HC / jour_x000D_
Instantané]]*365</f>
        <v>3200.5412719705196</v>
      </c>
      <c r="AE667" s="79">
        <f>Tableau1[[#This Row],[Différence HP
Cumul]]+Tableau1[[#This Row],[Différence HC
Cumul]]</f>
        <v>-292503</v>
      </c>
      <c r="AF667" s="77">
        <f>(Tableau1[[#This Row],[Conso HP + HC
Cumul]]-AE$6)/Tableau1[[#This Row],[Diff jour_x000D_
Cumul
depuis le 24/01]]</f>
        <v>-333.20960827105978</v>
      </c>
      <c r="AG667" s="77">
        <f>(Tableau1[[#This Row],[Conso HP + HC
Cumul]]-AE$59)/Tableau1[[#This Row],[Diff jour_x000D_
Cumul
depuis
précédente facture
16/02/2021]]</f>
        <v>-343.76507223811421</v>
      </c>
      <c r="AH667" s="80">
        <f>Tableau1[[#This Row],[Conso HP + HC
Cumul]]/(Tableau1[[#This Row],[Diff jour_x000D_
Cumul]]*24)</f>
        <v>-13.195296658052841</v>
      </c>
      <c r="AI667" s="80">
        <f>Tableau1[[#This Row],[Conso HP + HC
Cumul]]/Tableau1[[#This Row],[Diff jour_x000D_
Cumul]]</f>
        <v>-316.68711979326815</v>
      </c>
      <c r="AJ667" s="80">
        <f>Tableau1[[#This Row],[Conso HP + HC / jour_x000D_
Cumul]]*365</f>
        <v>-115590.79872454288</v>
      </c>
      <c r="AK667" s="83">
        <f>(Tableau1[[#This Row],[Différence HP
Cumul]]*0.1799)+(Tableau1[[#This Row],[Différence HC
Cumul]]*0.1346)</f>
        <v>-47312.763900000005</v>
      </c>
      <c r="AL667" s="83">
        <f>Tableau1[[#This Row],[Montant
Tarif HP/HC]]/Tableau1[[#This Row],[Diff jour_x000D_
Cumul]]</f>
        <v>-51.224578650304153</v>
      </c>
      <c r="AM667" s="83">
        <f>(Tableau1[[#This Row],[Montant
Tarif HP/HC]]-AK$6)/Tableau1[[#This Row],[Diff jour_x000D_
Cumul
depuis le 24/01]]</f>
        <v>-53.906783428076857</v>
      </c>
      <c r="AN667" s="83">
        <f>(Tableau1[[#This Row],[Montant
Tarif HP/HC]]-AK$59)/Tableau1[[#This Row],[Diff jour_x000D_
Cumul
depuis
précédente facture
16/02/2021]]</f>
        <v>-55.6233940543868</v>
      </c>
      <c r="AO667" s="83">
        <f>Tableau1[[#This Row],[Conso HP + HC
Cumul]]*0.1599</f>
        <v>-46771.229699999996</v>
      </c>
      <c r="AP667" s="83">
        <f>Tableau1[[#This Row],[Montant
Tarif normal]]/Tableau1[[#This Row],[Diff jour_x000D_
Cumul]]</f>
        <v>-50.63827045494358</v>
      </c>
      <c r="AQ667" s="83">
        <f>(Tableau1[[#This Row],[Conso HP / an
Cumul]]*0.1799)+(Tableau1[[#This Row],[Conso HC / an_x000D_
Cumul]]*0.1346)</f>
        <v>-18696.971207361014</v>
      </c>
      <c r="AR667" s="83">
        <f>Tableau1[[#This Row],[Conso HP + HC / an_x000D_
Cumul]]*0.1599</f>
        <v>-18482.968716054405</v>
      </c>
      <c r="AS667" s="79">
        <f>MONTH(Tableau1[[#This Row],[Date]])</f>
        <v>6</v>
      </c>
      <c r="AT667" s="79">
        <f>YEAR(Tableau1[[#This Row],[Date]])</f>
        <v>2023</v>
      </c>
    </row>
    <row r="668" spans="1:46" x14ac:dyDescent="0.2">
      <c r="A668" s="74">
        <v>45107.288194444445</v>
      </c>
      <c r="B668" s="75"/>
      <c r="C668" s="76">
        <f>IF(ISERROR(Tableau1[[#This Row],[Date]]-A667),"",Tableau1[[#This Row],[Date]]-A667)</f>
        <v>0.94583333333139308</v>
      </c>
      <c r="D668" s="77">
        <f>IF(ISERROR(Tableau1[[#This Row],[Date]]-A667),"",Tableau1[[#This Row],[Date]]-A667)</f>
        <v>0.94583333333139308</v>
      </c>
      <c r="E668" s="76">
        <f>Tableau1[[#This Row],[Date]]-$A$5</f>
        <v>924.57986111110949</v>
      </c>
      <c r="F668" s="77">
        <f>Tableau1[[#This Row],[Date]]-$A$5</f>
        <v>924.57986111110949</v>
      </c>
      <c r="G668" s="77">
        <f>Tableau1[[#This Row],[Diff jour_x000D_
Cumul]]-F$6</f>
        <v>886.49652777778101</v>
      </c>
      <c r="H668" s="77">
        <f>Tableau1[[#This Row],[Diff jour_x000D_
Cumul]]-F$59</f>
        <v>863.97708333333139</v>
      </c>
      <c r="I668" s="78">
        <v>4447</v>
      </c>
      <c r="J668" s="79">
        <f>IF(ISERROR(Tableau1[[#This Row],[Index HP
kWh]]-I667),"",Tableau1[[#This Row],[Index HP
kWh]]-I667)</f>
        <v>5</v>
      </c>
      <c r="K668" s="77">
        <f>IF(ISERROR(Tableau1[[#This Row],[Différence HP
Instantané]]/(Tableau1[[#This Row],[Diff jour
Instantané]]*24)),"",Tableau1[[#This Row],[Différence HP
Instantané]]/(Tableau1[[#This Row],[Diff jour
Instantané]]*24))</f>
        <v>0.22026431718106859</v>
      </c>
      <c r="L668" s="77">
        <f>Tableau1[[#This Row],[Différence HP
Instantané]]/Tableau1[[#This Row],[Diff jour
Instantané]]</f>
        <v>5.2863436123456458</v>
      </c>
      <c r="M668" s="77">
        <f>Tableau1[[#This Row],[Conso HP / jour
Instantané]]*365</f>
        <v>1929.5154185061608</v>
      </c>
      <c r="N668" s="79">
        <f>Tableau1[[#This Row],[Index HP
kWh]]-$I$5</f>
        <v>-175312</v>
      </c>
      <c r="O668" s="80">
        <f>Tableau1[[#This Row],[Différence HP
Cumul]]/(Tableau1[[#This Row],[Diff jour_x000D_
Cumul]]*24)</f>
        <v>-7.9005253887839588</v>
      </c>
      <c r="P668" s="80">
        <f>Tableau1[[#This Row],[Différence HP
Cumul]]/Tableau1[[#This Row],[Diff jour_x000D_
Cumul]]</f>
        <v>-189.61260933081499</v>
      </c>
      <c r="Q668" s="80">
        <f>Tableau1[[#This Row],[Conso HP / jour
Cumul]]*365</f>
        <v>-69208.602405747471</v>
      </c>
      <c r="R668" s="78">
        <v>2248</v>
      </c>
      <c r="S668" s="79">
        <f>Tableau1[[#This Row],[Index HC_x000D_
kWh]]-R667</f>
        <v>2</v>
      </c>
      <c r="T668" s="81">
        <f>Tableau1[[#This Row],[Différence_x000D_ HC
Instantané]]/(Tableau1[[#This Row],[Diff jour
Instantané]]*24)</f>
        <v>8.8105726872427431E-2</v>
      </c>
      <c r="U668" s="81">
        <f>Tableau1[[#This Row],[Différence_x000D_ HC
Instantané]]/Tableau1[[#This Row],[Diff jour
Instantané]]</f>
        <v>2.1145374449382586</v>
      </c>
      <c r="V668" s="81">
        <f>Tableau1[[#This Row],[Conso HC / jour_x000D_
Instantané]]*365</f>
        <v>771.80616740246433</v>
      </c>
      <c r="W668" s="79">
        <f>Tableau1[[#This Row],[Index HC_x000D_
kWh]]-$R$5</f>
        <v>-117184</v>
      </c>
      <c r="X668" s="82">
        <f>Tableau1[[#This Row],[Différence HC
Cumul]]/(Tableau1[[#This Row],[Diff jour_x000D_
Cumul]]*24)</f>
        <v>-5.2809571915171771</v>
      </c>
      <c r="Y668" s="82">
        <f>Tableau1[[#This Row],[Différence HC
Cumul]]/Tableau1[[#This Row],[Diff jour_x000D_
Cumul]]</f>
        <v>-126.74297259641226</v>
      </c>
      <c r="Z668" s="82">
        <f>Tableau1[[#This Row],[Conso HC / jour_x000D_
Cumul]]*365</f>
        <v>-46261.184997690478</v>
      </c>
      <c r="AA668" s="79">
        <f>Tableau1[[#This Row],[Différence HP
Instantané]]+Tableau1[[#This Row],[Différence_x000D_ HC
Instantané]]</f>
        <v>7</v>
      </c>
      <c r="AB668" s="80">
        <f>Tableau1[[#This Row],[Conso HP + HC
Instantané]]/(Tableau1[[#This Row],[Diff jour
Instantané]]*24)</f>
        <v>0.308370044053496</v>
      </c>
      <c r="AC668" s="80">
        <f>IF(ISERROR(Tableau1[[#This Row],[Date]]-A667),"",Tableau1[[#This Row],[Conso HP + HC
Instantané]]/Tableau1[[#This Row],[Diff jour
Instantané]])</f>
        <v>7.4008810572839048</v>
      </c>
      <c r="AD668" s="80">
        <f>Tableau1[[#This Row],[Conso HP + HC / jour_x000D_
Instantané]]*365</f>
        <v>2701.3215859086254</v>
      </c>
      <c r="AE668" s="79">
        <f>Tableau1[[#This Row],[Différence HP
Cumul]]+Tableau1[[#This Row],[Différence HC
Cumul]]</f>
        <v>-292496</v>
      </c>
      <c r="AF668" s="77">
        <f>(Tableau1[[#This Row],[Conso HP + HC
Cumul]]-AE$6)/Tableau1[[#This Row],[Diff jour_x000D_
Cumul
depuis le 24/01]]</f>
        <v>-332.84619934119445</v>
      </c>
      <c r="AG668" s="77">
        <f>(Tableau1[[#This Row],[Conso HP + HC
Cumul]]-AE$59)/Tableau1[[#This Row],[Diff jour_x000D_
Cumul
depuis
précédente facture
16/02/2021]]</f>
        <v>-343.38063557820141</v>
      </c>
      <c r="AH668" s="80">
        <f>Tableau1[[#This Row],[Conso HP + HC
Cumul]]/(Tableau1[[#This Row],[Diff jour_x000D_
Cumul]]*24)</f>
        <v>-13.181482580301136</v>
      </c>
      <c r="AI668" s="80">
        <f>Tableau1[[#This Row],[Conso HP + HC
Cumul]]/Tableau1[[#This Row],[Diff jour_x000D_
Cumul]]</f>
        <v>-316.35558192722726</v>
      </c>
      <c r="AJ668" s="80">
        <f>Tableau1[[#This Row],[Conso HP + HC / jour_x000D_
Cumul]]*365</f>
        <v>-115469.78740343795</v>
      </c>
      <c r="AK668" s="83">
        <f>(Tableau1[[#This Row],[Différence HP
Cumul]]*0.1799)+(Tableau1[[#This Row],[Différence HC
Cumul]]*0.1346)</f>
        <v>-47311.595200000003</v>
      </c>
      <c r="AL668" s="83">
        <f>Tableau1[[#This Row],[Montant
Tarif HP/HC]]/Tableau1[[#This Row],[Diff jour_x000D_
Cumul]]</f>
        <v>-51.17091253009071</v>
      </c>
      <c r="AM668" s="83">
        <f>(Tableau1[[#This Row],[Montant
Tarif HP/HC]]-AK$6)/Tableau1[[#This Row],[Diff jour_x000D_
Cumul
depuis le 24/01]]</f>
        <v>-53.847950109474141</v>
      </c>
      <c r="AN668" s="83">
        <f>(Tableau1[[#This Row],[Montant
Tarif HP/HC]]-AK$59)/Tableau1[[#This Row],[Diff jour_x000D_
Cumul
depuis
précédente facture
16/02/2021]]</f>
        <v>-55.561148004986755</v>
      </c>
      <c r="AO668" s="83">
        <f>Tableau1[[#This Row],[Conso HP + HC
Cumul]]*0.1599</f>
        <v>-46770.110399999998</v>
      </c>
      <c r="AP668" s="83">
        <f>Tableau1[[#This Row],[Montant
Tarif normal]]/Tableau1[[#This Row],[Diff jour_x000D_
Cumul]]</f>
        <v>-50.585257550163639</v>
      </c>
      <c r="AQ668" s="83">
        <f>(Tableau1[[#This Row],[Conso HP / an
Cumul]]*0.1799)+(Tableau1[[#This Row],[Conso HC / an_x000D_
Cumul]]*0.1346)</f>
        <v>-18677.383073483106</v>
      </c>
      <c r="AR668" s="83">
        <f>Tableau1[[#This Row],[Conso HP + HC / an_x000D_
Cumul]]*0.1599</f>
        <v>-18463.619005809727</v>
      </c>
      <c r="AS668" s="79">
        <f>MONTH(Tableau1[[#This Row],[Date]])</f>
        <v>6</v>
      </c>
      <c r="AT668" s="79">
        <f>YEAR(Tableau1[[#This Row],[Date]])</f>
        <v>2023</v>
      </c>
    </row>
    <row r="669" spans="1:46" x14ac:dyDescent="0.2">
      <c r="A669" s="74">
        <v>45108.3125</v>
      </c>
      <c r="B669" s="75"/>
      <c r="C669" s="76">
        <f>IF(ISERROR(Tableau1[[#This Row],[Date]]-A668),"",Tableau1[[#This Row],[Date]]-A668)</f>
        <v>1.0243055555547471</v>
      </c>
      <c r="D669" s="77">
        <f>IF(ISERROR(Tableau1[[#This Row],[Date]]-A668),"",Tableau1[[#This Row],[Date]]-A668)</f>
        <v>1.0243055555547471</v>
      </c>
      <c r="E669" s="76">
        <f>Tableau1[[#This Row],[Date]]-$A$5</f>
        <v>925.60416666666424</v>
      </c>
      <c r="F669" s="77">
        <f>Tableau1[[#This Row],[Date]]-$A$5</f>
        <v>925.60416666666424</v>
      </c>
      <c r="G669" s="77">
        <f>Tableau1[[#This Row],[Diff jour_x000D_
Cumul]]-F$6</f>
        <v>887.52083333333576</v>
      </c>
      <c r="H669" s="77">
        <f>Tableau1[[#This Row],[Diff jour_x000D_
Cumul]]-F$59</f>
        <v>865.00138888888614</v>
      </c>
      <c r="I669" s="78">
        <v>4451</v>
      </c>
      <c r="J669" s="79">
        <f>IF(ISERROR(Tableau1[[#This Row],[Index HP
kWh]]-I668),"",Tableau1[[#This Row],[Index HP
kWh]]-I668)</f>
        <v>4</v>
      </c>
      <c r="K669" s="77">
        <f>IF(ISERROR(Tableau1[[#This Row],[Différence HP
Instantané]]/(Tableau1[[#This Row],[Diff jour
Instantané]]*24)),"",Tableau1[[#This Row],[Différence HP
Instantané]]/(Tableau1[[#This Row],[Diff jour
Instantané]]*24))</f>
        <v>0.16271186440690807</v>
      </c>
      <c r="L669" s="77">
        <f>Tableau1[[#This Row],[Différence HP
Instantané]]/Tableau1[[#This Row],[Diff jour
Instantané]]</f>
        <v>3.905084745765794</v>
      </c>
      <c r="M669" s="77">
        <f>Tableau1[[#This Row],[Conso HP / jour
Instantané]]*365</f>
        <v>1425.3559322045148</v>
      </c>
      <c r="N669" s="79">
        <f>Tableau1[[#This Row],[Index HP
kWh]]-$I$5</f>
        <v>-175308</v>
      </c>
      <c r="O669" s="80">
        <f>Tableau1[[#This Row],[Différence HP
Cumul]]/(Tableau1[[#This Row],[Diff jour_x000D_
Cumul]]*24)</f>
        <v>-7.8916023318103248</v>
      </c>
      <c r="P669" s="80">
        <f>Tableau1[[#This Row],[Différence HP
Cumul]]/Tableau1[[#This Row],[Diff jour_x000D_
Cumul]]</f>
        <v>-189.39845596344779</v>
      </c>
      <c r="Q669" s="80">
        <f>Tableau1[[#This Row],[Conso HP / jour
Cumul]]*365</f>
        <v>-69130.436426658445</v>
      </c>
      <c r="R669" s="78">
        <v>2250</v>
      </c>
      <c r="S669" s="79">
        <f>Tableau1[[#This Row],[Index HC_x000D_
kWh]]-R668</f>
        <v>2</v>
      </c>
      <c r="T669" s="81">
        <f>Tableau1[[#This Row],[Différence_x000D_ HC
Instantané]]/(Tableau1[[#This Row],[Diff jour
Instantané]]*24)</f>
        <v>8.1355932203454037E-2</v>
      </c>
      <c r="U669" s="81">
        <f>Tableau1[[#This Row],[Différence_x000D_ HC
Instantané]]/Tableau1[[#This Row],[Diff jour
Instantané]]</f>
        <v>1.952542372882897</v>
      </c>
      <c r="V669" s="81">
        <f>Tableau1[[#This Row],[Conso HC / jour_x000D_
Instantané]]*365</f>
        <v>712.67796610225741</v>
      </c>
      <c r="W669" s="79">
        <f>Tableau1[[#This Row],[Index HC_x000D_
kWh]]-$R$5</f>
        <v>-117182</v>
      </c>
      <c r="X669" s="82">
        <f>Tableau1[[#This Row],[Différence HC
Cumul]]/(Tableau1[[#This Row],[Diff jour_x000D_
Cumul]]*24)</f>
        <v>-5.2750230705170189</v>
      </c>
      <c r="Y669" s="82">
        <f>Tableau1[[#This Row],[Différence HC
Cumul]]/Tableau1[[#This Row],[Diff jour_x000D_
Cumul]]</f>
        <v>-126.60055369240844</v>
      </c>
      <c r="Z669" s="82">
        <f>Tableau1[[#This Row],[Conso HC / jour_x000D_
Cumul]]*365</f>
        <v>-46209.202097729081</v>
      </c>
      <c r="AA669" s="79">
        <f>Tableau1[[#This Row],[Différence HP
Instantané]]+Tableau1[[#This Row],[Différence_x000D_ HC
Instantané]]</f>
        <v>6</v>
      </c>
      <c r="AB669" s="80">
        <f>Tableau1[[#This Row],[Conso HP + HC
Instantané]]/(Tableau1[[#This Row],[Diff jour
Instantané]]*24)</f>
        <v>0.24406779661036213</v>
      </c>
      <c r="AC669" s="80">
        <f>IF(ISERROR(Tableau1[[#This Row],[Date]]-A668),"",Tableau1[[#This Row],[Conso HP + HC
Instantané]]/Tableau1[[#This Row],[Diff jour
Instantané]])</f>
        <v>5.8576271186486908</v>
      </c>
      <c r="AD669" s="80">
        <f>Tableau1[[#This Row],[Conso HP + HC / jour_x000D_
Instantané]]*365</f>
        <v>2138.0338983067722</v>
      </c>
      <c r="AE669" s="79">
        <f>Tableau1[[#This Row],[Différence HP
Cumul]]+Tableau1[[#This Row],[Différence HC
Cumul]]</f>
        <v>-292490</v>
      </c>
      <c r="AF669" s="77">
        <f>(Tableau1[[#This Row],[Conso HP + HC
Cumul]]-AE$6)/Tableau1[[#This Row],[Diff jour_x000D_
Cumul
depuis le 24/01]]</f>
        <v>-332.45529447665456</v>
      </c>
      <c r="AG669" s="77">
        <f>(Tableau1[[#This Row],[Conso HP + HC
Cumul]]-AE$59)/Tableau1[[#This Row],[Diff jour_x000D_
Cumul
depuis
précédente facture
16/02/2021]]</f>
        <v>-342.96707937206378</v>
      </c>
      <c r="AH669" s="80">
        <f>Tableau1[[#This Row],[Conso HP + HC
Cumul]]/(Tableau1[[#This Row],[Diff jour_x000D_
Cumul]]*24)</f>
        <v>-13.166625402327343</v>
      </c>
      <c r="AI669" s="80">
        <f>Tableau1[[#This Row],[Conso HP + HC
Cumul]]/Tableau1[[#This Row],[Diff jour_x000D_
Cumul]]</f>
        <v>-315.99900965585624</v>
      </c>
      <c r="AJ669" s="80">
        <f>Tableau1[[#This Row],[Conso HP + HC / jour_x000D_
Cumul]]*365</f>
        <v>-115339.63852438753</v>
      </c>
      <c r="AK669" s="83">
        <f>(Tableau1[[#This Row],[Différence HP
Cumul]]*0.1799)+(Tableau1[[#This Row],[Différence HC
Cumul]]*0.1346)</f>
        <v>-47310.606400000004</v>
      </c>
      <c r="AL669" s="83">
        <f>Tableau1[[#This Row],[Montant
Tarif HP/HC]]/Tableau1[[#This Row],[Diff jour_x000D_
Cumul]]</f>
        <v>-51.113216754822439</v>
      </c>
      <c r="AM669" s="83">
        <f>(Tableau1[[#This Row],[Montant
Tarif HP/HC]]-AK$6)/Tableau1[[#This Row],[Diff jour_x000D_
Cumul
depuis le 24/01]]</f>
        <v>-53.784688997910706</v>
      </c>
      <c r="AN669" s="83">
        <f>(Tableau1[[#This Row],[Montant
Tarif HP/HC]]-AK$59)/Tableau1[[#This Row],[Diff jour_x000D_
Cumul
depuis
précédente facture
16/02/2021]]</f>
        <v>-55.494211242435568</v>
      </c>
      <c r="AO669" s="83">
        <f>Tableau1[[#This Row],[Conso HP + HC
Cumul]]*0.1599</f>
        <v>-46769.150999999998</v>
      </c>
      <c r="AP669" s="83">
        <f>Tableau1[[#This Row],[Montant
Tarif normal]]/Tableau1[[#This Row],[Diff jour_x000D_
Cumul]]</f>
        <v>-50.528241643971413</v>
      </c>
      <c r="AQ669" s="83">
        <f>(Tableau1[[#This Row],[Conso HP / an
Cumul]]*0.1799)+(Tableau1[[#This Row],[Conso HC / an_x000D_
Cumul]]*0.1346)</f>
        <v>-18656.32411551019</v>
      </c>
      <c r="AR669" s="83">
        <f>Tableau1[[#This Row],[Conso HP + HC / an_x000D_
Cumul]]*0.1599</f>
        <v>-18442.808200049563</v>
      </c>
      <c r="AS669" s="79">
        <f>MONTH(Tableau1[[#This Row],[Date]])</f>
        <v>7</v>
      </c>
      <c r="AT669" s="79">
        <f>YEAR(Tableau1[[#This Row],[Date]])</f>
        <v>2023</v>
      </c>
    </row>
    <row r="670" spans="1:46" x14ac:dyDescent="0.2">
      <c r="A670" s="74">
        <v>45110.324305555558</v>
      </c>
      <c r="B670" s="75"/>
      <c r="C670" s="76">
        <f>IF(ISERROR(Tableau1[[#This Row],[Date]]-A669),"",Tableau1[[#This Row],[Date]]-A669)</f>
        <v>2.0118055555576575</v>
      </c>
      <c r="D670" s="77">
        <f>IF(ISERROR(Tableau1[[#This Row],[Date]]-A669),"",Tableau1[[#This Row],[Date]]-A669)</f>
        <v>2.0118055555576575</v>
      </c>
      <c r="E670" s="76">
        <f>Tableau1[[#This Row],[Date]]-$A$5</f>
        <v>927.6159722222219</v>
      </c>
      <c r="F670" s="77">
        <f>Tableau1[[#This Row],[Date]]-$A$5</f>
        <v>927.6159722222219</v>
      </c>
      <c r="G670" s="77">
        <f>Tableau1[[#This Row],[Diff jour_x000D_
Cumul]]-F$6</f>
        <v>889.53263888889342</v>
      </c>
      <c r="H670" s="77">
        <f>Tableau1[[#This Row],[Diff jour_x000D_
Cumul]]-F$59</f>
        <v>867.0131944444438</v>
      </c>
      <c r="I670" s="78">
        <v>4459</v>
      </c>
      <c r="J670" s="79">
        <f>IF(ISERROR(Tableau1[[#This Row],[Index HP
kWh]]-I669),"",Tableau1[[#This Row],[Index HP
kWh]]-I669)</f>
        <v>8</v>
      </c>
      <c r="K670" s="77">
        <f>IF(ISERROR(Tableau1[[#This Row],[Différence HP
Instantané]]/(Tableau1[[#This Row],[Diff jour
Instantané]]*24)),"",Tableau1[[#This Row],[Différence HP
Instantané]]/(Tableau1[[#This Row],[Diff jour
Instantané]]*24))</f>
        <v>0.16568864342405884</v>
      </c>
      <c r="L670" s="77">
        <f>Tableau1[[#This Row],[Différence HP
Instantané]]/Tableau1[[#This Row],[Diff jour
Instantané]]</f>
        <v>3.9765274421774124</v>
      </c>
      <c r="M670" s="77">
        <f>Tableau1[[#This Row],[Conso HP / jour
Instantané]]*365</f>
        <v>1451.4325163947556</v>
      </c>
      <c r="N670" s="79">
        <f>Tableau1[[#This Row],[Index HP
kWh]]-$I$5</f>
        <v>-175300</v>
      </c>
      <c r="O670" s="80">
        <f>Tableau1[[#This Row],[Différence HP
Cumul]]/(Tableau1[[#This Row],[Diff jour_x000D_
Cumul]]*24)</f>
        <v>-7.8741277483273686</v>
      </c>
      <c r="P670" s="80">
        <f>Tableau1[[#This Row],[Différence HP
Cumul]]/Tableau1[[#This Row],[Diff jour_x000D_
Cumul]]</f>
        <v>-188.97906595985683</v>
      </c>
      <c r="Q670" s="80">
        <f>Tableau1[[#This Row],[Conso HP / jour
Cumul]]*365</f>
        <v>-68977.359075347747</v>
      </c>
      <c r="R670" s="78">
        <v>2255</v>
      </c>
      <c r="S670" s="79">
        <f>Tableau1[[#This Row],[Index HC_x000D_
kWh]]-R669</f>
        <v>5</v>
      </c>
      <c r="T670" s="81">
        <f>Tableau1[[#This Row],[Différence_x000D_ HC
Instantané]]/(Tableau1[[#This Row],[Diff jour
Instantané]]*24)</f>
        <v>0.10355540214003678</v>
      </c>
      <c r="U670" s="81">
        <f>Tableau1[[#This Row],[Différence_x000D_ HC
Instantané]]/Tableau1[[#This Row],[Diff jour
Instantané]]</f>
        <v>2.4853296513608827</v>
      </c>
      <c r="V670" s="81">
        <f>Tableau1[[#This Row],[Conso HC / jour_x000D_
Instantané]]*365</f>
        <v>907.14532274672217</v>
      </c>
      <c r="W670" s="79">
        <f>Tableau1[[#This Row],[Index HC_x000D_
kWh]]-$R$5</f>
        <v>-117177</v>
      </c>
      <c r="X670" s="82">
        <f>Tableau1[[#This Row],[Différence HC
Cumul]]/(Tableau1[[#This Row],[Diff jour_x000D_
Cumul]]*24)</f>
        <v>-5.2633580557088191</v>
      </c>
      <c r="Y670" s="82">
        <f>Tableau1[[#This Row],[Différence HC
Cumul]]/Tableau1[[#This Row],[Diff jour_x000D_
Cumul]]</f>
        <v>-126.32059333701166</v>
      </c>
      <c r="Z670" s="82">
        <f>Tableau1[[#This Row],[Conso HC / jour_x000D_
Cumul]]*365</f>
        <v>-46107.016568009254</v>
      </c>
      <c r="AA670" s="79">
        <f>Tableau1[[#This Row],[Différence HP
Instantané]]+Tableau1[[#This Row],[Différence_x000D_ HC
Instantané]]</f>
        <v>13</v>
      </c>
      <c r="AB670" s="80">
        <f>Tableau1[[#This Row],[Conso HP + HC
Instantané]]/(Tableau1[[#This Row],[Diff jour
Instantané]]*24)</f>
        <v>0.26924404556409565</v>
      </c>
      <c r="AC670" s="80">
        <f>IF(ISERROR(Tableau1[[#This Row],[Date]]-A669),"",Tableau1[[#This Row],[Conso HP + HC
Instantané]]/Tableau1[[#This Row],[Diff jour
Instantané]])</f>
        <v>6.4618570935382955</v>
      </c>
      <c r="AD670" s="80">
        <f>Tableau1[[#This Row],[Conso HP + HC / jour_x000D_
Instantané]]*365</f>
        <v>2358.5778391414779</v>
      </c>
      <c r="AE670" s="79">
        <f>Tableau1[[#This Row],[Différence HP
Cumul]]+Tableau1[[#This Row],[Différence HC
Cumul]]</f>
        <v>-292477</v>
      </c>
      <c r="AF670" s="77">
        <f>(Tableau1[[#This Row],[Conso HP + HC
Cumul]]-AE$6)/Tableau1[[#This Row],[Diff jour_x000D_
Cumul
depuis le 24/01]]</f>
        <v>-331.68878476290831</v>
      </c>
      <c r="AG670" s="77">
        <f>(Tableau1[[#This Row],[Conso HP + HC
Cumul]]-AE$59)/Tableau1[[#This Row],[Diff jour_x000D_
Cumul
depuis
précédente facture
16/02/2021]]</f>
        <v>-342.1562692481134</v>
      </c>
      <c r="AH670" s="80">
        <f>Tableau1[[#This Row],[Conso HP + HC
Cumul]]/(Tableau1[[#This Row],[Diff jour_x000D_
Cumul]]*24)</f>
        <v>-13.137485804036187</v>
      </c>
      <c r="AI670" s="80">
        <f>Tableau1[[#This Row],[Conso HP + HC
Cumul]]/Tableau1[[#This Row],[Diff jour_x000D_
Cumul]]</f>
        <v>-315.29965929686853</v>
      </c>
      <c r="AJ670" s="80">
        <f>Tableau1[[#This Row],[Conso HP + HC / jour_x000D_
Cumul]]*365</f>
        <v>-115084.37564335701</v>
      </c>
      <c r="AK670" s="83">
        <f>(Tableau1[[#This Row],[Différence HP
Cumul]]*0.1799)+(Tableau1[[#This Row],[Différence HC
Cumul]]*0.1346)</f>
        <v>-47308.494200000001</v>
      </c>
      <c r="AL670" s="83">
        <f>Tableau1[[#This Row],[Montant
Tarif HP/HC]]/Tableau1[[#This Row],[Diff jour_x000D_
Cumul]]</f>
        <v>-51.000085829340016</v>
      </c>
      <c r="AM670" s="83">
        <f>(Tableau1[[#This Row],[Montant
Tarif HP/HC]]-AK$6)/Tableau1[[#This Row],[Diff jour_x000D_
Cumul
depuis le 24/01]]</f>
        <v>-53.660672709685763</v>
      </c>
      <c r="AN670" s="83">
        <f>(Tableau1[[#This Row],[Montant
Tarif HP/HC]]-AK$59)/Tableau1[[#This Row],[Diff jour_x000D_
Cumul
depuis
précédente facture
16/02/2021]]</f>
        <v>-55.363007054070572</v>
      </c>
      <c r="AO670" s="83">
        <f>Tableau1[[#This Row],[Conso HP + HC
Cumul]]*0.1599</f>
        <v>-46767.072299999993</v>
      </c>
      <c r="AP670" s="83">
        <f>Tableau1[[#This Row],[Montant
Tarif normal]]/Tableau1[[#This Row],[Diff jour_x000D_
Cumul]]</f>
        <v>-50.416415521569263</v>
      </c>
      <c r="AQ670" s="83">
        <f>(Tableau1[[#This Row],[Conso HP / an
Cumul]]*0.1799)+(Tableau1[[#This Row],[Conso HC / an_x000D_
Cumul]]*0.1346)</f>
        <v>-18615.031327709105</v>
      </c>
      <c r="AR670" s="83">
        <f>Tableau1[[#This Row],[Conso HP + HC / an_x000D_
Cumul]]*0.1599</f>
        <v>-18401.991665372785</v>
      </c>
      <c r="AS670" s="79">
        <f>MONTH(Tableau1[[#This Row],[Date]])</f>
        <v>7</v>
      </c>
      <c r="AT670" s="79">
        <f>YEAR(Tableau1[[#This Row],[Date]])</f>
        <v>2023</v>
      </c>
    </row>
    <row r="671" spans="1:46" x14ac:dyDescent="0.2">
      <c r="A671" s="74">
        <v>45111.316666666666</v>
      </c>
      <c r="B671" s="75"/>
      <c r="C671" s="76">
        <f>IF(ISERROR(Tableau1[[#This Row],[Date]]-A670),"",Tableau1[[#This Row],[Date]]-A670)</f>
        <v>0.99236111110803904</v>
      </c>
      <c r="D671" s="77">
        <f>IF(ISERROR(Tableau1[[#This Row],[Date]]-A670),"",Tableau1[[#This Row],[Date]]-A670)</f>
        <v>0.99236111110803904</v>
      </c>
      <c r="E671" s="76">
        <f>Tableau1[[#This Row],[Date]]-$A$5</f>
        <v>928.60833333332994</v>
      </c>
      <c r="F671" s="77">
        <f>Tableau1[[#This Row],[Date]]-$A$5</f>
        <v>928.60833333332994</v>
      </c>
      <c r="G671" s="77">
        <f>Tableau1[[#This Row],[Diff jour_x000D_
Cumul]]-F$6</f>
        <v>890.52500000000146</v>
      </c>
      <c r="H671" s="77">
        <f>Tableau1[[#This Row],[Diff jour_x000D_
Cumul]]-F$59</f>
        <v>868.00555555555184</v>
      </c>
      <c r="I671" s="78">
        <v>4464</v>
      </c>
      <c r="J671" s="79">
        <f>IF(ISERROR(Tableau1[[#This Row],[Index HP
kWh]]-I670),"",Tableau1[[#This Row],[Index HP
kWh]]-I670)</f>
        <v>5</v>
      </c>
      <c r="K671" s="77">
        <f>IF(ISERROR(Tableau1[[#This Row],[Différence HP
Instantané]]/(Tableau1[[#This Row],[Diff jour
Instantané]]*24)),"",Tableau1[[#This Row],[Différence HP
Instantané]]/(Tableau1[[#This Row],[Diff jour
Instantané]]*24))</f>
        <v>0.20993701889498162</v>
      </c>
      <c r="L671" s="77">
        <f>Tableau1[[#This Row],[Différence HP
Instantané]]/Tableau1[[#This Row],[Diff jour
Instantané]]</f>
        <v>5.0384884534795589</v>
      </c>
      <c r="M671" s="77">
        <f>Tableau1[[#This Row],[Conso HP / jour
Instantané]]*365</f>
        <v>1839.0482855200389</v>
      </c>
      <c r="N671" s="79">
        <f>Tableau1[[#This Row],[Index HP
kWh]]-$I$5</f>
        <v>-175295</v>
      </c>
      <c r="O671" s="80">
        <f>Tableau1[[#This Row],[Différence HP
Cumul]]/(Tableau1[[#This Row],[Diff jour_x000D_
Cumul]]*24)</f>
        <v>-7.8654886792961083</v>
      </c>
      <c r="P671" s="80">
        <f>Tableau1[[#This Row],[Différence HP
Cumul]]/Tableau1[[#This Row],[Diff jour_x000D_
Cumul]]</f>
        <v>-188.77172830310658</v>
      </c>
      <c r="Q671" s="80">
        <f>Tableau1[[#This Row],[Conso HP / jour
Cumul]]*365</f>
        <v>-68901.680830633908</v>
      </c>
      <c r="R671" s="78">
        <v>2257</v>
      </c>
      <c r="S671" s="79">
        <f>Tableau1[[#This Row],[Index HC_x000D_
kWh]]-R670</f>
        <v>2</v>
      </c>
      <c r="T671" s="81">
        <f>Tableau1[[#This Row],[Différence_x000D_ HC
Instantané]]/(Tableau1[[#This Row],[Diff jour
Instantané]]*24)</f>
        <v>8.3974807557992637E-2</v>
      </c>
      <c r="U671" s="81">
        <f>Tableau1[[#This Row],[Différence_x000D_ HC
Instantané]]/Tableau1[[#This Row],[Diff jour
Instantané]]</f>
        <v>2.0153953813918233</v>
      </c>
      <c r="V671" s="81">
        <f>Tableau1[[#This Row],[Conso HC / jour_x000D_
Instantané]]*365</f>
        <v>735.61931420801545</v>
      </c>
      <c r="W671" s="79">
        <f>Tableau1[[#This Row],[Index HC_x000D_
kWh]]-$R$5</f>
        <v>-117175</v>
      </c>
      <c r="X671" s="82">
        <f>Tableau1[[#This Row],[Différence HC
Cumul]]/(Tableau1[[#This Row],[Diff jour_x000D_
Cumul]]*24)</f>
        <v>-5.2576436064720697</v>
      </c>
      <c r="Y671" s="82">
        <f>Tableau1[[#This Row],[Différence HC
Cumul]]/Tableau1[[#This Row],[Diff jour_x000D_
Cumul]]</f>
        <v>-126.18344655532967</v>
      </c>
      <c r="Z671" s="82">
        <f>Tableau1[[#This Row],[Conso HC / jour_x000D_
Cumul]]*365</f>
        <v>-46056.95799269533</v>
      </c>
      <c r="AA671" s="79">
        <f>Tableau1[[#This Row],[Différence HP
Instantané]]+Tableau1[[#This Row],[Différence_x000D_ HC
Instantané]]</f>
        <v>7</v>
      </c>
      <c r="AB671" s="80">
        <f>Tableau1[[#This Row],[Conso HP + HC
Instantané]]/(Tableau1[[#This Row],[Diff jour
Instantané]]*24)</f>
        <v>0.29391182645297426</v>
      </c>
      <c r="AC671" s="80">
        <f>IF(ISERROR(Tableau1[[#This Row],[Date]]-A670),"",Tableau1[[#This Row],[Conso HP + HC
Instantané]]/Tableau1[[#This Row],[Diff jour
Instantané]])</f>
        <v>7.0538838348713817</v>
      </c>
      <c r="AD671" s="80">
        <f>Tableau1[[#This Row],[Conso HP + HC / jour_x000D_
Instantané]]*365</f>
        <v>2574.6675997280545</v>
      </c>
      <c r="AE671" s="79">
        <f>Tableau1[[#This Row],[Différence HP
Cumul]]+Tableau1[[#This Row],[Différence HC
Cumul]]</f>
        <v>-292470</v>
      </c>
      <c r="AF671" s="77">
        <f>(Tableau1[[#This Row],[Conso HP + HC
Cumul]]-AE$6)/Tableau1[[#This Row],[Diff jour_x000D_
Cumul
depuis le 24/01]]</f>
        <v>-331.31130512899642</v>
      </c>
      <c r="AG671" s="77">
        <f>(Tableau1[[#This Row],[Conso HP + HC
Cumul]]-AE$59)/Tableau1[[#This Row],[Diff jour_x000D_
Cumul
depuis
précédente facture
16/02/2021]]</f>
        <v>-341.75702920488368</v>
      </c>
      <c r="AH671" s="80">
        <f>Tableau1[[#This Row],[Conso HP + HC
Cumul]]/(Tableau1[[#This Row],[Diff jour_x000D_
Cumul]]*24)</f>
        <v>-13.123132285768177</v>
      </c>
      <c r="AI671" s="80">
        <f>Tableau1[[#This Row],[Conso HP + HC
Cumul]]/Tableau1[[#This Row],[Diff jour_x000D_
Cumul]]</f>
        <v>-314.95517485843624</v>
      </c>
      <c r="AJ671" s="80">
        <f>Tableau1[[#This Row],[Conso HP + HC / jour_x000D_
Cumul]]*365</f>
        <v>-114958.63882332922</v>
      </c>
      <c r="AK671" s="83">
        <f>(Tableau1[[#This Row],[Différence HP
Cumul]]*0.1799)+(Tableau1[[#This Row],[Différence HC
Cumul]]*0.1346)</f>
        <v>-47307.325499999999</v>
      </c>
      <c r="AL671" s="83">
        <f>Tableau1[[#This Row],[Montant
Tarif HP/HC]]/Tableau1[[#This Row],[Diff jour_x000D_
Cumul]]</f>
        <v>-50.944325828076252</v>
      </c>
      <c r="AM671" s="83">
        <f>(Tableau1[[#This Row],[Montant
Tarif HP/HC]]-AK$6)/Tableau1[[#This Row],[Diff jour_x000D_
Cumul
depuis le 24/01]]</f>
        <v>-53.599563291316834</v>
      </c>
      <c r="AN671" s="83">
        <f>(Tableau1[[#This Row],[Montant
Tarif HP/HC]]-AK$59)/Tableau1[[#This Row],[Diff jour_x000D_
Cumul
depuis
précédente facture
16/02/2021]]</f>
        <v>-55.29836599868176</v>
      </c>
      <c r="AO671" s="83">
        <f>Tableau1[[#This Row],[Conso HP + HC
Cumul]]*0.1599</f>
        <v>-46765.952999999994</v>
      </c>
      <c r="AP671" s="83">
        <f>Tableau1[[#This Row],[Montant
Tarif normal]]/Tableau1[[#This Row],[Diff jour_x000D_
Cumul]]</f>
        <v>-50.361332459863952</v>
      </c>
      <c r="AQ671" s="83">
        <f>(Tableau1[[#This Row],[Conso HP / an
Cumul]]*0.1799)+(Tableau1[[#This Row],[Conso HC / an_x000D_
Cumul]]*0.1346)</f>
        <v>-18594.678927247831</v>
      </c>
      <c r="AR671" s="83">
        <f>Tableau1[[#This Row],[Conso HP + HC / an_x000D_
Cumul]]*0.1599</f>
        <v>-18381.886347850341</v>
      </c>
      <c r="AS671" s="79">
        <f>MONTH(Tableau1[[#This Row],[Date]])</f>
        <v>7</v>
      </c>
      <c r="AT671" s="79">
        <f>YEAR(Tableau1[[#This Row],[Date]])</f>
        <v>2023</v>
      </c>
    </row>
    <row r="672" spans="1:46" x14ac:dyDescent="0.2">
      <c r="A672" s="74">
        <v>45112.369444444441</v>
      </c>
      <c r="B672" s="75"/>
      <c r="C672" s="76">
        <f>IF(ISERROR(Tableau1[[#This Row],[Date]]-A671),"",Tableau1[[#This Row],[Date]]-A671)</f>
        <v>1.0527777777751908</v>
      </c>
      <c r="D672" s="77">
        <f>IF(ISERROR(Tableau1[[#This Row],[Date]]-A671),"",Tableau1[[#This Row],[Date]]-A671)</f>
        <v>1.0527777777751908</v>
      </c>
      <c r="E672" s="76">
        <f>Tableau1[[#This Row],[Date]]-$A$5</f>
        <v>929.66111111110513</v>
      </c>
      <c r="F672" s="77">
        <f>Tableau1[[#This Row],[Date]]-$A$5</f>
        <v>929.66111111110513</v>
      </c>
      <c r="G672" s="77">
        <f>Tableau1[[#This Row],[Diff jour_x000D_
Cumul]]-F$6</f>
        <v>891.57777777777665</v>
      </c>
      <c r="H672" s="77">
        <f>Tableau1[[#This Row],[Diff jour_x000D_
Cumul]]-F$59</f>
        <v>869.05833333332703</v>
      </c>
      <c r="I672" s="78">
        <v>4469</v>
      </c>
      <c r="J672" s="79">
        <f>IF(ISERROR(Tableau1[[#This Row],[Index HP
kWh]]-I671),"",Tableau1[[#This Row],[Index HP
kWh]]-I671)</f>
        <v>5</v>
      </c>
      <c r="K672" s="77">
        <f>IF(ISERROR(Tableau1[[#This Row],[Différence HP
Instantané]]/(Tableau1[[#This Row],[Diff jour
Instantané]]*24)),"",Tableau1[[#This Row],[Différence HP
Instantané]]/(Tableau1[[#This Row],[Diff jour
Instantané]]*24))</f>
        <v>0.19788918205853376</v>
      </c>
      <c r="L672" s="77">
        <f>Tableau1[[#This Row],[Différence HP
Instantané]]/Tableau1[[#This Row],[Diff jour
Instantané]]</f>
        <v>4.7493403694048109</v>
      </c>
      <c r="M672" s="77">
        <f>Tableau1[[#This Row],[Conso HP / jour
Instantané]]*365</f>
        <v>1733.509234832756</v>
      </c>
      <c r="N672" s="79">
        <f>Tableau1[[#This Row],[Index HP
kWh]]-$I$5</f>
        <v>-175290</v>
      </c>
      <c r="O672" s="80">
        <f>Tableau1[[#This Row],[Différence HP
Cumul]]/(Tableau1[[#This Row],[Diff jour_x000D_
Cumul]]*24)</f>
        <v>-7.8563574540304915</v>
      </c>
      <c r="P672" s="80">
        <f>Tableau1[[#This Row],[Différence HP
Cumul]]/Tableau1[[#This Row],[Diff jour_x000D_
Cumul]]</f>
        <v>-188.5525788967318</v>
      </c>
      <c r="Q672" s="80">
        <f>Tableau1[[#This Row],[Conso HP / jour
Cumul]]*365</f>
        <v>-68821.691297307101</v>
      </c>
      <c r="R672" s="78">
        <v>2260</v>
      </c>
      <c r="S672" s="79">
        <f>Tableau1[[#This Row],[Index HC_x000D_
kWh]]-R671</f>
        <v>3</v>
      </c>
      <c r="T672" s="81">
        <f>Tableau1[[#This Row],[Différence_x000D_ HC
Instantané]]/(Tableau1[[#This Row],[Diff jour
Instantané]]*24)</f>
        <v>0.11873350923512026</v>
      </c>
      <c r="U672" s="81">
        <f>Tableau1[[#This Row],[Différence_x000D_ HC
Instantané]]/Tableau1[[#This Row],[Diff jour
Instantané]]</f>
        <v>2.8496042216428861</v>
      </c>
      <c r="V672" s="81">
        <f>Tableau1[[#This Row],[Conso HC / jour_x000D_
Instantané]]*365</f>
        <v>1040.1055408996533</v>
      </c>
      <c r="W672" s="79">
        <f>Tableau1[[#This Row],[Index HC_x000D_
kWh]]-$R$5</f>
        <v>-117172</v>
      </c>
      <c r="X672" s="82">
        <f>Tableau1[[#This Row],[Différence HC
Cumul]]/(Tableau1[[#This Row],[Diff jour_x000D_
Cumul]]*24)</f>
        <v>-5.2515552262174729</v>
      </c>
      <c r="Y672" s="82">
        <f>Tableau1[[#This Row],[Différence HC
Cumul]]/Tableau1[[#This Row],[Diff jour_x000D_
Cumul]]</f>
        <v>-126.03732542921934</v>
      </c>
      <c r="Z672" s="82">
        <f>Tableau1[[#This Row],[Conso HC / jour_x000D_
Cumul]]*365</f>
        <v>-46003.623781665061</v>
      </c>
      <c r="AA672" s="79">
        <f>Tableau1[[#This Row],[Différence HP
Instantané]]+Tableau1[[#This Row],[Différence_x000D_ HC
Instantané]]</f>
        <v>8</v>
      </c>
      <c r="AB672" s="80">
        <f>Tableau1[[#This Row],[Conso HP + HC
Instantané]]/(Tableau1[[#This Row],[Diff jour
Instantané]]*24)</f>
        <v>0.31662269129365406</v>
      </c>
      <c r="AC672" s="80">
        <f>IF(ISERROR(Tableau1[[#This Row],[Date]]-A671),"",Tableau1[[#This Row],[Conso HP + HC
Instantané]]/Tableau1[[#This Row],[Diff jour
Instantané]])</f>
        <v>7.5989445910476965</v>
      </c>
      <c r="AD672" s="80">
        <f>Tableau1[[#This Row],[Conso HP + HC / jour_x000D_
Instantané]]*365</f>
        <v>2773.6147757324093</v>
      </c>
      <c r="AE672" s="79">
        <f>Tableau1[[#This Row],[Différence HP
Cumul]]+Tableau1[[#This Row],[Différence HC
Cumul]]</f>
        <v>-292462</v>
      </c>
      <c r="AF672" s="77">
        <f>(Tableau1[[#This Row],[Conso HP + HC
Cumul]]-AE$6)/Tableau1[[#This Row],[Diff jour_x000D_
Cumul
depuis le 24/01]]</f>
        <v>-330.91111886543251</v>
      </c>
      <c r="AG672" s="77">
        <f>(Tableau1[[#This Row],[Conso HP + HC
Cumul]]-AE$59)/Tableau1[[#This Row],[Diff jour_x000D_
Cumul
depuis
précédente facture
16/02/2021]]</f>
        <v>-341.33381917209488</v>
      </c>
      <c r="AH672" s="80">
        <f>Tableau1[[#This Row],[Conso HP + HC
Cumul]]/(Tableau1[[#This Row],[Diff jour_x000D_
Cumul]]*24)</f>
        <v>-13.107912680247964</v>
      </c>
      <c r="AI672" s="80">
        <f>Tableau1[[#This Row],[Conso HP + HC
Cumul]]/Tableau1[[#This Row],[Diff jour_x000D_
Cumul]]</f>
        <v>-314.58990432595112</v>
      </c>
      <c r="AJ672" s="80">
        <f>Tableau1[[#This Row],[Conso HP + HC / jour_x000D_
Cumul]]*365</f>
        <v>-114825.31507897215</v>
      </c>
      <c r="AK672" s="83">
        <f>(Tableau1[[#This Row],[Différence HP
Cumul]]*0.1799)+(Tableau1[[#This Row],[Différence HC
Cumul]]*0.1346)</f>
        <v>-47306.022199999999</v>
      </c>
      <c r="AL672" s="83">
        <f>Tableau1[[#This Row],[Montant
Tarif HP/HC]]/Tableau1[[#This Row],[Diff jour_x000D_
Cumul]]</f>
        <v>-50.885232946294977</v>
      </c>
      <c r="AM672" s="83">
        <f>(Tableau1[[#This Row],[Montant
Tarif HP/HC]]-AK$6)/Tableau1[[#This Row],[Diff jour_x000D_
Cumul
depuis le 24/01]]</f>
        <v>-53.534810971810344</v>
      </c>
      <c r="AN672" s="83">
        <f>(Tableau1[[#This Row],[Montant
Tarif HP/HC]]-AK$59)/Tableau1[[#This Row],[Diff jour_x000D_
Cumul
depuis
précédente facture
16/02/2021]]</f>
        <v>-55.229877856300803</v>
      </c>
      <c r="AO672" s="83">
        <f>Tableau1[[#This Row],[Conso HP + HC
Cumul]]*0.1599</f>
        <v>-46764.673799999997</v>
      </c>
      <c r="AP672" s="83">
        <f>Tableau1[[#This Row],[Montant
Tarif normal]]/Tableau1[[#This Row],[Diff jour_x000D_
Cumul]]</f>
        <v>-50.302925701719587</v>
      </c>
      <c r="AQ672" s="83">
        <f>(Tableau1[[#This Row],[Conso HP / an
Cumul]]*0.1799)+(Tableau1[[#This Row],[Conso HC / an_x000D_
Cumul]]*0.1346)</f>
        <v>-18573.110025397666</v>
      </c>
      <c r="AR672" s="83">
        <f>Tableau1[[#This Row],[Conso HP + HC / an_x000D_
Cumul]]*0.1599</f>
        <v>-18360.567881127645</v>
      </c>
      <c r="AS672" s="79">
        <f>MONTH(Tableau1[[#This Row],[Date]])</f>
        <v>7</v>
      </c>
      <c r="AT672" s="79">
        <f>YEAR(Tableau1[[#This Row],[Date]])</f>
        <v>2023</v>
      </c>
    </row>
    <row r="673" spans="1:46" x14ac:dyDescent="0.2">
      <c r="A673" s="74">
        <v>45113.327777777777</v>
      </c>
      <c r="B673" s="75"/>
      <c r="C673" s="76">
        <f>IF(ISERROR(Tableau1[[#This Row],[Date]]-A672),"",Tableau1[[#This Row],[Date]]-A672)</f>
        <v>0.95833333333575865</v>
      </c>
      <c r="D673" s="77">
        <f>IF(ISERROR(Tableau1[[#This Row],[Date]]-A672),"",Tableau1[[#This Row],[Date]]-A672)</f>
        <v>0.95833333333575865</v>
      </c>
      <c r="E673" s="76">
        <f>Tableau1[[#This Row],[Date]]-$A$5</f>
        <v>930.61944444444089</v>
      </c>
      <c r="F673" s="77">
        <f>Tableau1[[#This Row],[Date]]-$A$5</f>
        <v>930.61944444444089</v>
      </c>
      <c r="G673" s="77">
        <f>Tableau1[[#This Row],[Diff jour_x000D_
Cumul]]-F$6</f>
        <v>892.5361111111124</v>
      </c>
      <c r="H673" s="77">
        <f>Tableau1[[#This Row],[Diff jour_x000D_
Cumul]]-F$59</f>
        <v>870.01666666666279</v>
      </c>
      <c r="I673" s="78">
        <v>4476</v>
      </c>
      <c r="J673" s="79">
        <f>IF(ISERROR(Tableau1[[#This Row],[Index HP
kWh]]-I672),"",Tableau1[[#This Row],[Index HP
kWh]]-I672)</f>
        <v>7</v>
      </c>
      <c r="K673" s="77">
        <f>IF(ISERROR(Tableau1[[#This Row],[Différence HP
Instantané]]/(Tableau1[[#This Row],[Diff jour
Instantané]]*24)),"",Tableau1[[#This Row],[Différence HP
Instantané]]/(Tableau1[[#This Row],[Diff jour
Instantané]]*24))</f>
        <v>0.30434782608618627</v>
      </c>
      <c r="L673" s="77">
        <f>Tableau1[[#This Row],[Différence HP
Instantané]]/Tableau1[[#This Row],[Diff jour
Instantané]]</f>
        <v>7.3043478260684713</v>
      </c>
      <c r="M673" s="77">
        <f>Tableau1[[#This Row],[Conso HP / jour
Instantané]]*365</f>
        <v>2666.0869565149919</v>
      </c>
      <c r="N673" s="79">
        <f>Tableau1[[#This Row],[Index HP
kWh]]-$I$5</f>
        <v>-175283</v>
      </c>
      <c r="O673" s="80">
        <f>Tableau1[[#This Row],[Différence HP
Cumul]]/(Tableau1[[#This Row],[Diff jour_x000D_
Cumul]]*24)</f>
        <v>-7.8479537225802707</v>
      </c>
      <c r="P673" s="80">
        <f>Tableau1[[#This Row],[Différence HP
Cumul]]/Tableau1[[#This Row],[Diff jour_x000D_
Cumul]]</f>
        <v>-188.35088934192649</v>
      </c>
      <c r="Q673" s="80">
        <f>Tableau1[[#This Row],[Conso HP / jour
Cumul]]*365</f>
        <v>-68748.074609803167</v>
      </c>
      <c r="R673" s="78">
        <v>2262</v>
      </c>
      <c r="S673" s="79">
        <f>Tableau1[[#This Row],[Index HC_x000D_
kWh]]-R672</f>
        <v>2</v>
      </c>
      <c r="T673" s="81">
        <f>Tableau1[[#This Row],[Différence_x000D_ HC
Instantané]]/(Tableau1[[#This Row],[Diff jour
Instantané]]*24)</f>
        <v>8.6956521738910372E-2</v>
      </c>
      <c r="U673" s="81">
        <f>Tableau1[[#This Row],[Différence_x000D_ HC
Instantané]]/Tableau1[[#This Row],[Diff jour
Instantané]]</f>
        <v>2.0869565217338488</v>
      </c>
      <c r="V673" s="81">
        <f>Tableau1[[#This Row],[Conso HC / jour_x000D_
Instantané]]*365</f>
        <v>761.73913043285484</v>
      </c>
      <c r="W673" s="79">
        <f>Tableau1[[#This Row],[Index HC_x000D_
kWh]]-$R$5</f>
        <v>-117170</v>
      </c>
      <c r="X673" s="82">
        <f>Tableau1[[#This Row],[Différence HC
Cumul]]/(Tableau1[[#This Row],[Diff jour_x000D_
Cumul]]*24)</f>
        <v>-5.2460577333496703</v>
      </c>
      <c r="Y673" s="82">
        <f>Tableau1[[#This Row],[Différence HC
Cumul]]/Tableau1[[#This Row],[Diff jour_x000D_
Cumul]]</f>
        <v>-125.90538560039209</v>
      </c>
      <c r="Z673" s="82">
        <f>Tableau1[[#This Row],[Conso HC / jour_x000D_
Cumul]]*365</f>
        <v>-45955.465744143112</v>
      </c>
      <c r="AA673" s="79">
        <f>Tableau1[[#This Row],[Différence HP
Instantané]]+Tableau1[[#This Row],[Différence_x000D_ HC
Instantané]]</f>
        <v>9</v>
      </c>
      <c r="AB673" s="80">
        <f>Tableau1[[#This Row],[Conso HP + HC
Instantané]]/(Tableau1[[#This Row],[Diff jour
Instantané]]*24)</f>
        <v>0.39130434782509665</v>
      </c>
      <c r="AC673" s="80">
        <f>IF(ISERROR(Tableau1[[#This Row],[Date]]-A672),"",Tableau1[[#This Row],[Conso HP + HC
Instantané]]/Tableau1[[#This Row],[Diff jour
Instantané]])</f>
        <v>9.3913043478023202</v>
      </c>
      <c r="AD673" s="80">
        <f>Tableau1[[#This Row],[Conso HP + HC / jour_x000D_
Instantané]]*365</f>
        <v>3427.8260869478468</v>
      </c>
      <c r="AE673" s="79">
        <f>Tableau1[[#This Row],[Différence HP
Cumul]]+Tableau1[[#This Row],[Différence HC
Cumul]]</f>
        <v>-292453</v>
      </c>
      <c r="AF673" s="77">
        <f>(Tableau1[[#This Row],[Conso HP + HC
Cumul]]-AE$6)/Tableau1[[#This Row],[Diff jour_x000D_
Cumul
depuis le 24/01]]</f>
        <v>-330.54572955342564</v>
      </c>
      <c r="AG673" s="77">
        <f>(Tableau1[[#This Row],[Conso HP + HC
Cumul]]-AE$59)/Tableau1[[#This Row],[Diff jour_x000D_
Cumul
depuis
précédente facture
16/02/2021]]</f>
        <v>-340.94749142736879</v>
      </c>
      <c r="AH673" s="80">
        <f>Tableau1[[#This Row],[Conso HP + HC
Cumul]]/(Tableau1[[#This Row],[Diff jour_x000D_
Cumul]]*24)</f>
        <v>-13.094011455929941</v>
      </c>
      <c r="AI673" s="80">
        <f>Tableau1[[#This Row],[Conso HP + HC
Cumul]]/Tableau1[[#This Row],[Diff jour_x000D_
Cumul]]</f>
        <v>-314.25627494231861</v>
      </c>
      <c r="AJ673" s="80">
        <f>Tableau1[[#This Row],[Conso HP + HC / jour_x000D_
Cumul]]*365</f>
        <v>-114703.5403539463</v>
      </c>
      <c r="AK673" s="83">
        <f>(Tableau1[[#This Row],[Différence HP
Cumul]]*0.1799)+(Tableau1[[#This Row],[Différence HC
Cumul]]*0.1346)</f>
        <v>-47304.493699999999</v>
      </c>
      <c r="AL673" s="83">
        <f>Tableau1[[#This Row],[Montant
Tarif HP/HC]]/Tableau1[[#This Row],[Diff jour_x000D_
Cumul]]</f>
        <v>-50.83118989442535</v>
      </c>
      <c r="AM673" s="83">
        <f>(Tableau1[[#This Row],[Montant
Tarif HP/HC]]-AK$6)/Tableau1[[#This Row],[Diff jour_x000D_
Cumul
depuis le 24/01]]</f>
        <v>-53.475617071204638</v>
      </c>
      <c r="AN673" s="83">
        <f>(Tableau1[[#This Row],[Montant
Tarif HP/HC]]-AK$59)/Tableau1[[#This Row],[Diff jour_x000D_
Cumul
depuis
précédente facture
16/02/2021]]</f>
        <v>-55.167284649719598</v>
      </c>
      <c r="AO673" s="83">
        <f>Tableau1[[#This Row],[Conso HP + HC
Cumul]]*0.1599</f>
        <v>-46763.234699999994</v>
      </c>
      <c r="AP673" s="83">
        <f>Tableau1[[#This Row],[Montant
Tarif normal]]/Tableau1[[#This Row],[Diff jour_x000D_
Cumul]]</f>
        <v>-50.24957836327674</v>
      </c>
      <c r="AQ673" s="83">
        <f>(Tableau1[[#This Row],[Conso HP / an
Cumul]]*0.1799)+(Tableau1[[#This Row],[Conso HC / an_x000D_
Cumul]]*0.1346)</f>
        <v>-18553.384311465252</v>
      </c>
      <c r="AR673" s="83">
        <f>Tableau1[[#This Row],[Conso HP + HC / an_x000D_
Cumul]]*0.1599</f>
        <v>-18341.096102596013</v>
      </c>
      <c r="AS673" s="79">
        <f>MONTH(Tableau1[[#This Row],[Date]])</f>
        <v>7</v>
      </c>
      <c r="AT673" s="79">
        <f>YEAR(Tableau1[[#This Row],[Date]])</f>
        <v>2023</v>
      </c>
    </row>
    <row r="674" spans="1:46" x14ac:dyDescent="0.2">
      <c r="A674" s="74">
        <v>45114.34375</v>
      </c>
      <c r="B674" s="75"/>
      <c r="C674" s="76">
        <f>IF(ISERROR(Tableau1[[#This Row],[Date]]-A673),"",Tableau1[[#This Row],[Date]]-A673)</f>
        <v>1.015972222223354</v>
      </c>
      <c r="D674" s="77">
        <f>IF(ISERROR(Tableau1[[#This Row],[Date]]-A673),"",Tableau1[[#This Row],[Date]]-A673)</f>
        <v>1.015972222223354</v>
      </c>
      <c r="E674" s="76">
        <f>Tableau1[[#This Row],[Date]]-$A$5</f>
        <v>931.63541666666424</v>
      </c>
      <c r="F674" s="77">
        <f>Tableau1[[#This Row],[Date]]-$A$5</f>
        <v>931.63541666666424</v>
      </c>
      <c r="G674" s="77">
        <f>Tableau1[[#This Row],[Diff jour_x000D_
Cumul]]-F$6</f>
        <v>893.55208333333576</v>
      </c>
      <c r="H674" s="77">
        <f>Tableau1[[#This Row],[Diff jour_x000D_
Cumul]]-F$59</f>
        <v>871.03263888888614</v>
      </c>
      <c r="I674" s="78">
        <v>4481</v>
      </c>
      <c r="J674" s="79">
        <f>IF(ISERROR(Tableau1[[#This Row],[Index HP
kWh]]-I673),"",Tableau1[[#This Row],[Index HP
kWh]]-I673)</f>
        <v>5</v>
      </c>
      <c r="K674" s="77">
        <f>IF(ISERROR(Tableau1[[#This Row],[Différence HP
Instantané]]/(Tableau1[[#This Row],[Diff jour
Instantané]]*24)),"",Tableau1[[#This Row],[Différence HP
Instantané]]/(Tableau1[[#This Row],[Diff jour
Instantané]]*24))</f>
        <v>0.20505809979471346</v>
      </c>
      <c r="L674" s="77">
        <f>Tableau1[[#This Row],[Différence HP
Instantané]]/Tableau1[[#This Row],[Diff jour
Instantané]]</f>
        <v>4.9213943950731229</v>
      </c>
      <c r="M674" s="77">
        <f>Tableau1[[#This Row],[Conso HP / jour
Instantané]]*365</f>
        <v>1796.3089542016899</v>
      </c>
      <c r="N674" s="79">
        <f>Tableau1[[#This Row],[Index HP
kWh]]-$I$5</f>
        <v>-175278</v>
      </c>
      <c r="O674" s="80">
        <f>Tableau1[[#This Row],[Différence HP
Cumul]]/(Tableau1[[#This Row],[Diff jour_x000D_
Cumul]]*24)</f>
        <v>-7.8391717074589025</v>
      </c>
      <c r="P674" s="80">
        <f>Tableau1[[#This Row],[Différence HP
Cumul]]/Tableau1[[#This Row],[Diff jour_x000D_
Cumul]]</f>
        <v>-188.14012097901366</v>
      </c>
      <c r="Q674" s="80">
        <f>Tableau1[[#This Row],[Conso HP / jour
Cumul]]*365</f>
        <v>-68671.144157339979</v>
      </c>
      <c r="R674" s="78">
        <v>2265</v>
      </c>
      <c r="S674" s="79">
        <f>Tableau1[[#This Row],[Index HC_x000D_
kWh]]-R673</f>
        <v>3</v>
      </c>
      <c r="T674" s="81">
        <f>Tableau1[[#This Row],[Différence_x000D_ HC
Instantané]]/(Tableau1[[#This Row],[Diff jour
Instantané]]*24)</f>
        <v>0.12303485987682808</v>
      </c>
      <c r="U674" s="81">
        <f>Tableau1[[#This Row],[Différence_x000D_ HC
Instantané]]/Tableau1[[#This Row],[Diff jour
Instantané]]</f>
        <v>2.9528366370438737</v>
      </c>
      <c r="V674" s="81">
        <f>Tableau1[[#This Row],[Conso HC / jour_x000D_
Instantané]]*365</f>
        <v>1077.7853725210139</v>
      </c>
      <c r="W674" s="79">
        <f>Tableau1[[#This Row],[Index HC_x000D_
kWh]]-$R$5</f>
        <v>-117167</v>
      </c>
      <c r="X674" s="82">
        <f>Tableau1[[#This Row],[Différence HC
Cumul]]/(Tableau1[[#This Row],[Diff jour_x000D_
Cumul]]*24)</f>
        <v>-5.2402026007133653</v>
      </c>
      <c r="Y674" s="82">
        <f>Tableau1[[#This Row],[Différence HC
Cumul]]/Tableau1[[#This Row],[Diff jour_x000D_
Cumul]]</f>
        <v>-125.76486241712075</v>
      </c>
      <c r="Z674" s="82">
        <f>Tableau1[[#This Row],[Conso HC / jour_x000D_
Cumul]]*365</f>
        <v>-45904.174782249072</v>
      </c>
      <c r="AA674" s="79">
        <f>Tableau1[[#This Row],[Différence HP
Instantané]]+Tableau1[[#This Row],[Différence_x000D_ HC
Instantané]]</f>
        <v>8</v>
      </c>
      <c r="AB674" s="80">
        <f>Tableau1[[#This Row],[Conso HP + HC
Instantané]]/(Tableau1[[#This Row],[Diff jour
Instantané]]*24)</f>
        <v>0.32809295967154156</v>
      </c>
      <c r="AC674" s="80">
        <f>IF(ISERROR(Tableau1[[#This Row],[Date]]-A673),"",Tableau1[[#This Row],[Conso HP + HC
Instantané]]/Tableau1[[#This Row],[Diff jour
Instantané]])</f>
        <v>7.874231032116997</v>
      </c>
      <c r="AD674" s="80">
        <f>Tableau1[[#This Row],[Conso HP + HC / jour_x000D_
Instantané]]*365</f>
        <v>2874.094326722704</v>
      </c>
      <c r="AE674" s="79">
        <f>Tableau1[[#This Row],[Différence HP
Cumul]]+Tableau1[[#This Row],[Différence HC
Cumul]]</f>
        <v>-292445</v>
      </c>
      <c r="AF674" s="77">
        <f>(Tableau1[[#This Row],[Conso HP + HC
Cumul]]-AE$6)/Tableau1[[#This Row],[Diff jour_x000D_
Cumul
depuis le 24/01]]</f>
        <v>-330.16094473134984</v>
      </c>
      <c r="AG674" s="77">
        <f>(Tableau1[[#This Row],[Conso HP + HC
Cumul]]-AE$59)/Tableau1[[#This Row],[Diff jour_x000D_
Cumul
depuis
précédente facture
16/02/2021]]</f>
        <v>-340.54062586951898</v>
      </c>
      <c r="AH674" s="80">
        <f>Tableau1[[#This Row],[Conso HP + HC
Cumul]]/(Tableau1[[#This Row],[Diff jour_x000D_
Cumul]]*24)</f>
        <v>-13.079374308172268</v>
      </c>
      <c r="AI674" s="80">
        <f>Tableau1[[#This Row],[Conso HP + HC
Cumul]]/Tableau1[[#This Row],[Diff jour_x000D_
Cumul]]</f>
        <v>-313.90498339613441</v>
      </c>
      <c r="AJ674" s="80">
        <f>Tableau1[[#This Row],[Conso HP + HC / jour_x000D_
Cumul]]*365</f>
        <v>-114575.31893958907</v>
      </c>
      <c r="AK674" s="83">
        <f>(Tableau1[[#This Row],[Différence HP
Cumul]]*0.1799)+(Tableau1[[#This Row],[Différence HC
Cumul]]*0.1346)</f>
        <v>-47303.190399999999</v>
      </c>
      <c r="AL674" s="83">
        <f>Tableau1[[#This Row],[Montant
Tarif HP/HC]]/Tableau1[[#This Row],[Diff jour_x000D_
Cumul]]</f>
        <v>-50.77435824546901</v>
      </c>
      <c r="AM674" s="83">
        <f>(Tableau1[[#This Row],[Montant
Tarif HP/HC]]-AK$6)/Tableau1[[#This Row],[Diff jour_x000D_
Cumul
depuis le 24/01]]</f>
        <v>-53.413356524171874</v>
      </c>
      <c r="AN674" s="83">
        <f>(Tableau1[[#This Row],[Montant
Tarif HP/HC]]-AK$59)/Tableau1[[#This Row],[Diff jour_x000D_
Cumul
depuis
précédente facture
16/02/2021]]</f>
        <v>-55.101441274604788</v>
      </c>
      <c r="AO674" s="83">
        <f>Tableau1[[#This Row],[Conso HP + HC
Cumul]]*0.1599</f>
        <v>-46761.955499999996</v>
      </c>
      <c r="AP674" s="83">
        <f>Tableau1[[#This Row],[Montant
Tarif normal]]/Tableau1[[#This Row],[Diff jour_x000D_
Cumul]]</f>
        <v>-50.193406845041885</v>
      </c>
      <c r="AQ674" s="83">
        <f>(Tableau1[[#This Row],[Conso HP / an
Cumul]]*0.1799)+(Tableau1[[#This Row],[Conso HC / an_x000D_
Cumul]]*0.1346)</f>
        <v>-18532.640759596186</v>
      </c>
      <c r="AR674" s="83">
        <f>Tableau1[[#This Row],[Conso HP + HC / an_x000D_
Cumul]]*0.1599</f>
        <v>-18320.593498440288</v>
      </c>
      <c r="AS674" s="79">
        <f>MONTH(Tableau1[[#This Row],[Date]])</f>
        <v>7</v>
      </c>
      <c r="AT674" s="79">
        <f>YEAR(Tableau1[[#This Row],[Date]])</f>
        <v>2023</v>
      </c>
    </row>
    <row r="675" spans="1:46" x14ac:dyDescent="0.2">
      <c r="A675" s="74">
        <v>45115.51666666667</v>
      </c>
      <c r="B675" s="75"/>
      <c r="C675" s="76">
        <f>IF(ISERROR(Tableau1[[#This Row],[Date]]-A674),"",Tableau1[[#This Row],[Date]]-A674)</f>
        <v>1.1729166666700621</v>
      </c>
      <c r="D675" s="77">
        <f>IF(ISERROR(Tableau1[[#This Row],[Date]]-A674),"",Tableau1[[#This Row],[Date]]-A674)</f>
        <v>1.1729166666700621</v>
      </c>
      <c r="E675" s="76">
        <f>Tableau1[[#This Row],[Date]]-$A$5</f>
        <v>932.8083333333343</v>
      </c>
      <c r="F675" s="77">
        <f>Tableau1[[#This Row],[Date]]-$A$5</f>
        <v>932.8083333333343</v>
      </c>
      <c r="G675" s="77">
        <f>Tableau1[[#This Row],[Diff jour_x000D_
Cumul]]-F$6</f>
        <v>894.72500000000582</v>
      </c>
      <c r="H675" s="77">
        <f>Tableau1[[#This Row],[Diff jour_x000D_
Cumul]]-F$59</f>
        <v>872.2055555555562</v>
      </c>
      <c r="I675" s="78">
        <v>4490</v>
      </c>
      <c r="J675" s="79">
        <f>IF(ISERROR(Tableau1[[#This Row],[Index HP
kWh]]-I674),"",Tableau1[[#This Row],[Index HP
kWh]]-I674)</f>
        <v>9</v>
      </c>
      <c r="K675" s="77">
        <f>IF(ISERROR(Tableau1[[#This Row],[Différence HP
Instantané]]/(Tableau1[[#This Row],[Diff jour
Instantané]]*24)),"",Tableau1[[#This Row],[Différence HP
Instantané]]/(Tableau1[[#This Row],[Diff jour
Instantané]]*24))</f>
        <v>0.31971580816958955</v>
      </c>
      <c r="L675" s="77">
        <f>Tableau1[[#This Row],[Différence HP
Instantané]]/Tableau1[[#This Row],[Diff jour
Instantané]]</f>
        <v>7.6731793960701493</v>
      </c>
      <c r="M675" s="77">
        <f>Tableau1[[#This Row],[Conso HP / jour
Instantané]]*365</f>
        <v>2800.7104795656046</v>
      </c>
      <c r="N675" s="79">
        <f>Tableau1[[#This Row],[Index HP
kWh]]-$I$5</f>
        <v>-175269</v>
      </c>
      <c r="O675" s="80">
        <f>Tableau1[[#This Row],[Différence HP
Cumul]]/(Tableau1[[#This Row],[Diff jour_x000D_
Cumul]]*24)</f>
        <v>-7.8289126919606487</v>
      </c>
      <c r="P675" s="80">
        <f>Tableau1[[#This Row],[Différence HP
Cumul]]/Tableau1[[#This Row],[Diff jour_x000D_
Cumul]]</f>
        <v>-187.89390460705556</v>
      </c>
      <c r="Q675" s="80">
        <f>Tableau1[[#This Row],[Conso HP / jour
Cumul]]*365</f>
        <v>-68581.275181575285</v>
      </c>
      <c r="R675" s="78">
        <v>2268</v>
      </c>
      <c r="S675" s="79">
        <f>Tableau1[[#This Row],[Index HC_x000D_
kWh]]-R674</f>
        <v>3</v>
      </c>
      <c r="T675" s="81">
        <f>Tableau1[[#This Row],[Différence_x000D_ HC
Instantané]]/(Tableau1[[#This Row],[Diff jour
Instantané]]*24)</f>
        <v>0.10657193605652986</v>
      </c>
      <c r="U675" s="81">
        <f>Tableau1[[#This Row],[Différence_x000D_ HC
Instantané]]/Tableau1[[#This Row],[Diff jour
Instantané]]</f>
        <v>2.5577264653567164</v>
      </c>
      <c r="V675" s="81">
        <f>Tableau1[[#This Row],[Conso HC / jour_x000D_
Instantané]]*365</f>
        <v>933.5701598552015</v>
      </c>
      <c r="W675" s="79">
        <f>Tableau1[[#This Row],[Index HC_x000D_
kWh]]-$R$5</f>
        <v>-117164</v>
      </c>
      <c r="X675" s="82">
        <f>Tableau1[[#This Row],[Différence HC
Cumul]]/(Tableau1[[#This Row],[Diff jour_x000D_
Cumul]]*24)</f>
        <v>-5.2334795465306323</v>
      </c>
      <c r="Y675" s="82">
        <f>Tableau1[[#This Row],[Différence HC
Cumul]]/Tableau1[[#This Row],[Diff jour_x000D_
Cumul]]</f>
        <v>-125.60350911673518</v>
      </c>
      <c r="Z675" s="82">
        <f>Tableau1[[#This Row],[Conso HC / jour_x000D_
Cumul]]*365</f>
        <v>-45845.280827608345</v>
      </c>
      <c r="AA675" s="79">
        <f>Tableau1[[#This Row],[Différence HP
Instantané]]+Tableau1[[#This Row],[Différence_x000D_ HC
Instantané]]</f>
        <v>12</v>
      </c>
      <c r="AB675" s="80">
        <f>Tableau1[[#This Row],[Conso HP + HC
Instantané]]/(Tableau1[[#This Row],[Diff jour
Instantané]]*24)</f>
        <v>0.42628774422611942</v>
      </c>
      <c r="AC675" s="80">
        <f>IF(ISERROR(Tableau1[[#This Row],[Date]]-A674),"",Tableau1[[#This Row],[Conso HP + HC
Instantané]]/Tableau1[[#This Row],[Diff jour
Instantané]])</f>
        <v>10.230905861426866</v>
      </c>
      <c r="AD675" s="80">
        <f>Tableau1[[#This Row],[Conso HP + HC / jour_x000D_
Instantané]]*365</f>
        <v>3734.280639420806</v>
      </c>
      <c r="AE675" s="79">
        <f>Tableau1[[#This Row],[Différence HP
Cumul]]+Tableau1[[#This Row],[Différence HC
Cumul]]</f>
        <v>-292433</v>
      </c>
      <c r="AF675" s="77">
        <f>(Tableau1[[#This Row],[Conso HP + HC
Cumul]]-AE$6)/Tableau1[[#This Row],[Diff jour_x000D_
Cumul
depuis le 24/01]]</f>
        <v>-329.71471681242627</v>
      </c>
      <c r="AG675" s="77">
        <f>(Tableau1[[#This Row],[Conso HP + HC
Cumul]]-AE$59)/Tableau1[[#This Row],[Diff jour_x000D_
Cumul
depuis
précédente facture
16/02/2021]]</f>
        <v>-340.06891851436626</v>
      </c>
      <c r="AH675" s="80">
        <f>Tableau1[[#This Row],[Conso HP + HC
Cumul]]/(Tableau1[[#This Row],[Diff jour_x000D_
Cumul]]*24)</f>
        <v>-13.062392238491281</v>
      </c>
      <c r="AI675" s="80">
        <f>Tableau1[[#This Row],[Conso HP + HC
Cumul]]/Tableau1[[#This Row],[Diff jour_x000D_
Cumul]]</f>
        <v>-313.49741372379071</v>
      </c>
      <c r="AJ675" s="80">
        <f>Tableau1[[#This Row],[Conso HP + HC / jour_x000D_
Cumul]]*365</f>
        <v>-114426.55600918361</v>
      </c>
      <c r="AK675" s="83">
        <f>(Tableau1[[#This Row],[Différence HP
Cumul]]*0.1799)+(Tableau1[[#This Row],[Différence HC
Cumul]]*0.1346)</f>
        <v>-47301.167500000003</v>
      </c>
      <c r="AL675" s="83">
        <f>Tableau1[[#This Row],[Montant
Tarif HP/HC]]/Tableau1[[#This Row],[Diff jour_x000D_
Cumul]]</f>
        <v>-50.708345765921855</v>
      </c>
      <c r="AM675" s="83">
        <f>(Tableau1[[#This Row],[Montant
Tarif HP/HC]]-AK$6)/Tableau1[[#This Row],[Diff jour_x000D_
Cumul
depuis le 24/01]]</f>
        <v>-53.341074743635971</v>
      </c>
      <c r="AN675" s="83">
        <f>(Tableau1[[#This Row],[Montant
Tarif HP/HC]]-AK$59)/Tableau1[[#This Row],[Diff jour_x000D_
Cumul
depuis
précédente facture
16/02/2021]]</f>
        <v>-55.025023166047724</v>
      </c>
      <c r="AO675" s="83">
        <f>Tableau1[[#This Row],[Conso HP + HC
Cumul]]*0.1599</f>
        <v>-46760.036699999997</v>
      </c>
      <c r="AP675" s="83">
        <f>Tableau1[[#This Row],[Montant
Tarif normal]]/Tableau1[[#This Row],[Diff jour_x000D_
Cumul]]</f>
        <v>-50.128236454434138</v>
      </c>
      <c r="AQ675" s="83">
        <f>(Tableau1[[#This Row],[Conso HP / an
Cumul]]*0.1799)+(Tableau1[[#This Row],[Conso HC / an_x000D_
Cumul]]*0.1346)</f>
        <v>-18508.546204561477</v>
      </c>
      <c r="AR675" s="83">
        <f>Tableau1[[#This Row],[Conso HP + HC / an_x000D_
Cumul]]*0.1599</f>
        <v>-18296.806305868457</v>
      </c>
      <c r="AS675" s="79">
        <f>MONTH(Tableau1[[#This Row],[Date]])</f>
        <v>7</v>
      </c>
      <c r="AT675" s="79">
        <f>YEAR(Tableau1[[#This Row],[Date]])</f>
        <v>2023</v>
      </c>
    </row>
    <row r="676" spans="1:46" x14ac:dyDescent="0.2">
      <c r="A676" s="74">
        <v>45116.40625</v>
      </c>
      <c r="B676" s="75"/>
      <c r="C676" s="76">
        <f>IF(ISERROR(Tableau1[[#This Row],[Date]]-A675),"",Tableau1[[#This Row],[Date]]-A675)</f>
        <v>0.88958333332993789</v>
      </c>
      <c r="D676" s="77">
        <f>IF(ISERROR(Tableau1[[#This Row],[Date]]-A675),"",Tableau1[[#This Row],[Date]]-A675)</f>
        <v>0.88958333332993789</v>
      </c>
      <c r="E676" s="76">
        <f>Tableau1[[#This Row],[Date]]-$A$5</f>
        <v>933.69791666666424</v>
      </c>
      <c r="F676" s="77">
        <f>Tableau1[[#This Row],[Date]]-$A$5</f>
        <v>933.69791666666424</v>
      </c>
      <c r="G676" s="77">
        <f>Tableau1[[#This Row],[Diff jour_x000D_
Cumul]]-F$6</f>
        <v>895.61458333333576</v>
      </c>
      <c r="H676" s="77">
        <f>Tableau1[[#This Row],[Diff jour_x000D_
Cumul]]-F$59</f>
        <v>873.09513888888614</v>
      </c>
      <c r="I676" s="78">
        <v>4496</v>
      </c>
      <c r="J676" s="79">
        <f>IF(ISERROR(Tableau1[[#This Row],[Index HP
kWh]]-I675),"",Tableau1[[#This Row],[Index HP
kWh]]-I675)</f>
        <v>6</v>
      </c>
      <c r="K676" s="77">
        <f>IF(ISERROR(Tableau1[[#This Row],[Différence HP
Instantané]]/(Tableau1[[#This Row],[Diff jour
Instantané]]*24)),"",Tableau1[[#This Row],[Différence HP
Instantané]]/(Tableau1[[#This Row],[Diff jour
Instantané]]*24))</f>
        <v>0.28103044496594387</v>
      </c>
      <c r="L676" s="77">
        <f>Tableau1[[#This Row],[Différence HP
Instantané]]/Tableau1[[#This Row],[Diff jour
Instantané]]</f>
        <v>6.7447306791826529</v>
      </c>
      <c r="M676" s="77">
        <f>Tableau1[[#This Row],[Conso HP / jour
Instantané]]*365</f>
        <v>2461.8266979016685</v>
      </c>
      <c r="N676" s="79">
        <f>Tableau1[[#This Row],[Index HP
kWh]]-$I$5</f>
        <v>-175263</v>
      </c>
      <c r="O676" s="80">
        <f>Tableau1[[#This Row],[Différence HP
Cumul]]/(Tableau1[[#This Row],[Diff jour_x000D_
Cumul]]*24)</f>
        <v>-7.8211859206783272</v>
      </c>
      <c r="P676" s="80">
        <f>Tableau1[[#This Row],[Différence HP
Cumul]]/Tableau1[[#This Row],[Diff jour_x000D_
Cumul]]</f>
        <v>-187.70846209627985</v>
      </c>
      <c r="Q676" s="80">
        <f>Tableau1[[#This Row],[Conso HP / jour
Cumul]]*365</f>
        <v>-68513.588665142146</v>
      </c>
      <c r="R676" s="78">
        <v>2270</v>
      </c>
      <c r="S676" s="79">
        <f>Tableau1[[#This Row],[Index HC_x000D_
kWh]]-R675</f>
        <v>2</v>
      </c>
      <c r="T676" s="81">
        <f>Tableau1[[#This Row],[Différence_x000D_ HC
Instantané]]/(Tableau1[[#This Row],[Diff jour
Instantané]]*24)</f>
        <v>9.3676814988647952E-2</v>
      </c>
      <c r="U676" s="81">
        <f>Tableau1[[#This Row],[Différence_x000D_ HC
Instantané]]/Tableau1[[#This Row],[Diff jour
Instantané]]</f>
        <v>2.248243559727551</v>
      </c>
      <c r="V676" s="81">
        <f>Tableau1[[#This Row],[Conso HC / jour_x000D_
Instantané]]*365</f>
        <v>820.60889930055612</v>
      </c>
      <c r="W676" s="79">
        <f>Tableau1[[#This Row],[Index HC_x000D_
kWh]]-$R$5</f>
        <v>-117162</v>
      </c>
      <c r="X676" s="82">
        <f>Tableau1[[#This Row],[Différence HC
Cumul]]/(Tableau1[[#This Row],[Diff jour_x000D_
Cumul]]*24)</f>
        <v>-5.2284040832264322</v>
      </c>
      <c r="Y676" s="82">
        <f>Tableau1[[#This Row],[Différence HC
Cumul]]/Tableau1[[#This Row],[Diff jour_x000D_
Cumul]]</f>
        <v>-125.48169799743437</v>
      </c>
      <c r="Z676" s="82">
        <f>Tableau1[[#This Row],[Conso HC / jour_x000D_
Cumul]]*365</f>
        <v>-45800.819769063542</v>
      </c>
      <c r="AA676" s="79">
        <f>Tableau1[[#This Row],[Différence HP
Instantané]]+Tableau1[[#This Row],[Différence_x000D_ HC
Instantané]]</f>
        <v>8</v>
      </c>
      <c r="AB676" s="80">
        <f>Tableau1[[#This Row],[Conso HP + HC
Instantané]]/(Tableau1[[#This Row],[Diff jour
Instantané]]*24)</f>
        <v>0.37470725995459181</v>
      </c>
      <c r="AC676" s="80">
        <f>IF(ISERROR(Tableau1[[#This Row],[Date]]-A675),"",Tableau1[[#This Row],[Conso HP + HC
Instantané]]/Tableau1[[#This Row],[Diff jour
Instantané]])</f>
        <v>8.9929742389102039</v>
      </c>
      <c r="AD676" s="80">
        <f>Tableau1[[#This Row],[Conso HP + HC / jour_x000D_
Instantané]]*365</f>
        <v>3282.4355972022245</v>
      </c>
      <c r="AE676" s="79">
        <f>Tableau1[[#This Row],[Différence HP
Cumul]]+Tableau1[[#This Row],[Différence HC
Cumul]]</f>
        <v>-292425</v>
      </c>
      <c r="AF676" s="77">
        <f>(Tableau1[[#This Row],[Conso HP + HC
Cumul]]-AE$6)/Tableau1[[#This Row],[Diff jour_x000D_
Cumul
depuis le 24/01]]</f>
        <v>-329.37829004756884</v>
      </c>
      <c r="AG676" s="77">
        <f>(Tableau1[[#This Row],[Conso HP + HC
Cumul]]-AE$59)/Tableau1[[#This Row],[Diff jour_x000D_
Cumul
depuis
précédente facture
16/02/2021]]</f>
        <v>-339.71326467062926</v>
      </c>
      <c r="AH676" s="80">
        <f>Tableau1[[#This Row],[Conso HP + HC
Cumul]]/(Tableau1[[#This Row],[Diff jour_x000D_
Cumul]]*24)</f>
        <v>-13.049590003904759</v>
      </c>
      <c r="AI676" s="80">
        <f>Tableau1[[#This Row],[Conso HP + HC
Cumul]]/Tableau1[[#This Row],[Diff jour_x000D_
Cumul]]</f>
        <v>-313.19016009371421</v>
      </c>
      <c r="AJ676" s="80">
        <f>Tableau1[[#This Row],[Conso HP + HC / jour_x000D_
Cumul]]*365</f>
        <v>-114314.40843420569</v>
      </c>
      <c r="AK676" s="83">
        <f>(Tableau1[[#This Row],[Différence HP
Cumul]]*0.1799)+(Tableau1[[#This Row],[Différence HC
Cumul]]*0.1346)</f>
        <v>-47299.818899999998</v>
      </c>
      <c r="AL676" s="83">
        <f>Tableau1[[#This Row],[Montant
Tarif HP/HC]]/Tableau1[[#This Row],[Diff jour_x000D_
Cumul]]</f>
        <v>-50.658588881575405</v>
      </c>
      <c r="AM676" s="83">
        <f>(Tableau1[[#This Row],[Montant
Tarif HP/HC]]-AK$6)/Tableau1[[#This Row],[Diff jour_x000D_
Cumul
depuis le 24/01]]</f>
        <v>-53.28658709684909</v>
      </c>
      <c r="AN676" s="83">
        <f>(Tableau1[[#This Row],[Montant
Tarif HP/HC]]-AK$59)/Tableau1[[#This Row],[Diff jour_x000D_
Cumul
depuis
précédente facture
16/02/2021]]</f>
        <v>-54.967414388625571</v>
      </c>
      <c r="AO676" s="83">
        <f>Tableau1[[#This Row],[Conso HP + HC
Cumul]]*0.1599</f>
        <v>-46758.7575</v>
      </c>
      <c r="AP676" s="83">
        <f>Tableau1[[#This Row],[Montant
Tarif normal]]/Tableau1[[#This Row],[Diff jour_x000D_
Cumul]]</f>
        <v>-50.0791065989849</v>
      </c>
      <c r="AQ676" s="83">
        <f>(Tableau1[[#This Row],[Conso HP / an
Cumul]]*0.1799)+(Tableau1[[#This Row],[Conso HC / an_x000D_
Cumul]]*0.1346)</f>
        <v>-18490.384941775024</v>
      </c>
      <c r="AR676" s="83">
        <f>Tableau1[[#This Row],[Conso HP + HC / an_x000D_
Cumul]]*0.1599</f>
        <v>-18278.873908629488</v>
      </c>
      <c r="AS676" s="79">
        <f>MONTH(Tableau1[[#This Row],[Date]])</f>
        <v>7</v>
      </c>
      <c r="AT676" s="79">
        <f>YEAR(Tableau1[[#This Row],[Date]])</f>
        <v>2023</v>
      </c>
    </row>
    <row r="677" spans="1:46" x14ac:dyDescent="0.2">
      <c r="A677" s="74">
        <v>45117.324305555558</v>
      </c>
      <c r="B677" s="75"/>
      <c r="C677" s="76">
        <f>IF(ISERROR(Tableau1[[#This Row],[Date]]-A676),"",Tableau1[[#This Row],[Date]]-A676)</f>
        <v>0.9180555555576575</v>
      </c>
      <c r="D677" s="77">
        <f>IF(ISERROR(Tableau1[[#This Row],[Date]]-A676),"",Tableau1[[#This Row],[Date]]-A676)</f>
        <v>0.9180555555576575</v>
      </c>
      <c r="E677" s="76">
        <f>Tableau1[[#This Row],[Date]]-$A$5</f>
        <v>934.6159722222219</v>
      </c>
      <c r="F677" s="77">
        <f>Tableau1[[#This Row],[Date]]-$A$5</f>
        <v>934.6159722222219</v>
      </c>
      <c r="G677" s="77">
        <f>Tableau1[[#This Row],[Diff jour_x000D_
Cumul]]-F$6</f>
        <v>896.53263888889342</v>
      </c>
      <c r="H677" s="77">
        <f>Tableau1[[#This Row],[Diff jour_x000D_
Cumul]]-F$59</f>
        <v>874.0131944444438</v>
      </c>
      <c r="I677" s="78">
        <v>4499</v>
      </c>
      <c r="J677" s="79">
        <f>IF(ISERROR(Tableau1[[#This Row],[Index HP
kWh]]-I676),"",Tableau1[[#This Row],[Index HP
kWh]]-I676)</f>
        <v>3</v>
      </c>
      <c r="K677" s="77">
        <f>IF(ISERROR(Tableau1[[#This Row],[Différence HP
Instantané]]/(Tableau1[[#This Row],[Diff jour
Instantané]]*24)),"",Tableau1[[#This Row],[Différence HP
Instantané]]/(Tableau1[[#This Row],[Diff jour
Instantané]]*24))</f>
        <v>0.13615733736731306</v>
      </c>
      <c r="L677" s="77">
        <f>Tableau1[[#This Row],[Différence HP
Instantané]]/Tableau1[[#This Row],[Diff jour
Instantané]]</f>
        <v>3.2677760968155138</v>
      </c>
      <c r="M677" s="77">
        <f>Tableau1[[#This Row],[Conso HP / jour
Instantané]]*365</f>
        <v>1192.7382753376626</v>
      </c>
      <c r="N677" s="79">
        <f>Tableau1[[#This Row],[Index HP
kWh]]-$I$5</f>
        <v>-175260</v>
      </c>
      <c r="O677" s="80">
        <f>Tableau1[[#This Row],[Différence HP
Cumul]]/(Tableau1[[#This Row],[Diff jour_x000D_
Cumul]]*24)</f>
        <v>-7.8133695732130057</v>
      </c>
      <c r="P677" s="80">
        <f>Tableau1[[#This Row],[Différence HP
Cumul]]/Tableau1[[#This Row],[Diff jour_x000D_
Cumul]]</f>
        <v>-187.52086975711214</v>
      </c>
      <c r="Q677" s="80">
        <f>Tableau1[[#This Row],[Conso HP / jour
Cumul]]*365</f>
        <v>-68445.11746134593</v>
      </c>
      <c r="R677" s="78">
        <v>2273</v>
      </c>
      <c r="S677" s="79">
        <f>Tableau1[[#This Row],[Index HC_x000D_
kWh]]-R676</f>
        <v>3</v>
      </c>
      <c r="T677" s="81">
        <f>Tableau1[[#This Row],[Différence_x000D_ HC
Instantané]]/(Tableau1[[#This Row],[Diff jour
Instantané]]*24)</f>
        <v>0.13615733736731306</v>
      </c>
      <c r="U677" s="81">
        <f>Tableau1[[#This Row],[Différence_x000D_ HC
Instantané]]/Tableau1[[#This Row],[Diff jour
Instantané]]</f>
        <v>3.2677760968155138</v>
      </c>
      <c r="V677" s="81">
        <f>Tableau1[[#This Row],[Conso HC / jour_x000D_
Instantané]]*365</f>
        <v>1192.7382753376626</v>
      </c>
      <c r="W677" s="79">
        <f>Tableau1[[#This Row],[Index HC_x000D_
kWh]]-$R$5</f>
        <v>-117159</v>
      </c>
      <c r="X677" s="82">
        <f>Tableau1[[#This Row],[Différence HC
Cumul]]/(Tableau1[[#This Row],[Diff jour_x000D_
Cumul]]*24)</f>
        <v>-5.2231345762185466</v>
      </c>
      <c r="Y677" s="82">
        <f>Tableau1[[#This Row],[Différence HC
Cumul]]/Tableau1[[#This Row],[Diff jour_x000D_
Cumul]]</f>
        <v>-125.35522982924512</v>
      </c>
      <c r="Z677" s="82">
        <f>Tableau1[[#This Row],[Conso HC / jour_x000D_
Cumul]]*365</f>
        <v>-45754.658887674472</v>
      </c>
      <c r="AA677" s="79">
        <f>Tableau1[[#This Row],[Différence HP
Instantané]]+Tableau1[[#This Row],[Différence_x000D_ HC
Instantané]]</f>
        <v>6</v>
      </c>
      <c r="AB677" s="80">
        <f>Tableau1[[#This Row],[Conso HP + HC
Instantané]]/(Tableau1[[#This Row],[Diff jour
Instantané]]*24)</f>
        <v>0.27231467473462612</v>
      </c>
      <c r="AC677" s="80">
        <f>IF(ISERROR(Tableau1[[#This Row],[Date]]-A676),"",Tableau1[[#This Row],[Conso HP + HC
Instantané]]/Tableau1[[#This Row],[Diff jour
Instantané]])</f>
        <v>6.5355521936310277</v>
      </c>
      <c r="AD677" s="80">
        <f>Tableau1[[#This Row],[Conso HP + HC / jour_x000D_
Instantané]]*365</f>
        <v>2385.4765506753251</v>
      </c>
      <c r="AE677" s="79">
        <f>Tableau1[[#This Row],[Différence HP
Cumul]]+Tableau1[[#This Row],[Différence HC
Cumul]]</f>
        <v>-292419</v>
      </c>
      <c r="AF677" s="77">
        <f>(Tableau1[[#This Row],[Conso HP + HC
Cumul]]-AE$6)/Tableau1[[#This Row],[Diff jour_x000D_
Cumul
depuis le 24/01]]</f>
        <v>-329.03431197506899</v>
      </c>
      <c r="AG677" s="77">
        <f>(Tableau1[[#This Row],[Conso HP + HC
Cumul]]-AE$59)/Tableau1[[#This Row],[Diff jour_x000D_
Cumul
depuis
précédente facture
16/02/2021]]</f>
        <v>-339.34956804459659</v>
      </c>
      <c r="AH677" s="80">
        <f>Tableau1[[#This Row],[Conso HP + HC
Cumul]]/(Tableau1[[#This Row],[Diff jour_x000D_
Cumul]]*24)</f>
        <v>-13.036504149431552</v>
      </c>
      <c r="AI677" s="80">
        <f>Tableau1[[#This Row],[Conso HP + HC
Cumul]]/Tableau1[[#This Row],[Diff jour_x000D_
Cumul]]</f>
        <v>-312.87609958635727</v>
      </c>
      <c r="AJ677" s="80">
        <f>Tableau1[[#This Row],[Conso HP + HC / jour_x000D_
Cumul]]*365</f>
        <v>-114199.77634902041</v>
      </c>
      <c r="AK677" s="83">
        <f>(Tableau1[[#This Row],[Différence HP
Cumul]]*0.1799)+(Tableau1[[#This Row],[Différence HC
Cumul]]*0.1346)</f>
        <v>-47298.875400000004</v>
      </c>
      <c r="AL677" s="83">
        <f>Tableau1[[#This Row],[Montant
Tarif HP/HC]]/Tableau1[[#This Row],[Diff jour_x000D_
Cumul]]</f>
        <v>-50.607818404320867</v>
      </c>
      <c r="AM677" s="83">
        <f>(Tableau1[[#This Row],[Montant
Tarif HP/HC]]-AK$6)/Tableau1[[#This Row],[Diff jour_x000D_
Cumul
depuis le 24/01]]</f>
        <v>-53.230968879331918</v>
      </c>
      <c r="AN677" s="83">
        <f>(Tableau1[[#This Row],[Montant
Tarif HP/HC]]-AK$59)/Tableau1[[#This Row],[Diff jour_x000D_
Cumul
depuis
précédente facture
16/02/2021]]</f>
        <v>-54.908597610479802</v>
      </c>
      <c r="AO677" s="83">
        <f>Tableau1[[#This Row],[Conso HP + HC
Cumul]]*0.1599</f>
        <v>-46757.798099999993</v>
      </c>
      <c r="AP677" s="83">
        <f>Tableau1[[#This Row],[Montant
Tarif normal]]/Tableau1[[#This Row],[Diff jour_x000D_
Cumul]]</f>
        <v>-50.028888323858517</v>
      </c>
      <c r="AQ677" s="83">
        <f>(Tableau1[[#This Row],[Conso HP / an
Cumul]]*0.1799)+(Tableau1[[#This Row],[Conso HC / an_x000D_
Cumul]]*0.1346)</f>
        <v>-18471.85371757712</v>
      </c>
      <c r="AR677" s="83">
        <f>Tableau1[[#This Row],[Conso HP + HC / an_x000D_
Cumul]]*0.1599</f>
        <v>-18260.54423820836</v>
      </c>
      <c r="AS677" s="79">
        <f>MONTH(Tableau1[[#This Row],[Date]])</f>
        <v>7</v>
      </c>
      <c r="AT677" s="79">
        <f>YEAR(Tableau1[[#This Row],[Date]])</f>
        <v>2023</v>
      </c>
    </row>
    <row r="678" spans="1:46" x14ac:dyDescent="0.2">
      <c r="A678" s="74">
        <v>45118.306944444441</v>
      </c>
      <c r="B678" s="75"/>
      <c r="C678" s="76">
        <f>IF(ISERROR(Tableau1[[#This Row],[Date]]-A677),"",Tableau1[[#This Row],[Date]]-A677)</f>
        <v>0.98263888888322981</v>
      </c>
      <c r="D678" s="77">
        <f>IF(ISERROR(Tableau1[[#This Row],[Date]]-A677),"",Tableau1[[#This Row],[Date]]-A677)</f>
        <v>0.98263888888322981</v>
      </c>
      <c r="E678" s="76">
        <f>Tableau1[[#This Row],[Date]]-$A$5</f>
        <v>935.59861111110513</v>
      </c>
      <c r="F678" s="77">
        <f>Tableau1[[#This Row],[Date]]-$A$5</f>
        <v>935.59861111110513</v>
      </c>
      <c r="G678" s="77">
        <f>Tableau1[[#This Row],[Diff jour_x000D_
Cumul]]-F$6</f>
        <v>897.51527777777665</v>
      </c>
      <c r="H678" s="77">
        <f>Tableau1[[#This Row],[Diff jour_x000D_
Cumul]]-F$59</f>
        <v>874.99583333332703</v>
      </c>
      <c r="I678" s="78">
        <v>4507</v>
      </c>
      <c r="J678" s="79">
        <f>IF(ISERROR(Tableau1[[#This Row],[Index HP
kWh]]-I677),"",Tableau1[[#This Row],[Index HP
kWh]]-I677)</f>
        <v>8</v>
      </c>
      <c r="K678" s="77">
        <f>IF(ISERROR(Tableau1[[#This Row],[Différence HP
Instantané]]/(Tableau1[[#This Row],[Diff jour
Instantané]]*24)),"",Tableau1[[#This Row],[Différence HP
Instantané]]/(Tableau1[[#This Row],[Diff jour
Instantané]]*24))</f>
        <v>0.33922261484294303</v>
      </c>
      <c r="L678" s="77">
        <f>Tableau1[[#This Row],[Différence HP
Instantané]]/Tableau1[[#This Row],[Diff jour
Instantané]]</f>
        <v>8.1413427562306317</v>
      </c>
      <c r="M678" s="77">
        <f>Tableau1[[#This Row],[Conso HP / jour
Instantané]]*365</f>
        <v>2971.5901060241804</v>
      </c>
      <c r="N678" s="79">
        <f>Tableau1[[#This Row],[Index HP
kWh]]-$I$5</f>
        <v>-175252</v>
      </c>
      <c r="O678" s="80">
        <f>Tableau1[[#This Row],[Différence HP
Cumul]]/(Tableau1[[#This Row],[Diff jour_x000D_
Cumul]]*24)</f>
        <v>-7.8048070828094813</v>
      </c>
      <c r="P678" s="80">
        <f>Tableau1[[#This Row],[Différence HP
Cumul]]/Tableau1[[#This Row],[Diff jour_x000D_
Cumul]]</f>
        <v>-187.31536998742754</v>
      </c>
      <c r="Q678" s="80">
        <f>Tableau1[[#This Row],[Conso HP / jour
Cumul]]*365</f>
        <v>-68370.110045411056</v>
      </c>
      <c r="R678" s="78">
        <v>2275</v>
      </c>
      <c r="S678" s="79">
        <f>Tableau1[[#This Row],[Index HC_x000D_
kWh]]-R677</f>
        <v>2</v>
      </c>
      <c r="T678" s="81">
        <f>Tableau1[[#This Row],[Différence_x000D_ HC
Instantané]]/(Tableau1[[#This Row],[Diff jour
Instantané]]*24)</f>
        <v>8.4805653710735757E-2</v>
      </c>
      <c r="U678" s="81">
        <f>Tableau1[[#This Row],[Différence_x000D_ HC
Instantané]]/Tableau1[[#This Row],[Diff jour
Instantané]]</f>
        <v>2.0353356890576579</v>
      </c>
      <c r="V678" s="81">
        <f>Tableau1[[#This Row],[Conso HC / jour_x000D_
Instantané]]*365</f>
        <v>742.8975265060451</v>
      </c>
      <c r="W678" s="79">
        <f>Tableau1[[#This Row],[Index HC_x000D_
kWh]]-$R$5</f>
        <v>-117157</v>
      </c>
      <c r="X678" s="82">
        <f>Tableau1[[#This Row],[Différence HC
Cumul]]/(Tableau1[[#This Row],[Diff jour_x000D_
Cumul]]*24)</f>
        <v>-5.2175597619468554</v>
      </c>
      <c r="Y678" s="82">
        <f>Tableau1[[#This Row],[Différence HC
Cumul]]/Tableau1[[#This Row],[Diff jour_x000D_
Cumul]]</f>
        <v>-125.22143428672454</v>
      </c>
      <c r="Z678" s="82">
        <f>Tableau1[[#This Row],[Conso HC / jour_x000D_
Cumul]]*365</f>
        <v>-45705.823514654461</v>
      </c>
      <c r="AA678" s="79">
        <f>Tableau1[[#This Row],[Différence HP
Instantané]]+Tableau1[[#This Row],[Différence_x000D_ HC
Instantané]]</f>
        <v>10</v>
      </c>
      <c r="AB678" s="80">
        <f>Tableau1[[#This Row],[Conso HP + HC
Instantané]]/(Tableau1[[#This Row],[Diff jour
Instantané]]*24)</f>
        <v>0.42402826855367876</v>
      </c>
      <c r="AC678" s="80">
        <f>IF(ISERROR(Tableau1[[#This Row],[Date]]-A677),"",Tableau1[[#This Row],[Conso HP + HC
Instantané]]/Tableau1[[#This Row],[Diff jour
Instantané]])</f>
        <v>10.176678445288291</v>
      </c>
      <c r="AD678" s="80">
        <f>Tableau1[[#This Row],[Conso HP + HC / jour_x000D_
Instantané]]*365</f>
        <v>3714.4876325302262</v>
      </c>
      <c r="AE678" s="79">
        <f>Tableau1[[#This Row],[Différence HP
Cumul]]+Tableau1[[#This Row],[Différence HC
Cumul]]</f>
        <v>-292409</v>
      </c>
      <c r="AF678" s="77">
        <f>(Tableau1[[#This Row],[Conso HP + HC
Cumul]]-AE$6)/Tableau1[[#This Row],[Diff jour_x000D_
Cumul
depuis le 24/01]]</f>
        <v>-328.66292898140125</v>
      </c>
      <c r="AG678" s="77">
        <f>(Tableau1[[#This Row],[Conso HP + HC
Cumul]]-AE$59)/Tableau1[[#This Row],[Diff jour_x000D_
Cumul
depuis
précédente facture
16/02/2021]]</f>
        <v>-338.95704265258649</v>
      </c>
      <c r="AH678" s="80">
        <f>Tableau1[[#This Row],[Conso HP + HC
Cumul]]/(Tableau1[[#This Row],[Diff jour_x000D_
Cumul]]*24)</f>
        <v>-13.022366844756338</v>
      </c>
      <c r="AI678" s="80">
        <f>Tableau1[[#This Row],[Conso HP + HC
Cumul]]/Tableau1[[#This Row],[Diff jour_x000D_
Cumul]]</f>
        <v>-312.53680427415208</v>
      </c>
      <c r="AJ678" s="80">
        <f>Tableau1[[#This Row],[Conso HP + HC / jour_x000D_
Cumul]]*365</f>
        <v>-114075.9335600655</v>
      </c>
      <c r="AK678" s="83">
        <f>(Tableau1[[#This Row],[Différence HP
Cumul]]*0.1799)+(Tableau1[[#This Row],[Différence HC
Cumul]]*0.1346)</f>
        <v>-47297.167000000001</v>
      </c>
      <c r="AL678" s="83">
        <f>Tableau1[[#This Row],[Montant
Tarif HP/HC]]/Tableau1[[#This Row],[Diff jour_x000D_
Cumul]]</f>
        <v>-50.552840115731343</v>
      </c>
      <c r="AM678" s="83">
        <f>(Tableau1[[#This Row],[Montant
Tarif HP/HC]]-AK$6)/Tableau1[[#This Row],[Diff jour_x000D_
Cumul
depuis le 24/01]]</f>
        <v>-53.170785814540523</v>
      </c>
      <c r="AN678" s="83">
        <f>(Tableau1[[#This Row],[Montant
Tarif HP/HC]]-AK$59)/Tableau1[[#This Row],[Diff jour_x000D_
Cumul
depuis
précédente facture
16/02/2021]]</f>
        <v>-54.844981623722418</v>
      </c>
      <c r="AO678" s="83">
        <f>Tableau1[[#This Row],[Conso HP + HC
Cumul]]*0.1599</f>
        <v>-46756.199099999998</v>
      </c>
      <c r="AP678" s="83">
        <f>Tableau1[[#This Row],[Montant
Tarif normal]]/Tableau1[[#This Row],[Diff jour_x000D_
Cumul]]</f>
        <v>-49.974635003436916</v>
      </c>
      <c r="AQ678" s="83">
        <f>(Tableau1[[#This Row],[Conso HP / an
Cumul]]*0.1799)+(Tableau1[[#This Row],[Conso HC / an_x000D_
Cumul]]*0.1346)</f>
        <v>-18451.786642241939</v>
      </c>
      <c r="AR678" s="83">
        <f>Tableau1[[#This Row],[Conso HP + HC / an_x000D_
Cumul]]*0.1599</f>
        <v>-18240.741776254472</v>
      </c>
      <c r="AS678" s="79">
        <f>MONTH(Tableau1[[#This Row],[Date]])</f>
        <v>7</v>
      </c>
      <c r="AT678" s="79">
        <f>YEAR(Tableau1[[#This Row],[Date]])</f>
        <v>2023</v>
      </c>
    </row>
    <row r="679" spans="1:46" x14ac:dyDescent="0.2">
      <c r="A679" s="74">
        <v>45119.378472222219</v>
      </c>
      <c r="B679" s="75"/>
      <c r="C679" s="76">
        <f>IF(ISERROR(Tableau1[[#This Row],[Date]]-A678),"",Tableau1[[#This Row],[Date]]-A678)</f>
        <v>1.0715277777781012</v>
      </c>
      <c r="D679" s="77">
        <f>IF(ISERROR(Tableau1[[#This Row],[Date]]-A678),"",Tableau1[[#This Row],[Date]]-A678)</f>
        <v>1.0715277777781012</v>
      </c>
      <c r="E679" s="76">
        <f>Tableau1[[#This Row],[Date]]-$A$5</f>
        <v>936.67013888888323</v>
      </c>
      <c r="F679" s="77">
        <f>Tableau1[[#This Row],[Date]]-$A$5</f>
        <v>936.67013888888323</v>
      </c>
      <c r="G679" s="77">
        <f>Tableau1[[#This Row],[Diff jour_x000D_
Cumul]]-F$6</f>
        <v>898.58680555555475</v>
      </c>
      <c r="H679" s="77">
        <f>Tableau1[[#This Row],[Diff jour_x000D_
Cumul]]-F$59</f>
        <v>876.06736111110513</v>
      </c>
      <c r="I679" s="78">
        <v>4512</v>
      </c>
      <c r="J679" s="79">
        <f>IF(ISERROR(Tableau1[[#This Row],[Index HP
kWh]]-I678),"",Tableau1[[#This Row],[Index HP
kWh]]-I678)</f>
        <v>5</v>
      </c>
      <c r="K679" s="77">
        <f>IF(ISERROR(Tableau1[[#This Row],[Différence HP
Instantané]]/(Tableau1[[#This Row],[Diff jour
Instantané]]*24)),"",Tableau1[[#This Row],[Différence HP
Instantané]]/(Tableau1[[#This Row],[Diff jour
Instantané]]*24))</f>
        <v>0.1944264419960528</v>
      </c>
      <c r="L679" s="77">
        <f>Tableau1[[#This Row],[Différence HP
Instantané]]/Tableau1[[#This Row],[Diff jour
Instantané]]</f>
        <v>4.6662346079052668</v>
      </c>
      <c r="M679" s="77">
        <f>Tableau1[[#This Row],[Conso HP / jour
Instantané]]*365</f>
        <v>1703.1756318854223</v>
      </c>
      <c r="N679" s="79">
        <f>Tableau1[[#This Row],[Index HP
kWh]]-$I$5</f>
        <v>-175247</v>
      </c>
      <c r="O679" s="80">
        <f>Tableau1[[#This Row],[Différence HP
Cumul]]/(Tableau1[[#This Row],[Diff jour_x000D_
Cumul]]*24)</f>
        <v>-7.7956561548927112</v>
      </c>
      <c r="P679" s="80">
        <f>Tableau1[[#This Row],[Différence HP
Cumul]]/Tableau1[[#This Row],[Diff jour_x000D_
Cumul]]</f>
        <v>-187.09574771742507</v>
      </c>
      <c r="Q679" s="80">
        <f>Tableau1[[#This Row],[Conso HP / jour
Cumul]]*365</f>
        <v>-68289.947916860154</v>
      </c>
      <c r="R679" s="78">
        <v>2277</v>
      </c>
      <c r="S679" s="79">
        <f>Tableau1[[#This Row],[Index HC_x000D_
kWh]]-R678</f>
        <v>2</v>
      </c>
      <c r="T679" s="81">
        <f>Tableau1[[#This Row],[Différence_x000D_ HC
Instantané]]/(Tableau1[[#This Row],[Diff jour
Instantané]]*24)</f>
        <v>7.7770576798421115E-2</v>
      </c>
      <c r="U679" s="81">
        <f>Tableau1[[#This Row],[Différence_x000D_ HC
Instantané]]/Tableau1[[#This Row],[Diff jour
Instantané]]</f>
        <v>1.8664938431621068</v>
      </c>
      <c r="V679" s="81">
        <f>Tableau1[[#This Row],[Conso HC / jour_x000D_
Instantané]]*365</f>
        <v>681.27025275416895</v>
      </c>
      <c r="W679" s="79">
        <f>Tableau1[[#This Row],[Index HC_x000D_
kWh]]-$R$5</f>
        <v>-117155</v>
      </c>
      <c r="X679" s="82">
        <f>Tableau1[[#This Row],[Différence HC
Cumul]]/(Tableau1[[#This Row],[Diff jour_x000D_
Cumul]]*24)</f>
        <v>-5.2115020332813433</v>
      </c>
      <c r="Y679" s="82">
        <f>Tableau1[[#This Row],[Différence HC
Cumul]]/Tableau1[[#This Row],[Diff jour_x000D_
Cumul]]</f>
        <v>-125.07604879875224</v>
      </c>
      <c r="Z679" s="82">
        <f>Tableau1[[#This Row],[Conso HC / jour_x000D_
Cumul]]*365</f>
        <v>-45652.757811544565</v>
      </c>
      <c r="AA679" s="79">
        <f>Tableau1[[#This Row],[Différence HP
Instantané]]+Tableau1[[#This Row],[Différence_x000D_ HC
Instantané]]</f>
        <v>7</v>
      </c>
      <c r="AB679" s="80">
        <f>Tableau1[[#This Row],[Conso HP + HC
Instantané]]/(Tableau1[[#This Row],[Diff jour
Instantané]]*24)</f>
        <v>0.27219701879447389</v>
      </c>
      <c r="AC679" s="80">
        <f>IF(ISERROR(Tableau1[[#This Row],[Date]]-A678),"",Tableau1[[#This Row],[Conso HP + HC
Instantané]]/Tableau1[[#This Row],[Diff jour
Instantané]])</f>
        <v>6.5327284510673742</v>
      </c>
      <c r="AD679" s="80">
        <f>Tableau1[[#This Row],[Conso HP + HC / jour_x000D_
Instantané]]*365</f>
        <v>2384.4458846395914</v>
      </c>
      <c r="AE679" s="79">
        <f>Tableau1[[#This Row],[Différence HP
Cumul]]+Tableau1[[#This Row],[Différence HC
Cumul]]</f>
        <v>-292402</v>
      </c>
      <c r="AF679" s="77">
        <f>(Tableau1[[#This Row],[Conso HP + HC
Cumul]]-AE$6)/Tableau1[[#This Row],[Diff jour_x000D_
Cumul
depuis le 24/01]]</f>
        <v>-328.26322195731751</v>
      </c>
      <c r="AG679" s="77">
        <f>(Tableau1[[#This Row],[Conso HP + HC
Cumul]]-AE$59)/Tableau1[[#This Row],[Diff jour_x000D_
Cumul
depuis
précédente facture
16/02/2021]]</f>
        <v>-338.53447025335197</v>
      </c>
      <c r="AH679" s="80">
        <f>Tableau1[[#This Row],[Conso HP + HC
Cumul]]/(Tableau1[[#This Row],[Diff jour_x000D_
Cumul]]*24)</f>
        <v>-13.007158188174055</v>
      </c>
      <c r="AI679" s="80">
        <f>Tableau1[[#This Row],[Conso HP + HC
Cumul]]/Tableau1[[#This Row],[Diff jour_x000D_
Cumul]]</f>
        <v>-312.17179651617732</v>
      </c>
      <c r="AJ679" s="80">
        <f>Tableau1[[#This Row],[Conso HP + HC / jour_x000D_
Cumul]]*365</f>
        <v>-113942.70572840472</v>
      </c>
      <c r="AK679" s="83">
        <f>(Tableau1[[#This Row],[Différence HP
Cumul]]*0.1799)+(Tableau1[[#This Row],[Différence HC
Cumul]]*0.1346)</f>
        <v>-47295.998299999999</v>
      </c>
      <c r="AL679" s="83">
        <f>Tableau1[[#This Row],[Montant
Tarif HP/HC]]/Tableau1[[#This Row],[Diff jour_x000D_
Cumul]]</f>
        <v>-50.49376118267682</v>
      </c>
      <c r="AM679" s="83">
        <f>(Tableau1[[#This Row],[Montant
Tarif HP/HC]]-AK$6)/Tableau1[[#This Row],[Diff jour_x000D_
Cumul
depuis le 24/01]]</f>
        <v>-53.106081243310342</v>
      </c>
      <c r="AN679" s="83">
        <f>(Tableau1[[#This Row],[Montant
Tarif HP/HC]]-AK$59)/Tableau1[[#This Row],[Diff jour_x000D_
Cumul
depuis
précédente facture
16/02/2021]]</f>
        <v>-54.776566084070836</v>
      </c>
      <c r="AO679" s="83">
        <f>Tableau1[[#This Row],[Conso HP + HC
Cumul]]*0.1599</f>
        <v>-46755.0798</v>
      </c>
      <c r="AP679" s="83">
        <f>Tableau1[[#This Row],[Montant
Tarif normal]]/Tableau1[[#This Row],[Diff jour_x000D_
Cumul]]</f>
        <v>-49.916270262936749</v>
      </c>
      <c r="AQ679" s="83">
        <f>(Tableau1[[#This Row],[Conso HP / an
Cumul]]*0.1799)+(Tableau1[[#This Row],[Conso HC / an_x000D_
Cumul]]*0.1346)</f>
        <v>-18430.222831677042</v>
      </c>
      <c r="AR679" s="83">
        <f>Tableau1[[#This Row],[Conso HP + HC / an_x000D_
Cumul]]*0.1599</f>
        <v>-18219.438645971914</v>
      </c>
      <c r="AS679" s="79">
        <f>MONTH(Tableau1[[#This Row],[Date]])</f>
        <v>7</v>
      </c>
      <c r="AT679" s="79">
        <f>YEAR(Tableau1[[#This Row],[Date]])</f>
        <v>2023</v>
      </c>
    </row>
    <row r="680" spans="1:46" x14ac:dyDescent="0.2">
      <c r="A680" s="74">
        <v>45120.318055555559</v>
      </c>
      <c r="B680" s="75"/>
      <c r="C680" s="76">
        <f>IF(ISERROR(Tableau1[[#This Row],[Date]]-A679),"",Tableau1[[#This Row],[Date]]-A679)</f>
        <v>0.93958333334012423</v>
      </c>
      <c r="D680" s="77">
        <f>IF(ISERROR(Tableau1[[#This Row],[Date]]-A679),"",Tableau1[[#This Row],[Date]]-A679)</f>
        <v>0.93958333334012423</v>
      </c>
      <c r="E680" s="76">
        <f>Tableau1[[#This Row],[Date]]-$A$5</f>
        <v>937.60972222222335</v>
      </c>
      <c r="F680" s="77">
        <f>Tableau1[[#This Row],[Date]]-$A$5</f>
        <v>937.60972222222335</v>
      </c>
      <c r="G680" s="77">
        <f>Tableau1[[#This Row],[Diff jour_x000D_
Cumul]]-F$6</f>
        <v>899.52638888889487</v>
      </c>
      <c r="H680" s="77">
        <f>Tableau1[[#This Row],[Diff jour_x000D_
Cumul]]-F$59</f>
        <v>877.00694444444525</v>
      </c>
      <c r="I680" s="78">
        <v>4516</v>
      </c>
      <c r="J680" s="79">
        <f>IF(ISERROR(Tableau1[[#This Row],[Index HP
kWh]]-I679),"",Tableau1[[#This Row],[Index HP
kWh]]-I679)</f>
        <v>4</v>
      </c>
      <c r="K680" s="77">
        <f>IF(ISERROR(Tableau1[[#This Row],[Différence HP
Instantané]]/(Tableau1[[#This Row],[Diff jour
Instantané]]*24)),"",Tableau1[[#This Row],[Différence HP
Instantané]]/(Tableau1[[#This Row],[Diff jour
Instantané]]*24))</f>
        <v>0.17738359201645632</v>
      </c>
      <c r="L680" s="77">
        <f>Tableau1[[#This Row],[Différence HP
Instantané]]/Tableau1[[#This Row],[Diff jour
Instantané]]</f>
        <v>4.2572062083949511</v>
      </c>
      <c r="M680" s="77">
        <f>Tableau1[[#This Row],[Conso HP / jour
Instantané]]*365</f>
        <v>1553.8802660641572</v>
      </c>
      <c r="N680" s="79">
        <f>Tableau1[[#This Row],[Index HP
kWh]]-$I$5</f>
        <v>-175243</v>
      </c>
      <c r="O680" s="80">
        <f>Tableau1[[#This Row],[Différence HP
Cumul]]/(Tableau1[[#This Row],[Diff jour_x000D_
Cumul]]*24)</f>
        <v>-7.7876663323847932</v>
      </c>
      <c r="P680" s="80">
        <f>Tableau1[[#This Row],[Différence HP
Cumul]]/Tableau1[[#This Row],[Diff jour_x000D_
Cumul]]</f>
        <v>-186.90399197723502</v>
      </c>
      <c r="Q680" s="80">
        <f>Tableau1[[#This Row],[Conso HP / jour
Cumul]]*365</f>
        <v>-68219.957071690777</v>
      </c>
      <c r="R680" s="78">
        <v>2279</v>
      </c>
      <c r="S680" s="79">
        <f>Tableau1[[#This Row],[Index HC_x000D_
kWh]]-R679</f>
        <v>2</v>
      </c>
      <c r="T680" s="81">
        <f>Tableau1[[#This Row],[Différence_x000D_ HC
Instantané]]/(Tableau1[[#This Row],[Diff jour
Instantané]]*24)</f>
        <v>8.8691796008228158E-2</v>
      </c>
      <c r="U680" s="81">
        <f>Tableau1[[#This Row],[Différence_x000D_ HC
Instantané]]/Tableau1[[#This Row],[Diff jour
Instantané]]</f>
        <v>2.1286031041974756</v>
      </c>
      <c r="V680" s="81">
        <f>Tableau1[[#This Row],[Conso HC / jour_x000D_
Instantané]]*365</f>
        <v>776.94013303207862</v>
      </c>
      <c r="W680" s="79">
        <f>Tableau1[[#This Row],[Index HC_x000D_
kWh]]-$R$5</f>
        <v>-117153</v>
      </c>
      <c r="X680" s="82">
        <f>Tableau1[[#This Row],[Différence HC
Cumul]]/(Tableau1[[#This Row],[Diff jour_x000D_
Cumul]]*24)</f>
        <v>-5.206190682868221</v>
      </c>
      <c r="Y680" s="82">
        <f>Tableau1[[#This Row],[Différence HC
Cumul]]/Tableau1[[#This Row],[Diff jour_x000D_
Cumul]]</f>
        <v>-124.94857638883731</v>
      </c>
      <c r="Z680" s="82">
        <f>Tableau1[[#This Row],[Conso HC / jour_x000D_
Cumul]]*365</f>
        <v>-45606.230381925619</v>
      </c>
      <c r="AA680" s="79">
        <f>Tableau1[[#This Row],[Différence HP
Instantané]]+Tableau1[[#This Row],[Différence_x000D_ HC
Instantané]]</f>
        <v>6</v>
      </c>
      <c r="AB680" s="80">
        <f>Tableau1[[#This Row],[Conso HP + HC
Instantané]]/(Tableau1[[#This Row],[Diff jour
Instantané]]*24)</f>
        <v>0.26607538802468444</v>
      </c>
      <c r="AC680" s="80">
        <f>IF(ISERROR(Tableau1[[#This Row],[Date]]-A679),"",Tableau1[[#This Row],[Conso HP + HC
Instantané]]/Tableau1[[#This Row],[Diff jour
Instantané]])</f>
        <v>6.3858093125924267</v>
      </c>
      <c r="AD680" s="80">
        <f>Tableau1[[#This Row],[Conso HP + HC / jour_x000D_
Instantané]]*365</f>
        <v>2330.8203990962356</v>
      </c>
      <c r="AE680" s="79">
        <f>Tableau1[[#This Row],[Différence HP
Cumul]]+Tableau1[[#This Row],[Différence HC
Cumul]]</f>
        <v>-292396</v>
      </c>
      <c r="AF680" s="77">
        <f>(Tableau1[[#This Row],[Conso HP + HC
Cumul]]-AE$6)/Tableau1[[#This Row],[Diff jour_x000D_
Cumul
depuis le 24/01]]</f>
        <v>-327.91367061987648</v>
      </c>
      <c r="AG680" s="77">
        <f>(Tableau1[[#This Row],[Conso HP + HC
Cumul]]-AE$59)/Tableau1[[#This Row],[Diff jour_x000D_
Cumul
depuis
précédente facture
16/02/2021]]</f>
        <v>-338.16493914751055</v>
      </c>
      <c r="AH680" s="80">
        <f>Tableau1[[#This Row],[Conso HP + HC
Cumul]]/(Tableau1[[#This Row],[Diff jour_x000D_
Cumul]]*24)</f>
        <v>-12.993857015253013</v>
      </c>
      <c r="AI680" s="80">
        <f>Tableau1[[#This Row],[Conso HP + HC
Cumul]]/Tableau1[[#This Row],[Diff jour_x000D_
Cumul]]</f>
        <v>-311.85256836607232</v>
      </c>
      <c r="AJ680" s="80">
        <f>Tableau1[[#This Row],[Conso HP + HC / jour_x000D_
Cumul]]*365</f>
        <v>-113826.1874536164</v>
      </c>
      <c r="AK680" s="83">
        <f>(Tableau1[[#This Row],[Différence HP
Cumul]]*0.1799)+(Tableau1[[#This Row],[Différence HC
Cumul]]*0.1346)</f>
        <v>-47295.0095</v>
      </c>
      <c r="AL680" s="83">
        <f>Tableau1[[#This Row],[Montant
Tarif HP/HC]]/Tableau1[[#This Row],[Diff jour_x000D_
Cumul]]</f>
        <v>-50.442106538642086</v>
      </c>
      <c r="AM680" s="83">
        <f>(Tableau1[[#This Row],[Montant
Tarif HP/HC]]-AK$6)/Tableau1[[#This Row],[Diff jour_x000D_
Cumul
depuis le 24/01]]</f>
        <v>-53.049511042075807</v>
      </c>
      <c r="AN680" s="83">
        <f>(Tableau1[[#This Row],[Montant
Tarif HP/HC]]-AK$59)/Tableau1[[#This Row],[Diff jour_x000D_
Cumul
depuis
précédente facture
16/02/2021]]</f>
        <v>-54.71675361749633</v>
      </c>
      <c r="AO680" s="83">
        <f>Tableau1[[#This Row],[Conso HP + HC
Cumul]]*0.1599</f>
        <v>-46754.120399999993</v>
      </c>
      <c r="AP680" s="83">
        <f>Tableau1[[#This Row],[Montant
Tarif normal]]/Tableau1[[#This Row],[Diff jour_x000D_
Cumul]]</f>
        <v>-49.865225681734955</v>
      </c>
      <c r="AQ680" s="83">
        <f>(Tableau1[[#This Row],[Conso HP / an
Cumul]]*0.1799)+(Tableau1[[#This Row],[Conso HC / an_x000D_
Cumul]]*0.1346)</f>
        <v>-18411.368886604359</v>
      </c>
      <c r="AR680" s="83">
        <f>Tableau1[[#This Row],[Conso HP + HC / an_x000D_
Cumul]]*0.1599</f>
        <v>-18200.80737383326</v>
      </c>
      <c r="AS680" s="79">
        <f>MONTH(Tableau1[[#This Row],[Date]])</f>
        <v>7</v>
      </c>
      <c r="AT680" s="79">
        <f>YEAR(Tableau1[[#This Row],[Date]])</f>
        <v>2023</v>
      </c>
    </row>
    <row r="681" spans="1:46" x14ac:dyDescent="0.2">
      <c r="A681" s="74">
        <v>45121.327777777777</v>
      </c>
      <c r="B681" s="75"/>
      <c r="C681" s="76">
        <f>IF(ISERROR(Tableau1[[#This Row],[Date]]-A680),"",Tableau1[[#This Row],[Date]]-A680)</f>
        <v>1.0097222222175333</v>
      </c>
      <c r="D681" s="77">
        <f>IF(ISERROR(Tableau1[[#This Row],[Date]]-A680),"",Tableau1[[#This Row],[Date]]-A680)</f>
        <v>1.0097222222175333</v>
      </c>
      <c r="E681" s="76">
        <f>Tableau1[[#This Row],[Date]]-$A$5</f>
        <v>938.61944444444089</v>
      </c>
      <c r="F681" s="77">
        <f>Tableau1[[#This Row],[Date]]-$A$5</f>
        <v>938.61944444444089</v>
      </c>
      <c r="G681" s="77">
        <f>Tableau1[[#This Row],[Diff jour_x000D_
Cumul]]-F$6</f>
        <v>900.5361111111124</v>
      </c>
      <c r="H681" s="77">
        <f>Tableau1[[#This Row],[Diff jour_x000D_
Cumul]]-F$59</f>
        <v>878.01666666666279</v>
      </c>
      <c r="I681" s="78">
        <v>4522</v>
      </c>
      <c r="J681" s="79">
        <f>IF(ISERROR(Tableau1[[#This Row],[Index HP
kWh]]-I680),"",Tableau1[[#This Row],[Index HP
kWh]]-I680)</f>
        <v>6</v>
      </c>
      <c r="K681" s="77">
        <f>IF(ISERROR(Tableau1[[#This Row],[Différence HP
Instantané]]/(Tableau1[[#This Row],[Diff jour
Instantané]]*24)),"",Tableau1[[#This Row],[Différence HP
Instantané]]/(Tableau1[[#This Row],[Diff jour
Instantané]]*24))</f>
        <v>0.24759284731889392</v>
      </c>
      <c r="L681" s="77">
        <f>Tableau1[[#This Row],[Différence HP
Instantané]]/Tableau1[[#This Row],[Diff jour
Instantané]]</f>
        <v>5.9422283356534544</v>
      </c>
      <c r="M681" s="77">
        <f>Tableau1[[#This Row],[Conso HP / jour
Instantané]]*365</f>
        <v>2168.913342513511</v>
      </c>
      <c r="N681" s="79">
        <f>Tableau1[[#This Row],[Index HP
kWh]]-$I$5</f>
        <v>-175237</v>
      </c>
      <c r="O681" s="80">
        <f>Tableau1[[#This Row],[Différence HP
Cumul]]/(Tableau1[[#This Row],[Diff jour_x000D_
Cumul]]*24)</f>
        <v>-7.7790223821629576</v>
      </c>
      <c r="P681" s="80">
        <f>Tableau1[[#This Row],[Différence HP
Cumul]]/Tableau1[[#This Row],[Diff jour_x000D_
Cumul]]</f>
        <v>-186.69653717191099</v>
      </c>
      <c r="Q681" s="80">
        <f>Tableau1[[#This Row],[Conso HP / jour
Cumul]]*365</f>
        <v>-68144.236067747508</v>
      </c>
      <c r="R681" s="78">
        <v>2282</v>
      </c>
      <c r="S681" s="79">
        <f>Tableau1[[#This Row],[Index HC_x000D_
kWh]]-R680</f>
        <v>3</v>
      </c>
      <c r="T681" s="81">
        <f>Tableau1[[#This Row],[Différence_x000D_ HC
Instantané]]/(Tableau1[[#This Row],[Diff jour
Instantané]]*24)</f>
        <v>0.12379642365944696</v>
      </c>
      <c r="U681" s="81">
        <f>Tableau1[[#This Row],[Différence_x000D_ HC
Instantané]]/Tableau1[[#This Row],[Diff jour
Instantané]]</f>
        <v>2.9711141678267272</v>
      </c>
      <c r="V681" s="81">
        <f>Tableau1[[#This Row],[Conso HC / jour_x000D_
Instantané]]*365</f>
        <v>1084.4566712567555</v>
      </c>
      <c r="W681" s="79">
        <f>Tableau1[[#This Row],[Index HC_x000D_
kWh]]-$R$5</f>
        <v>-117150</v>
      </c>
      <c r="X681" s="82">
        <f>Tableau1[[#This Row],[Différence HC
Cumul]]/(Tableau1[[#This Row],[Diff jour_x000D_
Cumul]]*24)</f>
        <v>-5.2004569358662298</v>
      </c>
      <c r="Y681" s="82">
        <f>Tableau1[[#This Row],[Différence HC
Cumul]]/Tableau1[[#This Row],[Diff jour_x000D_
Cumul]]</f>
        <v>-124.81096646078952</v>
      </c>
      <c r="Z681" s="82">
        <f>Tableau1[[#This Row],[Conso HC / jour_x000D_
Cumul]]*365</f>
        <v>-45556.002758188173</v>
      </c>
      <c r="AA681" s="79">
        <f>Tableau1[[#This Row],[Différence HP
Instantané]]+Tableau1[[#This Row],[Différence_x000D_ HC
Instantané]]</f>
        <v>9</v>
      </c>
      <c r="AB681" s="80">
        <f>Tableau1[[#This Row],[Conso HP + HC
Instantané]]/(Tableau1[[#This Row],[Diff jour
Instantané]]*24)</f>
        <v>0.3713892709783409</v>
      </c>
      <c r="AC681" s="80">
        <f>IF(ISERROR(Tableau1[[#This Row],[Date]]-A680),"",Tableau1[[#This Row],[Conso HP + HC
Instantané]]/Tableau1[[#This Row],[Diff jour
Instantané]])</f>
        <v>8.9133425034801821</v>
      </c>
      <c r="AD681" s="80">
        <f>Tableau1[[#This Row],[Conso HP + HC / jour_x000D_
Instantané]]*365</f>
        <v>3253.3700137702663</v>
      </c>
      <c r="AE681" s="79">
        <f>Tableau1[[#This Row],[Différence HP
Cumul]]+Tableau1[[#This Row],[Différence HC
Cumul]]</f>
        <v>-292387</v>
      </c>
      <c r="AF681" s="77">
        <f>(Tableau1[[#This Row],[Conso HP + HC
Cumul]]-AE$6)/Tableau1[[#This Row],[Diff jour_x000D_
Cumul
depuis le 24/01]]</f>
        <v>-327.53600478727128</v>
      </c>
      <c r="AG681" s="77">
        <f>(Tableau1[[#This Row],[Conso HP + HC
Cumul]]-AE$59)/Tableau1[[#This Row],[Diff jour_x000D_
Cumul
depuis
précédente facture
16/02/2021]]</f>
        <v>-337.76579791575858</v>
      </c>
      <c r="AH681" s="80">
        <f>Tableau1[[#This Row],[Conso HP + HC
Cumul]]/(Tableau1[[#This Row],[Diff jour_x000D_
Cumul]]*24)</f>
        <v>-12.979479318029188</v>
      </c>
      <c r="AI681" s="80">
        <f>Tableau1[[#This Row],[Conso HP + HC
Cumul]]/Tableau1[[#This Row],[Diff jour_x000D_
Cumul]]</f>
        <v>-311.50750363270049</v>
      </c>
      <c r="AJ681" s="80">
        <f>Tableau1[[#This Row],[Conso HP + HC / jour_x000D_
Cumul]]*365</f>
        <v>-113700.23882593568</v>
      </c>
      <c r="AK681" s="83">
        <f>(Tableau1[[#This Row],[Différence HP
Cumul]]*0.1799)+(Tableau1[[#This Row],[Différence HC
Cumul]]*0.1346)</f>
        <v>-47293.526299999998</v>
      </c>
      <c r="AL681" s="83">
        <f>Tableau1[[#This Row],[Montant
Tarif HP/HC]]/Tableau1[[#This Row],[Diff jour_x000D_
Cumul]]</f>
        <v>-50.386263122849051</v>
      </c>
      <c r="AM681" s="83">
        <f>(Tableau1[[#This Row],[Montant
Tarif HP/HC]]-AK$6)/Tableau1[[#This Row],[Diff jour_x000D_
Cumul
depuis le 24/01]]</f>
        <v>-52.988382488209105</v>
      </c>
      <c r="AN681" s="83">
        <f>(Tableau1[[#This Row],[Montant
Tarif HP/HC]]-AK$59)/Tableau1[[#This Row],[Diff jour_x000D_
Cumul
depuis
précédente facture
16/02/2021]]</f>
        <v>-54.652139898635419</v>
      </c>
      <c r="AO681" s="83">
        <f>Tableau1[[#This Row],[Conso HP + HC
Cumul]]*0.1599</f>
        <v>-46752.681299999997</v>
      </c>
      <c r="AP681" s="83">
        <f>Tableau1[[#This Row],[Montant
Tarif normal]]/Tableau1[[#This Row],[Diff jour_x000D_
Cumul]]</f>
        <v>-49.810049830868806</v>
      </c>
      <c r="AQ681" s="83">
        <f>(Tableau1[[#This Row],[Conso HP / an
Cumul]]*0.1799)+(Tableau1[[#This Row],[Conso HC / an_x000D_
Cumul]]*0.1346)</f>
        <v>-18390.986039839907</v>
      </c>
      <c r="AR681" s="83">
        <f>Tableau1[[#This Row],[Conso HP + HC / an_x000D_
Cumul]]*0.1599</f>
        <v>-18180.668188267115</v>
      </c>
      <c r="AS681" s="79">
        <f>MONTH(Tableau1[[#This Row],[Date]])</f>
        <v>7</v>
      </c>
      <c r="AT681" s="79">
        <f>YEAR(Tableau1[[#This Row],[Date]])</f>
        <v>2023</v>
      </c>
    </row>
    <row r="682" spans="1:46" x14ac:dyDescent="0.2">
      <c r="A682" s="74">
        <v>45122.50277777778</v>
      </c>
      <c r="B682" s="75"/>
      <c r="C682" s="76">
        <f>IF(ISERROR(Tableau1[[#This Row],[Date]]-A681),"",Tableau1[[#This Row],[Date]]-A681)</f>
        <v>1.1750000000029104</v>
      </c>
      <c r="D682" s="77">
        <f>IF(ISERROR(Tableau1[[#This Row],[Date]]-A681),"",Tableau1[[#This Row],[Date]]-A681)</f>
        <v>1.1750000000029104</v>
      </c>
      <c r="E682" s="76">
        <f>Tableau1[[#This Row],[Date]]-$A$5</f>
        <v>939.7944444444438</v>
      </c>
      <c r="F682" s="77">
        <f>Tableau1[[#This Row],[Date]]-$A$5</f>
        <v>939.7944444444438</v>
      </c>
      <c r="G682" s="77">
        <f>Tableau1[[#This Row],[Diff jour_x000D_
Cumul]]-F$6</f>
        <v>901.71111111111531</v>
      </c>
      <c r="H682" s="77">
        <f>Tableau1[[#This Row],[Diff jour_x000D_
Cumul]]-F$59</f>
        <v>879.1916666666657</v>
      </c>
      <c r="I682" s="78">
        <v>4530</v>
      </c>
      <c r="J682" s="79">
        <f>IF(ISERROR(Tableau1[[#This Row],[Index HP
kWh]]-I681),"",Tableau1[[#This Row],[Index HP
kWh]]-I681)</f>
        <v>8</v>
      </c>
      <c r="K682" s="77">
        <f>IF(ISERROR(Tableau1[[#This Row],[Différence HP
Instantané]]/(Tableau1[[#This Row],[Diff jour
Instantané]]*24)),"",Tableau1[[#This Row],[Différence HP
Instantané]]/(Tableau1[[#This Row],[Diff jour
Instantané]]*24))</f>
        <v>0.28368794326170865</v>
      </c>
      <c r="L682" s="77">
        <f>Tableau1[[#This Row],[Différence HP
Instantané]]/Tableau1[[#This Row],[Diff jour
Instantané]]</f>
        <v>6.8085106382810086</v>
      </c>
      <c r="M682" s="77">
        <f>Tableau1[[#This Row],[Conso HP / jour
Instantané]]*365</f>
        <v>2485.1063829725681</v>
      </c>
      <c r="N682" s="79">
        <f>Tableau1[[#This Row],[Index HP
kWh]]-$I$5</f>
        <v>-175229</v>
      </c>
      <c r="O682" s="80">
        <f>Tableau1[[#This Row],[Différence HP
Cumul]]/(Tableau1[[#This Row],[Diff jour_x000D_
Cumul]]*24)</f>
        <v>-7.7689417898713131</v>
      </c>
      <c r="P682" s="80">
        <f>Tableau1[[#This Row],[Différence HP
Cumul]]/Tableau1[[#This Row],[Diff jour_x000D_
Cumul]]</f>
        <v>-186.45460295691151</v>
      </c>
      <c r="Q682" s="80">
        <f>Tableau1[[#This Row],[Conso HP / jour
Cumul]]*365</f>
        <v>-68055.930079272701</v>
      </c>
      <c r="R682" s="78">
        <v>2285</v>
      </c>
      <c r="S682" s="79">
        <f>Tableau1[[#This Row],[Index HC_x000D_
kWh]]-R681</f>
        <v>3</v>
      </c>
      <c r="T682" s="81">
        <f>Tableau1[[#This Row],[Différence_x000D_ HC
Instantané]]/(Tableau1[[#This Row],[Diff jour
Instantané]]*24)</f>
        <v>0.10638297872314076</v>
      </c>
      <c r="U682" s="81">
        <f>Tableau1[[#This Row],[Différence_x000D_ HC
Instantané]]/Tableau1[[#This Row],[Diff jour
Instantané]]</f>
        <v>2.553191489355378</v>
      </c>
      <c r="V682" s="81">
        <f>Tableau1[[#This Row],[Conso HC / jour_x000D_
Instantané]]*365</f>
        <v>931.91489361471292</v>
      </c>
      <c r="W682" s="79">
        <f>Tableau1[[#This Row],[Index HC_x000D_
kWh]]-$R$5</f>
        <v>-117147</v>
      </c>
      <c r="X682" s="82">
        <f>Tableau1[[#This Row],[Différence HC
Cumul]]/(Tableau1[[#This Row],[Diff jour_x000D_
Cumul]]*24)</f>
        <v>-5.1938219350567243</v>
      </c>
      <c r="Y682" s="82">
        <f>Tableau1[[#This Row],[Différence HC
Cumul]]/Tableau1[[#This Row],[Diff jour_x000D_
Cumul]]</f>
        <v>-124.65172644136138</v>
      </c>
      <c r="Z682" s="82">
        <f>Tableau1[[#This Row],[Conso HC / jour_x000D_
Cumul]]*365</f>
        <v>-45497.880151096899</v>
      </c>
      <c r="AA682" s="79">
        <f>Tableau1[[#This Row],[Différence HP
Instantané]]+Tableau1[[#This Row],[Différence_x000D_ HC
Instantané]]</f>
        <v>11</v>
      </c>
      <c r="AB682" s="80">
        <f>Tableau1[[#This Row],[Conso HP + HC
Instantané]]/(Tableau1[[#This Row],[Diff jour
Instantané]]*24)</f>
        <v>0.39007092198484944</v>
      </c>
      <c r="AC682" s="80">
        <f>IF(ISERROR(Tableau1[[#This Row],[Date]]-A681),"",Tableau1[[#This Row],[Conso HP + HC
Instantané]]/Tableau1[[#This Row],[Diff jour
Instantané]])</f>
        <v>9.3617021276363861</v>
      </c>
      <c r="AD682" s="80">
        <f>Tableau1[[#This Row],[Conso HP + HC / jour_x000D_
Instantané]]*365</f>
        <v>3417.0212765872811</v>
      </c>
      <c r="AE682" s="79">
        <f>Tableau1[[#This Row],[Différence HP
Cumul]]+Tableau1[[#This Row],[Différence HC
Cumul]]</f>
        <v>-292376</v>
      </c>
      <c r="AF682" s="77">
        <f>(Tableau1[[#This Row],[Conso HP + HC
Cumul]]-AE$6)/Tableau1[[#This Row],[Diff jour_x000D_
Cumul
depuis le 24/01]]</f>
        <v>-327.09700076397809</v>
      </c>
      <c r="AG682" s="77">
        <f>(Tableau1[[#This Row],[Conso HP + HC
Cumul]]-AE$59)/Tableau1[[#This Row],[Diff jour_x000D_
Cumul
depuis
précédente facture
16/02/2021]]</f>
        <v>-337.30187767172532</v>
      </c>
      <c r="AH682" s="80">
        <f>Tableau1[[#This Row],[Conso HP + HC
Cumul]]/(Tableau1[[#This Row],[Diff jour_x000D_
Cumul]]*24)</f>
        <v>-12.962763724928037</v>
      </c>
      <c r="AI682" s="80">
        <f>Tableau1[[#This Row],[Conso HP + HC
Cumul]]/Tableau1[[#This Row],[Diff jour_x000D_
Cumul]]</f>
        <v>-311.10632939827286</v>
      </c>
      <c r="AJ682" s="80">
        <f>Tableau1[[#This Row],[Conso HP + HC / jour_x000D_
Cumul]]*365</f>
        <v>-113553.81023036959</v>
      </c>
      <c r="AK682" s="83">
        <f>(Tableau1[[#This Row],[Différence HP
Cumul]]*0.1799)+(Tableau1[[#This Row],[Différence HC
Cumul]]*0.1346)</f>
        <v>-47291.683300000004</v>
      </c>
      <c r="AL682" s="83">
        <f>Tableau1[[#This Row],[Montant
Tarif HP/HC]]/Tableau1[[#This Row],[Diff jour_x000D_
Cumul]]</f>
        <v>-50.321305450955627</v>
      </c>
      <c r="AM682" s="83">
        <f>(Tableau1[[#This Row],[Montant
Tarif HP/HC]]-AK$6)/Tableau1[[#This Row],[Diff jour_x000D_
Cumul
depuis le 24/01]]</f>
        <v>-52.917290595657398</v>
      </c>
      <c r="AN682" s="83">
        <f>(Tableau1[[#This Row],[Montant
Tarif HP/HC]]-AK$59)/Tableau1[[#This Row],[Diff jour_x000D_
Cumul
depuis
précédente facture
16/02/2021]]</f>
        <v>-54.577003535444554</v>
      </c>
      <c r="AO682" s="83">
        <f>Tableau1[[#This Row],[Conso HP + HC
Cumul]]*0.1599</f>
        <v>-46750.922399999996</v>
      </c>
      <c r="AP682" s="83">
        <f>Tableau1[[#This Row],[Montant
Tarif normal]]/Tableau1[[#This Row],[Diff jour_x000D_
Cumul]]</f>
        <v>-49.745902070783828</v>
      </c>
      <c r="AQ682" s="83">
        <f>(Tableau1[[#This Row],[Conso HP / an
Cumul]]*0.1799)+(Tableau1[[#This Row],[Conso HC / an_x000D_
Cumul]]*0.1346)</f>
        <v>-18367.2764895988</v>
      </c>
      <c r="AR682" s="83">
        <f>Tableau1[[#This Row],[Conso HP + HC / an_x000D_
Cumul]]*0.1599</f>
        <v>-18157.254255836095</v>
      </c>
      <c r="AS682" s="79">
        <f>MONTH(Tableau1[[#This Row],[Date]])</f>
        <v>7</v>
      </c>
      <c r="AT682" s="79">
        <f>YEAR(Tableau1[[#This Row],[Date]])</f>
        <v>2023</v>
      </c>
    </row>
    <row r="683" spans="1:46" x14ac:dyDescent="0.2">
      <c r="A683" s="74">
        <v>45123.373611111114</v>
      </c>
      <c r="B683" s="75"/>
      <c r="C683" s="76">
        <f>IF(ISERROR(Tableau1[[#This Row],[Date]]-A682),"",Tableau1[[#This Row],[Date]]-A682)</f>
        <v>0.87083333333430346</v>
      </c>
      <c r="D683" s="77">
        <f>IF(ISERROR(Tableau1[[#This Row],[Date]]-A682),"",Tableau1[[#This Row],[Date]]-A682)</f>
        <v>0.87083333333430346</v>
      </c>
      <c r="E683" s="76">
        <f>Tableau1[[#This Row],[Date]]-$A$5</f>
        <v>940.6652777777781</v>
      </c>
      <c r="F683" s="77">
        <f>Tableau1[[#This Row],[Date]]-$A$5</f>
        <v>940.6652777777781</v>
      </c>
      <c r="G683" s="77">
        <f>Tableau1[[#This Row],[Diff jour_x000D_
Cumul]]-F$6</f>
        <v>902.58194444444962</v>
      </c>
      <c r="H683" s="77">
        <f>Tableau1[[#This Row],[Diff jour_x000D_
Cumul]]-F$59</f>
        <v>880.0625</v>
      </c>
      <c r="I683" s="78">
        <v>4534</v>
      </c>
      <c r="J683" s="79">
        <f>IF(ISERROR(Tableau1[[#This Row],[Index HP
kWh]]-I682),"",Tableau1[[#This Row],[Index HP
kWh]]-I682)</f>
        <v>4</v>
      </c>
      <c r="K683" s="77">
        <f>IF(ISERROR(Tableau1[[#This Row],[Différence HP
Instantané]]/(Tableau1[[#This Row],[Diff jour
Instantané]]*24)),"",Tableau1[[#This Row],[Différence HP
Instantané]]/(Tableau1[[#This Row],[Diff jour
Instantané]]*24))</f>
        <v>0.19138755980839922</v>
      </c>
      <c r="L683" s="77">
        <f>Tableau1[[#This Row],[Différence HP
Instantané]]/Tableau1[[#This Row],[Diff jour
Instantané]]</f>
        <v>4.5933014354015818</v>
      </c>
      <c r="M683" s="77">
        <f>Tableau1[[#This Row],[Conso HP / jour
Instantané]]*365</f>
        <v>1676.5550239215772</v>
      </c>
      <c r="N683" s="79">
        <f>Tableau1[[#This Row],[Index HP
kWh]]-$I$5</f>
        <v>-175225</v>
      </c>
      <c r="O683" s="80">
        <f>Tableau1[[#This Row],[Différence HP
Cumul]]/(Tableau1[[#This Row],[Diff jour_x000D_
Cumul]]*24)</f>
        <v>-7.7615724095978145</v>
      </c>
      <c r="P683" s="80">
        <f>Tableau1[[#This Row],[Différence HP
Cumul]]/Tableau1[[#This Row],[Diff jour_x000D_
Cumul]]</f>
        <v>-186.27773783034755</v>
      </c>
      <c r="Q683" s="80">
        <f>Tableau1[[#This Row],[Conso HP / jour
Cumul]]*365</f>
        <v>-67991.374308076862</v>
      </c>
      <c r="R683" s="78">
        <v>2287</v>
      </c>
      <c r="S683" s="79">
        <f>Tableau1[[#This Row],[Index HC_x000D_
kWh]]-R682</f>
        <v>2</v>
      </c>
      <c r="T683" s="81">
        <f>Tableau1[[#This Row],[Différence_x000D_ HC
Instantané]]/(Tableau1[[#This Row],[Diff jour
Instantané]]*24)</f>
        <v>9.5693779904199611E-2</v>
      </c>
      <c r="U683" s="81">
        <f>Tableau1[[#This Row],[Différence_x000D_ HC
Instantané]]/Tableau1[[#This Row],[Diff jour
Instantané]]</f>
        <v>2.2966507177007909</v>
      </c>
      <c r="V683" s="81">
        <f>Tableau1[[#This Row],[Conso HC / jour_x000D_
Instantané]]*365</f>
        <v>838.27751196078862</v>
      </c>
      <c r="W683" s="79">
        <f>Tableau1[[#This Row],[Index HC_x000D_
kWh]]-$R$5</f>
        <v>-117145</v>
      </c>
      <c r="X683" s="82">
        <f>Tableau1[[#This Row],[Différence HC
Cumul]]/(Tableau1[[#This Row],[Diff jour_x000D_
Cumul]]*24)</f>
        <v>-5.1889250958615261</v>
      </c>
      <c r="Y683" s="82">
        <f>Tableau1[[#This Row],[Différence HC
Cumul]]/Tableau1[[#This Row],[Diff jour_x000D_
Cumul]]</f>
        <v>-124.53420230067664</v>
      </c>
      <c r="Z683" s="82">
        <f>Tableau1[[#This Row],[Conso HC / jour_x000D_
Cumul]]*365</f>
        <v>-45454.983839746972</v>
      </c>
      <c r="AA683" s="79">
        <f>Tableau1[[#This Row],[Différence HP
Instantané]]+Tableau1[[#This Row],[Différence_x000D_ HC
Instantané]]</f>
        <v>6</v>
      </c>
      <c r="AB683" s="80">
        <f>Tableau1[[#This Row],[Conso HP + HC
Instantané]]/(Tableau1[[#This Row],[Diff jour
Instantané]]*24)</f>
        <v>0.28708133971259886</v>
      </c>
      <c r="AC683" s="80">
        <f>IF(ISERROR(Tableau1[[#This Row],[Date]]-A682),"",Tableau1[[#This Row],[Conso HP + HC
Instantané]]/Tableau1[[#This Row],[Diff jour
Instantané]])</f>
        <v>6.8899521531023726</v>
      </c>
      <c r="AD683" s="80">
        <f>Tableau1[[#This Row],[Conso HP + HC / jour_x000D_
Instantané]]*365</f>
        <v>2514.8325358823658</v>
      </c>
      <c r="AE683" s="79">
        <f>Tableau1[[#This Row],[Différence HP
Cumul]]+Tableau1[[#This Row],[Différence HC
Cumul]]</f>
        <v>-292370</v>
      </c>
      <c r="AF683" s="77">
        <f>(Tableau1[[#This Row],[Conso HP + HC
Cumul]]-AE$6)/Tableau1[[#This Row],[Diff jour_x000D_
Cumul
depuis le 24/01]]</f>
        <v>-326.77476190988932</v>
      </c>
      <c r="AG683" s="77">
        <f>(Tableau1[[#This Row],[Conso HP + HC
Cumul]]-AE$59)/Tableau1[[#This Row],[Diff jour_x000D_
Cumul
depuis
précédente facture
16/02/2021]]</f>
        <v>-336.96129536254529</v>
      </c>
      <c r="AH683" s="80">
        <f>Tableau1[[#This Row],[Conso HP + HC
Cumul]]/(Tableau1[[#This Row],[Diff jour_x000D_
Cumul]]*24)</f>
        <v>-12.950497505459341</v>
      </c>
      <c r="AI683" s="80">
        <f>Tableau1[[#This Row],[Conso HP + HC
Cumul]]/Tableau1[[#This Row],[Diff jour_x000D_
Cumul]]</f>
        <v>-310.81194013102419</v>
      </c>
      <c r="AJ683" s="80">
        <f>Tableau1[[#This Row],[Conso HP + HC / jour_x000D_
Cumul]]*365</f>
        <v>-113446.35814782383</v>
      </c>
      <c r="AK683" s="83">
        <f>(Tableau1[[#This Row],[Différence HP
Cumul]]*0.1799)+(Tableau1[[#This Row],[Différence HC
Cumul]]*0.1346)</f>
        <v>-47290.694499999998</v>
      </c>
      <c r="AL683" s="83">
        <f>Tableau1[[#This Row],[Montant
Tarif HP/HC]]/Tableau1[[#This Row],[Diff jour_x000D_
Cumul]]</f>
        <v>-50.273668665350598</v>
      </c>
      <c r="AM683" s="83">
        <f>(Tableau1[[#This Row],[Montant
Tarif HP/HC]]-AK$6)/Tableau1[[#This Row],[Diff jour_x000D_
Cumul
depuis le 24/01]]</f>
        <v>-52.865139164033742</v>
      </c>
      <c r="AN683" s="83">
        <f>(Tableau1[[#This Row],[Montant
Tarif HP/HC]]-AK$59)/Tableau1[[#This Row],[Diff jour_x000D_
Cumul
depuis
précédente facture
16/02/2021]]</f>
        <v>-54.521875321355019</v>
      </c>
      <c r="AO683" s="83">
        <f>Tableau1[[#This Row],[Conso HP + HC
Cumul]]*0.1599</f>
        <v>-46749.962999999996</v>
      </c>
      <c r="AP683" s="83">
        <f>Tableau1[[#This Row],[Montant
Tarif normal]]/Tableau1[[#This Row],[Diff jour_x000D_
Cumul]]</f>
        <v>-49.698829226950764</v>
      </c>
      <c r="AQ683" s="83">
        <f>(Tableau1[[#This Row],[Conso HP / an
Cumul]]*0.1799)+(Tableau1[[#This Row],[Conso HC / an_x000D_
Cumul]]*0.1346)</f>
        <v>-18349.88906285297</v>
      </c>
      <c r="AR683" s="83">
        <f>Tableau1[[#This Row],[Conso HP + HC / an_x000D_
Cumul]]*0.1599</f>
        <v>-18140.07266783703</v>
      </c>
      <c r="AS683" s="79">
        <f>MONTH(Tableau1[[#This Row],[Date]])</f>
        <v>7</v>
      </c>
      <c r="AT683" s="79">
        <f>YEAR(Tableau1[[#This Row],[Date]])</f>
        <v>2023</v>
      </c>
    </row>
    <row r="684" spans="1:46" x14ac:dyDescent="0.2">
      <c r="A684" s="74">
        <v>45124.323611111111</v>
      </c>
      <c r="B684" s="75"/>
      <c r="C684" s="76">
        <f>IF(ISERROR(Tableau1[[#This Row],[Date]]-A683),"",Tableau1[[#This Row],[Date]]-A683)</f>
        <v>0.94999999999708962</v>
      </c>
      <c r="D684" s="77">
        <f>IF(ISERROR(Tableau1[[#This Row],[Date]]-A683),"",Tableau1[[#This Row],[Date]]-A683)</f>
        <v>0.94999999999708962</v>
      </c>
      <c r="E684" s="76">
        <f>Tableau1[[#This Row],[Date]]-$A$5</f>
        <v>941.61527777777519</v>
      </c>
      <c r="F684" s="77">
        <f>Tableau1[[#This Row],[Date]]-$A$5</f>
        <v>941.61527777777519</v>
      </c>
      <c r="G684" s="77">
        <f>Tableau1[[#This Row],[Diff jour_x000D_
Cumul]]-F$6</f>
        <v>903.53194444444671</v>
      </c>
      <c r="H684" s="77">
        <f>Tableau1[[#This Row],[Diff jour_x000D_
Cumul]]-F$59</f>
        <v>881.01249999999709</v>
      </c>
      <c r="I684" s="78">
        <v>4540</v>
      </c>
      <c r="J684" s="79">
        <f>IF(ISERROR(Tableau1[[#This Row],[Index HP
kWh]]-I683),"",Tableau1[[#This Row],[Index HP
kWh]]-I683)</f>
        <v>6</v>
      </c>
      <c r="K684" s="77">
        <f>IF(ISERROR(Tableau1[[#This Row],[Différence HP
Instantané]]/(Tableau1[[#This Row],[Diff jour
Instantané]]*24)),"",Tableau1[[#This Row],[Différence HP
Instantané]]/(Tableau1[[#This Row],[Diff jour
Instantané]]*24))</f>
        <v>0.26315789473764828</v>
      </c>
      <c r="L684" s="77">
        <f>Tableau1[[#This Row],[Différence HP
Instantané]]/Tableau1[[#This Row],[Diff jour
Instantané]]</f>
        <v>6.3157894737035596</v>
      </c>
      <c r="M684" s="77">
        <f>Tableau1[[#This Row],[Conso HP / jour
Instantané]]*365</f>
        <v>2305.2631579017993</v>
      </c>
      <c r="N684" s="79">
        <f>Tableau1[[#This Row],[Index HP
kWh]]-$I$5</f>
        <v>-175219</v>
      </c>
      <c r="O684" s="80">
        <f>Tableau1[[#This Row],[Différence HP
Cumul]]/(Tableau1[[#This Row],[Diff jour_x000D_
Cumul]]*24)</f>
        <v>-7.7534762221537372</v>
      </c>
      <c r="P684" s="80">
        <f>Tableau1[[#This Row],[Différence HP
Cumul]]/Tableau1[[#This Row],[Diff jour_x000D_
Cumul]]</f>
        <v>-186.0834293316897</v>
      </c>
      <c r="Q684" s="80">
        <f>Tableau1[[#This Row],[Conso HP / jour
Cumul]]*365</f>
        <v>-67920.451706066742</v>
      </c>
      <c r="R684" s="78">
        <v>2289</v>
      </c>
      <c r="S684" s="79">
        <f>Tableau1[[#This Row],[Index HC_x000D_
kWh]]-R683</f>
        <v>2</v>
      </c>
      <c r="T684" s="81">
        <f>Tableau1[[#This Row],[Différence_x000D_ HC
Instantané]]/(Tableau1[[#This Row],[Diff jour
Instantané]]*24)</f>
        <v>8.7719298245882774E-2</v>
      </c>
      <c r="U684" s="81">
        <f>Tableau1[[#This Row],[Différence_x000D_ HC
Instantané]]/Tableau1[[#This Row],[Diff jour
Instantané]]</f>
        <v>2.1052631579011862</v>
      </c>
      <c r="V684" s="81">
        <f>Tableau1[[#This Row],[Conso HC / jour_x000D_
Instantané]]*365</f>
        <v>768.42105263393296</v>
      </c>
      <c r="W684" s="79">
        <f>Tableau1[[#This Row],[Index HC_x000D_
kWh]]-$R$5</f>
        <v>-117143</v>
      </c>
      <c r="X684" s="82">
        <f>Tableau1[[#This Row],[Différence HC
Cumul]]/(Tableau1[[#This Row],[Diff jour_x000D_
Cumul]]*24)</f>
        <v>-5.1836014649767161</v>
      </c>
      <c r="Y684" s="82">
        <f>Tableau1[[#This Row],[Différence HC
Cumul]]/Tableau1[[#This Row],[Diff jour_x000D_
Cumul]]</f>
        <v>-124.4064351594412</v>
      </c>
      <c r="Z684" s="82">
        <f>Tableau1[[#This Row],[Conso HC / jour_x000D_
Cumul]]*365</f>
        <v>-45408.34883319604</v>
      </c>
      <c r="AA684" s="79">
        <f>Tableau1[[#This Row],[Différence HP
Instantané]]+Tableau1[[#This Row],[Différence_x000D_ HC
Instantané]]</f>
        <v>8</v>
      </c>
      <c r="AB684" s="80">
        <f>Tableau1[[#This Row],[Conso HP + HC
Instantané]]/(Tableau1[[#This Row],[Diff jour
Instantané]]*24)</f>
        <v>0.35087719298353109</v>
      </c>
      <c r="AC684" s="80">
        <f>IF(ISERROR(Tableau1[[#This Row],[Date]]-A683),"",Tableau1[[#This Row],[Conso HP + HC
Instantané]]/Tableau1[[#This Row],[Diff jour
Instantané]])</f>
        <v>8.4210526316047449</v>
      </c>
      <c r="AD684" s="80">
        <f>Tableau1[[#This Row],[Conso HP + HC / jour_x000D_
Instantané]]*365</f>
        <v>3073.6842105357318</v>
      </c>
      <c r="AE684" s="79">
        <f>Tableau1[[#This Row],[Différence HP
Cumul]]+Tableau1[[#This Row],[Différence HC
Cumul]]</f>
        <v>-292362</v>
      </c>
      <c r="AF684" s="77">
        <f>(Tableau1[[#This Row],[Conso HP + HC
Cumul]]-AE$6)/Tableau1[[#This Row],[Diff jour_x000D_
Cumul
depuis le 24/01]]</f>
        <v>-326.42232719435833</v>
      </c>
      <c r="AG684" s="77">
        <f>(Tableau1[[#This Row],[Conso HP + HC
Cumul]]-AE$59)/Tableau1[[#This Row],[Diff jour_x000D_
Cumul
depuis
précédente facture
16/02/2021]]</f>
        <v>-336.5888679218524</v>
      </c>
      <c r="AH684" s="80">
        <f>Tableau1[[#This Row],[Conso HP + HC
Cumul]]/(Tableau1[[#This Row],[Diff jour_x000D_
Cumul]]*24)</f>
        <v>-12.937077687130454</v>
      </c>
      <c r="AI684" s="80">
        <f>Tableau1[[#This Row],[Conso HP + HC
Cumul]]/Tableau1[[#This Row],[Diff jour_x000D_
Cumul]]</f>
        <v>-310.4898644911309</v>
      </c>
      <c r="AJ684" s="80">
        <f>Tableau1[[#This Row],[Conso HP + HC / jour_x000D_
Cumul]]*365</f>
        <v>-113328.80053926278</v>
      </c>
      <c r="AK684" s="83">
        <f>(Tableau1[[#This Row],[Différence HP
Cumul]]*0.1799)+(Tableau1[[#This Row],[Différence HC
Cumul]]*0.1346)</f>
        <v>-47289.3459</v>
      </c>
      <c r="AL684" s="83">
        <f>Tableau1[[#This Row],[Montant
Tarif HP/HC]]/Tableau1[[#This Row],[Diff jour_x000D_
Cumul]]</f>
        <v>-50.22151510923176</v>
      </c>
      <c r="AM684" s="83">
        <f>(Tableau1[[#This Row],[Montant
Tarif HP/HC]]-AK$6)/Tableau1[[#This Row],[Diff jour_x000D_
Cumul
depuis le 24/01]]</f>
        <v>-52.808062618458607</v>
      </c>
      <c r="AN684" s="83">
        <f>(Tableau1[[#This Row],[Montant
Tarif HP/HC]]-AK$59)/Tableau1[[#This Row],[Diff jour_x000D_
Cumul
depuis
précédente facture
16/02/2021]]</f>
        <v>-54.46155338318146</v>
      </c>
      <c r="AO684" s="83">
        <f>Tableau1[[#This Row],[Conso HP + HC
Cumul]]*0.1599</f>
        <v>-46748.683799999999</v>
      </c>
      <c r="AP684" s="83">
        <f>Tableau1[[#This Row],[Montant
Tarif normal]]/Tableau1[[#This Row],[Diff jour_x000D_
Cumul]]</f>
        <v>-49.647329332131832</v>
      </c>
      <c r="AQ684" s="83">
        <f>(Tableau1[[#This Row],[Conso HP / an
Cumul]]*0.1799)+(Tableau1[[#This Row],[Conso HC / an_x000D_
Cumul]]*0.1346)</f>
        <v>-18330.853014869594</v>
      </c>
      <c r="AR684" s="83">
        <f>Tableau1[[#This Row],[Conso HP + HC / an_x000D_
Cumul]]*0.1599</f>
        <v>-18121.275206228118</v>
      </c>
      <c r="AS684" s="79">
        <f>MONTH(Tableau1[[#This Row],[Date]])</f>
        <v>7</v>
      </c>
      <c r="AT684" s="79">
        <f>YEAR(Tableau1[[#This Row],[Date]])</f>
        <v>2023</v>
      </c>
    </row>
    <row r="685" spans="1:46" x14ac:dyDescent="0.2">
      <c r="A685" s="74">
        <v>45125.395833333336</v>
      </c>
      <c r="B685" s="75"/>
      <c r="C685" s="76">
        <f>IF(ISERROR(Tableau1[[#This Row],[Date]]-A684),"",Tableau1[[#This Row],[Date]]-A684)</f>
        <v>1.0722222222248092</v>
      </c>
      <c r="D685" s="77">
        <f>IF(ISERROR(Tableau1[[#This Row],[Date]]-A684),"",Tableau1[[#This Row],[Date]]-A684)</f>
        <v>1.0722222222248092</v>
      </c>
      <c r="E685" s="76">
        <f>Tableau1[[#This Row],[Date]]-$A$5</f>
        <v>942.6875</v>
      </c>
      <c r="F685" s="77">
        <f>Tableau1[[#This Row],[Date]]-$A$5</f>
        <v>942.6875</v>
      </c>
      <c r="G685" s="77">
        <f>Tableau1[[#This Row],[Diff jour_x000D_
Cumul]]-F$6</f>
        <v>904.60416666667152</v>
      </c>
      <c r="H685" s="77">
        <f>Tableau1[[#This Row],[Diff jour_x000D_
Cumul]]-F$59</f>
        <v>882.0847222222219</v>
      </c>
      <c r="I685" s="78">
        <v>4548</v>
      </c>
      <c r="J685" s="79">
        <f>IF(ISERROR(Tableau1[[#This Row],[Index HP
kWh]]-I684),"",Tableau1[[#This Row],[Index HP
kWh]]-I684)</f>
        <v>8</v>
      </c>
      <c r="K685" s="77">
        <f>IF(ISERROR(Tableau1[[#This Row],[Différence HP
Instantané]]/(Tableau1[[#This Row],[Diff jour
Instantané]]*24)),"",Tableau1[[#This Row],[Différence HP
Instantané]]/(Tableau1[[#This Row],[Diff jour
Instantané]]*24))</f>
        <v>0.31088082901479397</v>
      </c>
      <c r="L685" s="77">
        <f>Tableau1[[#This Row],[Différence HP
Instantané]]/Tableau1[[#This Row],[Diff jour
Instantané]]</f>
        <v>7.4611398963550553</v>
      </c>
      <c r="M685" s="77">
        <f>Tableau1[[#This Row],[Conso HP / jour
Instantané]]*365</f>
        <v>2723.3160621695952</v>
      </c>
      <c r="N685" s="79">
        <f>Tableau1[[#This Row],[Index HP
kWh]]-$I$5</f>
        <v>-175211</v>
      </c>
      <c r="O685" s="80">
        <f>Tableau1[[#This Row],[Différence HP
Cumul]]/(Tableau1[[#This Row],[Diff jour_x000D_
Cumul]]*24)</f>
        <v>-7.7443037415191496</v>
      </c>
      <c r="P685" s="80">
        <f>Tableau1[[#This Row],[Différence HP
Cumul]]/Tableau1[[#This Row],[Diff jour_x000D_
Cumul]]</f>
        <v>-185.86328979645958</v>
      </c>
      <c r="Q685" s="80">
        <f>Tableau1[[#This Row],[Conso HP / jour
Cumul]]*365</f>
        <v>-67840.100775707746</v>
      </c>
      <c r="R685" s="78">
        <v>2292</v>
      </c>
      <c r="S685" s="79">
        <f>Tableau1[[#This Row],[Index HC_x000D_
kWh]]-R684</f>
        <v>3</v>
      </c>
      <c r="T685" s="81">
        <f>Tableau1[[#This Row],[Différence_x000D_ HC
Instantané]]/(Tableau1[[#This Row],[Diff jour
Instantané]]*24)</f>
        <v>0.11658031088054774</v>
      </c>
      <c r="U685" s="81">
        <f>Tableau1[[#This Row],[Différence_x000D_ HC
Instantané]]/Tableau1[[#This Row],[Diff jour
Instantané]]</f>
        <v>2.7979274611331455</v>
      </c>
      <c r="V685" s="81">
        <f>Tableau1[[#This Row],[Conso HC / jour_x000D_
Instantané]]*365</f>
        <v>1021.2435233135981</v>
      </c>
      <c r="W685" s="79">
        <f>Tableau1[[#This Row],[Index HC_x000D_
kWh]]-$R$5</f>
        <v>-117140</v>
      </c>
      <c r="X685" s="82">
        <f>Tableau1[[#This Row],[Différence HC
Cumul]]/(Tableau1[[#This Row],[Diff jour_x000D_
Cumul]]*24)</f>
        <v>-5.177572985038343</v>
      </c>
      <c r="Y685" s="82">
        <f>Tableau1[[#This Row],[Différence HC
Cumul]]/Tableau1[[#This Row],[Diff jour_x000D_
Cumul]]</f>
        <v>-124.26175164092024</v>
      </c>
      <c r="Z685" s="82">
        <f>Tableau1[[#This Row],[Conso HC / jour_x000D_
Cumul]]*365</f>
        <v>-45355.53934893589</v>
      </c>
      <c r="AA685" s="79">
        <f>Tableau1[[#This Row],[Différence HP
Instantané]]+Tableau1[[#This Row],[Différence_x000D_ HC
Instantané]]</f>
        <v>11</v>
      </c>
      <c r="AB685" s="80">
        <f>Tableau1[[#This Row],[Conso HP + HC
Instantané]]/(Tableau1[[#This Row],[Diff jour
Instantané]]*24)</f>
        <v>0.42746113989534168</v>
      </c>
      <c r="AC685" s="80">
        <f>IF(ISERROR(Tableau1[[#This Row],[Date]]-A684),"",Tableau1[[#This Row],[Conso HP + HC
Instantané]]/Tableau1[[#This Row],[Diff jour
Instantané]])</f>
        <v>10.259067357488201</v>
      </c>
      <c r="AD685" s="80">
        <f>Tableau1[[#This Row],[Conso HP + HC / jour_x000D_
Instantané]]*365</f>
        <v>3744.5595854831931</v>
      </c>
      <c r="AE685" s="79">
        <f>Tableau1[[#This Row],[Différence HP
Cumul]]+Tableau1[[#This Row],[Différence HC
Cumul]]</f>
        <v>-292351</v>
      </c>
      <c r="AF685" s="77">
        <f>(Tableau1[[#This Row],[Conso HP + HC
Cumul]]-AE$6)/Tableau1[[#This Row],[Diff jour_x000D_
Cumul
depuis le 24/01]]</f>
        <v>-326.02326063425357</v>
      </c>
      <c r="AG685" s="77">
        <f>(Tableau1[[#This Row],[Conso HP + HC
Cumul]]-AE$59)/Tableau1[[#This Row],[Diff jour_x000D_
Cumul
depuis
précédente facture
16/02/2021]]</f>
        <v>-336.16725528695446</v>
      </c>
      <c r="AH685" s="80">
        <f>Tableau1[[#This Row],[Conso HP + HC
Cumul]]/(Tableau1[[#This Row],[Diff jour_x000D_
Cumul]]*24)</f>
        <v>-12.921876726557493</v>
      </c>
      <c r="AI685" s="80">
        <f>Tableau1[[#This Row],[Conso HP + HC
Cumul]]/Tableau1[[#This Row],[Diff jour_x000D_
Cumul]]</f>
        <v>-310.12504143737982</v>
      </c>
      <c r="AJ685" s="80">
        <f>Tableau1[[#This Row],[Conso HP + HC / jour_x000D_
Cumul]]*365</f>
        <v>-113195.64012464363</v>
      </c>
      <c r="AK685" s="83">
        <f>(Tableau1[[#This Row],[Différence HP
Cumul]]*0.1799)+(Tableau1[[#This Row],[Différence HC
Cumul]]*0.1346)</f>
        <v>-47287.502899999999</v>
      </c>
      <c r="AL685" s="83">
        <f>Tableau1[[#This Row],[Montant
Tarif HP/HC]]/Tableau1[[#This Row],[Diff jour_x000D_
Cumul]]</f>
        <v>-50.162437605250943</v>
      </c>
      <c r="AM685" s="83">
        <f>(Tableau1[[#This Row],[Montant
Tarif HP/HC]]-AK$6)/Tableau1[[#This Row],[Diff jour_x000D_
Cumul
depuis le 24/01]]</f>
        <v>-52.74343216415992</v>
      </c>
      <c r="AN685" s="83">
        <f>(Tableau1[[#This Row],[Montant
Tarif HP/HC]]-AK$59)/Tableau1[[#This Row],[Diff jour_x000D_
Cumul
depuis
précédente facture
16/02/2021]]</f>
        <v>-54.393263018008177</v>
      </c>
      <c r="AO685" s="83">
        <f>Tableau1[[#This Row],[Conso HP + HC
Cumul]]*0.1599</f>
        <v>-46746.924899999998</v>
      </c>
      <c r="AP685" s="83">
        <f>Tableau1[[#This Row],[Montant
Tarif normal]]/Tableau1[[#This Row],[Diff jour_x000D_
Cumul]]</f>
        <v>-49.588994125837033</v>
      </c>
      <c r="AQ685" s="83">
        <f>(Tableau1[[#This Row],[Conso HP / an
Cumul]]*0.1799)+(Tableau1[[#This Row],[Conso HC / an_x000D_
Cumul]]*0.1346)</f>
        <v>-18309.289725916595</v>
      </c>
      <c r="AR685" s="83">
        <f>Tableau1[[#This Row],[Conso HP + HC / an_x000D_
Cumul]]*0.1599</f>
        <v>-18099.982855930513</v>
      </c>
      <c r="AS685" s="79">
        <f>MONTH(Tableau1[[#This Row],[Date]])</f>
        <v>7</v>
      </c>
      <c r="AT685" s="79">
        <f>YEAR(Tableau1[[#This Row],[Date]])</f>
        <v>2023</v>
      </c>
    </row>
    <row r="686" spans="1:46" x14ac:dyDescent="0.2">
      <c r="A686" s="74">
        <v>45140.51666666667</v>
      </c>
      <c r="B686" s="75"/>
      <c r="C686" s="76">
        <f>IF(ISERROR(Tableau1[[#This Row],[Date]]-A685),"",Tableau1[[#This Row],[Date]]-A685)</f>
        <v>15.120833333334303</v>
      </c>
      <c r="D686" s="77">
        <f>IF(ISERROR(Tableau1[[#This Row],[Date]]-A685),"",Tableau1[[#This Row],[Date]]-A685)</f>
        <v>15.120833333334303</v>
      </c>
      <c r="E686" s="76">
        <f>Tableau1[[#This Row],[Date]]-$A$5</f>
        <v>957.8083333333343</v>
      </c>
      <c r="F686" s="77">
        <f>Tableau1[[#This Row],[Date]]-$A$5</f>
        <v>957.8083333333343</v>
      </c>
      <c r="G686" s="77">
        <f>Tableau1[[#This Row],[Diff jour_x000D_
Cumul]]-F$6</f>
        <v>919.72500000000582</v>
      </c>
      <c r="H686" s="77">
        <f>Tableau1[[#This Row],[Diff jour_x000D_
Cumul]]-F$59</f>
        <v>897.2055555555562</v>
      </c>
      <c r="I686" s="78">
        <v>4591</v>
      </c>
      <c r="J686" s="79">
        <f>IF(ISERROR(Tableau1[[#This Row],[Index HP
kWh]]-I685),"",Tableau1[[#This Row],[Index HP
kWh]]-I685)</f>
        <v>43</v>
      </c>
      <c r="K686" s="77">
        <f>IF(ISERROR(Tableau1[[#This Row],[Différence HP
Instantané]]/(Tableau1[[#This Row],[Diff jour
Instantané]]*24)),"",Tableau1[[#This Row],[Différence HP
Instantané]]/(Tableau1[[#This Row],[Diff jour
Instantané]]*24))</f>
        <v>0.11848994213281136</v>
      </c>
      <c r="L686" s="77">
        <f>Tableau1[[#This Row],[Différence HP
Instantané]]/Tableau1[[#This Row],[Diff jour
Instantané]]</f>
        <v>2.8437586111874724</v>
      </c>
      <c r="M686" s="77">
        <f>Tableau1[[#This Row],[Conso HP / jour
Instantané]]*365</f>
        <v>1037.9718930834274</v>
      </c>
      <c r="N686" s="79">
        <f>Tableau1[[#This Row],[Index HP
kWh]]-$I$5</f>
        <v>-175168</v>
      </c>
      <c r="O686" s="80">
        <f>Tableau1[[#This Row],[Différence HP
Cumul]]/(Tableau1[[#This Row],[Diff jour_x000D_
Cumul]]*24)</f>
        <v>-7.6201745303949044</v>
      </c>
      <c r="P686" s="80">
        <f>Tableau1[[#This Row],[Différence HP
Cumul]]/Tableau1[[#This Row],[Diff jour_x000D_
Cumul]]</f>
        <v>-182.8841887294777</v>
      </c>
      <c r="Q686" s="80">
        <f>Tableau1[[#This Row],[Conso HP / jour
Cumul]]*365</f>
        <v>-66752.728886259356</v>
      </c>
      <c r="R686" s="78">
        <v>2320</v>
      </c>
      <c r="S686" s="79">
        <f>Tableau1[[#This Row],[Index HC_x000D_
kWh]]-R685</f>
        <v>28</v>
      </c>
      <c r="T686" s="81">
        <f>Tableau1[[#This Row],[Différence_x000D_ HC
Instantané]]/(Tableau1[[#This Row],[Diff jour
Instantané]]*24)</f>
        <v>7.7156241388807389E-2</v>
      </c>
      <c r="U686" s="81">
        <f>Tableau1[[#This Row],[Différence_x000D_ HC
Instantané]]/Tableau1[[#This Row],[Diff jour
Instantané]]</f>
        <v>1.8517497933313776</v>
      </c>
      <c r="V686" s="81">
        <f>Tableau1[[#This Row],[Conso HC / jour_x000D_
Instantané]]*365</f>
        <v>675.88867456595278</v>
      </c>
      <c r="W686" s="79">
        <f>Tableau1[[#This Row],[Index HC_x000D_
kWh]]-$R$5</f>
        <v>-117112</v>
      </c>
      <c r="X686" s="82">
        <f>Tableau1[[#This Row],[Différence HC
Cumul]]/(Tableau1[[#This Row],[Diff jour_x000D_
Cumul]]*24)</f>
        <v>-5.0946170510801521</v>
      </c>
      <c r="Y686" s="82">
        <f>Tableau1[[#This Row],[Différence HC
Cumul]]/Tableau1[[#This Row],[Diff jour_x000D_
Cumul]]</f>
        <v>-122.27080922592364</v>
      </c>
      <c r="Z686" s="82">
        <f>Tableau1[[#This Row],[Conso HC / jour_x000D_
Cumul]]*365</f>
        <v>-44628.845367462127</v>
      </c>
      <c r="AA686" s="79">
        <f>Tableau1[[#This Row],[Différence HP
Instantané]]+Tableau1[[#This Row],[Différence_x000D_ HC
Instantané]]</f>
        <v>71</v>
      </c>
      <c r="AB686" s="80">
        <f>Tableau1[[#This Row],[Conso HP + HC
Instantané]]/(Tableau1[[#This Row],[Diff jour
Instantané]]*24)</f>
        <v>0.19564618352161875</v>
      </c>
      <c r="AC686" s="80">
        <f>IF(ISERROR(Tableau1[[#This Row],[Date]]-A685),"",Tableau1[[#This Row],[Conso HP + HC
Instantané]]/Tableau1[[#This Row],[Diff jour
Instantané]])</f>
        <v>4.6955084045188498</v>
      </c>
      <c r="AD686" s="80">
        <f>Tableau1[[#This Row],[Conso HP + HC / jour_x000D_
Instantané]]*365</f>
        <v>1713.8605676493801</v>
      </c>
      <c r="AE686" s="79">
        <f>Tableau1[[#This Row],[Différence HP
Cumul]]+Tableau1[[#This Row],[Différence HC
Cumul]]</f>
        <v>-292280</v>
      </c>
      <c r="AF686" s="77">
        <f>(Tableau1[[#This Row],[Conso HP + HC
Cumul]]-AE$6)/Tableau1[[#This Row],[Diff jour_x000D_
Cumul
depuis le 24/01]]</f>
        <v>-320.58604474163269</v>
      </c>
      <c r="AG686" s="77">
        <f>(Tableau1[[#This Row],[Conso HP + HC
Cumul]]-AE$59)/Tableau1[[#This Row],[Diff jour_x000D_
Cumul
depuis
précédente facture
16/02/2021]]</f>
        <v>-330.42260846950694</v>
      </c>
      <c r="AH686" s="80">
        <f>Tableau1[[#This Row],[Conso HP + HC
Cumul]]/(Tableau1[[#This Row],[Diff jour_x000D_
Cumul]]*24)</f>
        <v>-12.714791581475057</v>
      </c>
      <c r="AI686" s="80">
        <f>Tableau1[[#This Row],[Conso HP + HC
Cumul]]/Tableau1[[#This Row],[Diff jour_x000D_
Cumul]]</f>
        <v>-305.15499795540137</v>
      </c>
      <c r="AJ686" s="80">
        <f>Tableau1[[#This Row],[Conso HP + HC / jour_x000D_
Cumul]]*365</f>
        <v>-111381.5742537215</v>
      </c>
      <c r="AK686" s="83">
        <f>(Tableau1[[#This Row],[Différence HP
Cumul]]*0.1799)+(Tableau1[[#This Row],[Différence HC
Cumul]]*0.1346)</f>
        <v>-47275.998399999997</v>
      </c>
      <c r="AL686" s="83">
        <f>Tableau1[[#This Row],[Montant
Tarif HP/HC]]/Tableau1[[#This Row],[Diff jour_x000D_
Cumul]]</f>
        <v>-49.358516474242357</v>
      </c>
      <c r="AM686" s="83">
        <f>(Tableau1[[#This Row],[Montant
Tarif HP/HC]]-AK$6)/Tableau1[[#This Row],[Diff jour_x000D_
Cumul
depuis le 24/01]]</f>
        <v>-51.863789719752859</v>
      </c>
      <c r="AN686" s="83">
        <f>(Tableau1[[#This Row],[Montant
Tarif HP/HC]]-AK$59)/Tableau1[[#This Row],[Diff jour_x000D_
Cumul
depuis
précédente facture
16/02/2021]]</f>
        <v>-53.463736936289799</v>
      </c>
      <c r="AO686" s="83">
        <f>Tableau1[[#This Row],[Conso HP + HC
Cumul]]*0.1599</f>
        <v>-46735.571999999993</v>
      </c>
      <c r="AP686" s="83">
        <f>Tableau1[[#This Row],[Montant
Tarif normal]]/Tableau1[[#This Row],[Diff jour_x000D_
Cumul]]</f>
        <v>-48.794284173068668</v>
      </c>
      <c r="AQ686" s="83">
        <f>(Tableau1[[#This Row],[Conso HP / an
Cumul]]*0.1799)+(Tableau1[[#This Row],[Conso HC / an_x000D_
Cumul]]*0.1346)</f>
        <v>-18015.858513098461</v>
      </c>
      <c r="AR686" s="83">
        <f>Tableau1[[#This Row],[Conso HP + HC / an_x000D_
Cumul]]*0.1599</f>
        <v>-17809.913723170066</v>
      </c>
      <c r="AS686" s="79">
        <f>MONTH(Tableau1[[#This Row],[Date]])</f>
        <v>8</v>
      </c>
      <c r="AT686" s="79">
        <f>YEAR(Tableau1[[#This Row],[Date]])</f>
        <v>2023</v>
      </c>
    </row>
    <row r="687" spans="1:46" x14ac:dyDescent="0.2">
      <c r="A687" s="74">
        <v>45141.416666666664</v>
      </c>
      <c r="B687" s="75"/>
      <c r="C687" s="76">
        <f>IF(ISERROR(Tableau1[[#This Row],[Date]]-A686),"",Tableau1[[#This Row],[Date]]-A686)</f>
        <v>0.89999999999417923</v>
      </c>
      <c r="D687" s="77">
        <f>IF(ISERROR(Tableau1[[#This Row],[Date]]-A686),"",Tableau1[[#This Row],[Date]]-A686)</f>
        <v>0.89999999999417923</v>
      </c>
      <c r="E687" s="76">
        <f>Tableau1[[#This Row],[Date]]-$A$5</f>
        <v>958.70833333332848</v>
      </c>
      <c r="F687" s="77">
        <f>Tableau1[[#This Row],[Date]]-$A$5</f>
        <v>958.70833333332848</v>
      </c>
      <c r="G687" s="77">
        <f>Tableau1[[#This Row],[Diff jour_x000D_
Cumul]]-F$6</f>
        <v>920.625</v>
      </c>
      <c r="H687" s="77">
        <f>Tableau1[[#This Row],[Diff jour_x000D_
Cumul]]-F$59</f>
        <v>898.10555555555038</v>
      </c>
      <c r="I687" s="78">
        <v>4597</v>
      </c>
      <c r="J687" s="79">
        <f>IF(ISERROR(Tableau1[[#This Row],[Index HP
kWh]]-I686),"",Tableau1[[#This Row],[Index HP
kWh]]-I686)</f>
        <v>6</v>
      </c>
      <c r="K687" s="77">
        <f>IF(ISERROR(Tableau1[[#This Row],[Différence HP
Instantané]]/(Tableau1[[#This Row],[Diff jour
Instantané]]*24)),"",Tableau1[[#This Row],[Différence HP
Instantané]]/(Tableau1[[#This Row],[Diff jour
Instantané]]*24))</f>
        <v>0.2777777777795743</v>
      </c>
      <c r="L687" s="77">
        <f>Tableau1[[#This Row],[Différence HP
Instantané]]/Tableau1[[#This Row],[Diff jour
Instantané]]</f>
        <v>6.6666666667097836</v>
      </c>
      <c r="M687" s="77">
        <f>Tableau1[[#This Row],[Conso HP / jour
Instantané]]*365</f>
        <v>2433.3333333490709</v>
      </c>
      <c r="N687" s="79">
        <f>Tableau1[[#This Row],[Index HP
kWh]]-$I$5</f>
        <v>-175162</v>
      </c>
      <c r="O687" s="80">
        <f>Tableau1[[#This Row],[Différence HP
Cumul]]/(Tableau1[[#This Row],[Diff jour_x000D_
Cumul]]*24)</f>
        <v>-7.6127602242601107</v>
      </c>
      <c r="P687" s="80">
        <f>Tableau1[[#This Row],[Différence HP
Cumul]]/Tableau1[[#This Row],[Diff jour_x000D_
Cumul]]</f>
        <v>-182.70624538224266</v>
      </c>
      <c r="Q687" s="80">
        <f>Tableau1[[#This Row],[Conso HP / jour
Cumul]]*365</f>
        <v>-66687.779564518569</v>
      </c>
      <c r="R687" s="78">
        <v>2323</v>
      </c>
      <c r="S687" s="79">
        <f>Tableau1[[#This Row],[Index HC_x000D_
kWh]]-R686</f>
        <v>3</v>
      </c>
      <c r="T687" s="81">
        <f>Tableau1[[#This Row],[Différence_x000D_ HC
Instantané]]/(Tableau1[[#This Row],[Diff jour
Instantané]]*24)</f>
        <v>0.13888888888978715</v>
      </c>
      <c r="U687" s="81">
        <f>Tableau1[[#This Row],[Différence_x000D_ HC
Instantané]]/Tableau1[[#This Row],[Diff jour
Instantané]]</f>
        <v>3.3333333333548918</v>
      </c>
      <c r="V687" s="81">
        <f>Tableau1[[#This Row],[Conso HC / jour_x000D_
Instantané]]*365</f>
        <v>1216.6666666745355</v>
      </c>
      <c r="W687" s="79">
        <f>Tableau1[[#This Row],[Index HC_x000D_
kWh]]-$R$5</f>
        <v>-117109</v>
      </c>
      <c r="X687" s="82">
        <f>Tableau1[[#This Row],[Différence HC
Cumul]]/(Tableau1[[#This Row],[Diff jour_x000D_
Cumul]]*24)</f>
        <v>-5.0897040288582982</v>
      </c>
      <c r="Y687" s="82">
        <f>Tableau1[[#This Row],[Différence HC
Cumul]]/Tableau1[[#This Row],[Diff jour_x000D_
Cumul]]</f>
        <v>-122.15289669259917</v>
      </c>
      <c r="Z687" s="82">
        <f>Tableau1[[#This Row],[Conso HC / jour_x000D_
Cumul]]*365</f>
        <v>-44585.807292798694</v>
      </c>
      <c r="AA687" s="79">
        <f>Tableau1[[#This Row],[Différence HP
Instantané]]+Tableau1[[#This Row],[Différence_x000D_ HC
Instantané]]</f>
        <v>9</v>
      </c>
      <c r="AB687" s="80">
        <f>Tableau1[[#This Row],[Conso HP + HC
Instantané]]/(Tableau1[[#This Row],[Diff jour
Instantané]]*24)</f>
        <v>0.41666666666936147</v>
      </c>
      <c r="AC687" s="80">
        <f>IF(ISERROR(Tableau1[[#This Row],[Date]]-A686),"",Tableau1[[#This Row],[Conso HP + HC
Instantané]]/Tableau1[[#This Row],[Diff jour
Instantané]])</f>
        <v>10.000000000064675</v>
      </c>
      <c r="AD687" s="80">
        <f>Tableau1[[#This Row],[Conso HP + HC / jour_x000D_
Instantané]]*365</f>
        <v>3650.0000000236064</v>
      </c>
      <c r="AE687" s="79">
        <f>Tableau1[[#This Row],[Différence HP
Cumul]]+Tableau1[[#This Row],[Différence HC
Cumul]]</f>
        <v>-292271</v>
      </c>
      <c r="AF687" s="77">
        <f>(Tableau1[[#This Row],[Conso HP + HC
Cumul]]-AE$6)/Tableau1[[#This Row],[Diff jour_x000D_
Cumul
depuis le 24/01]]</f>
        <v>-320.26286490156144</v>
      </c>
      <c r="AG687" s="77">
        <f>(Tableau1[[#This Row],[Conso HP + HC
Cumul]]-AE$59)/Tableau1[[#This Row],[Diff jour_x000D_
Cumul
depuis
précédente facture
16/02/2021]]</f>
        <v>-330.08146778094823</v>
      </c>
      <c r="AH687" s="80">
        <f>Tableau1[[#This Row],[Conso HP + HC
Cumul]]/(Tableau1[[#This Row],[Diff jour_x000D_
Cumul]]*24)</f>
        <v>-12.702464253118409</v>
      </c>
      <c r="AI687" s="80">
        <f>Tableau1[[#This Row],[Conso HP + HC
Cumul]]/Tableau1[[#This Row],[Diff jour_x000D_
Cumul]]</f>
        <v>-304.85914207484183</v>
      </c>
      <c r="AJ687" s="80">
        <f>Tableau1[[#This Row],[Conso HP + HC / jour_x000D_
Cumul]]*365</f>
        <v>-111273.58685731726</v>
      </c>
      <c r="AK687" s="83">
        <f>(Tableau1[[#This Row],[Différence HP
Cumul]]*0.1799)+(Tableau1[[#This Row],[Différence HC
Cumul]]*0.1346)</f>
        <v>-47274.515200000002</v>
      </c>
      <c r="AL687" s="83">
        <f>Tableau1[[#This Row],[Montant
Tarif HP/HC]]/Tableau1[[#This Row],[Diff jour_x000D_
Cumul]]</f>
        <v>-49.310633439089301</v>
      </c>
      <c r="AM687" s="83">
        <f>(Tableau1[[#This Row],[Montant
Tarif HP/HC]]-AK$6)/Tableau1[[#This Row],[Diff jour_x000D_
Cumul
depuis le 24/01]]</f>
        <v>-51.811476768499666</v>
      </c>
      <c r="AN687" s="83">
        <f>(Tableau1[[#This Row],[Montant
Tarif HP/HC]]-AK$59)/Tableau1[[#This Row],[Diff jour_x000D_
Cumul
depuis
précédente facture
16/02/2021]]</f>
        <v>-53.408508947847324</v>
      </c>
      <c r="AO687" s="83">
        <f>Tableau1[[#This Row],[Conso HP + HC
Cumul]]*0.1599</f>
        <v>-46734.132899999997</v>
      </c>
      <c r="AP687" s="83">
        <f>Tableau1[[#This Row],[Montant
Tarif normal]]/Tableau1[[#This Row],[Diff jour_x000D_
Cumul]]</f>
        <v>-48.746976817767205</v>
      </c>
      <c r="AQ687" s="83">
        <f>(Tableau1[[#This Row],[Conso HP / an
Cumul]]*0.1799)+(Tableau1[[#This Row],[Conso HC / an_x000D_
Cumul]]*0.1346)</f>
        <v>-17998.381205267593</v>
      </c>
      <c r="AR687" s="83">
        <f>Tableau1[[#This Row],[Conso HP + HC / an_x000D_
Cumul]]*0.1599</f>
        <v>-17792.646538485027</v>
      </c>
      <c r="AS687" s="79">
        <f>MONTH(Tableau1[[#This Row],[Date]])</f>
        <v>8</v>
      </c>
      <c r="AT687" s="79">
        <f>YEAR(Tableau1[[#This Row],[Date]])</f>
        <v>2023</v>
      </c>
    </row>
    <row r="688" spans="1:46" x14ac:dyDescent="0.2">
      <c r="A688" s="74">
        <v>45142.436111111114</v>
      </c>
      <c r="B688" s="75"/>
      <c r="C688" s="76">
        <f>IF(ISERROR(Tableau1[[#This Row],[Date]]-A687),"",Tableau1[[#This Row],[Date]]-A687)</f>
        <v>1.0194444444496185</v>
      </c>
      <c r="D688" s="77">
        <f>IF(ISERROR(Tableau1[[#This Row],[Date]]-A687),"",Tableau1[[#This Row],[Date]]-A687)</f>
        <v>1.0194444444496185</v>
      </c>
      <c r="E688" s="76">
        <f>Tableau1[[#This Row],[Date]]-$A$5</f>
        <v>959.7277777777781</v>
      </c>
      <c r="F688" s="77">
        <f>Tableau1[[#This Row],[Date]]-$A$5</f>
        <v>959.7277777777781</v>
      </c>
      <c r="G688" s="77">
        <f>Tableau1[[#This Row],[Diff jour_x000D_
Cumul]]-F$6</f>
        <v>921.64444444444962</v>
      </c>
      <c r="H688" s="77">
        <f>Tableau1[[#This Row],[Diff jour_x000D_
Cumul]]-F$59</f>
        <v>899.125</v>
      </c>
      <c r="I688" s="78">
        <v>4603</v>
      </c>
      <c r="J688" s="79">
        <f>IF(ISERROR(Tableau1[[#This Row],[Index HP
kWh]]-I687),"",Tableau1[[#This Row],[Index HP
kWh]]-I687)</f>
        <v>6</v>
      </c>
      <c r="K688" s="77">
        <f>IF(ISERROR(Tableau1[[#This Row],[Différence HP
Instantané]]/(Tableau1[[#This Row],[Diff jour
Instantané]]*24)),"",Tableau1[[#This Row],[Différence HP
Instantané]]/(Tableau1[[#This Row],[Diff jour
Instantané]]*24))</f>
        <v>0.24523160762818316</v>
      </c>
      <c r="L688" s="77">
        <f>Tableau1[[#This Row],[Différence HP
Instantané]]/Tableau1[[#This Row],[Diff jour
Instantané]]</f>
        <v>5.8855585830763957</v>
      </c>
      <c r="M688" s="77">
        <f>Tableau1[[#This Row],[Conso HP / jour
Instantané]]*365</f>
        <v>2148.2288828228843</v>
      </c>
      <c r="N688" s="79">
        <f>Tableau1[[#This Row],[Index HP
kWh]]-$I$5</f>
        <v>-175156</v>
      </c>
      <c r="O688" s="80">
        <f>Tableau1[[#This Row],[Différence HP
Cumul]]/(Tableau1[[#This Row],[Diff jour_x000D_
Cumul]]*24)</f>
        <v>-7.6044132884903677</v>
      </c>
      <c r="P688" s="80">
        <f>Tableau1[[#This Row],[Différence HP
Cumul]]/Tableau1[[#This Row],[Diff jour_x000D_
Cumul]]</f>
        <v>-182.50591892376883</v>
      </c>
      <c r="Q688" s="80">
        <f>Tableau1[[#This Row],[Conso HP / jour
Cumul]]*365</f>
        <v>-66614.66040717563</v>
      </c>
      <c r="R688" s="78">
        <v>2325</v>
      </c>
      <c r="S688" s="79">
        <f>Tableau1[[#This Row],[Index HC_x000D_
kWh]]-R687</f>
        <v>2</v>
      </c>
      <c r="T688" s="81">
        <f>Tableau1[[#This Row],[Différence_x000D_ HC
Instantané]]/(Tableau1[[#This Row],[Diff jour
Instantané]]*24)</f>
        <v>8.1743869209394387E-2</v>
      </c>
      <c r="U688" s="81">
        <f>Tableau1[[#This Row],[Différence_x000D_ HC
Instantané]]/Tableau1[[#This Row],[Diff jour
Instantané]]</f>
        <v>1.9618528610254653</v>
      </c>
      <c r="V688" s="81">
        <f>Tableau1[[#This Row],[Conso HC / jour_x000D_
Instantané]]*365</f>
        <v>716.07629427429481</v>
      </c>
      <c r="W688" s="79">
        <f>Tableau1[[#This Row],[Index HC_x000D_
kWh]]-$R$5</f>
        <v>-117107</v>
      </c>
      <c r="X688" s="82">
        <f>Tableau1[[#This Row],[Différence HC
Cumul]]/(Tableau1[[#This Row],[Diff jour_x000D_
Cumul]]*24)</f>
        <v>-5.084210800516348</v>
      </c>
      <c r="Y688" s="82">
        <f>Tableau1[[#This Row],[Différence HC
Cumul]]/Tableau1[[#This Row],[Diff jour_x000D_
Cumul]]</f>
        <v>-122.02105921239236</v>
      </c>
      <c r="Z688" s="82">
        <f>Tableau1[[#This Row],[Conso HC / jour_x000D_
Cumul]]*365</f>
        <v>-44537.686612523212</v>
      </c>
      <c r="AA688" s="79">
        <f>Tableau1[[#This Row],[Différence HP
Instantané]]+Tableau1[[#This Row],[Différence_x000D_ HC
Instantané]]</f>
        <v>8</v>
      </c>
      <c r="AB688" s="80">
        <f>Tableau1[[#This Row],[Conso HP + HC
Instantané]]/(Tableau1[[#This Row],[Diff jour
Instantané]]*24)</f>
        <v>0.32697547683757755</v>
      </c>
      <c r="AC688" s="80">
        <f>IF(ISERROR(Tableau1[[#This Row],[Date]]-A687),"",Tableau1[[#This Row],[Conso HP + HC
Instantané]]/Tableau1[[#This Row],[Diff jour
Instantané]])</f>
        <v>7.8474114441018612</v>
      </c>
      <c r="AD688" s="80">
        <f>Tableau1[[#This Row],[Conso HP + HC / jour_x000D_
Instantané]]*365</f>
        <v>2864.3051770971792</v>
      </c>
      <c r="AE688" s="79">
        <f>Tableau1[[#This Row],[Différence HP
Cumul]]+Tableau1[[#This Row],[Différence HC
Cumul]]</f>
        <v>-292263</v>
      </c>
      <c r="AF688" s="77">
        <f>(Tableau1[[#This Row],[Conso HP + HC
Cumul]]-AE$6)/Tableau1[[#This Row],[Diff jour_x000D_
Cumul
depuis le 24/01]]</f>
        <v>-319.89993731012021</v>
      </c>
      <c r="AG688" s="77">
        <f>(Tableau1[[#This Row],[Conso HP + HC
Cumul]]-AE$59)/Tableau1[[#This Row],[Diff jour_x000D_
Cumul
depuis
précédente facture
16/02/2021]]</f>
        <v>-329.69831780898096</v>
      </c>
      <c r="AH688" s="80">
        <f>Tableau1[[#This Row],[Conso HP + HC
Cumul]]/(Tableau1[[#This Row],[Diff jour_x000D_
Cumul]]*24)</f>
        <v>-12.688624089006716</v>
      </c>
      <c r="AI688" s="80">
        <f>Tableau1[[#This Row],[Conso HP + HC
Cumul]]/Tableau1[[#This Row],[Diff jour_x000D_
Cumul]]</f>
        <v>-304.52697813616118</v>
      </c>
      <c r="AJ688" s="80">
        <f>Tableau1[[#This Row],[Conso HP + HC / jour_x000D_
Cumul]]*365</f>
        <v>-111152.34701969883</v>
      </c>
      <c r="AK688" s="83">
        <f>(Tableau1[[#This Row],[Différence HP
Cumul]]*0.1799)+(Tableau1[[#This Row],[Différence HC
Cumul]]*0.1346)</f>
        <v>-47273.166599999997</v>
      </c>
      <c r="AL688" s="83">
        <f>Tableau1[[#This Row],[Montant
Tarif HP/HC]]/Tableau1[[#This Row],[Diff jour_x000D_
Cumul]]</f>
        <v>-49.256849384374021</v>
      </c>
      <c r="AM688" s="83">
        <f>(Tableau1[[#This Row],[Montant
Tarif HP/HC]]-AK$6)/Tableau1[[#This Row],[Diff jour_x000D_
Cumul
depuis le 24/01]]</f>
        <v>-51.752704079664078</v>
      </c>
      <c r="AN688" s="83">
        <f>(Tableau1[[#This Row],[Montant
Tarif HP/HC]]-AK$59)/Tableau1[[#This Row],[Diff jour_x000D_
Cumul
depuis
précédente facture
16/02/2021]]</f>
        <v>-53.346453496454885</v>
      </c>
      <c r="AO688" s="83">
        <f>Tableau1[[#This Row],[Conso HP + HC
Cumul]]*0.1599</f>
        <v>-46732.8537</v>
      </c>
      <c r="AP688" s="83">
        <f>Tableau1[[#This Row],[Montant
Tarif normal]]/Tableau1[[#This Row],[Diff jour_x000D_
Cumul]]</f>
        <v>-48.693863803972171</v>
      </c>
      <c r="AQ688" s="83">
        <f>(Tableau1[[#This Row],[Conso HP / an
Cumul]]*0.1799)+(Tableau1[[#This Row],[Conso HC / an_x000D_
Cumul]]*0.1346)</f>
        <v>-17978.750025296518</v>
      </c>
      <c r="AR688" s="83">
        <f>Tableau1[[#This Row],[Conso HP + HC / an_x000D_
Cumul]]*0.1599</f>
        <v>-17773.260288449841</v>
      </c>
      <c r="AS688" s="79">
        <f>MONTH(Tableau1[[#This Row],[Date]])</f>
        <v>8</v>
      </c>
      <c r="AT688" s="79">
        <f>YEAR(Tableau1[[#This Row],[Date]])</f>
        <v>2023</v>
      </c>
    </row>
    <row r="689" spans="1:46" x14ac:dyDescent="0.2">
      <c r="A689" s="74">
        <v>45143.461805555555</v>
      </c>
      <c r="B689" s="75"/>
      <c r="C689" s="76">
        <f>IF(ISERROR(Tableau1[[#This Row],[Date]]-A688),"",Tableau1[[#This Row],[Date]]-A688)</f>
        <v>1.0256944444408873</v>
      </c>
      <c r="D689" s="77">
        <f>IF(ISERROR(Tableau1[[#This Row],[Date]]-A688),"",Tableau1[[#This Row],[Date]]-A688)</f>
        <v>1.0256944444408873</v>
      </c>
      <c r="E689" s="76">
        <f>Tableau1[[#This Row],[Date]]-$A$5</f>
        <v>960.75347222221899</v>
      </c>
      <c r="F689" s="77">
        <f>Tableau1[[#This Row],[Date]]-$A$5</f>
        <v>960.75347222221899</v>
      </c>
      <c r="G689" s="77">
        <f>Tableau1[[#This Row],[Diff jour_x000D_
Cumul]]-F$6</f>
        <v>922.67013888889051</v>
      </c>
      <c r="H689" s="77">
        <f>Tableau1[[#This Row],[Diff jour_x000D_
Cumul]]-F$59</f>
        <v>900.15069444444089</v>
      </c>
      <c r="I689" s="78">
        <v>4611</v>
      </c>
      <c r="J689" s="79">
        <f>IF(ISERROR(Tableau1[[#This Row],[Index HP
kWh]]-I688),"",Tableau1[[#This Row],[Index HP
kWh]]-I688)</f>
        <v>8</v>
      </c>
      <c r="K689" s="77">
        <f>IF(ISERROR(Tableau1[[#This Row],[Différence HP
Instantané]]/(Tableau1[[#This Row],[Diff jour
Instantané]]*24)),"",Tableau1[[#This Row],[Différence HP
Instantané]]/(Tableau1[[#This Row],[Diff jour
Instantané]]*24))</f>
        <v>0.32498307379936675</v>
      </c>
      <c r="L689" s="77">
        <f>Tableau1[[#This Row],[Différence HP
Instantané]]/Tableau1[[#This Row],[Diff jour
Instantané]]</f>
        <v>7.7995937711848011</v>
      </c>
      <c r="M689" s="77">
        <f>Tableau1[[#This Row],[Conso HP / jour
Instantané]]*365</f>
        <v>2846.8517264824522</v>
      </c>
      <c r="N689" s="79">
        <f>Tableau1[[#This Row],[Index HP
kWh]]-$I$5</f>
        <v>-175148</v>
      </c>
      <c r="O689" s="80">
        <f>Tableau1[[#This Row],[Différence HP
Cumul]]/(Tableau1[[#This Row],[Diff jour_x000D_
Cumul]]*24)</f>
        <v>-7.5959479141443786</v>
      </c>
      <c r="P689" s="80">
        <f>Tableau1[[#This Row],[Différence HP
Cumul]]/Tableau1[[#This Row],[Diff jour_x000D_
Cumul]]</f>
        <v>-182.30274993946509</v>
      </c>
      <c r="Q689" s="80">
        <f>Tableau1[[#This Row],[Conso HP / jour
Cumul]]*365</f>
        <v>-66540.503727904754</v>
      </c>
      <c r="R689" s="78">
        <v>2327</v>
      </c>
      <c r="S689" s="79">
        <f>Tableau1[[#This Row],[Index HC_x000D_
kWh]]-R688</f>
        <v>2</v>
      </c>
      <c r="T689" s="81">
        <f>Tableau1[[#This Row],[Différence_x000D_ HC
Instantané]]/(Tableau1[[#This Row],[Diff jour
Instantané]]*24)</f>
        <v>8.1245768449841688E-2</v>
      </c>
      <c r="U689" s="81">
        <f>Tableau1[[#This Row],[Différence_x000D_ HC
Instantané]]/Tableau1[[#This Row],[Diff jour
Instantané]]</f>
        <v>1.9498984427962003</v>
      </c>
      <c r="V689" s="81">
        <f>Tableau1[[#This Row],[Conso HC / jour_x000D_
Instantané]]*365</f>
        <v>711.71293162061306</v>
      </c>
      <c r="W689" s="79">
        <f>Tableau1[[#This Row],[Index HC_x000D_
kWh]]-$R$5</f>
        <v>-117105</v>
      </c>
      <c r="X689" s="82">
        <f>Tableau1[[#This Row],[Différence HC
Cumul]]/(Tableau1[[#This Row],[Diff jour_x000D_
Cumul]]*24)</f>
        <v>-5.0786961911405069</v>
      </c>
      <c r="Y689" s="82">
        <f>Tableau1[[#This Row],[Différence HC
Cumul]]/Tableau1[[#This Row],[Diff jour_x000D_
Cumul]]</f>
        <v>-121.88870858737215</v>
      </c>
      <c r="Z689" s="82">
        <f>Tableau1[[#This Row],[Conso HC / jour_x000D_
Cumul]]*365</f>
        <v>-44489.378634390836</v>
      </c>
      <c r="AA689" s="79">
        <f>Tableau1[[#This Row],[Différence HP
Instantané]]+Tableau1[[#This Row],[Différence_x000D_ HC
Instantané]]</f>
        <v>10</v>
      </c>
      <c r="AB689" s="80">
        <f>Tableau1[[#This Row],[Conso HP + HC
Instantané]]/(Tableau1[[#This Row],[Diff jour
Instantané]]*24)</f>
        <v>0.40622884224920841</v>
      </c>
      <c r="AC689" s="80">
        <f>IF(ISERROR(Tableau1[[#This Row],[Date]]-A688),"",Tableau1[[#This Row],[Conso HP + HC
Instantané]]/Tableau1[[#This Row],[Diff jour
Instantané]])</f>
        <v>9.7494922139810019</v>
      </c>
      <c r="AD689" s="80">
        <f>Tableau1[[#This Row],[Conso HP + HC / jour_x000D_
Instantané]]*365</f>
        <v>3558.5646581030655</v>
      </c>
      <c r="AE689" s="79">
        <f>Tableau1[[#This Row],[Différence HP
Cumul]]+Tableau1[[#This Row],[Différence HC
Cumul]]</f>
        <v>-292253</v>
      </c>
      <c r="AF689" s="77">
        <f>(Tableau1[[#This Row],[Conso HP + HC
Cumul]]-AE$6)/Tableau1[[#This Row],[Diff jour_x000D_
Cumul
depuis le 24/01]]</f>
        <v>-319.53347959763465</v>
      </c>
      <c r="AG689" s="77">
        <f>(Tableau1[[#This Row],[Conso HP + HC
Cumul]]-AE$59)/Tableau1[[#This Row],[Diff jour_x000D_
Cumul
depuis
précédente facture
16/02/2021]]</f>
        <v>-329.31152731371498</v>
      </c>
      <c r="AH689" s="80">
        <f>Tableau1[[#This Row],[Conso HP + HC
Cumul]]/(Tableau1[[#This Row],[Diff jour_x000D_
Cumul]]*24)</f>
        <v>-12.674644105284885</v>
      </c>
      <c r="AI689" s="80">
        <f>Tableau1[[#This Row],[Conso HP + HC
Cumul]]/Tableau1[[#This Row],[Diff jour_x000D_
Cumul]]</f>
        <v>-304.19145852683727</v>
      </c>
      <c r="AJ689" s="80">
        <f>Tableau1[[#This Row],[Conso HP + HC / jour_x000D_
Cumul]]*365</f>
        <v>-111029.8823622956</v>
      </c>
      <c r="AK689" s="83">
        <f>(Tableau1[[#This Row],[Différence HP
Cumul]]*0.1799)+(Tableau1[[#This Row],[Différence HC
Cumul]]*0.1346)</f>
        <v>-47271.458200000001</v>
      </c>
      <c r="AL689" s="83">
        <f>Tableau1[[#This Row],[Montant
Tarif HP/HC]]/Tableau1[[#This Row],[Diff jour_x000D_
Cumul]]</f>
        <v>-49.202484889970059</v>
      </c>
      <c r="AM689" s="83">
        <f>(Tableau1[[#This Row],[Montant
Tarif HP/HC]]-AK$6)/Tableau1[[#This Row],[Diff jour_x000D_
Cumul
depuis le 24/01]]</f>
        <v>-51.693321144474169</v>
      </c>
      <c r="AN689" s="83">
        <f>(Tableau1[[#This Row],[Montant
Tarif HP/HC]]-AK$59)/Tableau1[[#This Row],[Diff jour_x000D_
Cumul
depuis
précédente facture
16/02/2021]]</f>
        <v>-53.283768924493565</v>
      </c>
      <c r="AO689" s="83">
        <f>Tableau1[[#This Row],[Conso HP + HC
Cumul]]*0.1599</f>
        <v>-46731.254699999998</v>
      </c>
      <c r="AP689" s="83">
        <f>Tableau1[[#This Row],[Montant
Tarif normal]]/Tableau1[[#This Row],[Diff jour_x000D_
Cumul]]</f>
        <v>-48.640214218441272</v>
      </c>
      <c r="AQ689" s="83">
        <f>(Tableau1[[#This Row],[Conso HP / an
Cumul]]*0.1799)+(Tableau1[[#This Row],[Conso HC / an_x000D_
Cumul]]*0.1346)</f>
        <v>-17958.906984839072</v>
      </c>
      <c r="AR689" s="83">
        <f>Tableau1[[#This Row],[Conso HP + HC / an_x000D_
Cumul]]*0.1599</f>
        <v>-17753.678189731065</v>
      </c>
      <c r="AS689" s="79">
        <f>MONTH(Tableau1[[#This Row],[Date]])</f>
        <v>8</v>
      </c>
      <c r="AT689" s="79">
        <f>YEAR(Tableau1[[#This Row],[Date]])</f>
        <v>2023</v>
      </c>
    </row>
    <row r="690" spans="1:46" x14ac:dyDescent="0.2">
      <c r="A690" s="74">
        <v>45145.32708333333</v>
      </c>
      <c r="B690" s="75"/>
      <c r="C690" s="76">
        <f>IF(ISERROR(Tableau1[[#This Row],[Date]]-A689),"",Tableau1[[#This Row],[Date]]-A689)</f>
        <v>1.8652777777751908</v>
      </c>
      <c r="D690" s="77">
        <f>IF(ISERROR(Tableau1[[#This Row],[Date]]-A689),"",Tableau1[[#This Row],[Date]]-A689)</f>
        <v>1.8652777777751908</v>
      </c>
      <c r="E690" s="76">
        <f>Tableau1[[#This Row],[Date]]-$A$5</f>
        <v>962.61874999999418</v>
      </c>
      <c r="F690" s="77">
        <f>Tableau1[[#This Row],[Date]]-$A$5</f>
        <v>962.61874999999418</v>
      </c>
      <c r="G690" s="77">
        <f>Tableau1[[#This Row],[Diff jour_x000D_
Cumul]]-F$6</f>
        <v>924.5354166666657</v>
      </c>
      <c r="H690" s="77">
        <f>Tableau1[[#This Row],[Diff jour_x000D_
Cumul]]-F$59</f>
        <v>902.01597222221608</v>
      </c>
      <c r="I690" s="78">
        <v>4621</v>
      </c>
      <c r="J690" s="79">
        <f>IF(ISERROR(Tableau1[[#This Row],[Index HP
kWh]]-I689),"",Tableau1[[#This Row],[Index HP
kWh]]-I689)</f>
        <v>10</v>
      </c>
      <c r="K690" s="77">
        <f>IF(ISERROR(Tableau1[[#This Row],[Différence HP
Instantané]]/(Tableau1[[#This Row],[Diff jour
Instantané]]*24)),"",Tableau1[[#This Row],[Différence HP
Instantané]]/(Tableau1[[#This Row],[Diff jour
Instantané]]*24))</f>
        <v>0.22338049143739097</v>
      </c>
      <c r="L690" s="77">
        <f>Tableau1[[#This Row],[Différence HP
Instantané]]/Tableau1[[#This Row],[Diff jour
Instantané]]</f>
        <v>5.3611317944973838</v>
      </c>
      <c r="M690" s="77">
        <f>Tableau1[[#This Row],[Conso HP / jour
Instantané]]*365</f>
        <v>1956.8131049915451</v>
      </c>
      <c r="N690" s="79">
        <f>Tableau1[[#This Row],[Index HP
kWh]]-$I$5</f>
        <v>-175138</v>
      </c>
      <c r="O690" s="80">
        <f>Tableau1[[#This Row],[Différence HP
Cumul]]/(Tableau1[[#This Row],[Diff jour_x000D_
Cumul]]*24)</f>
        <v>-7.5807963086805765</v>
      </c>
      <c r="P690" s="80">
        <f>Tableau1[[#This Row],[Différence HP
Cumul]]/Tableau1[[#This Row],[Diff jour_x000D_
Cumul]]</f>
        <v>-181.93911140833384</v>
      </c>
      <c r="Q690" s="80">
        <f>Tableau1[[#This Row],[Conso HP / jour
Cumul]]*365</f>
        <v>-66407.775664041852</v>
      </c>
      <c r="R690" s="78">
        <v>2332</v>
      </c>
      <c r="S690" s="79">
        <f>Tableau1[[#This Row],[Index HC_x000D_
kWh]]-R689</f>
        <v>5</v>
      </c>
      <c r="T690" s="81">
        <f>Tableau1[[#This Row],[Différence_x000D_ HC
Instantané]]/(Tableau1[[#This Row],[Diff jour
Instantané]]*24)</f>
        <v>0.11169024571869549</v>
      </c>
      <c r="U690" s="81">
        <f>Tableau1[[#This Row],[Différence_x000D_ HC
Instantané]]/Tableau1[[#This Row],[Diff jour
Instantané]]</f>
        <v>2.6805658972486919</v>
      </c>
      <c r="V690" s="81">
        <f>Tableau1[[#This Row],[Conso HC / jour_x000D_
Instantané]]*365</f>
        <v>978.40655249577253</v>
      </c>
      <c r="W690" s="79">
        <f>Tableau1[[#This Row],[Index HC_x000D_
kWh]]-$R$5</f>
        <v>-117100</v>
      </c>
      <c r="X690" s="82">
        <f>Tableau1[[#This Row],[Différence HC
Cumul]]/(Tableau1[[#This Row],[Diff jour_x000D_
Cumul]]*24)</f>
        <v>-5.0686387177339896</v>
      </c>
      <c r="Y690" s="82">
        <f>Tableau1[[#This Row],[Différence HC
Cumul]]/Tableau1[[#This Row],[Diff jour_x000D_
Cumul]]</f>
        <v>-121.64732922561576</v>
      </c>
      <c r="Z690" s="82">
        <f>Tableau1[[#This Row],[Conso HC / jour_x000D_
Cumul]]*365</f>
        <v>-44401.275167349755</v>
      </c>
      <c r="AA690" s="79">
        <f>Tableau1[[#This Row],[Différence HP
Instantané]]+Tableau1[[#This Row],[Différence_x000D_ HC
Instantané]]</f>
        <v>15</v>
      </c>
      <c r="AB690" s="80">
        <f>Tableau1[[#This Row],[Conso HP + HC
Instantané]]/(Tableau1[[#This Row],[Diff jour
Instantané]]*24)</f>
        <v>0.33507073715608648</v>
      </c>
      <c r="AC690" s="80">
        <f>IF(ISERROR(Tableau1[[#This Row],[Date]]-A689),"",Tableau1[[#This Row],[Conso HP + HC
Instantané]]/Tableau1[[#This Row],[Diff jour
Instantané]])</f>
        <v>8.0416976917460747</v>
      </c>
      <c r="AD690" s="80">
        <f>Tableau1[[#This Row],[Conso HP + HC / jour_x000D_
Instantané]]*365</f>
        <v>2935.2196574873174</v>
      </c>
      <c r="AE690" s="79">
        <f>Tableau1[[#This Row],[Différence HP
Cumul]]+Tableau1[[#This Row],[Différence HC
Cumul]]</f>
        <v>-292238</v>
      </c>
      <c r="AF690" s="77">
        <f>(Tableau1[[#This Row],[Conso HP + HC
Cumul]]-AE$6)/Tableau1[[#This Row],[Diff jour_x000D_
Cumul
depuis le 24/01]]</f>
        <v>-318.8725869073885</v>
      </c>
      <c r="AG690" s="77">
        <f>(Tableau1[[#This Row],[Conso HP + HC
Cumul]]-AE$59)/Tableau1[[#This Row],[Diff jour_x000D_
Cumul
depuis
précédente facture
16/02/2021]]</f>
        <v>-328.6139149728678</v>
      </c>
      <c r="AH690" s="80">
        <f>Tableau1[[#This Row],[Conso HP + HC
Cumul]]/(Tableau1[[#This Row],[Diff jour_x000D_
Cumul]]*24)</f>
        <v>-12.649435026414567</v>
      </c>
      <c r="AI690" s="80">
        <f>Tableau1[[#This Row],[Conso HP + HC
Cumul]]/Tableau1[[#This Row],[Diff jour_x000D_
Cumul]]</f>
        <v>-303.58644063394962</v>
      </c>
      <c r="AJ690" s="80">
        <f>Tableau1[[#This Row],[Conso HP + HC / jour_x000D_
Cumul]]*365</f>
        <v>-110809.05083139161</v>
      </c>
      <c r="AK690" s="83">
        <f>(Tableau1[[#This Row],[Différence HP
Cumul]]*0.1799)+(Tableau1[[#This Row],[Différence HC
Cumul]]*0.1346)</f>
        <v>-47268.986199999999</v>
      </c>
      <c r="AL690" s="83">
        <f>Tableau1[[#This Row],[Montant
Tarif HP/HC]]/Tableau1[[#This Row],[Diff jour_x000D_
Cumul]]</f>
        <v>-49.104576656127136</v>
      </c>
      <c r="AM690" s="83">
        <f>(Tableau1[[#This Row],[Montant
Tarif HP/HC]]-AK$6)/Tableau1[[#This Row],[Diff jour_x000D_
Cumul
depuis le 24/01]]</f>
        <v>-51.586354551948446</v>
      </c>
      <c r="AN690" s="83">
        <f>(Tableau1[[#This Row],[Montant
Tarif HP/HC]]-AK$59)/Tableau1[[#This Row],[Diff jour_x000D_
Cumul
depuis
précédente facture
16/02/2021]]</f>
        <v>-53.170842952861356</v>
      </c>
      <c r="AO690" s="83">
        <f>Tableau1[[#This Row],[Conso HP + HC
Cumul]]*0.1599</f>
        <v>-46728.856199999995</v>
      </c>
      <c r="AP690" s="83">
        <f>Tableau1[[#This Row],[Montant
Tarif normal]]/Tableau1[[#This Row],[Diff jour_x000D_
Cumul]]</f>
        <v>-48.543471857368537</v>
      </c>
      <c r="AQ690" s="83">
        <f>(Tableau1[[#This Row],[Conso HP / an
Cumul]]*0.1799)+(Tableau1[[#This Row],[Conso HC / an_x000D_
Cumul]]*0.1346)</f>
        <v>-17923.170479486405</v>
      </c>
      <c r="AR690" s="83">
        <f>Tableau1[[#This Row],[Conso HP + HC / an_x000D_
Cumul]]*0.1599</f>
        <v>-17718.367227939518</v>
      </c>
      <c r="AS690" s="79">
        <f>MONTH(Tableau1[[#This Row],[Date]])</f>
        <v>8</v>
      </c>
      <c r="AT690" s="79">
        <f>YEAR(Tableau1[[#This Row],[Date]])</f>
        <v>2023</v>
      </c>
    </row>
    <row r="691" spans="1:46" x14ac:dyDescent="0.2">
      <c r="A691" s="74">
        <v>45146.316666666666</v>
      </c>
      <c r="B691" s="75"/>
      <c r="C691" s="76">
        <f>IF(ISERROR(Tableau1[[#This Row],[Date]]-A690),"",Tableau1[[#This Row],[Date]]-A690)</f>
        <v>0.98958333333575865</v>
      </c>
      <c r="D691" s="77">
        <f>IF(ISERROR(Tableau1[[#This Row],[Date]]-A690),"",Tableau1[[#This Row],[Date]]-A690)</f>
        <v>0.98958333333575865</v>
      </c>
      <c r="E691" s="76">
        <f>Tableau1[[#This Row],[Date]]-$A$5</f>
        <v>963.60833333332994</v>
      </c>
      <c r="F691" s="77">
        <f>Tableau1[[#This Row],[Date]]-$A$5</f>
        <v>963.60833333332994</v>
      </c>
      <c r="G691" s="77">
        <f>Tableau1[[#This Row],[Diff jour_x000D_
Cumul]]-F$6</f>
        <v>925.52500000000146</v>
      </c>
      <c r="H691" s="77">
        <f>Tableau1[[#This Row],[Diff jour_x000D_
Cumul]]-F$59</f>
        <v>903.00555555555184</v>
      </c>
      <c r="I691" s="78">
        <v>4627</v>
      </c>
      <c r="J691" s="79">
        <f>IF(ISERROR(Tableau1[[#This Row],[Index HP
kWh]]-I690),"",Tableau1[[#This Row],[Index HP
kWh]]-I690)</f>
        <v>6</v>
      </c>
      <c r="K691" s="77">
        <f>IF(ISERROR(Tableau1[[#This Row],[Différence HP
Instantané]]/(Tableau1[[#This Row],[Diff jour
Instantané]]*24)),"",Tableau1[[#This Row],[Différence HP
Instantané]]/(Tableau1[[#This Row],[Diff jour
Instantané]]*24))</f>
        <v>0.25263157894674926</v>
      </c>
      <c r="L691" s="77">
        <f>Tableau1[[#This Row],[Différence HP
Instantané]]/Tableau1[[#This Row],[Diff jour
Instantané]]</f>
        <v>6.0631578947219822</v>
      </c>
      <c r="M691" s="77">
        <f>Tableau1[[#This Row],[Conso HP / jour
Instantané]]*365</f>
        <v>2213.0526315735233</v>
      </c>
      <c r="N691" s="79">
        <f>Tableau1[[#This Row],[Index HP
kWh]]-$I$5</f>
        <v>-175132</v>
      </c>
      <c r="O691" s="80">
        <f>Tableau1[[#This Row],[Différence HP
Cumul]]/(Tableau1[[#This Row],[Diff jour_x000D_
Cumul]]*24)</f>
        <v>-7.572751723124048</v>
      </c>
      <c r="P691" s="80">
        <f>Tableau1[[#This Row],[Différence HP
Cumul]]/Tableau1[[#This Row],[Diff jour_x000D_
Cumul]]</f>
        <v>-181.74604135497717</v>
      </c>
      <c r="Q691" s="80">
        <f>Tableau1[[#This Row],[Conso HP / jour
Cumul]]*365</f>
        <v>-66337.305094566662</v>
      </c>
      <c r="R691" s="78">
        <v>2334</v>
      </c>
      <c r="S691" s="79">
        <f>Tableau1[[#This Row],[Index HC_x000D_
kWh]]-R690</f>
        <v>2</v>
      </c>
      <c r="T691" s="81">
        <f>Tableau1[[#This Row],[Différence_x000D_ HC
Instantané]]/(Tableau1[[#This Row],[Diff jour
Instantané]]*24)</f>
        <v>8.4210526315583081E-2</v>
      </c>
      <c r="U691" s="81">
        <f>Tableau1[[#This Row],[Différence_x000D_ HC
Instantané]]/Tableau1[[#This Row],[Diff jour
Instantané]]</f>
        <v>2.0210526315739941</v>
      </c>
      <c r="V691" s="81">
        <f>Tableau1[[#This Row],[Conso HC / jour_x000D_
Instantané]]*365</f>
        <v>737.68421052450788</v>
      </c>
      <c r="W691" s="79">
        <f>Tableau1[[#This Row],[Index HC_x000D_
kWh]]-$R$5</f>
        <v>-117098</v>
      </c>
      <c r="X691" s="82">
        <f>Tableau1[[#This Row],[Différence HC
Cumul]]/(Tableau1[[#This Row],[Diff jour_x000D_
Cumul]]*24)</f>
        <v>-5.0633469684259866</v>
      </c>
      <c r="Y691" s="82">
        <f>Tableau1[[#This Row],[Différence HC
Cumul]]/Tableau1[[#This Row],[Diff jour_x000D_
Cumul]]</f>
        <v>-121.52032724222367</v>
      </c>
      <c r="Z691" s="82">
        <f>Tableau1[[#This Row],[Conso HC / jour_x000D_
Cumul]]*365</f>
        <v>-44354.919443411643</v>
      </c>
      <c r="AA691" s="79">
        <f>Tableau1[[#This Row],[Différence HP
Instantané]]+Tableau1[[#This Row],[Différence_x000D_ HC
Instantané]]</f>
        <v>8</v>
      </c>
      <c r="AB691" s="80">
        <f>Tableau1[[#This Row],[Conso HP + HC
Instantané]]/(Tableau1[[#This Row],[Diff jour
Instantané]]*24)</f>
        <v>0.33684210526233233</v>
      </c>
      <c r="AC691" s="80">
        <f>IF(ISERROR(Tableau1[[#This Row],[Date]]-A690),"",Tableau1[[#This Row],[Conso HP + HC
Instantané]]/Tableau1[[#This Row],[Diff jour
Instantané]])</f>
        <v>8.0842105262959763</v>
      </c>
      <c r="AD691" s="80">
        <f>Tableau1[[#This Row],[Conso HP + HC / jour_x000D_
Instantané]]*365</f>
        <v>2950.7368420980315</v>
      </c>
      <c r="AE691" s="79">
        <f>Tableau1[[#This Row],[Différence HP
Cumul]]+Tableau1[[#This Row],[Différence HC
Cumul]]</f>
        <v>-292230</v>
      </c>
      <c r="AF691" s="77">
        <f>(Tableau1[[#This Row],[Conso HP + HC
Cumul]]-AE$6)/Tableau1[[#This Row],[Diff jour_x000D_
Cumul
depuis le 24/01]]</f>
        <v>-318.52300045919833</v>
      </c>
      <c r="AG691" s="77">
        <f>(Tableau1[[#This Row],[Conso HP + HC
Cumul]]-AE$59)/Tableau1[[#This Row],[Diff jour_x000D_
Cumul
depuis
précédente facture
16/02/2021]]</f>
        <v>-328.24493512406235</v>
      </c>
      <c r="AH691" s="80">
        <f>Tableau1[[#This Row],[Conso HP + HC
Cumul]]/(Tableau1[[#This Row],[Diff jour_x000D_
Cumul]]*24)</f>
        <v>-12.636098691550034</v>
      </c>
      <c r="AI691" s="80">
        <f>Tableau1[[#This Row],[Conso HP + HC
Cumul]]/Tableau1[[#This Row],[Diff jour_x000D_
Cumul]]</f>
        <v>-303.26636859720082</v>
      </c>
      <c r="AJ691" s="80">
        <f>Tableau1[[#This Row],[Conso HP + HC / jour_x000D_
Cumul]]*365</f>
        <v>-110692.2245379783</v>
      </c>
      <c r="AK691" s="83">
        <f>(Tableau1[[#This Row],[Différence HP
Cumul]]*0.1799)+(Tableau1[[#This Row],[Différence HC
Cumul]]*0.1346)</f>
        <v>-47267.637600000002</v>
      </c>
      <c r="AL691" s="83">
        <f>Tableau1[[#This Row],[Montant
Tarif HP/HC]]/Tableau1[[#This Row],[Diff jour_x000D_
Cumul]]</f>
        <v>-49.052748886563698</v>
      </c>
      <c r="AM691" s="83">
        <f>(Tableau1[[#This Row],[Montant
Tarif HP/HC]]-AK$6)/Tableau1[[#This Row],[Diff jour_x000D_
Cumul
depuis le 24/01]]</f>
        <v>-51.52974063369431</v>
      </c>
      <c r="AN691" s="83">
        <f>(Tableau1[[#This Row],[Montant
Tarif HP/HC]]-AK$59)/Tableau1[[#This Row],[Diff jour_x000D_
Cumul
depuis
précédente facture
16/02/2021]]</f>
        <v>-53.111080773466611</v>
      </c>
      <c r="AO691" s="83">
        <f>Tableau1[[#This Row],[Conso HP + HC
Cumul]]*0.1599</f>
        <v>-46727.576999999997</v>
      </c>
      <c r="AP691" s="83">
        <f>Tableau1[[#This Row],[Montant
Tarif normal]]/Tableau1[[#This Row],[Diff jour_x000D_
Cumul]]</f>
        <v>-48.492292338692408</v>
      </c>
      <c r="AQ691" s="83">
        <f>(Tableau1[[#This Row],[Conso HP / an
Cumul]]*0.1799)+(Tableau1[[#This Row],[Conso HC / an_x000D_
Cumul]]*0.1346)</f>
        <v>-17904.253343595752</v>
      </c>
      <c r="AR691" s="83">
        <f>Tableau1[[#This Row],[Conso HP + HC / an_x000D_
Cumul]]*0.1599</f>
        <v>-17699.686703622727</v>
      </c>
      <c r="AS691" s="79">
        <f>MONTH(Tableau1[[#This Row],[Date]])</f>
        <v>8</v>
      </c>
      <c r="AT691" s="79">
        <f>YEAR(Tableau1[[#This Row],[Date]])</f>
        <v>2023</v>
      </c>
    </row>
    <row r="692" spans="1:46" x14ac:dyDescent="0.2">
      <c r="A692" s="74">
        <v>45147.34652777778</v>
      </c>
      <c r="B692" s="75"/>
      <c r="C692" s="76">
        <f>IF(ISERROR(Tableau1[[#This Row],[Date]]-A691),"",Tableau1[[#This Row],[Date]]-A691)</f>
        <v>1.0298611111138598</v>
      </c>
      <c r="D692" s="77">
        <f>IF(ISERROR(Tableau1[[#This Row],[Date]]-A691),"",Tableau1[[#This Row],[Date]]-A691)</f>
        <v>1.0298611111138598</v>
      </c>
      <c r="E692" s="76">
        <f>Tableau1[[#This Row],[Date]]-$A$5</f>
        <v>964.6381944444438</v>
      </c>
      <c r="F692" s="77">
        <f>Tableau1[[#This Row],[Date]]-$A$5</f>
        <v>964.6381944444438</v>
      </c>
      <c r="G692" s="77">
        <f>Tableau1[[#This Row],[Diff jour_x000D_
Cumul]]-F$6</f>
        <v>926.55486111111531</v>
      </c>
      <c r="H692" s="77">
        <f>Tableau1[[#This Row],[Diff jour_x000D_
Cumul]]-F$59</f>
        <v>904.0354166666657</v>
      </c>
      <c r="I692" s="78">
        <v>4633</v>
      </c>
      <c r="J692" s="79">
        <f>IF(ISERROR(Tableau1[[#This Row],[Index HP
kWh]]-I691),"",Tableau1[[#This Row],[Index HP
kWh]]-I691)</f>
        <v>6</v>
      </c>
      <c r="K692" s="77">
        <f>IF(ISERROR(Tableau1[[#This Row],[Différence HP
Instantané]]/(Tableau1[[#This Row],[Diff jour
Instantané]]*24)),"",Tableau1[[#This Row],[Différence HP
Instantané]]/(Tableau1[[#This Row],[Diff jour
Instantané]]*24))</f>
        <v>0.24275118003981064</v>
      </c>
      <c r="L692" s="77">
        <f>Tableau1[[#This Row],[Différence HP
Instantané]]/Tableau1[[#This Row],[Diff jour
Instantané]]</f>
        <v>5.8260283209554551</v>
      </c>
      <c r="M692" s="77">
        <f>Tableau1[[#This Row],[Conso HP / jour
Instantané]]*365</f>
        <v>2126.500337148741</v>
      </c>
      <c r="N692" s="79">
        <f>Tableau1[[#This Row],[Index HP
kWh]]-$I$5</f>
        <v>-175126</v>
      </c>
      <c r="O692" s="80">
        <f>Tableau1[[#This Row],[Différence HP
Cumul]]/(Tableau1[[#This Row],[Diff jour_x000D_
Cumul]]*24)</f>
        <v>-7.5644077838625501</v>
      </c>
      <c r="P692" s="80">
        <f>Tableau1[[#This Row],[Différence HP
Cumul]]/Tableau1[[#This Row],[Diff jour_x000D_
Cumul]]</f>
        <v>-181.54578681270121</v>
      </c>
      <c r="Q692" s="80">
        <f>Tableau1[[#This Row],[Conso HP / jour
Cumul]]*365</f>
        <v>-66264.212186635938</v>
      </c>
      <c r="R692" s="78">
        <v>2336</v>
      </c>
      <c r="S692" s="79">
        <f>Tableau1[[#This Row],[Index HC_x000D_
kWh]]-R691</f>
        <v>2</v>
      </c>
      <c r="T692" s="81">
        <f>Tableau1[[#This Row],[Différence_x000D_ HC
Instantané]]/(Tableau1[[#This Row],[Diff jour
Instantané]]*24)</f>
        <v>8.0917060013270203E-2</v>
      </c>
      <c r="U692" s="81">
        <f>Tableau1[[#This Row],[Différence_x000D_ HC
Instantané]]/Tableau1[[#This Row],[Diff jour
Instantané]]</f>
        <v>1.9420094403184851</v>
      </c>
      <c r="V692" s="81">
        <f>Tableau1[[#This Row],[Conso HC / jour_x000D_
Instantané]]*365</f>
        <v>708.83344571624707</v>
      </c>
      <c r="W692" s="79">
        <f>Tableau1[[#This Row],[Index HC_x000D_
kWh]]-$R$5</f>
        <v>-117096</v>
      </c>
      <c r="X692" s="82">
        <f>Tableau1[[#This Row],[Différence HC
Cumul]]/(Tableau1[[#This Row],[Diff jour_x000D_
Cumul]]*24)</f>
        <v>-5.0578548808239159</v>
      </c>
      <c r="Y692" s="82">
        <f>Tableau1[[#This Row],[Différence HC
Cumul]]/Tableau1[[#This Row],[Diff jour_x000D_
Cumul]]</f>
        <v>-121.388517139774</v>
      </c>
      <c r="Z692" s="82">
        <f>Tableau1[[#This Row],[Conso HC / jour_x000D_
Cumul]]*365</f>
        <v>-44306.808756017512</v>
      </c>
      <c r="AA692" s="79">
        <f>Tableau1[[#This Row],[Différence HP
Instantané]]+Tableau1[[#This Row],[Différence_x000D_ HC
Instantané]]</f>
        <v>8</v>
      </c>
      <c r="AB692" s="80">
        <f>Tableau1[[#This Row],[Conso HP + HC
Instantané]]/(Tableau1[[#This Row],[Diff jour
Instantané]]*24)</f>
        <v>0.32366824005308081</v>
      </c>
      <c r="AC692" s="80">
        <f>IF(ISERROR(Tableau1[[#This Row],[Date]]-A691),"",Tableau1[[#This Row],[Conso HP + HC
Instantané]]/Tableau1[[#This Row],[Diff jour
Instantané]])</f>
        <v>7.7680377612739404</v>
      </c>
      <c r="AD692" s="80">
        <f>Tableau1[[#This Row],[Conso HP + HC / jour_x000D_
Instantané]]*365</f>
        <v>2835.3337828649883</v>
      </c>
      <c r="AE692" s="79">
        <f>Tableau1[[#This Row],[Différence HP
Cumul]]+Tableau1[[#This Row],[Différence HC
Cumul]]</f>
        <v>-292222</v>
      </c>
      <c r="AF692" s="77">
        <f>(Tableau1[[#This Row],[Conso HP + HC
Cumul]]-AE$6)/Tableau1[[#This Row],[Diff jour_x000D_
Cumul
depuis le 24/01]]</f>
        <v>-318.16032959612039</v>
      </c>
      <c r="AG692" s="77">
        <f>(Tableau1[[#This Row],[Conso HP + HC
Cumul]]-AE$59)/Tableau1[[#This Row],[Diff jour_x000D_
Cumul
depuis
précédente facture
16/02/2021]]</f>
        <v>-327.86215510546498</v>
      </c>
      <c r="AH692" s="80">
        <f>Tableau1[[#This Row],[Conso HP + HC
Cumul]]/(Tableau1[[#This Row],[Diff jour_x000D_
Cumul]]*24)</f>
        <v>-12.622262664686467</v>
      </c>
      <c r="AI692" s="80">
        <f>Tableau1[[#This Row],[Conso HP + HC
Cumul]]/Tableau1[[#This Row],[Diff jour_x000D_
Cumul]]</f>
        <v>-302.9343039524752</v>
      </c>
      <c r="AJ692" s="80">
        <f>Tableau1[[#This Row],[Conso HP + HC / jour_x000D_
Cumul]]*365</f>
        <v>-110571.02094265346</v>
      </c>
      <c r="AK692" s="83">
        <f>(Tableau1[[#This Row],[Différence HP
Cumul]]*0.1799)+(Tableau1[[#This Row],[Différence HC
Cumul]]*0.1346)</f>
        <v>-47266.289000000004</v>
      </c>
      <c r="AL692" s="83">
        <f>Tableau1[[#This Row],[Montant
Tarif HP/HC]]/Tableau1[[#This Row],[Diff jour_x000D_
Cumul]]</f>
        <v>-48.99898145461853</v>
      </c>
      <c r="AM692" s="83">
        <f>(Tableau1[[#This Row],[Montant
Tarif HP/HC]]-AK$6)/Tableau1[[#This Row],[Diff jour_x000D_
Cumul
depuis le 24/01]]</f>
        <v>-51.471010084399943</v>
      </c>
      <c r="AN692" s="83">
        <f>(Tableau1[[#This Row],[Montant
Tarif HP/HC]]-AK$59)/Tableau1[[#This Row],[Diff jour_x000D_
Cumul
depuis
précédente facture
16/02/2021]]</f>
        <v>-53.04908581660478</v>
      </c>
      <c r="AO692" s="83">
        <f>Tableau1[[#This Row],[Conso HP + HC
Cumul]]*0.1599</f>
        <v>-46726.297799999993</v>
      </c>
      <c r="AP692" s="83">
        <f>Tableau1[[#This Row],[Montant
Tarif normal]]/Tableau1[[#This Row],[Diff jour_x000D_
Cumul]]</f>
        <v>-48.439195202000775</v>
      </c>
      <c r="AQ692" s="83">
        <f>(Tableau1[[#This Row],[Conso HP / an
Cumul]]*0.1799)+(Tableau1[[#This Row],[Conso HC / an_x000D_
Cumul]]*0.1346)</f>
        <v>-17884.628230935763</v>
      </c>
      <c r="AR692" s="83">
        <f>Tableau1[[#This Row],[Conso HP + HC / an_x000D_
Cumul]]*0.1599</f>
        <v>-17680.306248730285</v>
      </c>
      <c r="AS692" s="79">
        <f>MONTH(Tableau1[[#This Row],[Date]])</f>
        <v>8</v>
      </c>
      <c r="AT692" s="79">
        <f>YEAR(Tableau1[[#This Row],[Date]])</f>
        <v>2023</v>
      </c>
    </row>
    <row r="693" spans="1:46" x14ac:dyDescent="0.2">
      <c r="A693" s="74">
        <v>45148.316666666666</v>
      </c>
      <c r="B693" s="75"/>
      <c r="C693" s="76">
        <f>IF(ISERROR(Tableau1[[#This Row],[Date]]-A692),"",Tableau1[[#This Row],[Date]]-A692)</f>
        <v>0.97013888888614019</v>
      </c>
      <c r="D693" s="77">
        <f>IF(ISERROR(Tableau1[[#This Row],[Date]]-A692),"",Tableau1[[#This Row],[Date]]-A692)</f>
        <v>0.97013888888614019</v>
      </c>
      <c r="E693" s="76">
        <f>Tableau1[[#This Row],[Date]]-$A$5</f>
        <v>965.60833333332994</v>
      </c>
      <c r="F693" s="77">
        <f>Tableau1[[#This Row],[Date]]-$A$5</f>
        <v>965.60833333332994</v>
      </c>
      <c r="G693" s="77">
        <f>Tableau1[[#This Row],[Diff jour_x000D_
Cumul]]-F$6</f>
        <v>927.52500000000146</v>
      </c>
      <c r="H693" s="77">
        <f>Tableau1[[#This Row],[Diff jour_x000D_
Cumul]]-F$59</f>
        <v>905.00555555555184</v>
      </c>
      <c r="I693" s="78">
        <v>4639</v>
      </c>
      <c r="J693" s="79">
        <f>IF(ISERROR(Tableau1[[#This Row],[Index HP
kWh]]-I692),"",Tableau1[[#This Row],[Index HP
kWh]]-I692)</f>
        <v>6</v>
      </c>
      <c r="K693" s="77">
        <f>IF(ISERROR(Tableau1[[#This Row],[Différence HP
Instantané]]/(Tableau1[[#This Row],[Diff jour
Instantané]]*24)),"",Tableau1[[#This Row],[Différence HP
Instantané]]/(Tableau1[[#This Row],[Diff jour
Instantané]]*24))</f>
        <v>0.25769506084539728</v>
      </c>
      <c r="L693" s="77">
        <f>Tableau1[[#This Row],[Différence HP
Instantané]]/Tableau1[[#This Row],[Diff jour
Instantané]]</f>
        <v>6.1846814602895348</v>
      </c>
      <c r="M693" s="77">
        <f>Tableau1[[#This Row],[Conso HP / jour
Instantané]]*365</f>
        <v>2257.40873300568</v>
      </c>
      <c r="N693" s="79">
        <f>Tableau1[[#This Row],[Index HP
kWh]]-$I$5</f>
        <v>-175120</v>
      </c>
      <c r="O693" s="80">
        <f>Tableau1[[#This Row],[Différence HP
Cumul]]/(Tableau1[[#This Row],[Diff jour_x000D_
Cumul]]*24)</f>
        <v>-7.5565489803492021</v>
      </c>
      <c r="P693" s="80">
        <f>Tableau1[[#This Row],[Différence HP
Cumul]]/Tableau1[[#This Row],[Diff jour_x000D_
Cumul]]</f>
        <v>-181.35717552838085</v>
      </c>
      <c r="Q693" s="80">
        <f>Tableau1[[#This Row],[Conso HP / jour
Cumul]]*365</f>
        <v>-66195.369067859006</v>
      </c>
      <c r="R693" s="78">
        <v>2339</v>
      </c>
      <c r="S693" s="79">
        <f>Tableau1[[#This Row],[Index HC_x000D_
kWh]]-R692</f>
        <v>3</v>
      </c>
      <c r="T693" s="81">
        <f>Tableau1[[#This Row],[Différence_x000D_ HC
Instantané]]/(Tableau1[[#This Row],[Diff jour
Instantané]]*24)</f>
        <v>0.12884753042269864</v>
      </c>
      <c r="U693" s="81">
        <f>Tableau1[[#This Row],[Différence_x000D_ HC
Instantané]]/Tableau1[[#This Row],[Diff jour
Instantané]]</f>
        <v>3.0923407301447674</v>
      </c>
      <c r="V693" s="81">
        <f>Tableau1[[#This Row],[Conso HC / jour_x000D_
Instantané]]*365</f>
        <v>1128.70436650284</v>
      </c>
      <c r="W693" s="79">
        <f>Tableau1[[#This Row],[Index HC_x000D_
kWh]]-$R$5</f>
        <v>-117093</v>
      </c>
      <c r="X693" s="82">
        <f>Tableau1[[#This Row],[Différence HC
Cumul]]/(Tableau1[[#This Row],[Diff jour_x000D_
Cumul]]*24)</f>
        <v>-5.0526438428279414</v>
      </c>
      <c r="Y693" s="82">
        <f>Tableau1[[#This Row],[Différence HC
Cumul]]/Tableau1[[#This Row],[Diff jour_x000D_
Cumul]]</f>
        <v>-121.2634522278706</v>
      </c>
      <c r="Z693" s="82">
        <f>Tableau1[[#This Row],[Conso HC / jour_x000D_
Cumul]]*365</f>
        <v>-44261.160063172771</v>
      </c>
      <c r="AA693" s="79">
        <f>Tableau1[[#This Row],[Différence HP
Instantané]]+Tableau1[[#This Row],[Différence_x000D_ HC
Instantané]]</f>
        <v>9</v>
      </c>
      <c r="AB693" s="80">
        <f>Tableau1[[#This Row],[Conso HP + HC
Instantané]]/(Tableau1[[#This Row],[Diff jour
Instantané]]*24)</f>
        <v>0.38654259126809593</v>
      </c>
      <c r="AC693" s="80">
        <f>IF(ISERROR(Tableau1[[#This Row],[Date]]-A692),"",Tableau1[[#This Row],[Conso HP + HC
Instantané]]/Tableau1[[#This Row],[Diff jour
Instantané]])</f>
        <v>9.2770221904343018</v>
      </c>
      <c r="AD693" s="80">
        <f>Tableau1[[#This Row],[Conso HP + HC / jour_x000D_
Instantané]]*365</f>
        <v>3386.11309950852</v>
      </c>
      <c r="AE693" s="79">
        <f>Tableau1[[#This Row],[Différence HP
Cumul]]+Tableau1[[#This Row],[Différence HC
Cumul]]</f>
        <v>-292213</v>
      </c>
      <c r="AF693" s="77">
        <f>(Tableau1[[#This Row],[Conso HP + HC
Cumul]]-AE$6)/Tableau1[[#This Row],[Diff jour_x000D_
Cumul
depuis le 24/01]]</f>
        <v>-317.81784857550957</v>
      </c>
      <c r="AG693" s="77">
        <f>(Tableau1[[#This Row],[Conso HP + HC
Cumul]]-AE$59)/Tableau1[[#This Row],[Diff jour_x000D_
Cumul
depuis
précédente facture
16/02/2021]]</f>
        <v>-327.5007519904741</v>
      </c>
      <c r="AH693" s="80">
        <f>Tableau1[[#This Row],[Conso HP + HC
Cumul]]/(Tableau1[[#This Row],[Diff jour_x000D_
Cumul]]*24)</f>
        <v>-12.609192823177143</v>
      </c>
      <c r="AI693" s="80">
        <f>Tableau1[[#This Row],[Conso HP + HC
Cumul]]/Tableau1[[#This Row],[Diff jour_x000D_
Cumul]]</f>
        <v>-302.62062775625145</v>
      </c>
      <c r="AJ693" s="80">
        <f>Tableau1[[#This Row],[Conso HP + HC / jour_x000D_
Cumul]]*365</f>
        <v>-110456.52913103178</v>
      </c>
      <c r="AK693" s="83">
        <f>(Tableau1[[#This Row],[Différence HP
Cumul]]*0.1799)+(Tableau1[[#This Row],[Différence HC
Cumul]]*0.1346)</f>
        <v>-47264.805800000002</v>
      </c>
      <c r="AL693" s="83">
        <f>Tableau1[[#This Row],[Montant
Tarif HP/HC]]/Tableau1[[#This Row],[Diff jour_x000D_
Cumul]]</f>
        <v>-48.948216547427101</v>
      </c>
      <c r="AM693" s="83">
        <f>(Tableau1[[#This Row],[Montant
Tarif HP/HC]]-AK$6)/Tableau1[[#This Row],[Diff jour_x000D_
Cumul
depuis le 24/01]]</f>
        <v>-51.415575213606026</v>
      </c>
      <c r="AN693" s="83">
        <f>(Tableau1[[#This Row],[Montant
Tarif HP/HC]]-AK$59)/Tableau1[[#This Row],[Diff jour_x000D_
Cumul
depuis
précédente facture
16/02/2021]]</f>
        <v>-52.990579898220609</v>
      </c>
      <c r="AO693" s="83">
        <f>Tableau1[[#This Row],[Conso HP + HC
Cumul]]*0.1599</f>
        <v>-46724.858699999997</v>
      </c>
      <c r="AP693" s="83">
        <f>Tableau1[[#This Row],[Montant
Tarif normal]]/Tableau1[[#This Row],[Diff jour_x000D_
Cumul]]</f>
        <v>-48.389038378224605</v>
      </c>
      <c r="AQ693" s="83">
        <f>(Tableau1[[#This Row],[Conso HP / an
Cumul]]*0.1799)+(Tableau1[[#This Row],[Conso HC / an_x000D_
Cumul]]*0.1346)</f>
        <v>-17866.099039810892</v>
      </c>
      <c r="AR693" s="83">
        <f>Tableau1[[#This Row],[Conso HP + HC / an_x000D_
Cumul]]*0.1599</f>
        <v>-17661.999008051982</v>
      </c>
      <c r="AS693" s="79">
        <f>MONTH(Tableau1[[#This Row],[Date]])</f>
        <v>8</v>
      </c>
      <c r="AT693" s="79">
        <f>YEAR(Tableau1[[#This Row],[Date]])</f>
        <v>2023</v>
      </c>
    </row>
    <row r="694" spans="1:46" x14ac:dyDescent="0.2">
      <c r="A694" s="74">
        <v>45149.5625</v>
      </c>
      <c r="B694" s="75"/>
      <c r="C694" s="76">
        <f>IF(ISERROR(Tableau1[[#This Row],[Date]]-A693),"",Tableau1[[#This Row],[Date]]-A693)</f>
        <v>1.2458333333343035</v>
      </c>
      <c r="D694" s="77">
        <f>IF(ISERROR(Tableau1[[#This Row],[Date]]-A693),"",Tableau1[[#This Row],[Date]]-A693)</f>
        <v>1.2458333333343035</v>
      </c>
      <c r="E694" s="76">
        <f>Tableau1[[#This Row],[Date]]-$A$5</f>
        <v>966.85416666666424</v>
      </c>
      <c r="F694" s="77">
        <f>Tableau1[[#This Row],[Date]]-$A$5</f>
        <v>966.85416666666424</v>
      </c>
      <c r="G694" s="77">
        <f>Tableau1[[#This Row],[Diff jour_x000D_
Cumul]]-F$6</f>
        <v>928.77083333333576</v>
      </c>
      <c r="H694" s="77">
        <f>Tableau1[[#This Row],[Diff jour_x000D_
Cumul]]-F$59</f>
        <v>906.25138888888614</v>
      </c>
      <c r="I694" s="78">
        <v>4647</v>
      </c>
      <c r="J694" s="79">
        <f>IF(ISERROR(Tableau1[[#This Row],[Index HP
kWh]]-I693),"",Tableau1[[#This Row],[Index HP
kWh]]-I693)</f>
        <v>8</v>
      </c>
      <c r="K694" s="77">
        <f>IF(ISERROR(Tableau1[[#This Row],[Différence HP
Instantané]]/(Tableau1[[#This Row],[Diff jour
Instantané]]*24)),"",Tableau1[[#This Row],[Différence HP
Instantané]]/(Tableau1[[#This Row],[Diff jour
Instantané]]*24))</f>
        <v>0.2675585284278853</v>
      </c>
      <c r="L694" s="77">
        <f>Tableau1[[#This Row],[Différence HP
Instantané]]/Tableau1[[#This Row],[Diff jour
Instantané]]</f>
        <v>6.4214046822692472</v>
      </c>
      <c r="M694" s="77">
        <f>Tableau1[[#This Row],[Conso HP / jour
Instantané]]*365</f>
        <v>2343.8127090282751</v>
      </c>
      <c r="N694" s="79">
        <f>Tableau1[[#This Row],[Index HP
kWh]]-$I$5</f>
        <v>-175112</v>
      </c>
      <c r="O694" s="80">
        <f>Tableau1[[#This Row],[Différence HP
Cumul]]/(Tableau1[[#This Row],[Diff jour_x000D_
Cumul]]*24)</f>
        <v>-7.5464672800534567</v>
      </c>
      <c r="P694" s="80">
        <f>Tableau1[[#This Row],[Différence HP
Cumul]]/Tableau1[[#This Row],[Diff jour_x000D_
Cumul]]</f>
        <v>-181.11521472128297</v>
      </c>
      <c r="Q694" s="80">
        <f>Tableau1[[#This Row],[Conso HP / jour
Cumul]]*365</f>
        <v>-66107.053373268282</v>
      </c>
      <c r="R694" s="78">
        <v>2341</v>
      </c>
      <c r="S694" s="79">
        <f>Tableau1[[#This Row],[Index HC_x000D_
kWh]]-R693</f>
        <v>2</v>
      </c>
      <c r="T694" s="81">
        <f>Tableau1[[#This Row],[Différence_x000D_ HC
Instantané]]/(Tableau1[[#This Row],[Diff jour
Instantané]]*24)</f>
        <v>6.6889632106971325E-2</v>
      </c>
      <c r="U694" s="81">
        <f>Tableau1[[#This Row],[Différence_x000D_ HC
Instantané]]/Tableau1[[#This Row],[Diff jour
Instantané]]</f>
        <v>1.6053511705673118</v>
      </c>
      <c r="V694" s="81">
        <f>Tableau1[[#This Row],[Conso HC / jour_x000D_
Instantané]]*365</f>
        <v>585.95317725706877</v>
      </c>
      <c r="W694" s="79">
        <f>Tableau1[[#This Row],[Index HC_x000D_
kWh]]-$R$5</f>
        <v>-117091</v>
      </c>
      <c r="X694" s="82">
        <f>Tableau1[[#This Row],[Différence HC
Cumul]]/(Tableau1[[#This Row],[Diff jour_x000D_
Cumul]]*24)</f>
        <v>-5.0460471029326337</v>
      </c>
      <c r="Y694" s="82">
        <f>Tableau1[[#This Row],[Différence HC
Cumul]]/Tableau1[[#This Row],[Diff jour_x000D_
Cumul]]</f>
        <v>-121.1051304703832</v>
      </c>
      <c r="Z694" s="82">
        <f>Tableau1[[#This Row],[Conso HC / jour_x000D_
Cumul]]*365</f>
        <v>-44203.372621689872</v>
      </c>
      <c r="AA694" s="79">
        <f>Tableau1[[#This Row],[Différence HP
Instantané]]+Tableau1[[#This Row],[Différence_x000D_ HC
Instantané]]</f>
        <v>10</v>
      </c>
      <c r="AB694" s="80">
        <f>Tableau1[[#This Row],[Conso HP + HC
Instantané]]/(Tableau1[[#This Row],[Diff jour
Instantané]]*24)</f>
        <v>0.3344481605348566</v>
      </c>
      <c r="AC694" s="80">
        <f>IF(ISERROR(Tableau1[[#This Row],[Date]]-A693),"",Tableau1[[#This Row],[Conso HP + HC
Instantané]]/Tableau1[[#This Row],[Diff jour
Instantané]])</f>
        <v>8.0267558528365583</v>
      </c>
      <c r="AD694" s="80">
        <f>Tableau1[[#This Row],[Conso HP + HC / jour_x000D_
Instantané]]*365</f>
        <v>2929.7658862853436</v>
      </c>
      <c r="AE694" s="79">
        <f>Tableau1[[#This Row],[Différence HP
Cumul]]+Tableau1[[#This Row],[Différence HC
Cumul]]</f>
        <v>-292203</v>
      </c>
      <c r="AF694" s="77">
        <f>(Tableau1[[#This Row],[Conso HP + HC
Cumul]]-AE$6)/Tableau1[[#This Row],[Diff jour_x000D_
Cumul
depuis le 24/01]]</f>
        <v>-317.38076759157406</v>
      </c>
      <c r="AG694" s="77">
        <f>(Tableau1[[#This Row],[Conso HP + HC
Cumul]]-AE$59)/Tableau1[[#This Row],[Diff jour_x000D_
Cumul
depuis
précédente facture
16/02/2021]]</f>
        <v>-327.03949879004114</v>
      </c>
      <c r="AH694" s="80">
        <f>Tableau1[[#This Row],[Conso HP + HC
Cumul]]/(Tableau1[[#This Row],[Diff jour_x000D_
Cumul]]*24)</f>
        <v>-12.59251438298609</v>
      </c>
      <c r="AI694" s="80">
        <f>Tableau1[[#This Row],[Conso HP + HC
Cumul]]/Tableau1[[#This Row],[Diff jour_x000D_
Cumul]]</f>
        <v>-302.22034519166618</v>
      </c>
      <c r="AJ694" s="80">
        <f>Tableau1[[#This Row],[Conso HP + HC / jour_x000D_
Cumul]]*365</f>
        <v>-110310.42599495816</v>
      </c>
      <c r="AK694" s="83">
        <f>(Tableau1[[#This Row],[Différence HP
Cumul]]*0.1799)+(Tableau1[[#This Row],[Différence HC
Cumul]]*0.1346)</f>
        <v>-47263.097399999999</v>
      </c>
      <c r="AL694" s="83">
        <f>Tableau1[[#This Row],[Montant
Tarif HP/HC]]/Tableau1[[#This Row],[Diff jour_x000D_
Cumul]]</f>
        <v>-48.883377689672386</v>
      </c>
      <c r="AM694" s="83">
        <f>(Tableau1[[#This Row],[Montant
Tarif HP/HC]]-AK$6)/Tableau1[[#This Row],[Diff jour_x000D_
Cumul
depuis le 24/01]]</f>
        <v>-51.344768040196364</v>
      </c>
      <c r="AN694" s="83">
        <f>(Tableau1[[#This Row],[Montant
Tarif HP/HC]]-AK$59)/Tableau1[[#This Row],[Diff jour_x000D_
Cumul
depuis
précédente facture
16/02/2021]]</f>
        <v>-52.915848061535698</v>
      </c>
      <c r="AO694" s="83">
        <f>Tableau1[[#This Row],[Conso HP + HC
Cumul]]*0.1599</f>
        <v>-46723.259699999995</v>
      </c>
      <c r="AP694" s="83">
        <f>Tableau1[[#This Row],[Montant
Tarif normal]]/Tableau1[[#This Row],[Diff jour_x000D_
Cumul]]</f>
        <v>-48.325033196147416</v>
      </c>
      <c r="AQ694" s="83">
        <f>(Tableau1[[#This Row],[Conso HP / an
Cumul]]*0.1799)+(Tableau1[[#This Row],[Conso HC / an_x000D_
Cumul]]*0.1346)</f>
        <v>-17842.432856730422</v>
      </c>
      <c r="AR694" s="83">
        <f>Tableau1[[#This Row],[Conso HP + HC / an_x000D_
Cumul]]*0.1599</f>
        <v>-17638.637116593807</v>
      </c>
      <c r="AS694" s="79">
        <f>MONTH(Tableau1[[#This Row],[Date]])</f>
        <v>8</v>
      </c>
      <c r="AT694" s="79">
        <f>YEAR(Tableau1[[#This Row],[Date]])</f>
        <v>2023</v>
      </c>
    </row>
    <row r="695" spans="1:46" x14ac:dyDescent="0.2">
      <c r="A695" s="74">
        <v>45150.349305555559</v>
      </c>
      <c r="B695" s="75"/>
      <c r="C695" s="76">
        <f>IF(ISERROR(Tableau1[[#This Row],[Date]]-A694),"",Tableau1[[#This Row],[Date]]-A694)</f>
        <v>0.78680555555911269</v>
      </c>
      <c r="D695" s="77">
        <f>IF(ISERROR(Tableau1[[#This Row],[Date]]-A694),"",Tableau1[[#This Row],[Date]]-A694)</f>
        <v>0.78680555555911269</v>
      </c>
      <c r="E695" s="76">
        <f>Tableau1[[#This Row],[Date]]-$A$5</f>
        <v>967.64097222222335</v>
      </c>
      <c r="F695" s="77">
        <f>Tableau1[[#This Row],[Date]]-$A$5</f>
        <v>967.64097222222335</v>
      </c>
      <c r="G695" s="77">
        <f>Tableau1[[#This Row],[Diff jour_x000D_
Cumul]]-F$6</f>
        <v>929.55763888889487</v>
      </c>
      <c r="H695" s="77">
        <f>Tableau1[[#This Row],[Diff jour_x000D_
Cumul]]-F$59</f>
        <v>907.03819444444525</v>
      </c>
      <c r="I695" s="78">
        <v>4651</v>
      </c>
      <c r="J695" s="79">
        <f>IF(ISERROR(Tableau1[[#This Row],[Index HP
kWh]]-I694),"",Tableau1[[#This Row],[Index HP
kWh]]-I694)</f>
        <v>4</v>
      </c>
      <c r="K695" s="77">
        <f>IF(ISERROR(Tableau1[[#This Row],[Différence HP
Instantané]]/(Tableau1[[#This Row],[Diff jour
Instantané]]*24)),"",Tableau1[[#This Row],[Différence HP
Instantané]]/(Tableau1[[#This Row],[Diff jour
Instantané]]*24))</f>
        <v>0.21182700794255513</v>
      </c>
      <c r="L695" s="77">
        <f>Tableau1[[#This Row],[Différence HP
Instantané]]/Tableau1[[#This Row],[Diff jour
Instantané]]</f>
        <v>5.0838481906213229</v>
      </c>
      <c r="M695" s="77">
        <f>Tableau1[[#This Row],[Conso HP / jour
Instantané]]*365</f>
        <v>1855.6045895767829</v>
      </c>
      <c r="N695" s="79">
        <f>Tableau1[[#This Row],[Index HP
kWh]]-$I$5</f>
        <v>-175108</v>
      </c>
      <c r="O695" s="80">
        <f>Tableau1[[#This Row],[Différence HP
Cumul]]/(Tableau1[[#This Row],[Diff jour_x000D_
Cumul]]*24)</f>
        <v>-7.5401588772235941</v>
      </c>
      <c r="P695" s="80">
        <f>Tableau1[[#This Row],[Différence HP
Cumul]]/Tableau1[[#This Row],[Diff jour_x000D_
Cumul]]</f>
        <v>-180.96381305336627</v>
      </c>
      <c r="Q695" s="80">
        <f>Tableau1[[#This Row],[Conso HP / jour
Cumul]]*365</f>
        <v>-66051.791764478694</v>
      </c>
      <c r="R695" s="78">
        <v>2343</v>
      </c>
      <c r="S695" s="79">
        <f>Tableau1[[#This Row],[Index HC_x000D_
kWh]]-R694</f>
        <v>2</v>
      </c>
      <c r="T695" s="81">
        <f>Tableau1[[#This Row],[Différence_x000D_ HC
Instantané]]/(Tableau1[[#This Row],[Diff jour
Instantané]]*24)</f>
        <v>0.10591350397127756</v>
      </c>
      <c r="U695" s="81">
        <f>Tableau1[[#This Row],[Différence_x000D_ HC
Instantané]]/Tableau1[[#This Row],[Diff jour
Instantané]]</f>
        <v>2.5419240953106614</v>
      </c>
      <c r="V695" s="81">
        <f>Tableau1[[#This Row],[Conso HC / jour_x000D_
Instantané]]*365</f>
        <v>927.80229478839146</v>
      </c>
      <c r="W695" s="79">
        <f>Tableau1[[#This Row],[Index HC_x000D_
kWh]]-$R$5</f>
        <v>-117089</v>
      </c>
      <c r="X695" s="82">
        <f>Tableau1[[#This Row],[Différence HC
Cumul]]/(Tableau1[[#This Row],[Diff jour_x000D_
Cumul]]*24)</f>
        <v>-5.0418579549491369</v>
      </c>
      <c r="Y695" s="82">
        <f>Tableau1[[#This Row],[Différence HC
Cumul]]/Tableau1[[#This Row],[Diff jour_x000D_
Cumul]]</f>
        <v>-121.00459091877927</v>
      </c>
      <c r="Z695" s="82">
        <f>Tableau1[[#This Row],[Conso HC / jour_x000D_
Cumul]]*365</f>
        <v>-44166.675685354436</v>
      </c>
      <c r="AA695" s="79">
        <f>Tableau1[[#This Row],[Différence HP
Instantané]]+Tableau1[[#This Row],[Différence_x000D_ HC
Instantané]]</f>
        <v>6</v>
      </c>
      <c r="AB695" s="80">
        <f>Tableau1[[#This Row],[Conso HP + HC
Instantané]]/(Tableau1[[#This Row],[Diff jour
Instantané]]*24)</f>
        <v>0.31774051191383268</v>
      </c>
      <c r="AC695" s="80">
        <f>IF(ISERROR(Tableau1[[#This Row],[Date]]-A694),"",Tableau1[[#This Row],[Conso HP + HC
Instantané]]/Tableau1[[#This Row],[Diff jour
Instantané]])</f>
        <v>7.6257722859319843</v>
      </c>
      <c r="AD695" s="80">
        <f>Tableau1[[#This Row],[Conso HP + HC / jour_x000D_
Instantané]]*365</f>
        <v>2783.4068843651744</v>
      </c>
      <c r="AE695" s="79">
        <f>Tableau1[[#This Row],[Différence HP
Cumul]]+Tableau1[[#This Row],[Différence HC
Cumul]]</f>
        <v>-292197</v>
      </c>
      <c r="AF695" s="77">
        <f>(Tableau1[[#This Row],[Conso HP + HC
Cumul]]-AE$6)/Tableau1[[#This Row],[Diff jour_x000D_
Cumul
depuis le 24/01]]</f>
        <v>-317.10567227690984</v>
      </c>
      <c r="AG695" s="77">
        <f>(Tableau1[[#This Row],[Conso HP + HC
Cumul]]-AE$59)/Tableau1[[#This Row],[Diff jour_x000D_
Cumul
depuis
précédente facture
16/02/2021]]</f>
        <v>-326.74919514445264</v>
      </c>
      <c r="AH695" s="80">
        <f>Tableau1[[#This Row],[Conso HP + HC
Cumul]]/(Tableau1[[#This Row],[Diff jour_x000D_
Cumul]]*24)</f>
        <v>-12.58201683217273</v>
      </c>
      <c r="AI695" s="80">
        <f>Tableau1[[#This Row],[Conso HP + HC
Cumul]]/Tableau1[[#This Row],[Diff jour_x000D_
Cumul]]</f>
        <v>-301.96840397214555</v>
      </c>
      <c r="AJ695" s="80">
        <f>Tableau1[[#This Row],[Conso HP + HC / jour_x000D_
Cumul]]*365</f>
        <v>-110218.46744983313</v>
      </c>
      <c r="AK695" s="83">
        <f>(Tableau1[[#This Row],[Différence HP
Cumul]]*0.1799)+(Tableau1[[#This Row],[Différence HC
Cumul]]*0.1346)</f>
        <v>-47262.1086</v>
      </c>
      <c r="AL695" s="83">
        <f>Tableau1[[#This Row],[Montant
Tarif HP/HC]]/Tableau1[[#This Row],[Diff jour_x000D_
Cumul]]</f>
        <v>-48.842607905968279</v>
      </c>
      <c r="AM695" s="83">
        <f>(Tableau1[[#This Row],[Montant
Tarif HP/HC]]-AK$6)/Tableau1[[#This Row],[Diff jour_x000D_
Cumul
depuis le 24/01]]</f>
        <v>-51.300244551806351</v>
      </c>
      <c r="AN695" s="83">
        <f>(Tableau1[[#This Row],[Montant
Tarif HP/HC]]-AK$59)/Tableau1[[#This Row],[Diff jour_x000D_
Cumul
depuis
précédente facture
16/02/2021]]</f>
        <v>-52.868856343333526</v>
      </c>
      <c r="AO695" s="83">
        <f>Tableau1[[#This Row],[Conso HP + HC
Cumul]]*0.1599</f>
        <v>-46722.300299999995</v>
      </c>
      <c r="AP695" s="83">
        <f>Tableau1[[#This Row],[Montant
Tarif normal]]/Tableau1[[#This Row],[Diff jour_x000D_
Cumul]]</f>
        <v>-48.284747795146068</v>
      </c>
      <c r="AQ695" s="83">
        <f>(Tableau1[[#This Row],[Conso HP / an
Cumul]]*0.1799)+(Tableau1[[#This Row],[Conso HC / an_x000D_
Cumul]]*0.1346)</f>
        <v>-17827.551885678426</v>
      </c>
      <c r="AR695" s="83">
        <f>Tableau1[[#This Row],[Conso HP + HC / an_x000D_
Cumul]]*0.1599</f>
        <v>-17623.932945228316</v>
      </c>
      <c r="AS695" s="79">
        <f>MONTH(Tableau1[[#This Row],[Date]])</f>
        <v>8</v>
      </c>
      <c r="AT695" s="79">
        <f>YEAR(Tableau1[[#This Row],[Date]])</f>
        <v>2023</v>
      </c>
    </row>
    <row r="696" spans="1:46" x14ac:dyDescent="0.2">
      <c r="A696" s="74">
        <v>45151.379166666666</v>
      </c>
      <c r="B696" s="75"/>
      <c r="C696" s="76">
        <f>IF(ISERROR(Tableau1[[#This Row],[Date]]-A695),"",Tableau1[[#This Row],[Date]]-A695)</f>
        <v>1.0298611111065838</v>
      </c>
      <c r="D696" s="77">
        <f>IF(ISERROR(Tableau1[[#This Row],[Date]]-A695),"",Tableau1[[#This Row],[Date]]-A695)</f>
        <v>1.0298611111065838</v>
      </c>
      <c r="E696" s="76">
        <f>Tableau1[[#This Row],[Date]]-$A$5</f>
        <v>968.67083333332994</v>
      </c>
      <c r="F696" s="77">
        <f>Tableau1[[#This Row],[Date]]-$A$5</f>
        <v>968.67083333332994</v>
      </c>
      <c r="G696" s="77">
        <f>Tableau1[[#This Row],[Diff jour_x000D_
Cumul]]-F$6</f>
        <v>930.58750000000146</v>
      </c>
      <c r="H696" s="77">
        <f>Tableau1[[#This Row],[Diff jour_x000D_
Cumul]]-F$59</f>
        <v>908.06805555555184</v>
      </c>
      <c r="I696" s="78">
        <v>4659</v>
      </c>
      <c r="J696" s="79">
        <f>IF(ISERROR(Tableau1[[#This Row],[Index HP
kWh]]-I695),"",Tableau1[[#This Row],[Index HP
kWh]]-I695)</f>
        <v>8</v>
      </c>
      <c r="K696" s="77">
        <f>IF(ISERROR(Tableau1[[#This Row],[Différence HP
Instantané]]/(Tableau1[[#This Row],[Diff jour
Instantané]]*24)),"",Tableau1[[#This Row],[Différence HP
Instantané]]/(Tableau1[[#This Row],[Diff jour
Instantané]]*24))</f>
        <v>0.32366824005536754</v>
      </c>
      <c r="L696" s="77">
        <f>Tableau1[[#This Row],[Différence HP
Instantané]]/Tableau1[[#This Row],[Diff jour
Instantané]]</f>
        <v>7.768037761328821</v>
      </c>
      <c r="M696" s="77">
        <f>Tableau1[[#This Row],[Conso HP / jour
Instantané]]*365</f>
        <v>2835.3337828850194</v>
      </c>
      <c r="N696" s="79">
        <f>Tableau1[[#This Row],[Index HP
kWh]]-$I$5</f>
        <v>-175100</v>
      </c>
      <c r="O696" s="80">
        <f>Tableau1[[#This Row],[Différence HP
Cumul]]/(Tableau1[[#This Row],[Diff jour_x000D_
Cumul]]*24)</f>
        <v>-7.5317982974953059</v>
      </c>
      <c r="P696" s="80">
        <f>Tableau1[[#This Row],[Différence HP
Cumul]]/Tableau1[[#This Row],[Diff jour_x000D_
Cumul]]</f>
        <v>-180.76315913988734</v>
      </c>
      <c r="Q696" s="80">
        <f>Tableau1[[#This Row],[Conso HP / jour
Cumul]]*365</f>
        <v>-65978.553086058877</v>
      </c>
      <c r="R696" s="78">
        <v>2346</v>
      </c>
      <c r="S696" s="79">
        <f>Tableau1[[#This Row],[Index HC_x000D_
kWh]]-R695</f>
        <v>3</v>
      </c>
      <c r="T696" s="81">
        <f>Tableau1[[#This Row],[Différence_x000D_ HC
Instantané]]/(Tableau1[[#This Row],[Diff jour
Instantané]]*24)</f>
        <v>0.12137559002076283</v>
      </c>
      <c r="U696" s="81">
        <f>Tableau1[[#This Row],[Différence_x000D_ HC
Instantané]]/Tableau1[[#This Row],[Diff jour
Instantané]]</f>
        <v>2.913014160498308</v>
      </c>
      <c r="V696" s="81">
        <f>Tableau1[[#This Row],[Conso HC / jour_x000D_
Instantané]]*365</f>
        <v>1063.2501685818825</v>
      </c>
      <c r="W696" s="79">
        <f>Tableau1[[#This Row],[Index HC_x000D_
kWh]]-$R$5</f>
        <v>-117086</v>
      </c>
      <c r="X696" s="82">
        <f>Tableau1[[#This Row],[Différence HC
Cumul]]/(Tableau1[[#This Row],[Diff jour_x000D_
Cumul]]*24)</f>
        <v>-5.0363685634525153</v>
      </c>
      <c r="Y696" s="82">
        <f>Tableau1[[#This Row],[Différence HC
Cumul]]/Tableau1[[#This Row],[Diff jour_x000D_
Cumul]]</f>
        <v>-120.87284552286036</v>
      </c>
      <c r="Z696" s="82">
        <f>Tableau1[[#This Row],[Conso HC / jour_x000D_
Cumul]]*365</f>
        <v>-44118.588615844033</v>
      </c>
      <c r="AA696" s="79">
        <f>Tableau1[[#This Row],[Différence HP
Instantané]]+Tableau1[[#This Row],[Différence_x000D_ HC
Instantané]]</f>
        <v>11</v>
      </c>
      <c r="AB696" s="80">
        <f>Tableau1[[#This Row],[Conso HP + HC
Instantané]]/(Tableau1[[#This Row],[Diff jour
Instantané]]*24)</f>
        <v>0.44504383007613041</v>
      </c>
      <c r="AC696" s="80">
        <f>IF(ISERROR(Tableau1[[#This Row],[Date]]-A695),"",Tableau1[[#This Row],[Conso HP + HC
Instantané]]/Tableau1[[#This Row],[Diff jour
Instantané]])</f>
        <v>10.681051921827128</v>
      </c>
      <c r="AD696" s="80">
        <f>Tableau1[[#This Row],[Conso HP + HC / jour_x000D_
Instantané]]*365</f>
        <v>3898.5839514669019</v>
      </c>
      <c r="AE696" s="79">
        <f>Tableau1[[#This Row],[Différence HP
Cumul]]+Tableau1[[#This Row],[Différence HC
Cumul]]</f>
        <v>-292186</v>
      </c>
      <c r="AF696" s="77">
        <f>(Tableau1[[#This Row],[Conso HP + HC
Cumul]]-AE$6)/Tableau1[[#This Row],[Diff jour_x000D_
Cumul
depuis le 24/01]]</f>
        <v>-316.74291778043391</v>
      </c>
      <c r="AG696" s="77">
        <f>(Tableau1[[#This Row],[Conso HP + HC
Cumul]]-AE$59)/Tableau1[[#This Row],[Diff jour_x000D_
Cumul
depuis
précédente facture
16/02/2021]]</f>
        <v>-326.36650764978896</v>
      </c>
      <c r="AH696" s="80">
        <f>Tableau1[[#This Row],[Conso HP + HC
Cumul]]/(Tableau1[[#This Row],[Diff jour_x000D_
Cumul]]*24)</f>
        <v>-12.568166860947821</v>
      </c>
      <c r="AI696" s="80">
        <f>Tableau1[[#This Row],[Conso HP + HC
Cumul]]/Tableau1[[#This Row],[Diff jour_x000D_
Cumul]]</f>
        <v>-301.63600466274767</v>
      </c>
      <c r="AJ696" s="80">
        <f>Tableau1[[#This Row],[Conso HP + HC / jour_x000D_
Cumul]]*365</f>
        <v>-110097.1417019029</v>
      </c>
      <c r="AK696" s="83">
        <f>(Tableau1[[#This Row],[Différence HP
Cumul]]*0.1799)+(Tableau1[[#This Row],[Différence HC
Cumul]]*0.1346)</f>
        <v>-47260.265599999999</v>
      </c>
      <c r="AL696" s="83">
        <f>Tableau1[[#This Row],[Montant
Tarif HP/HC]]/Tableau1[[#This Row],[Diff jour_x000D_
Cumul]]</f>
        <v>-48.788777336642731</v>
      </c>
      <c r="AM696" s="83">
        <f>(Tableau1[[#This Row],[Montant
Tarif HP/HC]]-AK$6)/Tableau1[[#This Row],[Diff jour_x000D_
Cumul
depuis le 24/01]]</f>
        <v>-51.241491208510674</v>
      </c>
      <c r="AN696" s="83">
        <f>(Tableau1[[#This Row],[Montant
Tarif HP/HC]]-AK$59)/Tableau1[[#This Row],[Diff jour_x000D_
Cumul
depuis
précédente facture
16/02/2021]]</f>
        <v>-52.806866959616862</v>
      </c>
      <c r="AO696" s="83">
        <f>Tableau1[[#This Row],[Conso HP + HC
Cumul]]*0.1599</f>
        <v>-46720.541399999995</v>
      </c>
      <c r="AP696" s="83">
        <f>Tableau1[[#This Row],[Montant
Tarif normal]]/Tableau1[[#This Row],[Diff jour_x000D_
Cumul]]</f>
        <v>-48.231597145573353</v>
      </c>
      <c r="AQ696" s="83">
        <f>(Tableau1[[#This Row],[Conso HP / an
Cumul]]*0.1799)+(Tableau1[[#This Row],[Conso HC / an_x000D_
Cumul]]*0.1346)</f>
        <v>-17807.903727874596</v>
      </c>
      <c r="AR696" s="83">
        <f>Tableau1[[#This Row],[Conso HP + HC / an_x000D_
Cumul]]*0.1599</f>
        <v>-17604.532958134274</v>
      </c>
      <c r="AS696" s="79">
        <f>MONTH(Tableau1[[#This Row],[Date]])</f>
        <v>8</v>
      </c>
      <c r="AT696" s="79">
        <f>YEAR(Tableau1[[#This Row],[Date]])</f>
        <v>2023</v>
      </c>
    </row>
    <row r="697" spans="1:46" x14ac:dyDescent="0.2">
      <c r="A697" s="74">
        <v>45152.388888888891</v>
      </c>
      <c r="B697" s="75"/>
      <c r="C697" s="76">
        <f>IF(ISERROR(Tableau1[[#This Row],[Date]]-A696),"",Tableau1[[#This Row],[Date]]-A696)</f>
        <v>1.0097222222248092</v>
      </c>
      <c r="D697" s="77">
        <f>IF(ISERROR(Tableau1[[#This Row],[Date]]-A696),"",Tableau1[[#This Row],[Date]]-A696)</f>
        <v>1.0097222222248092</v>
      </c>
      <c r="E697" s="76">
        <f>Tableau1[[#This Row],[Date]]-$A$5</f>
        <v>969.68055555555475</v>
      </c>
      <c r="F697" s="77">
        <f>Tableau1[[#This Row],[Date]]-$A$5</f>
        <v>969.68055555555475</v>
      </c>
      <c r="G697" s="77">
        <f>Tableau1[[#This Row],[Diff jour_x000D_
Cumul]]-F$6</f>
        <v>931.59722222222626</v>
      </c>
      <c r="H697" s="77">
        <f>Tableau1[[#This Row],[Diff jour_x000D_
Cumul]]-F$59</f>
        <v>909.07777777777665</v>
      </c>
      <c r="I697" s="78">
        <v>4663</v>
      </c>
      <c r="J697" s="79">
        <f>IF(ISERROR(Tableau1[[#This Row],[Index HP
kWh]]-I696),"",Tableau1[[#This Row],[Index HP
kWh]]-I696)</f>
        <v>4</v>
      </c>
      <c r="K697" s="77">
        <f>IF(ISERROR(Tableau1[[#This Row],[Différence HP
Instantané]]/(Tableau1[[#This Row],[Diff jour
Instantané]]*24)),"",Tableau1[[#This Row],[Différence HP
Instantané]]/(Tableau1[[#This Row],[Diff jour
Instantané]]*24))</f>
        <v>0.16506189821140654</v>
      </c>
      <c r="L697" s="77">
        <f>Tableau1[[#This Row],[Différence HP
Instantané]]/Tableau1[[#This Row],[Diff jour
Instantané]]</f>
        <v>3.9614855570737566</v>
      </c>
      <c r="M697" s="77">
        <f>Tableau1[[#This Row],[Conso HP / jour
Instantané]]*365</f>
        <v>1445.9422283319211</v>
      </c>
      <c r="N697" s="79">
        <f>Tableau1[[#This Row],[Index HP
kWh]]-$I$5</f>
        <v>-175096</v>
      </c>
      <c r="O697" s="80">
        <f>Tableau1[[#This Row],[Différence HP
Cumul]]/(Tableau1[[#This Row],[Diff jour_x000D_
Cumul]]*24)</f>
        <v>-7.5237836057120822</v>
      </c>
      <c r="P697" s="80">
        <f>Tableau1[[#This Row],[Différence HP
Cumul]]/Tableau1[[#This Row],[Diff jour_x000D_
Cumul]]</f>
        <v>-180.57080653708996</v>
      </c>
      <c r="Q697" s="80">
        <f>Tableau1[[#This Row],[Conso HP / jour
Cumul]]*365</f>
        <v>-65908.344386037832</v>
      </c>
      <c r="R697" s="78">
        <v>2348</v>
      </c>
      <c r="S697" s="79">
        <f>Tableau1[[#This Row],[Index HC_x000D_
kWh]]-R696</f>
        <v>2</v>
      </c>
      <c r="T697" s="81">
        <f>Tableau1[[#This Row],[Différence_x000D_ HC
Instantané]]/(Tableau1[[#This Row],[Diff jour
Instantané]]*24)</f>
        <v>8.2530949105703272E-2</v>
      </c>
      <c r="U697" s="81">
        <f>Tableau1[[#This Row],[Différence_x000D_ HC
Instantané]]/Tableau1[[#This Row],[Diff jour
Instantané]]</f>
        <v>1.9807427785368783</v>
      </c>
      <c r="V697" s="81">
        <f>Tableau1[[#This Row],[Conso HC / jour_x000D_
Instantané]]*365</f>
        <v>722.97111416596056</v>
      </c>
      <c r="W697" s="79">
        <f>Tableau1[[#This Row],[Index HC_x000D_
kWh]]-$R$5</f>
        <v>-117084</v>
      </c>
      <c r="X697" s="82">
        <f>Tableau1[[#This Row],[Différence HC
Cumul]]/(Tableau1[[#This Row],[Diff jour_x000D_
Cumul]]*24)</f>
        <v>-5.0310382858043212</v>
      </c>
      <c r="Y697" s="82">
        <f>Tableau1[[#This Row],[Différence HC
Cumul]]/Tableau1[[#This Row],[Diff jour_x000D_
Cumul]]</f>
        <v>-120.74491885930371</v>
      </c>
      <c r="Z697" s="82">
        <f>Tableau1[[#This Row],[Conso HC / jour_x000D_
Cumul]]*365</f>
        <v>-44071.895383645853</v>
      </c>
      <c r="AA697" s="79">
        <f>Tableau1[[#This Row],[Différence HP
Instantané]]+Tableau1[[#This Row],[Différence_x000D_ HC
Instantané]]</f>
        <v>6</v>
      </c>
      <c r="AB697" s="80">
        <f>Tableau1[[#This Row],[Conso HP + HC
Instantané]]/(Tableau1[[#This Row],[Diff jour
Instantané]]*24)</f>
        <v>0.24759284731710979</v>
      </c>
      <c r="AC697" s="80">
        <f>IF(ISERROR(Tableau1[[#This Row],[Date]]-A696),"",Tableau1[[#This Row],[Conso HP + HC
Instantané]]/Tableau1[[#This Row],[Diff jour
Instantané]])</f>
        <v>5.9422283356106353</v>
      </c>
      <c r="AD697" s="80">
        <f>Tableau1[[#This Row],[Conso HP + HC / jour_x000D_
Instantané]]*365</f>
        <v>2168.9133424978818</v>
      </c>
      <c r="AE697" s="79">
        <f>Tableau1[[#This Row],[Différence HP
Cumul]]+Tableau1[[#This Row],[Différence HC
Cumul]]</f>
        <v>-292180</v>
      </c>
      <c r="AF697" s="77">
        <f>(Tableau1[[#This Row],[Conso HP + HC
Cumul]]-AE$6)/Tableau1[[#This Row],[Diff jour_x000D_
Cumul
depuis le 24/01]]</f>
        <v>-316.39317182258526</v>
      </c>
      <c r="AG697" s="77">
        <f>(Tableau1[[#This Row],[Conso HP + HC
Cumul]]-AE$59)/Tableau1[[#This Row],[Diff jour_x000D_
Cumul
depuis
précédente facture
16/02/2021]]</f>
        <v>-325.99740885146161</v>
      </c>
      <c r="AH697" s="80">
        <f>Tableau1[[#This Row],[Conso HP + HC
Cumul]]/(Tableau1[[#This Row],[Diff jour_x000D_
Cumul]]*24)</f>
        <v>-12.554821891516402</v>
      </c>
      <c r="AI697" s="80">
        <f>Tableau1[[#This Row],[Conso HP + HC
Cumul]]/Tableau1[[#This Row],[Diff jour_x000D_
Cumul]]</f>
        <v>-301.3157253963937</v>
      </c>
      <c r="AJ697" s="80">
        <f>Tableau1[[#This Row],[Conso HP + HC / jour_x000D_
Cumul]]*365</f>
        <v>-109980.2397696837</v>
      </c>
      <c r="AK697" s="83">
        <f>(Tableau1[[#This Row],[Différence HP
Cumul]]*0.1799)+(Tableau1[[#This Row],[Différence HC
Cumul]]*0.1346)</f>
        <v>-47259.2768</v>
      </c>
      <c r="AL697" s="83">
        <f>Tableau1[[#This Row],[Montant
Tarif HP/HC]]/Tableau1[[#This Row],[Diff jour_x000D_
Cumul]]</f>
        <v>-48.736954174484765</v>
      </c>
      <c r="AM697" s="83">
        <f>(Tableau1[[#This Row],[Montant
Tarif HP/HC]]-AK$6)/Tableau1[[#This Row],[Diff jour_x000D_
Cumul
depuis le 24/01]]</f>
        <v>-51.184891133805223</v>
      </c>
      <c r="AN697" s="83">
        <f>(Tableau1[[#This Row],[Montant
Tarif HP/HC]]-AK$59)/Tableau1[[#This Row],[Diff jour_x000D_
Cumul
depuis
précédente facture
16/02/2021]]</f>
        <v>-52.747126122932954</v>
      </c>
      <c r="AO697" s="83">
        <f>Tableau1[[#This Row],[Conso HP + HC
Cumul]]*0.1599</f>
        <v>-46719.581999999995</v>
      </c>
      <c r="AP697" s="83">
        <f>Tableau1[[#This Row],[Montant
Tarif normal]]/Tableau1[[#This Row],[Diff jour_x000D_
Cumul]]</f>
        <v>-48.180384490883341</v>
      </c>
      <c r="AQ697" s="83">
        <f>(Tableau1[[#This Row],[Conso HP / an
Cumul]]*0.1799)+(Tableau1[[#This Row],[Conso HC / an_x000D_
Cumul]]*0.1346)</f>
        <v>-17788.98827368694</v>
      </c>
      <c r="AR697" s="83">
        <f>Tableau1[[#This Row],[Conso HP + HC / an_x000D_
Cumul]]*0.1599</f>
        <v>-17585.84033917242</v>
      </c>
      <c r="AS697" s="79">
        <f>MONTH(Tableau1[[#This Row],[Date]])</f>
        <v>8</v>
      </c>
      <c r="AT697" s="79">
        <f>YEAR(Tableau1[[#This Row],[Date]])</f>
        <v>2023</v>
      </c>
    </row>
    <row r="698" spans="1:46" x14ac:dyDescent="0.2">
      <c r="A698" s="74">
        <v>45153.343055555553</v>
      </c>
      <c r="B698" s="75"/>
      <c r="C698" s="76">
        <f>IF(ISERROR(Tableau1[[#This Row],[Date]]-A697),"",Tableau1[[#This Row],[Date]]-A697)</f>
        <v>0.95416666666278616</v>
      </c>
      <c r="D698" s="77">
        <f>IF(ISERROR(Tableau1[[#This Row],[Date]]-A697),"",Tableau1[[#This Row],[Date]]-A697)</f>
        <v>0.95416666666278616</v>
      </c>
      <c r="E698" s="76">
        <f>Tableau1[[#This Row],[Date]]-$A$5</f>
        <v>970.63472222221753</v>
      </c>
      <c r="F698" s="77">
        <f>Tableau1[[#This Row],[Date]]-$A$5</f>
        <v>970.63472222221753</v>
      </c>
      <c r="G698" s="77">
        <f>Tableau1[[#This Row],[Diff jour_x000D_
Cumul]]-F$6</f>
        <v>932.55138888888905</v>
      </c>
      <c r="H698" s="77">
        <f>Tableau1[[#This Row],[Diff jour_x000D_
Cumul]]-F$59</f>
        <v>910.03194444443943</v>
      </c>
      <c r="I698" s="78">
        <v>4669</v>
      </c>
      <c r="J698" s="79">
        <f>IF(ISERROR(Tableau1[[#This Row],[Index HP
kWh]]-I697),"",Tableau1[[#This Row],[Index HP
kWh]]-I697)</f>
        <v>6</v>
      </c>
      <c r="K698" s="77">
        <f>IF(ISERROR(Tableau1[[#This Row],[Différence HP
Instantané]]/(Tableau1[[#This Row],[Diff jour
Instantané]]*24)),"",Tableau1[[#This Row],[Différence HP
Instantané]]/(Tableau1[[#This Row],[Diff jour
Instantané]]*24))</f>
        <v>0.26200873362551974</v>
      </c>
      <c r="L698" s="77">
        <f>Tableau1[[#This Row],[Différence HP
Instantané]]/Tableau1[[#This Row],[Diff jour
Instantané]]</f>
        <v>6.2882096070124733</v>
      </c>
      <c r="M698" s="77">
        <f>Tableau1[[#This Row],[Conso HP / jour
Instantané]]*365</f>
        <v>2295.1965065595527</v>
      </c>
      <c r="N698" s="79">
        <f>Tableau1[[#This Row],[Index HP
kWh]]-$I$5</f>
        <v>-175090</v>
      </c>
      <c r="O698" s="80">
        <f>Tableau1[[#This Row],[Différence HP
Cumul]]/(Tableau1[[#This Row],[Diff jour_x000D_
Cumul]]*24)</f>
        <v>-7.5161299092661666</v>
      </c>
      <c r="P698" s="80">
        <f>Tableau1[[#This Row],[Différence HP
Cumul]]/Tableau1[[#This Row],[Diff jour_x000D_
Cumul]]</f>
        <v>-180.38711782238801</v>
      </c>
      <c r="Q698" s="80">
        <f>Tableau1[[#This Row],[Conso HP / jour
Cumul]]*365</f>
        <v>-65841.298005171629</v>
      </c>
      <c r="R698" s="78">
        <v>2350</v>
      </c>
      <c r="S698" s="79">
        <f>Tableau1[[#This Row],[Index HC_x000D_
kWh]]-R697</f>
        <v>2</v>
      </c>
      <c r="T698" s="81">
        <f>Tableau1[[#This Row],[Différence_x000D_ HC
Instantané]]/(Tableau1[[#This Row],[Diff jour
Instantané]]*24)</f>
        <v>8.73362445418399E-2</v>
      </c>
      <c r="U698" s="81">
        <f>Tableau1[[#This Row],[Différence_x000D_ HC
Instantané]]/Tableau1[[#This Row],[Diff jour
Instantané]]</f>
        <v>2.0960698690041579</v>
      </c>
      <c r="V698" s="81">
        <f>Tableau1[[#This Row],[Conso HC / jour_x000D_
Instantané]]*365</f>
        <v>765.06550218651762</v>
      </c>
      <c r="W698" s="79">
        <f>Tableau1[[#This Row],[Index HC_x000D_
kWh]]-$R$5</f>
        <v>-117082</v>
      </c>
      <c r="X698" s="82">
        <f>Tableau1[[#This Row],[Différence HC
Cumul]]/(Tableau1[[#This Row],[Diff jour_x000D_
Cumul]]*24)</f>
        <v>-5.0260067510234814</v>
      </c>
      <c r="Y698" s="82">
        <f>Tableau1[[#This Row],[Différence HC
Cumul]]/Tableau1[[#This Row],[Diff jour_x000D_
Cumul]]</f>
        <v>-120.62416202456355</v>
      </c>
      <c r="Z698" s="82">
        <f>Tableau1[[#This Row],[Conso HC / jour_x000D_
Cumul]]*365</f>
        <v>-44027.819138965693</v>
      </c>
      <c r="AA698" s="79">
        <f>Tableau1[[#This Row],[Différence HP
Instantané]]+Tableau1[[#This Row],[Différence_x000D_ HC
Instantané]]</f>
        <v>8</v>
      </c>
      <c r="AB698" s="80">
        <f>Tableau1[[#This Row],[Conso HP + HC
Instantané]]/(Tableau1[[#This Row],[Diff jour
Instantané]]*24)</f>
        <v>0.3493449781673596</v>
      </c>
      <c r="AC698" s="80">
        <f>IF(ISERROR(Tableau1[[#This Row],[Date]]-A697),"",Tableau1[[#This Row],[Conso HP + HC
Instantané]]/Tableau1[[#This Row],[Diff jour
Instantané]])</f>
        <v>8.3842794760166317</v>
      </c>
      <c r="AD698" s="80">
        <f>Tableau1[[#This Row],[Conso HP + HC / jour_x000D_
Instantané]]*365</f>
        <v>3060.2620087460705</v>
      </c>
      <c r="AE698" s="79">
        <f>Tableau1[[#This Row],[Différence HP
Cumul]]+Tableau1[[#This Row],[Différence HC
Cumul]]</f>
        <v>-292172</v>
      </c>
      <c r="AF698" s="77">
        <f>(Tableau1[[#This Row],[Conso HP + HC
Cumul]]-AE$6)/Tableau1[[#This Row],[Diff jour_x000D_
Cumul
depuis le 24/01]]</f>
        <v>-316.06086646997403</v>
      </c>
      <c r="AG698" s="77">
        <f>(Tableau1[[#This Row],[Conso HP + HC
Cumul]]-AE$59)/Tableau1[[#This Row],[Diff jour_x000D_
Cumul
depuis
précédente facture
16/02/2021]]</f>
        <v>-325.64681032259426</v>
      </c>
      <c r="AH698" s="80">
        <f>Tableau1[[#This Row],[Conso HP + HC
Cumul]]/(Tableau1[[#This Row],[Diff jour_x000D_
Cumul]]*24)</f>
        <v>-12.542136660289648</v>
      </c>
      <c r="AI698" s="80">
        <f>Tableau1[[#This Row],[Conso HP + HC
Cumul]]/Tableau1[[#This Row],[Diff jour_x000D_
Cumul]]</f>
        <v>-301.01127984695154</v>
      </c>
      <c r="AJ698" s="80">
        <f>Tableau1[[#This Row],[Conso HP + HC / jour_x000D_
Cumul]]*365</f>
        <v>-109869.11714413732</v>
      </c>
      <c r="AK698" s="83">
        <f>(Tableau1[[#This Row],[Différence HP
Cumul]]*0.1799)+(Tableau1[[#This Row],[Différence HC
Cumul]]*0.1346)</f>
        <v>-47257.928200000002</v>
      </c>
      <c r="AL698" s="83">
        <f>Tableau1[[#This Row],[Montant
Tarif HP/HC]]/Tableau1[[#This Row],[Diff jour_x000D_
Cumul]]</f>
        <v>-48.687654704753854</v>
      </c>
      <c r="AM698" s="83">
        <f>(Tableau1[[#This Row],[Montant
Tarif HP/HC]]-AK$6)/Tableau1[[#This Row],[Diff jour_x000D_
Cumul
depuis le 24/01]]</f>
        <v>-51.131073706096025</v>
      </c>
      <c r="AN698" s="83">
        <f>(Tableau1[[#This Row],[Montant
Tarif HP/HC]]-AK$59)/Tableau1[[#This Row],[Diff jour_x000D_
Cumul
depuis
précédente facture
16/02/2021]]</f>
        <v>-52.690338941093628</v>
      </c>
      <c r="AO698" s="83">
        <f>Tableau1[[#This Row],[Conso HP + HC
Cumul]]*0.1599</f>
        <v>-46718.302799999998</v>
      </c>
      <c r="AP698" s="83">
        <f>Tableau1[[#This Row],[Montant
Tarif normal]]/Tableau1[[#This Row],[Diff jour_x000D_
Cumul]]</f>
        <v>-48.131703647527551</v>
      </c>
      <c r="AQ698" s="83">
        <f>(Tableau1[[#This Row],[Conso HP / an
Cumul]]*0.1799)+(Tableau1[[#This Row],[Conso HC / an_x000D_
Cumul]]*0.1346)</f>
        <v>-17770.993967235157</v>
      </c>
      <c r="AR698" s="83">
        <f>Tableau1[[#This Row],[Conso HP + HC / an_x000D_
Cumul]]*0.1599</f>
        <v>-17568.071831347555</v>
      </c>
      <c r="AS698" s="79">
        <f>MONTH(Tableau1[[#This Row],[Date]])</f>
        <v>8</v>
      </c>
      <c r="AT698" s="79">
        <f>YEAR(Tableau1[[#This Row],[Date]])</f>
        <v>2023</v>
      </c>
    </row>
    <row r="699" spans="1:46" x14ac:dyDescent="0.2">
      <c r="A699" s="74">
        <v>45154.322222222225</v>
      </c>
      <c r="B699" s="75"/>
      <c r="C699" s="76">
        <f>IF(ISERROR(Tableau1[[#This Row],[Date]]-A698),"",Tableau1[[#This Row],[Date]]-A698)</f>
        <v>0.97916666667151731</v>
      </c>
      <c r="D699" s="77">
        <f>IF(ISERROR(Tableau1[[#This Row],[Date]]-A698),"",Tableau1[[#This Row],[Date]]-A698)</f>
        <v>0.97916666667151731</v>
      </c>
      <c r="E699" s="76">
        <f>Tableau1[[#This Row],[Date]]-$A$5</f>
        <v>971.61388888888905</v>
      </c>
      <c r="F699" s="77">
        <f>Tableau1[[#This Row],[Date]]-$A$5</f>
        <v>971.61388888888905</v>
      </c>
      <c r="G699" s="77">
        <f>Tableau1[[#This Row],[Diff jour_x000D_
Cumul]]-F$6</f>
        <v>933.53055555556057</v>
      </c>
      <c r="H699" s="77">
        <f>Tableau1[[#This Row],[Diff jour_x000D_
Cumul]]-F$59</f>
        <v>911.01111111111095</v>
      </c>
      <c r="I699" s="78">
        <v>4672</v>
      </c>
      <c r="J699" s="79">
        <f>IF(ISERROR(Tableau1[[#This Row],[Index HP
kWh]]-I698),"",Tableau1[[#This Row],[Index HP
kWh]]-I698)</f>
        <v>3</v>
      </c>
      <c r="K699" s="77">
        <f>IF(ISERROR(Tableau1[[#This Row],[Différence HP
Instantané]]/(Tableau1[[#This Row],[Diff jour
Instantané]]*24)),"",Tableau1[[#This Row],[Différence HP
Instantané]]/(Tableau1[[#This Row],[Diff jour
Instantané]]*24))</f>
        <v>0.12765957446745271</v>
      </c>
      <c r="L699" s="77">
        <f>Tableau1[[#This Row],[Différence HP
Instantané]]/Tableau1[[#This Row],[Diff jour
Instantané]]</f>
        <v>3.0638297872188649</v>
      </c>
      <c r="M699" s="77">
        <f>Tableau1[[#This Row],[Conso HP / jour
Instantané]]*365</f>
        <v>1118.2978723348856</v>
      </c>
      <c r="N699" s="79">
        <f>Tableau1[[#This Row],[Index HP
kWh]]-$I$5</f>
        <v>-175087</v>
      </c>
      <c r="O699" s="80">
        <f>Tableau1[[#This Row],[Différence HP
Cumul]]/(Tableau1[[#This Row],[Diff jour_x000D_
Cumul]]*24)</f>
        <v>-7.5084267012787986</v>
      </c>
      <c r="P699" s="80">
        <f>Tableau1[[#This Row],[Différence HP
Cumul]]/Tableau1[[#This Row],[Diff jour_x000D_
Cumul]]</f>
        <v>-180.20224083069118</v>
      </c>
      <c r="Q699" s="80">
        <f>Tableau1[[#This Row],[Conso HP / jour
Cumul]]*365</f>
        <v>-65773.817903202274</v>
      </c>
      <c r="R699" s="78">
        <v>2353</v>
      </c>
      <c r="S699" s="79">
        <f>Tableau1[[#This Row],[Index HC_x000D_
kWh]]-R698</f>
        <v>3</v>
      </c>
      <c r="T699" s="81">
        <f>Tableau1[[#This Row],[Différence_x000D_ HC
Instantané]]/(Tableau1[[#This Row],[Diff jour
Instantané]]*24)</f>
        <v>0.12765957446745271</v>
      </c>
      <c r="U699" s="81">
        <f>Tableau1[[#This Row],[Différence_x000D_ HC
Instantané]]/Tableau1[[#This Row],[Diff jour
Instantané]]</f>
        <v>3.0638297872188649</v>
      </c>
      <c r="V699" s="81">
        <f>Tableau1[[#This Row],[Conso HC / jour_x000D_
Instantané]]*365</f>
        <v>1118.2978723348856</v>
      </c>
      <c r="W699" s="79">
        <f>Tableau1[[#This Row],[Index HC_x000D_
kWh]]-$R$5</f>
        <v>-117079</v>
      </c>
      <c r="X699" s="82">
        <f>Tableau1[[#This Row],[Différence HC
Cumul]]/(Tableau1[[#This Row],[Diff jour_x000D_
Cumul]]*24)</f>
        <v>-5.0208130230058226</v>
      </c>
      <c r="Y699" s="82">
        <f>Tableau1[[#This Row],[Différence HC
Cumul]]/Tableau1[[#This Row],[Diff jour_x000D_
Cumul]]</f>
        <v>-120.49951255213975</v>
      </c>
      <c r="Z699" s="82">
        <f>Tableau1[[#This Row],[Conso HC / jour_x000D_
Cumul]]*365</f>
        <v>-43982.322081531005</v>
      </c>
      <c r="AA699" s="79">
        <f>Tableau1[[#This Row],[Différence HP
Instantané]]+Tableau1[[#This Row],[Différence_x000D_ HC
Instantané]]</f>
        <v>6</v>
      </c>
      <c r="AB699" s="80">
        <f>Tableau1[[#This Row],[Conso HP + HC
Instantané]]/(Tableau1[[#This Row],[Diff jour
Instantané]]*24)</f>
        <v>0.25531914893490543</v>
      </c>
      <c r="AC699" s="80">
        <f>IF(ISERROR(Tableau1[[#This Row],[Date]]-A698),"",Tableau1[[#This Row],[Conso HP + HC
Instantané]]/Tableau1[[#This Row],[Diff jour
Instantané]])</f>
        <v>6.1276595744377298</v>
      </c>
      <c r="AD699" s="80">
        <f>Tableau1[[#This Row],[Conso HP + HC / jour_x000D_
Instantané]]*365</f>
        <v>2236.5957446697712</v>
      </c>
      <c r="AE699" s="79">
        <f>Tableau1[[#This Row],[Différence HP
Cumul]]+Tableau1[[#This Row],[Différence HC
Cumul]]</f>
        <v>-292166</v>
      </c>
      <c r="AF699" s="77">
        <f>(Tableau1[[#This Row],[Conso HP + HC
Cumul]]-AE$6)/Tableau1[[#This Row],[Diff jour_x000D_
Cumul
depuis le 24/01]]</f>
        <v>-315.72292759565516</v>
      </c>
      <c r="AG699" s="77">
        <f>(Tableau1[[#This Row],[Conso HP + HC
Cumul]]-AE$59)/Tableau1[[#This Row],[Diff jour_x000D_
Cumul
depuis
précédente facture
16/02/2021]]</f>
        <v>-325.29021477967098</v>
      </c>
      <c r="AH699" s="80">
        <f>Tableau1[[#This Row],[Conso HP + HC
Cumul]]/(Tableau1[[#This Row],[Diff jour_x000D_
Cumul]]*24)</f>
        <v>-12.529239724284622</v>
      </c>
      <c r="AI699" s="80">
        <f>Tableau1[[#This Row],[Conso HP + HC
Cumul]]/Tableau1[[#This Row],[Diff jour_x000D_
Cumul]]</f>
        <v>-300.70175338283093</v>
      </c>
      <c r="AJ699" s="80">
        <f>Tableau1[[#This Row],[Conso HP + HC / jour_x000D_
Cumul]]*365</f>
        <v>-109756.13998473329</v>
      </c>
      <c r="AK699" s="83">
        <f>(Tableau1[[#This Row],[Différence HP
Cumul]]*0.1799)+(Tableau1[[#This Row],[Différence HC
Cumul]]*0.1346)</f>
        <v>-47256.984700000001</v>
      </c>
      <c r="AL699" s="83">
        <f>Tableau1[[#This Row],[Montant
Tarif HP/HC]]/Tableau1[[#This Row],[Diff jour_x000D_
Cumul]]</f>
        <v>-48.637617514959352</v>
      </c>
      <c r="AM699" s="83">
        <f>(Tableau1[[#This Row],[Montant
Tarif HP/HC]]-AK$6)/Tableau1[[#This Row],[Diff jour_x000D_
Cumul
depuis le 24/01]]</f>
        <v>-51.076432384823171</v>
      </c>
      <c r="AN699" s="83">
        <f>(Tableau1[[#This Row],[Montant
Tarif HP/HC]]-AK$59)/Tableau1[[#This Row],[Diff jour_x000D_
Cumul
depuis
précédente facture
16/02/2021]]</f>
        <v>-52.632671012672134</v>
      </c>
      <c r="AO699" s="83">
        <f>Tableau1[[#This Row],[Conso HP + HC
Cumul]]*0.1599</f>
        <v>-46717.343399999998</v>
      </c>
      <c r="AP699" s="83">
        <f>Tableau1[[#This Row],[Montant
Tarif normal]]/Tableau1[[#This Row],[Diff jour_x000D_
Cumul]]</f>
        <v>-48.082210365914662</v>
      </c>
      <c r="AQ699" s="83">
        <f>(Tableau1[[#This Row],[Conso HP / an
Cumul]]*0.1799)+(Tableau1[[#This Row],[Conso HC / an_x000D_
Cumul]]*0.1346)</f>
        <v>-17752.730392960162</v>
      </c>
      <c r="AR699" s="83">
        <f>Tableau1[[#This Row],[Conso HP + HC / an_x000D_
Cumul]]*0.1599</f>
        <v>-17550.006783558852</v>
      </c>
      <c r="AS699" s="79">
        <f>MONTH(Tableau1[[#This Row],[Date]])</f>
        <v>8</v>
      </c>
      <c r="AT699" s="79">
        <f>YEAR(Tableau1[[#This Row],[Date]])</f>
        <v>2023</v>
      </c>
    </row>
    <row r="700" spans="1:46" x14ac:dyDescent="0.2">
      <c r="A700" s="74">
        <v>45155.322222222225</v>
      </c>
      <c r="B700" s="75"/>
      <c r="C700" s="76">
        <f>IF(ISERROR(Tableau1[[#This Row],[Date]]-A699),"",Tableau1[[#This Row],[Date]]-A699)</f>
        <v>1</v>
      </c>
      <c r="D700" s="77">
        <f>IF(ISERROR(Tableau1[[#This Row],[Date]]-A699),"",Tableau1[[#This Row],[Date]]-A699)</f>
        <v>1</v>
      </c>
      <c r="E700" s="76">
        <f>Tableau1[[#This Row],[Date]]-$A$5</f>
        <v>972.61388888888905</v>
      </c>
      <c r="F700" s="77">
        <f>Tableau1[[#This Row],[Date]]-$A$5</f>
        <v>972.61388888888905</v>
      </c>
      <c r="G700" s="77">
        <f>Tableau1[[#This Row],[Diff jour_x000D_
Cumul]]-F$6</f>
        <v>934.53055555556057</v>
      </c>
      <c r="H700" s="77">
        <f>Tableau1[[#This Row],[Diff jour_x000D_
Cumul]]-F$59</f>
        <v>912.01111111111095</v>
      </c>
      <c r="I700" s="78">
        <v>4681</v>
      </c>
      <c r="J700" s="79">
        <f>IF(ISERROR(Tableau1[[#This Row],[Index HP
kWh]]-I699),"",Tableau1[[#This Row],[Index HP
kWh]]-I699)</f>
        <v>9</v>
      </c>
      <c r="K700" s="77">
        <f>IF(ISERROR(Tableau1[[#This Row],[Différence HP
Instantané]]/(Tableau1[[#This Row],[Diff jour
Instantané]]*24)),"",Tableau1[[#This Row],[Différence HP
Instantané]]/(Tableau1[[#This Row],[Diff jour
Instantané]]*24))</f>
        <v>0.375</v>
      </c>
      <c r="L700" s="77">
        <f>Tableau1[[#This Row],[Différence HP
Instantané]]/Tableau1[[#This Row],[Diff jour
Instantané]]</f>
        <v>9</v>
      </c>
      <c r="M700" s="77">
        <f>Tableau1[[#This Row],[Conso HP / jour
Instantané]]*365</f>
        <v>3285</v>
      </c>
      <c r="N700" s="79">
        <f>Tableau1[[#This Row],[Index HP
kWh]]-$I$5</f>
        <v>-175078</v>
      </c>
      <c r="O700" s="80">
        <f>Tableau1[[#This Row],[Différence HP
Cumul]]/(Tableau1[[#This Row],[Diff jour_x000D_
Cumul]]*24)</f>
        <v>-7.500321299133776</v>
      </c>
      <c r="P700" s="80">
        <f>Tableau1[[#This Row],[Différence HP
Cumul]]/Tableau1[[#This Row],[Diff jour_x000D_
Cumul]]</f>
        <v>-180.00771117921065</v>
      </c>
      <c r="Q700" s="80">
        <f>Tableau1[[#This Row],[Conso HP / jour
Cumul]]*365</f>
        <v>-65702.814580411883</v>
      </c>
      <c r="R700" s="78">
        <v>2355</v>
      </c>
      <c r="S700" s="79">
        <f>Tableau1[[#This Row],[Index HC_x000D_
kWh]]-R699</f>
        <v>2</v>
      </c>
      <c r="T700" s="81">
        <f>Tableau1[[#This Row],[Différence_x000D_ HC
Instantané]]/(Tableau1[[#This Row],[Diff jour
Instantané]]*24)</f>
        <v>8.3333333333333329E-2</v>
      </c>
      <c r="U700" s="81">
        <f>Tableau1[[#This Row],[Différence_x000D_ HC
Instantané]]/Tableau1[[#This Row],[Diff jour
Instantané]]</f>
        <v>2</v>
      </c>
      <c r="V700" s="81">
        <f>Tableau1[[#This Row],[Conso HC / jour_x000D_
Instantané]]*365</f>
        <v>730</v>
      </c>
      <c r="W700" s="79">
        <f>Tableau1[[#This Row],[Index HC_x000D_
kWh]]-$R$5</f>
        <v>-117077</v>
      </c>
      <c r="X700" s="82">
        <f>Tableau1[[#This Row],[Différence HC
Cumul]]/(Tableau1[[#This Row],[Diff jour_x000D_
Cumul]]*24)</f>
        <v>-5.015565158036333</v>
      </c>
      <c r="Y700" s="82">
        <f>Tableau1[[#This Row],[Différence HC
Cumul]]/Tableau1[[#This Row],[Diff jour_x000D_
Cumul]]</f>
        <v>-120.37356379287199</v>
      </c>
      <c r="Z700" s="82">
        <f>Tableau1[[#This Row],[Conso HC / jour_x000D_
Cumul]]*365</f>
        <v>-43936.350784398273</v>
      </c>
      <c r="AA700" s="79">
        <f>Tableau1[[#This Row],[Différence HP
Instantané]]+Tableau1[[#This Row],[Différence_x000D_ HC
Instantané]]</f>
        <v>11</v>
      </c>
      <c r="AB700" s="80">
        <f>Tableau1[[#This Row],[Conso HP + HC
Instantané]]/(Tableau1[[#This Row],[Diff jour
Instantané]]*24)</f>
        <v>0.45833333333333331</v>
      </c>
      <c r="AC700" s="80">
        <f>IF(ISERROR(Tableau1[[#This Row],[Date]]-A699),"",Tableau1[[#This Row],[Conso HP + HC
Instantané]]/Tableau1[[#This Row],[Diff jour
Instantané]])</f>
        <v>11</v>
      </c>
      <c r="AD700" s="80">
        <f>Tableau1[[#This Row],[Conso HP + HC / jour_x000D_
Instantané]]*365</f>
        <v>4015</v>
      </c>
      <c r="AE700" s="79">
        <f>Tableau1[[#This Row],[Différence HP
Cumul]]+Tableau1[[#This Row],[Différence HC
Cumul]]</f>
        <v>-292155</v>
      </c>
      <c r="AF700" s="77">
        <f>(Tableau1[[#This Row],[Conso HP + HC
Cumul]]-AE$6)/Tableau1[[#This Row],[Diff jour_x000D_
Cumul
depuis le 24/01]]</f>
        <v>-315.3733157764874</v>
      </c>
      <c r="AG700" s="77">
        <f>(Tableau1[[#This Row],[Conso HP + HC
Cumul]]-AE$59)/Tableau1[[#This Row],[Diff jour_x000D_
Cumul
depuis
précédente facture
16/02/2021]]</f>
        <v>-324.92148000146204</v>
      </c>
      <c r="AH700" s="80">
        <f>Tableau1[[#This Row],[Conso HP + HC
Cumul]]/(Tableau1[[#This Row],[Diff jour_x000D_
Cumul]]*24)</f>
        <v>-12.51588645717011</v>
      </c>
      <c r="AI700" s="80">
        <f>Tableau1[[#This Row],[Conso HP + HC
Cumul]]/Tableau1[[#This Row],[Diff jour_x000D_
Cumul]]</f>
        <v>-300.38127497208262</v>
      </c>
      <c r="AJ700" s="80">
        <f>Tableau1[[#This Row],[Conso HP + HC / jour_x000D_
Cumul]]*365</f>
        <v>-109639.16536481016</v>
      </c>
      <c r="AK700" s="83">
        <f>(Tableau1[[#This Row],[Différence HP
Cumul]]*0.1799)+(Tableau1[[#This Row],[Différence HC
Cumul]]*0.1346)</f>
        <v>-47255.096400000002</v>
      </c>
      <c r="AL700" s="83">
        <f>Tableau1[[#This Row],[Montant
Tarif HP/HC]]/Tableau1[[#This Row],[Diff jour_x000D_
Cumul]]</f>
        <v>-48.585668927660564</v>
      </c>
      <c r="AM700" s="83">
        <f>(Tableau1[[#This Row],[Montant
Tarif HP/HC]]-AK$6)/Tableau1[[#This Row],[Diff jour_x000D_
Cumul
depuis le 24/01]]</f>
        <v>-51.019757156742124</v>
      </c>
      <c r="AN700" s="83">
        <f>(Tableau1[[#This Row],[Montant
Tarif HP/HC]]-AK$59)/Tableau1[[#This Row],[Diff jour_x000D_
Cumul
depuis
précédente facture
16/02/2021]]</f>
        <v>-52.572889974537361</v>
      </c>
      <c r="AO700" s="83">
        <f>Tableau1[[#This Row],[Conso HP + HC
Cumul]]*0.1599</f>
        <v>-46715.584499999997</v>
      </c>
      <c r="AP700" s="83">
        <f>Tableau1[[#This Row],[Montant
Tarif normal]]/Tableau1[[#This Row],[Diff jour_x000D_
Cumul]]</f>
        <v>-48.030965868036006</v>
      </c>
      <c r="AQ700" s="83">
        <f>(Tableau1[[#This Row],[Conso HP / an
Cumul]]*0.1799)+(Tableau1[[#This Row],[Conso HC / an_x000D_
Cumul]]*0.1346)</f>
        <v>-17733.769158596104</v>
      </c>
      <c r="AR700" s="83">
        <f>Tableau1[[#This Row],[Conso HP + HC / an_x000D_
Cumul]]*0.1599</f>
        <v>-17531.302541833145</v>
      </c>
      <c r="AS700" s="79">
        <f>MONTH(Tableau1[[#This Row],[Date]])</f>
        <v>8</v>
      </c>
      <c r="AT700" s="79">
        <f>YEAR(Tableau1[[#This Row],[Date]])</f>
        <v>2023</v>
      </c>
    </row>
    <row r="701" spans="1:46" x14ac:dyDescent="0.2">
      <c r="A701" s="74">
        <v>45156.351388888892</v>
      </c>
      <c r="B701" s="75"/>
      <c r="C701" s="76">
        <f>IF(ISERROR(Tableau1[[#This Row],[Date]]-A700),"",Tableau1[[#This Row],[Date]]-A700)</f>
        <v>1.0291666666671517</v>
      </c>
      <c r="D701" s="77">
        <f>IF(ISERROR(Tableau1[[#This Row],[Date]]-A700),"",Tableau1[[#This Row],[Date]]-A700)</f>
        <v>1.0291666666671517</v>
      </c>
      <c r="E701" s="76">
        <f>Tableau1[[#This Row],[Date]]-$A$5</f>
        <v>973.6430555555562</v>
      </c>
      <c r="F701" s="77">
        <f>Tableau1[[#This Row],[Date]]-$A$5</f>
        <v>973.6430555555562</v>
      </c>
      <c r="G701" s="77">
        <f>Tableau1[[#This Row],[Diff jour_x000D_
Cumul]]-F$6</f>
        <v>935.55972222222772</v>
      </c>
      <c r="H701" s="77">
        <f>Tableau1[[#This Row],[Diff jour_x000D_
Cumul]]-F$59</f>
        <v>913.0402777777781</v>
      </c>
      <c r="I701" s="78">
        <v>4685</v>
      </c>
      <c r="J701" s="79">
        <f>IF(ISERROR(Tableau1[[#This Row],[Index HP
kWh]]-I700),"",Tableau1[[#This Row],[Index HP
kWh]]-I700)</f>
        <v>4</v>
      </c>
      <c r="K701" s="77">
        <f>IF(ISERROR(Tableau1[[#This Row],[Différence HP
Instantané]]/(Tableau1[[#This Row],[Diff jour
Instantané]]*24)),"",Tableau1[[#This Row],[Différence HP
Instantané]]/(Tableau1[[#This Row],[Diff jour
Instantané]]*24))</f>
        <v>0.16194331983798035</v>
      </c>
      <c r="L701" s="77">
        <f>Tableau1[[#This Row],[Différence HP
Instantané]]/Tableau1[[#This Row],[Diff jour
Instantané]]</f>
        <v>3.8866396761115283</v>
      </c>
      <c r="M701" s="77">
        <f>Tableau1[[#This Row],[Conso HP / jour
Instantané]]*365</f>
        <v>1418.6234817807078</v>
      </c>
      <c r="N701" s="79">
        <f>Tableau1[[#This Row],[Index HP
kWh]]-$I$5</f>
        <v>-175074</v>
      </c>
      <c r="O701" s="80">
        <f>Tableau1[[#This Row],[Différence HP
Cumul]]/(Tableau1[[#This Row],[Diff jour_x000D_
Cumul]]*24)</f>
        <v>-7.4922220811585305</v>
      </c>
      <c r="P701" s="80">
        <f>Tableau1[[#This Row],[Différence HP
Cumul]]/Tableau1[[#This Row],[Diff jour_x000D_
Cumul]]</f>
        <v>-179.81332994780473</v>
      </c>
      <c r="Q701" s="80">
        <f>Tableau1[[#This Row],[Conso HP / jour
Cumul]]*365</f>
        <v>-65631.865430948732</v>
      </c>
      <c r="R701" s="78">
        <v>2357</v>
      </c>
      <c r="S701" s="79">
        <f>Tableau1[[#This Row],[Index HC_x000D_
kWh]]-R700</f>
        <v>2</v>
      </c>
      <c r="T701" s="81">
        <f>Tableau1[[#This Row],[Différence_x000D_ HC
Instantané]]/(Tableau1[[#This Row],[Diff jour
Instantané]]*24)</f>
        <v>8.0971659918990177E-2</v>
      </c>
      <c r="U701" s="81">
        <f>Tableau1[[#This Row],[Différence_x000D_ HC
Instantané]]/Tableau1[[#This Row],[Diff jour
Instantané]]</f>
        <v>1.9433198380557641</v>
      </c>
      <c r="V701" s="81">
        <f>Tableau1[[#This Row],[Conso HC / jour_x000D_
Instantané]]*365</f>
        <v>709.31174089035392</v>
      </c>
      <c r="W701" s="79">
        <f>Tableau1[[#This Row],[Index HC_x000D_
kWh]]-$R$5</f>
        <v>-117075</v>
      </c>
      <c r="X701" s="82">
        <f>Tableau1[[#This Row],[Différence HC
Cumul]]/(Tableau1[[#This Row],[Diff jour_x000D_
Cumul]]*24)</f>
        <v>-5.0101779827480666</v>
      </c>
      <c r="Y701" s="82">
        <f>Tableau1[[#This Row],[Différence HC
Cumul]]/Tableau1[[#This Row],[Diff jour_x000D_
Cumul]]</f>
        <v>-120.24427158595358</v>
      </c>
      <c r="Z701" s="82">
        <f>Tableau1[[#This Row],[Conso HC / jour_x000D_
Cumul]]*365</f>
        <v>-43889.159128873056</v>
      </c>
      <c r="AA701" s="79">
        <f>Tableau1[[#This Row],[Différence HP
Instantané]]+Tableau1[[#This Row],[Différence_x000D_ HC
Instantané]]</f>
        <v>6</v>
      </c>
      <c r="AB701" s="80">
        <f>Tableau1[[#This Row],[Conso HP + HC
Instantané]]/(Tableau1[[#This Row],[Diff jour
Instantané]]*24)</f>
        <v>0.24291497975697052</v>
      </c>
      <c r="AC701" s="80">
        <f>IF(ISERROR(Tableau1[[#This Row],[Date]]-A700),"",Tableau1[[#This Row],[Conso HP + HC
Instantané]]/Tableau1[[#This Row],[Diff jour
Instantané]])</f>
        <v>5.8299595141672924</v>
      </c>
      <c r="AD701" s="80">
        <f>Tableau1[[#This Row],[Conso HP + HC / jour_x000D_
Instantané]]*365</f>
        <v>2127.9352226710616</v>
      </c>
      <c r="AE701" s="79">
        <f>Tableau1[[#This Row],[Différence HP
Cumul]]+Tableau1[[#This Row],[Différence HC
Cumul]]</f>
        <v>-292149</v>
      </c>
      <c r="AF701" s="77">
        <f>(Tableau1[[#This Row],[Conso HP + HC
Cumul]]-AE$6)/Tableau1[[#This Row],[Diff jour_x000D_
Cumul
depuis le 24/01]]</f>
        <v>-315.01997467350765</v>
      </c>
      <c r="AG701" s="77">
        <f>(Tableau1[[#This Row],[Conso HP + HC
Cumul]]-AE$59)/Tableau1[[#This Row],[Diff jour_x000D_
Cumul
depuis
précédente facture
16/02/2021]]</f>
        <v>-324.54866144702743</v>
      </c>
      <c r="AH701" s="80">
        <f>Tableau1[[#This Row],[Conso HP + HC
Cumul]]/(Tableau1[[#This Row],[Diff jour_x000D_
Cumul]]*24)</f>
        <v>-12.502400063906597</v>
      </c>
      <c r="AI701" s="80">
        <f>Tableau1[[#This Row],[Conso HP + HC
Cumul]]/Tableau1[[#This Row],[Diff jour_x000D_
Cumul]]</f>
        <v>-300.05760153375832</v>
      </c>
      <c r="AJ701" s="80">
        <f>Tableau1[[#This Row],[Conso HP + HC / jour_x000D_
Cumul]]*365</f>
        <v>-109521.02455982179</v>
      </c>
      <c r="AK701" s="83">
        <f>(Tableau1[[#This Row],[Différence HP
Cumul]]*0.1799)+(Tableau1[[#This Row],[Différence HC
Cumul]]*0.1346)</f>
        <v>-47254.107600000003</v>
      </c>
      <c r="AL701" s="83">
        <f>Tableau1[[#This Row],[Montant
Tarif HP/HC]]/Tableau1[[#This Row],[Diff jour_x000D_
Cumul]]</f>
        <v>-48.533297013079427</v>
      </c>
      <c r="AM701" s="83">
        <f>(Tableau1[[#This Row],[Montant
Tarif HP/HC]]-AK$6)/Tableau1[[#This Row],[Diff jour_x000D_
Cumul
depuis le 24/01]]</f>
        <v>-50.962575736746722</v>
      </c>
      <c r="AN701" s="83">
        <f>(Tableau1[[#This Row],[Montant
Tarif HP/HC]]-AK$59)/Tableau1[[#This Row],[Diff jour_x000D_
Cumul
depuis
précédente facture
16/02/2021]]</f>
        <v>-52.512547547951044</v>
      </c>
      <c r="AO701" s="83">
        <f>Tableau1[[#This Row],[Conso HP + HC
Cumul]]*0.1599</f>
        <v>-46714.625099999997</v>
      </c>
      <c r="AP701" s="83">
        <f>Tableau1[[#This Row],[Montant
Tarif normal]]/Tableau1[[#This Row],[Diff jour_x000D_
Cumul]]</f>
        <v>-47.979210485247954</v>
      </c>
      <c r="AQ701" s="83">
        <f>(Tableau1[[#This Row],[Conso HP / an
Cumul]]*0.1799)+(Tableau1[[#This Row],[Conso HC / an_x000D_
Cumul]]*0.1346)</f>
        <v>-17714.65340977399</v>
      </c>
      <c r="AR701" s="83">
        <f>Tableau1[[#This Row],[Conso HP + HC / an_x000D_
Cumul]]*0.1599</f>
        <v>-17512.411827115502</v>
      </c>
      <c r="AS701" s="79">
        <f>MONTH(Tableau1[[#This Row],[Date]])</f>
        <v>8</v>
      </c>
      <c r="AT701" s="79">
        <f>YEAR(Tableau1[[#This Row],[Date]])</f>
        <v>2023</v>
      </c>
    </row>
    <row r="702" spans="1:46" x14ac:dyDescent="0.2">
      <c r="A702" s="74">
        <v>45157.393055555556</v>
      </c>
      <c r="B702" s="75"/>
      <c r="C702" s="76">
        <f>IF(ISERROR(Tableau1[[#This Row],[Date]]-A701),"",Tableau1[[#This Row],[Date]]-A701)</f>
        <v>1.0416666666642413</v>
      </c>
      <c r="D702" s="77">
        <f>IF(ISERROR(Tableau1[[#This Row],[Date]]-A701),"",Tableau1[[#This Row],[Date]]-A701)</f>
        <v>1.0416666666642413</v>
      </c>
      <c r="E702" s="76">
        <f>Tableau1[[#This Row],[Date]]-$A$5</f>
        <v>974.68472222222044</v>
      </c>
      <c r="F702" s="77">
        <f>Tableau1[[#This Row],[Date]]-$A$5</f>
        <v>974.68472222222044</v>
      </c>
      <c r="G702" s="77">
        <f>Tableau1[[#This Row],[Diff jour_x000D_
Cumul]]-F$6</f>
        <v>936.60138888889196</v>
      </c>
      <c r="H702" s="77">
        <f>Tableau1[[#This Row],[Diff jour_x000D_
Cumul]]-F$59</f>
        <v>914.08194444444234</v>
      </c>
      <c r="I702" s="78">
        <v>4691</v>
      </c>
      <c r="J702" s="79">
        <f>IF(ISERROR(Tableau1[[#This Row],[Index HP
kWh]]-I701),"",Tableau1[[#This Row],[Index HP
kWh]]-I701)</f>
        <v>6</v>
      </c>
      <c r="K702" s="77">
        <f>IF(ISERROR(Tableau1[[#This Row],[Différence HP
Instantané]]/(Tableau1[[#This Row],[Diff jour
Instantané]]*24)),"",Tableau1[[#This Row],[Différence HP
Instantané]]/(Tableau1[[#This Row],[Diff jour
Instantané]]*24))</f>
        <v>0.24000000000055879</v>
      </c>
      <c r="L702" s="77">
        <f>Tableau1[[#This Row],[Différence HP
Instantané]]/Tableau1[[#This Row],[Diff jour
Instantané]]</f>
        <v>5.7600000000134113</v>
      </c>
      <c r="M702" s="77">
        <f>Tableau1[[#This Row],[Conso HP / jour
Instantané]]*365</f>
        <v>2102.400000004895</v>
      </c>
      <c r="N702" s="79">
        <f>Tableau1[[#This Row],[Index HP
kWh]]-$I$5</f>
        <v>-175068</v>
      </c>
      <c r="O702" s="80">
        <f>Tableau1[[#This Row],[Différence HP
Cumul]]/(Tableau1[[#This Row],[Diff jour_x000D_
Cumul]]*24)</f>
        <v>-7.4839584880011198</v>
      </c>
      <c r="P702" s="80">
        <f>Tableau1[[#This Row],[Différence HP
Cumul]]/Tableau1[[#This Row],[Diff jour_x000D_
Cumul]]</f>
        <v>-179.61500371202686</v>
      </c>
      <c r="Q702" s="80">
        <f>Tableau1[[#This Row],[Conso HP / jour
Cumul]]*365</f>
        <v>-65559.476354889804</v>
      </c>
      <c r="R702" s="78">
        <v>2360</v>
      </c>
      <c r="S702" s="79">
        <f>Tableau1[[#This Row],[Index HC_x000D_
kWh]]-R701</f>
        <v>3</v>
      </c>
      <c r="T702" s="81">
        <f>Tableau1[[#This Row],[Différence_x000D_ HC
Instantané]]/(Tableau1[[#This Row],[Diff jour
Instantané]]*24)</f>
        <v>0.1200000000002794</v>
      </c>
      <c r="U702" s="81">
        <f>Tableau1[[#This Row],[Différence_x000D_ HC
Instantané]]/Tableau1[[#This Row],[Diff jour
Instantané]]</f>
        <v>2.8800000000067056</v>
      </c>
      <c r="V702" s="81">
        <f>Tableau1[[#This Row],[Conso HC / jour_x000D_
Instantané]]*365</f>
        <v>1051.2000000024475</v>
      </c>
      <c r="W702" s="79">
        <f>Tableau1[[#This Row],[Index HC_x000D_
kWh]]-$R$5</f>
        <v>-117072</v>
      </c>
      <c r="X702" s="82">
        <f>Tableau1[[#This Row],[Différence HC
Cumul]]/(Tableau1[[#This Row],[Diff jour_x000D_
Cumul]]*24)</f>
        <v>-5.0046952504584903</v>
      </c>
      <c r="Y702" s="82">
        <f>Tableau1[[#This Row],[Différence HC
Cumul]]/Tableau1[[#This Row],[Diff jour_x000D_
Cumul]]</f>
        <v>-120.11268601100377</v>
      </c>
      <c r="Z702" s="82">
        <f>Tableau1[[#This Row],[Conso HC / jour_x000D_
Cumul]]*365</f>
        <v>-43841.130394016378</v>
      </c>
      <c r="AA702" s="79">
        <f>Tableau1[[#This Row],[Différence HP
Instantané]]+Tableau1[[#This Row],[Différence_x000D_ HC
Instantané]]</f>
        <v>9</v>
      </c>
      <c r="AB702" s="80">
        <f>Tableau1[[#This Row],[Conso HP + HC
Instantané]]/(Tableau1[[#This Row],[Diff jour
Instantané]]*24)</f>
        <v>0.36000000000083821</v>
      </c>
      <c r="AC702" s="80">
        <f>IF(ISERROR(Tableau1[[#This Row],[Date]]-A701),"",Tableau1[[#This Row],[Conso HP + HC
Instantané]]/Tableau1[[#This Row],[Diff jour
Instantané]])</f>
        <v>8.640000000020116</v>
      </c>
      <c r="AD702" s="80">
        <f>Tableau1[[#This Row],[Conso HP + HC / jour_x000D_
Instantané]]*365</f>
        <v>3153.6000000073423</v>
      </c>
      <c r="AE702" s="79">
        <f>Tableau1[[#This Row],[Différence HP
Cumul]]+Tableau1[[#This Row],[Différence HC
Cumul]]</f>
        <v>-292140</v>
      </c>
      <c r="AF702" s="77">
        <f>(Tableau1[[#This Row],[Conso HP + HC
Cumul]]-AE$6)/Tableau1[[#This Row],[Diff jour_x000D_
Cumul
depuis le 24/01]]</f>
        <v>-314.66000744417136</v>
      </c>
      <c r="AG702" s="77">
        <f>(Tableau1[[#This Row],[Conso HP + HC
Cumul]]-AE$59)/Tableau1[[#This Row],[Diff jour_x000D_
Cumul
depuis
précédente facture
16/02/2021]]</f>
        <v>-324.16896734580462</v>
      </c>
      <c r="AH702" s="80">
        <f>Tableau1[[#This Row],[Conso HP + HC
Cumul]]/(Tableau1[[#This Row],[Diff jour_x000D_
Cumul]]*24)</f>
        <v>-12.488653738459611</v>
      </c>
      <c r="AI702" s="80">
        <f>Tableau1[[#This Row],[Conso HP + HC
Cumul]]/Tableau1[[#This Row],[Diff jour_x000D_
Cumul]]</f>
        <v>-299.72768972303066</v>
      </c>
      <c r="AJ702" s="80">
        <f>Tableau1[[#This Row],[Conso HP + HC / jour_x000D_
Cumul]]*365</f>
        <v>-109400.6067489062</v>
      </c>
      <c r="AK702" s="83">
        <f>(Tableau1[[#This Row],[Différence HP
Cumul]]*0.1799)+(Tableau1[[#This Row],[Différence HC
Cumul]]*0.1346)</f>
        <v>-47252.624400000001</v>
      </c>
      <c r="AL702" s="83">
        <f>Tableau1[[#This Row],[Montant
Tarif HP/HC]]/Tableau1[[#This Row],[Diff jour_x000D_
Cumul]]</f>
        <v>-48.479906704874743</v>
      </c>
      <c r="AM702" s="83">
        <f>(Tableau1[[#This Row],[Montant
Tarif HP/HC]]-AK$6)/Tableau1[[#This Row],[Diff jour_x000D_
Cumul
depuis le 24/01]]</f>
        <v>-50.904312726420571</v>
      </c>
      <c r="AN702" s="83">
        <f>(Tableau1[[#This Row],[Montant
Tarif HP/HC]]-AK$59)/Tableau1[[#This Row],[Diff jour_x000D_
Cumul
depuis
précédente facture
16/02/2021]]</f>
        <v>-52.451082850279469</v>
      </c>
      <c r="AO702" s="83">
        <f>Tableau1[[#This Row],[Conso HP + HC
Cumul]]*0.1599</f>
        <v>-46713.185999999994</v>
      </c>
      <c r="AP702" s="83">
        <f>Tableau1[[#This Row],[Montant
Tarif normal]]/Tableau1[[#This Row],[Diff jour_x000D_
Cumul]]</f>
        <v>-47.926457586712594</v>
      </c>
      <c r="AQ702" s="83">
        <f>(Tableau1[[#This Row],[Conso HP / an
Cumul]]*0.1799)+(Tableau1[[#This Row],[Conso HC / an_x000D_
Cumul]]*0.1346)</f>
        <v>-17695.165947279282</v>
      </c>
      <c r="AR702" s="83">
        <f>Tableau1[[#This Row],[Conso HP + HC / an_x000D_
Cumul]]*0.1599</f>
        <v>-17493.157019150098</v>
      </c>
      <c r="AS702" s="79">
        <f>MONTH(Tableau1[[#This Row],[Date]])</f>
        <v>8</v>
      </c>
      <c r="AT702" s="79">
        <f>YEAR(Tableau1[[#This Row],[Date]])</f>
        <v>2023</v>
      </c>
    </row>
    <row r="703" spans="1:46" x14ac:dyDescent="0.2">
      <c r="A703" s="74">
        <v>45158.372916666667</v>
      </c>
      <c r="B703" s="75"/>
      <c r="C703" s="76">
        <f>IF(ISERROR(Tableau1[[#This Row],[Date]]-A702),"",Tableau1[[#This Row],[Date]]-A702)</f>
        <v>0.97986111111094942</v>
      </c>
      <c r="D703" s="77">
        <f>IF(ISERROR(Tableau1[[#This Row],[Date]]-A702),"",Tableau1[[#This Row],[Date]]-A702)</f>
        <v>0.97986111111094942</v>
      </c>
      <c r="E703" s="76">
        <f>Tableau1[[#This Row],[Date]]-$A$5</f>
        <v>975.66458333333139</v>
      </c>
      <c r="F703" s="77">
        <f>Tableau1[[#This Row],[Date]]-$A$5</f>
        <v>975.66458333333139</v>
      </c>
      <c r="G703" s="77">
        <f>Tableau1[[#This Row],[Diff jour_x000D_
Cumul]]-F$6</f>
        <v>937.58125000000291</v>
      </c>
      <c r="H703" s="77">
        <f>Tableau1[[#This Row],[Diff jour_x000D_
Cumul]]-F$59</f>
        <v>915.06180555555329</v>
      </c>
      <c r="I703" s="78">
        <v>4698</v>
      </c>
      <c r="J703" s="79">
        <f>IF(ISERROR(Tableau1[[#This Row],[Index HP
kWh]]-I702),"",Tableau1[[#This Row],[Index HP
kWh]]-I702)</f>
        <v>7</v>
      </c>
      <c r="K703" s="77">
        <f>IF(ISERROR(Tableau1[[#This Row],[Différence HP
Instantané]]/(Tableau1[[#This Row],[Diff jour
Instantané]]*24)),"",Tableau1[[#This Row],[Différence HP
Instantané]]/(Tableau1[[#This Row],[Diff jour
Instantané]]*24))</f>
        <v>0.29766123316801507</v>
      </c>
      <c r="L703" s="77">
        <f>Tableau1[[#This Row],[Différence HP
Instantané]]/Tableau1[[#This Row],[Diff jour
Instantané]]</f>
        <v>7.1438695960323626</v>
      </c>
      <c r="M703" s="77">
        <f>Tableau1[[#This Row],[Conso HP / jour
Instantané]]*365</f>
        <v>2607.5124025518126</v>
      </c>
      <c r="N703" s="79">
        <f>Tableau1[[#This Row],[Index HP
kWh]]-$I$5</f>
        <v>-175061</v>
      </c>
      <c r="O703" s="80">
        <f>Tableau1[[#This Row],[Différence HP
Cumul]]/(Tableau1[[#This Row],[Diff jour_x000D_
Cumul]]*24)</f>
        <v>-7.4761433979830132</v>
      </c>
      <c r="P703" s="80">
        <f>Tableau1[[#This Row],[Différence HP
Cumul]]/Tableau1[[#This Row],[Diff jour_x000D_
Cumul]]</f>
        <v>-179.42744155159232</v>
      </c>
      <c r="Q703" s="80">
        <f>Tableau1[[#This Row],[Conso HP / jour
Cumul]]*365</f>
        <v>-65491.016166331196</v>
      </c>
      <c r="R703" s="78">
        <v>2362</v>
      </c>
      <c r="S703" s="79">
        <f>Tableau1[[#This Row],[Index HC_x000D_
kWh]]-R702</f>
        <v>2</v>
      </c>
      <c r="T703" s="81">
        <f>Tableau1[[#This Row],[Différence_x000D_ HC
Instantané]]/(Tableau1[[#This Row],[Diff jour
Instantané]]*24)</f>
        <v>8.5046066619432883E-2</v>
      </c>
      <c r="U703" s="81">
        <f>Tableau1[[#This Row],[Différence_x000D_ HC
Instantané]]/Tableau1[[#This Row],[Diff jour
Instantané]]</f>
        <v>2.0411055988663893</v>
      </c>
      <c r="V703" s="81">
        <f>Tableau1[[#This Row],[Conso HC / jour_x000D_
Instantané]]*365</f>
        <v>745.00354358623213</v>
      </c>
      <c r="W703" s="79">
        <f>Tableau1[[#This Row],[Index HC_x000D_
kWh]]-$R$5</f>
        <v>-117070</v>
      </c>
      <c r="X703" s="82">
        <f>Tableau1[[#This Row],[Différence HC
Cumul]]/(Tableau1[[#This Row],[Diff jour_x000D_
Cumul]]*24)</f>
        <v>-4.9995836171498587</v>
      </c>
      <c r="Y703" s="82">
        <f>Tableau1[[#This Row],[Différence HC
Cumul]]/Tableau1[[#This Row],[Diff jour_x000D_
Cumul]]</f>
        <v>-119.9900068115966</v>
      </c>
      <c r="Z703" s="82">
        <f>Tableau1[[#This Row],[Conso HC / jour_x000D_
Cumul]]*365</f>
        <v>-43796.352486232761</v>
      </c>
      <c r="AA703" s="79">
        <f>Tableau1[[#This Row],[Différence HP
Instantané]]+Tableau1[[#This Row],[Différence_x000D_ HC
Instantané]]</f>
        <v>9</v>
      </c>
      <c r="AB703" s="80">
        <f>Tableau1[[#This Row],[Conso HP + HC
Instantané]]/(Tableau1[[#This Row],[Diff jour
Instantané]]*24)</f>
        <v>0.382707299787448</v>
      </c>
      <c r="AC703" s="80">
        <f>IF(ISERROR(Tableau1[[#This Row],[Date]]-A702),"",Tableau1[[#This Row],[Conso HP + HC
Instantané]]/Tableau1[[#This Row],[Diff jour
Instantané]])</f>
        <v>9.184975194898751</v>
      </c>
      <c r="AD703" s="80">
        <f>Tableau1[[#This Row],[Conso HP + HC / jour_x000D_
Instantané]]*365</f>
        <v>3352.515946138044</v>
      </c>
      <c r="AE703" s="79">
        <f>Tableau1[[#This Row],[Différence HP
Cumul]]+Tableau1[[#This Row],[Différence HC
Cumul]]</f>
        <v>-292131</v>
      </c>
      <c r="AF703" s="77">
        <f>(Tableau1[[#This Row],[Conso HP + HC
Cumul]]-AE$6)/Tableau1[[#This Row],[Diff jour_x000D_
Cumul
depuis le 24/01]]</f>
        <v>-314.32155879823654</v>
      </c>
      <c r="AG703" s="77">
        <f>(Tableau1[[#This Row],[Conso HP + HC
Cumul]]-AE$59)/Tableau1[[#This Row],[Diff jour_x000D_
Cumul
depuis
précédente facture
16/02/2021]]</f>
        <v>-323.81200723387769</v>
      </c>
      <c r="AH703" s="80">
        <f>Tableau1[[#This Row],[Conso HP + HC
Cumul]]/(Tableau1[[#This Row],[Diff jour_x000D_
Cumul]]*24)</f>
        <v>-12.475727015132872</v>
      </c>
      <c r="AI703" s="80">
        <f>Tableau1[[#This Row],[Conso HP + HC
Cumul]]/Tableau1[[#This Row],[Diff jour_x000D_
Cumul]]</f>
        <v>-299.41744836318895</v>
      </c>
      <c r="AJ703" s="80">
        <f>Tableau1[[#This Row],[Conso HP + HC / jour_x000D_
Cumul]]*365</f>
        <v>-109287.36865256396</v>
      </c>
      <c r="AK703" s="83">
        <f>(Tableau1[[#This Row],[Différence HP
Cumul]]*0.1799)+(Tableau1[[#This Row],[Différence HC
Cumul]]*0.1346)</f>
        <v>-47251.0959</v>
      </c>
      <c r="AL703" s="83">
        <f>Tableau1[[#This Row],[Montant
Tarif HP/HC]]/Tableau1[[#This Row],[Diff jour_x000D_
Cumul]]</f>
        <v>-48.429651651972364</v>
      </c>
      <c r="AM703" s="83">
        <f>(Tableau1[[#This Row],[Montant
Tarif HP/HC]]-AK$6)/Tableau1[[#This Row],[Diff jour_x000D_
Cumul
depuis le 24/01]]</f>
        <v>-50.849482644837295</v>
      </c>
      <c r="AN703" s="83">
        <f>(Tableau1[[#This Row],[Montant
Tarif HP/HC]]-AK$59)/Tableau1[[#This Row],[Diff jour_x000D_
Cumul
depuis
précédente facture
16/02/2021]]</f>
        <v>-52.393247110661292</v>
      </c>
      <c r="AO703" s="83">
        <f>Tableau1[[#This Row],[Conso HP + HC
Cumul]]*0.1599</f>
        <v>-46711.746899999998</v>
      </c>
      <c r="AP703" s="83">
        <f>Tableau1[[#This Row],[Montant
Tarif normal]]/Tableau1[[#This Row],[Diff jour_x000D_
Cumul]]</f>
        <v>-47.876849993273908</v>
      </c>
      <c r="AQ703" s="83">
        <f>(Tableau1[[#This Row],[Conso HP / an
Cumul]]*0.1799)+(Tableau1[[#This Row],[Conso HC / an_x000D_
Cumul]]*0.1346)</f>
        <v>-17676.822852969912</v>
      </c>
      <c r="AR703" s="83">
        <f>Tableau1[[#This Row],[Conso HP + HC / an_x000D_
Cumul]]*0.1599</f>
        <v>-17475.050247544976</v>
      </c>
      <c r="AS703" s="79">
        <f>MONTH(Tableau1[[#This Row],[Date]])</f>
        <v>8</v>
      </c>
      <c r="AT703" s="79">
        <f>YEAR(Tableau1[[#This Row],[Date]])</f>
        <v>2023</v>
      </c>
    </row>
    <row r="704" spans="1:46" x14ac:dyDescent="0.2">
      <c r="A704" s="74">
        <v>45159.327777777777</v>
      </c>
      <c r="B704" s="75"/>
      <c r="C704" s="76">
        <f>IF(ISERROR(Tableau1[[#This Row],[Date]]-A703),"",Tableau1[[#This Row],[Date]]-A703)</f>
        <v>0.95486111110949423</v>
      </c>
      <c r="D704" s="77">
        <f>IF(ISERROR(Tableau1[[#This Row],[Date]]-A703),"",Tableau1[[#This Row],[Date]]-A703)</f>
        <v>0.95486111110949423</v>
      </c>
      <c r="E704" s="76">
        <f>Tableau1[[#This Row],[Date]]-$A$5</f>
        <v>976.61944444444089</v>
      </c>
      <c r="F704" s="77">
        <f>Tableau1[[#This Row],[Date]]-$A$5</f>
        <v>976.61944444444089</v>
      </c>
      <c r="G704" s="77">
        <f>Tableau1[[#This Row],[Diff jour_x000D_
Cumul]]-F$6</f>
        <v>938.5361111111124</v>
      </c>
      <c r="H704" s="77">
        <f>Tableau1[[#This Row],[Diff jour_x000D_
Cumul]]-F$59</f>
        <v>916.01666666666279</v>
      </c>
      <c r="I704" s="78">
        <v>4701</v>
      </c>
      <c r="J704" s="79">
        <f>IF(ISERROR(Tableau1[[#This Row],[Index HP
kWh]]-I703),"",Tableau1[[#This Row],[Index HP
kWh]]-I703)</f>
        <v>3</v>
      </c>
      <c r="K704" s="77">
        <f>IF(ISERROR(Tableau1[[#This Row],[Différence HP
Instantané]]/(Tableau1[[#This Row],[Diff jour
Instantané]]*24)),"",Tableau1[[#This Row],[Différence HP
Instantané]]/(Tableau1[[#This Row],[Diff jour
Instantané]]*24))</f>
        <v>0.13090909090931258</v>
      </c>
      <c r="L704" s="77">
        <f>Tableau1[[#This Row],[Différence HP
Instantané]]/Tableau1[[#This Row],[Diff jour
Instantané]]</f>
        <v>3.1418181818235018</v>
      </c>
      <c r="M704" s="77">
        <f>Tableau1[[#This Row],[Conso HP / jour
Instantané]]*365</f>
        <v>1146.7636363655781</v>
      </c>
      <c r="N704" s="79">
        <f>Tableau1[[#This Row],[Index HP
kWh]]-$I$5</f>
        <v>-175058</v>
      </c>
      <c r="O704" s="80">
        <f>Tableau1[[#This Row],[Différence HP
Cumul]]/(Tableau1[[#This Row],[Diff jour_x000D_
Cumul]]*24)</f>
        <v>-7.4687058247981541</v>
      </c>
      <c r="P704" s="80">
        <f>Tableau1[[#This Row],[Différence HP
Cumul]]/Tableau1[[#This Row],[Diff jour_x000D_
Cumul]]</f>
        <v>-179.24893979515571</v>
      </c>
      <c r="Q704" s="80">
        <f>Tableau1[[#This Row],[Conso HP / jour
Cumul]]*365</f>
        <v>-65425.863025231833</v>
      </c>
      <c r="R704" s="78">
        <v>2365</v>
      </c>
      <c r="S704" s="79">
        <f>Tableau1[[#This Row],[Index HC_x000D_
kWh]]-R703</f>
        <v>3</v>
      </c>
      <c r="T704" s="81">
        <f>Tableau1[[#This Row],[Différence_x000D_ HC
Instantané]]/(Tableau1[[#This Row],[Diff jour
Instantané]]*24)</f>
        <v>0.13090909090931258</v>
      </c>
      <c r="U704" s="81">
        <f>Tableau1[[#This Row],[Différence_x000D_ HC
Instantané]]/Tableau1[[#This Row],[Diff jour
Instantané]]</f>
        <v>3.1418181818235018</v>
      </c>
      <c r="V704" s="81">
        <f>Tableau1[[#This Row],[Conso HC / jour_x000D_
Instantané]]*365</f>
        <v>1146.7636363655781</v>
      </c>
      <c r="W704" s="79">
        <f>Tableau1[[#This Row],[Index HC_x000D_
kWh]]-$R$5</f>
        <v>-117067</v>
      </c>
      <c r="X704" s="82">
        <f>Tableau1[[#This Row],[Différence HC
Cumul]]/(Tableau1[[#This Row],[Diff jour_x000D_
Cumul]]*24)</f>
        <v>-4.9945674278904448</v>
      </c>
      <c r="Y704" s="82">
        <f>Tableau1[[#This Row],[Différence HC
Cumul]]/Tableau1[[#This Row],[Diff jour_x000D_
Cumul]]</f>
        <v>-119.86961826937069</v>
      </c>
      <c r="Z704" s="82">
        <f>Tableau1[[#This Row],[Conso HC / jour_x000D_
Cumul]]*365</f>
        <v>-43752.410668320299</v>
      </c>
      <c r="AA704" s="79">
        <f>Tableau1[[#This Row],[Différence HP
Instantané]]+Tableau1[[#This Row],[Différence_x000D_ HC
Instantané]]</f>
        <v>6</v>
      </c>
      <c r="AB704" s="80">
        <f>Tableau1[[#This Row],[Conso HP + HC
Instantané]]/(Tableau1[[#This Row],[Diff jour
Instantané]]*24)</f>
        <v>0.26181818181862515</v>
      </c>
      <c r="AC704" s="80">
        <f>IF(ISERROR(Tableau1[[#This Row],[Date]]-A703),"",Tableau1[[#This Row],[Conso HP + HC
Instantané]]/Tableau1[[#This Row],[Diff jour
Instantané]])</f>
        <v>6.2836363636470036</v>
      </c>
      <c r="AD704" s="80">
        <f>Tableau1[[#This Row],[Conso HP + HC / jour_x000D_
Instantané]]*365</f>
        <v>2293.5272727311562</v>
      </c>
      <c r="AE704" s="79">
        <f>Tableau1[[#This Row],[Différence HP
Cumul]]+Tableau1[[#This Row],[Différence HC
Cumul]]</f>
        <v>-292125</v>
      </c>
      <c r="AF704" s="77">
        <f>(Tableau1[[#This Row],[Conso HP + HC
Cumul]]-AE$6)/Tableau1[[#This Row],[Diff jour_x000D_
Cumul
depuis le 24/01]]</f>
        <v>-313.99537696116545</v>
      </c>
      <c r="AG704" s="77">
        <f>(Tableau1[[#This Row],[Conso HP + HC
Cumul]]-AE$59)/Tableau1[[#This Row],[Diff jour_x000D_
Cumul
depuis
précédente facture
16/02/2021]]</f>
        <v>-323.46791361147132</v>
      </c>
      <c r="AH704" s="80">
        <f>Tableau1[[#This Row],[Conso HP + HC
Cumul]]/(Tableau1[[#This Row],[Diff jour_x000D_
Cumul]]*24)</f>
        <v>-12.4632732526886</v>
      </c>
      <c r="AI704" s="80">
        <f>Tableau1[[#This Row],[Conso HP + HC
Cumul]]/Tableau1[[#This Row],[Diff jour_x000D_
Cumul]]</f>
        <v>-299.11855806452638</v>
      </c>
      <c r="AJ704" s="80">
        <f>Tableau1[[#This Row],[Conso HP + HC / jour_x000D_
Cumul]]*365</f>
        <v>-109178.27369355212</v>
      </c>
      <c r="AK704" s="83">
        <f>(Tableau1[[#This Row],[Différence HP
Cumul]]*0.1799)+(Tableau1[[#This Row],[Différence HC
Cumul]]*0.1346)</f>
        <v>-47250.152399999999</v>
      </c>
      <c r="AL704" s="83">
        <f>Tableau1[[#This Row],[Montant
Tarif HP/HC]]/Tableau1[[#This Row],[Diff jour_x000D_
Cumul]]</f>
        <v>-48.381334888205807</v>
      </c>
      <c r="AM704" s="83">
        <f>(Tableau1[[#This Row],[Montant
Tarif HP/HC]]-AK$6)/Tableau1[[#This Row],[Diff jour_x000D_
Cumul
depuis le 24/01]]</f>
        <v>-50.796743391747718</v>
      </c>
      <c r="AN704" s="83">
        <f>(Tableau1[[#This Row],[Montant
Tarif HP/HC]]-AK$59)/Tableau1[[#This Row],[Diff jour_x000D_
Cumul
depuis
précédente facture
16/02/2021]]</f>
        <v>-52.337602081476177</v>
      </c>
      <c r="AO704" s="83">
        <f>Tableau1[[#This Row],[Conso HP + HC
Cumul]]*0.1599</f>
        <v>-46710.787499999999</v>
      </c>
      <c r="AP704" s="83">
        <f>Tableau1[[#This Row],[Montant
Tarif normal]]/Tableau1[[#This Row],[Diff jour_x000D_
Cumul]]</f>
        <v>-47.829057434517772</v>
      </c>
      <c r="AQ704" s="83">
        <f>(Tableau1[[#This Row],[Conso HP / an
Cumul]]*0.1799)+(Tableau1[[#This Row],[Conso HC / an_x000D_
Cumul]]*0.1346)</f>
        <v>-17659.18723419512</v>
      </c>
      <c r="AR704" s="83">
        <f>Tableau1[[#This Row],[Conso HP + HC / an_x000D_
Cumul]]*0.1599</f>
        <v>-17457.605963598984</v>
      </c>
      <c r="AS704" s="79">
        <f>MONTH(Tableau1[[#This Row],[Date]])</f>
        <v>8</v>
      </c>
      <c r="AT704" s="79">
        <f>YEAR(Tableau1[[#This Row],[Date]])</f>
        <v>2023</v>
      </c>
    </row>
    <row r="705" spans="1:46" x14ac:dyDescent="0.2">
      <c r="A705" s="74">
        <v>45160.317361111112</v>
      </c>
      <c r="B705" s="75"/>
      <c r="C705" s="76">
        <f>IF(ISERROR(Tableau1[[#This Row],[Date]]-A704),"",Tableau1[[#This Row],[Date]]-A704)</f>
        <v>0.98958333333575865</v>
      </c>
      <c r="D705" s="77">
        <f>IF(ISERROR(Tableau1[[#This Row],[Date]]-A704),"",Tableau1[[#This Row],[Date]]-A704)</f>
        <v>0.98958333333575865</v>
      </c>
      <c r="E705" s="76">
        <f>Tableau1[[#This Row],[Date]]-$A$5</f>
        <v>977.60902777777665</v>
      </c>
      <c r="F705" s="77">
        <f>Tableau1[[#This Row],[Date]]-$A$5</f>
        <v>977.60902777777665</v>
      </c>
      <c r="G705" s="77">
        <f>Tableau1[[#This Row],[Diff jour_x000D_
Cumul]]-F$6</f>
        <v>939.52569444444816</v>
      </c>
      <c r="H705" s="77">
        <f>Tableau1[[#This Row],[Diff jour_x000D_
Cumul]]-F$59</f>
        <v>917.00624999999854</v>
      </c>
      <c r="I705" s="78">
        <v>4706</v>
      </c>
      <c r="J705" s="79">
        <f>IF(ISERROR(Tableau1[[#This Row],[Index HP
kWh]]-I704),"",Tableau1[[#This Row],[Index HP
kWh]]-I704)</f>
        <v>5</v>
      </c>
      <c r="K705" s="77">
        <f>IF(ISERROR(Tableau1[[#This Row],[Différence HP
Instantané]]/(Tableau1[[#This Row],[Diff jour
Instantané]]*24)),"",Tableau1[[#This Row],[Différence HP
Instantané]]/(Tableau1[[#This Row],[Diff jour
Instantané]]*24))</f>
        <v>0.21052631578895772</v>
      </c>
      <c r="L705" s="77">
        <f>Tableau1[[#This Row],[Différence HP
Instantané]]/Tableau1[[#This Row],[Diff jour
Instantané]]</f>
        <v>5.0526315789349852</v>
      </c>
      <c r="M705" s="77">
        <f>Tableau1[[#This Row],[Conso HP / jour
Instantané]]*365</f>
        <v>1844.2105263112696</v>
      </c>
      <c r="N705" s="79">
        <f>Tableau1[[#This Row],[Index HP
kWh]]-$I$5</f>
        <v>-175053</v>
      </c>
      <c r="O705" s="80">
        <f>Tableau1[[#This Row],[Différence HP
Cumul]]/(Tableau1[[#This Row],[Diff jour_x000D_
Cumul]]*24)</f>
        <v>-7.4609325331005367</v>
      </c>
      <c r="P705" s="80">
        <f>Tableau1[[#This Row],[Différence HP
Cumul]]/Tableau1[[#This Row],[Diff jour_x000D_
Cumul]]</f>
        <v>-179.06238079441289</v>
      </c>
      <c r="Q705" s="80">
        <f>Tableau1[[#This Row],[Conso HP / jour
Cumul]]*365</f>
        <v>-65357.768989960707</v>
      </c>
      <c r="R705" s="78">
        <v>2367</v>
      </c>
      <c r="S705" s="79">
        <f>Tableau1[[#This Row],[Index HC_x000D_
kWh]]-R704</f>
        <v>2</v>
      </c>
      <c r="T705" s="81">
        <f>Tableau1[[#This Row],[Différence_x000D_ HC
Instantané]]/(Tableau1[[#This Row],[Diff jour
Instantané]]*24)</f>
        <v>8.4210526315583081E-2</v>
      </c>
      <c r="U705" s="81">
        <f>Tableau1[[#This Row],[Différence_x000D_ HC
Instantané]]/Tableau1[[#This Row],[Diff jour
Instantané]]</f>
        <v>2.0210526315739941</v>
      </c>
      <c r="V705" s="81">
        <f>Tableau1[[#This Row],[Conso HC / jour_x000D_
Instantané]]*365</f>
        <v>737.68421052450788</v>
      </c>
      <c r="W705" s="79">
        <f>Tableau1[[#This Row],[Index HC_x000D_
kWh]]-$R$5</f>
        <v>-117065</v>
      </c>
      <c r="X705" s="82">
        <f>Tableau1[[#This Row],[Différence HC
Cumul]]/(Tableau1[[#This Row],[Diff jour_x000D_
Cumul]]*24)</f>
        <v>-4.989426442205585</v>
      </c>
      <c r="Y705" s="82">
        <f>Tableau1[[#This Row],[Différence HC
Cumul]]/Tableau1[[#This Row],[Diff jour_x000D_
Cumul]]</f>
        <v>-119.74623461293405</v>
      </c>
      <c r="Z705" s="82">
        <f>Tableau1[[#This Row],[Conso HC / jour_x000D_
Cumul]]*365</f>
        <v>-43707.375633720927</v>
      </c>
      <c r="AA705" s="79">
        <f>Tableau1[[#This Row],[Différence HP
Instantané]]+Tableau1[[#This Row],[Différence_x000D_ HC
Instantané]]</f>
        <v>7</v>
      </c>
      <c r="AB705" s="80">
        <f>Tableau1[[#This Row],[Conso HP + HC
Instantané]]/(Tableau1[[#This Row],[Diff jour
Instantané]]*24)</f>
        <v>0.29473684210454082</v>
      </c>
      <c r="AC705" s="80">
        <f>IF(ISERROR(Tableau1[[#This Row],[Date]]-A704),"",Tableau1[[#This Row],[Conso HP + HC
Instantané]]/Tableau1[[#This Row],[Diff jour
Instantané]])</f>
        <v>7.0736842105089792</v>
      </c>
      <c r="AD705" s="80">
        <f>Tableau1[[#This Row],[Conso HP + HC / jour_x000D_
Instantané]]*365</f>
        <v>2581.8947368357776</v>
      </c>
      <c r="AE705" s="79">
        <f>Tableau1[[#This Row],[Différence HP
Cumul]]+Tableau1[[#This Row],[Différence HC
Cumul]]</f>
        <v>-292118</v>
      </c>
      <c r="AF705" s="77">
        <f>(Tableau1[[#This Row],[Conso HP + HC
Cumul]]-AE$6)/Tableau1[[#This Row],[Diff jour_x000D_
Cumul
depuis le 24/01]]</f>
        <v>-313.65720143955491</v>
      </c>
      <c r="AG705" s="77">
        <f>(Tableau1[[#This Row],[Conso HP + HC
Cumul]]-AE$59)/Tableau1[[#This Row],[Diff jour_x000D_
Cumul
depuis
précédente facture
16/02/2021]]</f>
        <v>-323.1112110740799</v>
      </c>
      <c r="AH705" s="80">
        <f>Tableau1[[#This Row],[Conso HP + HC
Cumul]]/(Tableau1[[#This Row],[Diff jour_x000D_
Cumul]]*24)</f>
        <v>-12.450358975306122</v>
      </c>
      <c r="AI705" s="80">
        <f>Tableau1[[#This Row],[Conso HP + HC
Cumul]]/Tableau1[[#This Row],[Diff jour_x000D_
Cumul]]</f>
        <v>-298.80861540734691</v>
      </c>
      <c r="AJ705" s="80">
        <f>Tableau1[[#This Row],[Conso HP + HC / jour_x000D_
Cumul]]*365</f>
        <v>-109065.14462368163</v>
      </c>
      <c r="AK705" s="83">
        <f>(Tableau1[[#This Row],[Différence HP
Cumul]]*0.1799)+(Tableau1[[#This Row],[Différence HC
Cumul]]*0.1346)</f>
        <v>-47248.983699999997</v>
      </c>
      <c r="AL705" s="83">
        <f>Tableau1[[#This Row],[Montant
Tarif HP/HC]]/Tableau1[[#This Row],[Diff jour_x000D_
Cumul]]</f>
        <v>-48.331165483815795</v>
      </c>
      <c r="AM705" s="83">
        <f>(Tableau1[[#This Row],[Montant
Tarif HP/HC]]-AK$6)/Tableau1[[#This Row],[Diff jour_x000D_
Cumul
depuis le 24/01]]</f>
        <v>-50.741996288020424</v>
      </c>
      <c r="AN705" s="83">
        <f>(Tableau1[[#This Row],[Montant
Tarif HP/HC]]-AK$59)/Tableau1[[#This Row],[Diff jour_x000D_
Cumul
depuis
précédente facture
16/02/2021]]</f>
        <v>-52.279847710961704</v>
      </c>
      <c r="AO705" s="83">
        <f>Tableau1[[#This Row],[Conso HP + HC
Cumul]]*0.1599</f>
        <v>-46709.668199999993</v>
      </c>
      <c r="AP705" s="83">
        <f>Tableau1[[#This Row],[Montant
Tarif normal]]/Tableau1[[#This Row],[Diff jour_x000D_
Cumul]]</f>
        <v>-47.779497603634766</v>
      </c>
      <c r="AQ705" s="83">
        <f>(Tableau1[[#This Row],[Conso HP / an
Cumul]]*0.1799)+(Tableau1[[#This Row],[Conso HC / an_x000D_
Cumul]]*0.1346)</f>
        <v>-17640.87540159277</v>
      </c>
      <c r="AR705" s="83">
        <f>Tableau1[[#This Row],[Conso HP + HC / an_x000D_
Cumul]]*0.1599</f>
        <v>-17439.516625326691</v>
      </c>
      <c r="AS705" s="79">
        <f>MONTH(Tableau1[[#This Row],[Date]])</f>
        <v>8</v>
      </c>
      <c r="AT705" s="79">
        <f>YEAR(Tableau1[[#This Row],[Date]])</f>
        <v>2023</v>
      </c>
    </row>
    <row r="706" spans="1:46" x14ac:dyDescent="0.2">
      <c r="A706" s="74">
        <v>45161.35</v>
      </c>
      <c r="B706" s="75"/>
      <c r="C706" s="76">
        <f>IF(ISERROR(Tableau1[[#This Row],[Date]]-A705),"",Tableau1[[#This Row],[Date]]-A705)</f>
        <v>1.0326388888861402</v>
      </c>
      <c r="D706" s="77">
        <f>IF(ISERROR(Tableau1[[#This Row],[Date]]-A705),"",Tableau1[[#This Row],[Date]]-A705)</f>
        <v>1.0326388888861402</v>
      </c>
      <c r="E706" s="76">
        <f>Tableau1[[#This Row],[Date]]-$A$5</f>
        <v>978.64166666666279</v>
      </c>
      <c r="F706" s="77">
        <f>Tableau1[[#This Row],[Date]]-$A$5</f>
        <v>978.64166666666279</v>
      </c>
      <c r="G706" s="77">
        <f>Tableau1[[#This Row],[Diff jour_x000D_
Cumul]]-F$6</f>
        <v>940.5583333333343</v>
      </c>
      <c r="H706" s="77">
        <f>Tableau1[[#This Row],[Diff jour_x000D_
Cumul]]-F$59</f>
        <v>918.03888888888469</v>
      </c>
      <c r="I706" s="78">
        <v>4711</v>
      </c>
      <c r="J706" s="79">
        <f>IF(ISERROR(Tableau1[[#This Row],[Index HP
kWh]]-I705),"",Tableau1[[#This Row],[Index HP
kWh]]-I705)</f>
        <v>5</v>
      </c>
      <c r="K706" s="77">
        <f>IF(ISERROR(Tableau1[[#This Row],[Différence HP
Instantané]]/(Tableau1[[#This Row],[Diff jour
Instantané]]*24)),"",Tableau1[[#This Row],[Différence HP
Instantané]]/(Tableau1[[#This Row],[Diff jour
Instantané]]*24))</f>
        <v>0.20174848688688538</v>
      </c>
      <c r="L706" s="77">
        <f>Tableau1[[#This Row],[Différence HP
Instantané]]/Tableau1[[#This Row],[Diff jour
Instantané]]</f>
        <v>4.8419636852852488</v>
      </c>
      <c r="M706" s="77">
        <f>Tableau1[[#This Row],[Conso HP / jour
Instantané]]*365</f>
        <v>1767.3167451291158</v>
      </c>
      <c r="N706" s="79">
        <f>Tableau1[[#This Row],[Index HP
kWh]]-$I$5</f>
        <v>-175048</v>
      </c>
      <c r="O706" s="80">
        <f>Tableau1[[#This Row],[Différence HP
Cumul]]/(Tableau1[[#This Row],[Diff jour_x000D_
Cumul]]*24)</f>
        <v>-7.4528470584228437</v>
      </c>
      <c r="P706" s="80">
        <f>Tableau1[[#This Row],[Différence HP
Cumul]]/Tableau1[[#This Row],[Diff jour_x000D_
Cumul]]</f>
        <v>-178.86832940214825</v>
      </c>
      <c r="Q706" s="80">
        <f>Tableau1[[#This Row],[Conso HP / jour
Cumul]]*365</f>
        <v>-65286.940231784109</v>
      </c>
      <c r="R706" s="78">
        <v>2370</v>
      </c>
      <c r="S706" s="79">
        <f>Tableau1[[#This Row],[Index HC_x000D_
kWh]]-R705</f>
        <v>3</v>
      </c>
      <c r="T706" s="81">
        <f>Tableau1[[#This Row],[Différence_x000D_ HC
Instantané]]/(Tableau1[[#This Row],[Diff jour
Instantané]]*24)</f>
        <v>0.12104909213213122</v>
      </c>
      <c r="U706" s="81">
        <f>Tableau1[[#This Row],[Différence_x000D_ HC
Instantané]]/Tableau1[[#This Row],[Diff jour
Instantané]]</f>
        <v>2.9051782111711493</v>
      </c>
      <c r="V706" s="81">
        <f>Tableau1[[#This Row],[Conso HC / jour_x000D_
Instantané]]*365</f>
        <v>1060.3900470774695</v>
      </c>
      <c r="W706" s="79">
        <f>Tableau1[[#This Row],[Index HC_x000D_
kWh]]-$R$5</f>
        <v>-117062</v>
      </c>
      <c r="X706" s="82">
        <f>Tableau1[[#This Row],[Différence HC
Cumul]]/(Tableau1[[#This Row],[Diff jour_x000D_
Cumul]]*24)</f>
        <v>-4.9840339926939752</v>
      </c>
      <c r="Y706" s="82">
        <f>Tableau1[[#This Row],[Différence HC
Cumul]]/Tableau1[[#This Row],[Diff jour_x000D_
Cumul]]</f>
        <v>-119.61681582465539</v>
      </c>
      <c r="Z706" s="82">
        <f>Tableau1[[#This Row],[Conso HC / jour_x000D_
Cumul]]*365</f>
        <v>-43660.137775999217</v>
      </c>
      <c r="AA706" s="79">
        <f>Tableau1[[#This Row],[Différence HP
Instantané]]+Tableau1[[#This Row],[Différence_x000D_ HC
Instantané]]</f>
        <v>8</v>
      </c>
      <c r="AB706" s="80">
        <f>Tableau1[[#This Row],[Conso HP + HC
Instantané]]/(Tableau1[[#This Row],[Diff jour
Instantané]]*24)</f>
        <v>0.32279757901901657</v>
      </c>
      <c r="AC706" s="80">
        <f>IF(ISERROR(Tableau1[[#This Row],[Date]]-A705),"",Tableau1[[#This Row],[Conso HP + HC
Instantané]]/Tableau1[[#This Row],[Diff jour
Instantané]])</f>
        <v>7.7471418964563981</v>
      </c>
      <c r="AD706" s="80">
        <f>Tableau1[[#This Row],[Conso HP + HC / jour_x000D_
Instantané]]*365</f>
        <v>2827.7067922065853</v>
      </c>
      <c r="AE706" s="79">
        <f>Tableau1[[#This Row],[Différence HP
Cumul]]+Tableau1[[#This Row],[Différence HC
Cumul]]</f>
        <v>-292110</v>
      </c>
      <c r="AF706" s="77">
        <f>(Tableau1[[#This Row],[Conso HP + HC
Cumul]]-AE$6)/Tableau1[[#This Row],[Diff jour_x000D_
Cumul
depuis le 24/01]]</f>
        <v>-313.3043316469824</v>
      </c>
      <c r="AG706" s="77">
        <f>(Tableau1[[#This Row],[Conso HP + HC
Cumul]]-AE$59)/Tableau1[[#This Row],[Diff jour_x000D_
Cumul
depuis
précédente facture
16/02/2021]]</f>
        <v>-322.7390512384506</v>
      </c>
      <c r="AH706" s="80">
        <f>Tableau1[[#This Row],[Conso HP + HC
Cumul]]/(Tableau1[[#This Row],[Diff jour_x000D_
Cumul]]*24)</f>
        <v>-12.436881051116819</v>
      </c>
      <c r="AI706" s="80">
        <f>Tableau1[[#This Row],[Conso HP + HC
Cumul]]/Tableau1[[#This Row],[Diff jour_x000D_
Cumul]]</f>
        <v>-298.48514522680364</v>
      </c>
      <c r="AJ706" s="80">
        <f>Tableau1[[#This Row],[Conso HP + HC / jour_x000D_
Cumul]]*365</f>
        <v>-108947.07800778333</v>
      </c>
      <c r="AK706" s="83">
        <f>(Tableau1[[#This Row],[Différence HP
Cumul]]*0.1799)+(Tableau1[[#This Row],[Différence HC
Cumul]]*0.1346)</f>
        <v>-47247.680399999997</v>
      </c>
      <c r="AL706" s="83">
        <f>Tableau1[[#This Row],[Montant
Tarif HP/HC]]/Tableau1[[#This Row],[Diff jour_x000D_
Cumul]]</f>
        <v>-48.278835869445082</v>
      </c>
      <c r="AM706" s="83">
        <f>(Tableau1[[#This Row],[Montant
Tarif HP/HC]]-AK$6)/Tableau1[[#This Row],[Diff jour_x000D_
Cumul
depuis le 24/01]]</f>
        <v>-50.684900989660342</v>
      </c>
      <c r="AN706" s="83">
        <f>(Tableau1[[#This Row],[Montant
Tarif HP/HC]]-AK$59)/Tableau1[[#This Row],[Diff jour_x000D_
Cumul
depuis
précédente facture
16/02/2021]]</f>
        <v>-52.219622044575935</v>
      </c>
      <c r="AO706" s="83">
        <f>Tableau1[[#This Row],[Conso HP + HC
Cumul]]*0.1599</f>
        <v>-46708.388999999996</v>
      </c>
      <c r="AP706" s="83">
        <f>Tableau1[[#This Row],[Montant
Tarif normal]]/Tableau1[[#This Row],[Diff jour_x000D_
Cumul]]</f>
        <v>-47.727774721765897</v>
      </c>
      <c r="AQ706" s="83">
        <f>(Tableau1[[#This Row],[Conso HP / an
Cumul]]*0.1799)+(Tableau1[[#This Row],[Conso HC / an_x000D_
Cumul]]*0.1346)</f>
        <v>-17621.775092347456</v>
      </c>
      <c r="AR706" s="83">
        <f>Tableau1[[#This Row],[Conso HP + HC / an_x000D_
Cumul]]*0.1599</f>
        <v>-17420.637773444552</v>
      </c>
      <c r="AS706" s="79">
        <f>MONTH(Tableau1[[#This Row],[Date]])</f>
        <v>8</v>
      </c>
      <c r="AT706" s="79">
        <f>YEAR(Tableau1[[#This Row],[Date]])</f>
        <v>2023</v>
      </c>
    </row>
    <row r="707" spans="1:46" x14ac:dyDescent="0.2">
      <c r="A707" s="74">
        <v>45162.340277777781</v>
      </c>
      <c r="B707" s="75"/>
      <c r="C707" s="76">
        <f>IF(ISERROR(Tableau1[[#This Row],[Date]]-A706),"",Tableau1[[#This Row],[Date]]-A706)</f>
        <v>0.99027777778246673</v>
      </c>
      <c r="D707" s="77">
        <f>IF(ISERROR(Tableau1[[#This Row],[Date]]-A706),"",Tableau1[[#This Row],[Date]]-A706)</f>
        <v>0.99027777778246673</v>
      </c>
      <c r="E707" s="76">
        <f>Tableau1[[#This Row],[Date]]-$A$5</f>
        <v>979.63194444444525</v>
      </c>
      <c r="F707" s="77">
        <f>Tableau1[[#This Row],[Date]]-$A$5</f>
        <v>979.63194444444525</v>
      </c>
      <c r="G707" s="77">
        <f>Tableau1[[#This Row],[Diff jour_x000D_
Cumul]]-F$6</f>
        <v>941.54861111111677</v>
      </c>
      <c r="H707" s="77">
        <f>Tableau1[[#This Row],[Diff jour_x000D_
Cumul]]-F$59</f>
        <v>919.02916666666715</v>
      </c>
      <c r="I707" s="78">
        <v>4718</v>
      </c>
      <c r="J707" s="79">
        <f>IF(ISERROR(Tableau1[[#This Row],[Index HP
kWh]]-I706),"",Tableau1[[#This Row],[Index HP
kWh]]-I706)</f>
        <v>7</v>
      </c>
      <c r="K707" s="77">
        <f>IF(ISERROR(Tableau1[[#This Row],[Différence HP
Instantané]]/(Tableau1[[#This Row],[Diff jour
Instantané]]*24)),"",Tableau1[[#This Row],[Différence HP
Instantané]]/(Tableau1[[#This Row],[Diff jour
Instantané]]*24))</f>
        <v>0.29453015427630524</v>
      </c>
      <c r="L707" s="77">
        <f>Tableau1[[#This Row],[Différence HP
Instantané]]/Tableau1[[#This Row],[Diff jour
Instantané]]</f>
        <v>7.0687237026313268</v>
      </c>
      <c r="M707" s="77">
        <f>Tableau1[[#This Row],[Conso HP / jour
Instantané]]*365</f>
        <v>2580.0841514604344</v>
      </c>
      <c r="N707" s="79">
        <f>Tableau1[[#This Row],[Index HP
kWh]]-$I$5</f>
        <v>-175041</v>
      </c>
      <c r="O707" s="80">
        <f>Tableau1[[#This Row],[Différence HP
Cumul]]/(Tableau1[[#This Row],[Diff jour_x000D_
Cumul]]*24)</f>
        <v>-7.4450154890938283</v>
      </c>
      <c r="P707" s="80">
        <f>Tableau1[[#This Row],[Différence HP
Cumul]]/Tableau1[[#This Row],[Diff jour_x000D_
Cumul]]</f>
        <v>-178.68037173825189</v>
      </c>
      <c r="Q707" s="80">
        <f>Tableau1[[#This Row],[Conso HP / jour
Cumul]]*365</f>
        <v>-65218.335684461941</v>
      </c>
      <c r="R707" s="78">
        <v>2373</v>
      </c>
      <c r="S707" s="79">
        <f>Tableau1[[#This Row],[Index HC_x000D_
kWh]]-R706</f>
        <v>3</v>
      </c>
      <c r="T707" s="81">
        <f>Tableau1[[#This Row],[Différence_x000D_ HC
Instantané]]/(Tableau1[[#This Row],[Diff jour
Instantané]]*24)</f>
        <v>0.12622720897555939</v>
      </c>
      <c r="U707" s="81">
        <f>Tableau1[[#This Row],[Différence_x000D_ HC
Instantané]]/Tableau1[[#This Row],[Diff jour
Instantané]]</f>
        <v>3.0294530154134254</v>
      </c>
      <c r="V707" s="81">
        <f>Tableau1[[#This Row],[Conso HC / jour_x000D_
Instantané]]*365</f>
        <v>1105.7503506259002</v>
      </c>
      <c r="W707" s="79">
        <f>Tableau1[[#This Row],[Index HC_x000D_
kWh]]-$R$5</f>
        <v>-117059</v>
      </c>
      <c r="X707" s="82">
        <f>Tableau1[[#This Row],[Différence HC
Cumul]]/(Tableau1[[#This Row],[Diff jour_x000D_
Cumul]]*24)</f>
        <v>-4.9788681973813818</v>
      </c>
      <c r="Y707" s="82">
        <f>Tableau1[[#This Row],[Différence HC
Cumul]]/Tableau1[[#This Row],[Diff jour_x000D_
Cumul]]</f>
        <v>-119.49283673715317</v>
      </c>
      <c r="Z707" s="82">
        <f>Tableau1[[#This Row],[Conso HC / jour_x000D_
Cumul]]*365</f>
        <v>-43614.885409060909</v>
      </c>
      <c r="AA707" s="79">
        <f>Tableau1[[#This Row],[Différence HP
Instantané]]+Tableau1[[#This Row],[Différence_x000D_ HC
Instantané]]</f>
        <v>10</v>
      </c>
      <c r="AB707" s="80">
        <f>Tableau1[[#This Row],[Conso HP + HC
Instantané]]/(Tableau1[[#This Row],[Diff jour
Instantané]]*24)</f>
        <v>0.42075736325186464</v>
      </c>
      <c r="AC707" s="80">
        <f>IF(ISERROR(Tableau1[[#This Row],[Date]]-A706),"",Tableau1[[#This Row],[Conso HP + HC
Instantané]]/Tableau1[[#This Row],[Diff jour
Instantané]])</f>
        <v>10.098176718044751</v>
      </c>
      <c r="AD707" s="80">
        <f>Tableau1[[#This Row],[Conso HP + HC / jour_x000D_
Instantané]]*365</f>
        <v>3685.8345020863344</v>
      </c>
      <c r="AE707" s="79">
        <f>Tableau1[[#This Row],[Différence HP
Cumul]]+Tableau1[[#This Row],[Différence HC
Cumul]]</f>
        <v>-292100</v>
      </c>
      <c r="AF707" s="77">
        <f>(Tableau1[[#This Row],[Conso HP + HC
Cumul]]-AE$6)/Tableau1[[#This Row],[Diff jour_x000D_
Cumul
depuis le 24/01]]</f>
        <v>-312.9641916759457</v>
      </c>
      <c r="AG707" s="77">
        <f>(Tableau1[[#This Row],[Conso HP + HC
Cumul]]-AE$59)/Tableau1[[#This Row],[Diff jour_x000D_
Cumul
depuis
précédente facture
16/02/2021]]</f>
        <v>-322.38041048751609</v>
      </c>
      <c r="AH707" s="80">
        <f>Tableau1[[#This Row],[Conso HP + HC
Cumul]]/(Tableau1[[#This Row],[Diff jour_x000D_
Cumul]]*24)</f>
        <v>-12.423883686475211</v>
      </c>
      <c r="AI707" s="80">
        <f>Tableau1[[#This Row],[Conso HP + HC
Cumul]]/Tableau1[[#This Row],[Diff jour_x000D_
Cumul]]</f>
        <v>-298.17320847540503</v>
      </c>
      <c r="AJ707" s="80">
        <f>Tableau1[[#This Row],[Conso HP + HC / jour_x000D_
Cumul]]*365</f>
        <v>-108833.22109352284</v>
      </c>
      <c r="AK707" s="83">
        <f>(Tableau1[[#This Row],[Différence HP
Cumul]]*0.1799)+(Tableau1[[#This Row],[Différence HC
Cumul]]*0.1346)</f>
        <v>-47246.0173</v>
      </c>
      <c r="AL707" s="83">
        <f>Tableau1[[#This Row],[Montant
Tarif HP/HC]]/Tableau1[[#This Row],[Diff jour_x000D_
Cumul]]</f>
        <v>-48.228334700532329</v>
      </c>
      <c r="AM707" s="83">
        <f>(Tableau1[[#This Row],[Montant
Tarif HP/HC]]-AK$6)/Tableau1[[#This Row],[Diff jour_x000D_
Cumul
depuis le 24/01]]</f>
        <v>-50.629826582978389</v>
      </c>
      <c r="AN707" s="83">
        <f>(Tableau1[[#This Row],[Montant
Tarif HP/HC]]-AK$59)/Tableau1[[#This Row],[Diff jour_x000D_
Cumul
depuis
précédente facture
16/02/2021]]</f>
        <v>-52.161544419609434</v>
      </c>
      <c r="AO707" s="83">
        <f>Tableau1[[#This Row],[Conso HP + HC
Cumul]]*0.1599</f>
        <v>-46706.789999999994</v>
      </c>
      <c r="AP707" s="83">
        <f>Tableau1[[#This Row],[Montant
Tarif normal]]/Tableau1[[#This Row],[Diff jour_x000D_
Cumul]]</f>
        <v>-47.677896035217259</v>
      </c>
      <c r="AQ707" s="83">
        <f>(Tableau1[[#This Row],[Conso HP / an
Cumul]]*0.1799)+(Tableau1[[#This Row],[Conso HC / an_x000D_
Cumul]]*0.1346)</f>
        <v>-17603.342165694303</v>
      </c>
      <c r="AR707" s="83">
        <f>Tableau1[[#This Row],[Conso HP + HC / an_x000D_
Cumul]]*0.1599</f>
        <v>-17402.432052854299</v>
      </c>
      <c r="AS707" s="79">
        <f>MONTH(Tableau1[[#This Row],[Date]])</f>
        <v>8</v>
      </c>
      <c r="AT707" s="79">
        <f>YEAR(Tableau1[[#This Row],[Date]])</f>
        <v>2023</v>
      </c>
    </row>
    <row r="708" spans="1:46" x14ac:dyDescent="0.2">
      <c r="A708" s="74">
        <v>45163.339583333334</v>
      </c>
      <c r="B708" s="75"/>
      <c r="C708" s="76">
        <f>IF(ISERROR(Tableau1[[#This Row],[Date]]-A707),"",Tableau1[[#This Row],[Date]]-A707)</f>
        <v>0.99930555555329192</v>
      </c>
      <c r="D708" s="77">
        <f>IF(ISERROR(Tableau1[[#This Row],[Date]]-A707),"",Tableau1[[#This Row],[Date]]-A707)</f>
        <v>0.99930555555329192</v>
      </c>
      <c r="E708" s="76">
        <f>Tableau1[[#This Row],[Date]]-$A$5</f>
        <v>980.63124999999854</v>
      </c>
      <c r="F708" s="77">
        <f>Tableau1[[#This Row],[Date]]-$A$5</f>
        <v>980.63124999999854</v>
      </c>
      <c r="G708" s="77">
        <f>Tableau1[[#This Row],[Diff jour_x000D_
Cumul]]-F$6</f>
        <v>942.54791666667006</v>
      </c>
      <c r="H708" s="77">
        <f>Tableau1[[#This Row],[Diff jour_x000D_
Cumul]]-F$59</f>
        <v>920.02847222222044</v>
      </c>
      <c r="I708" s="78">
        <v>4723</v>
      </c>
      <c r="J708" s="79">
        <f>IF(ISERROR(Tableau1[[#This Row],[Index HP
kWh]]-I707),"",Tableau1[[#This Row],[Index HP
kWh]]-I707)</f>
        <v>5</v>
      </c>
      <c r="K708" s="77">
        <f>IF(ISERROR(Tableau1[[#This Row],[Différence HP
Instantané]]/(Tableau1[[#This Row],[Diff jour
Instantané]]*24)),"",Tableau1[[#This Row],[Différence HP
Instantané]]/(Tableau1[[#This Row],[Diff jour
Instantané]]*24))</f>
        <v>0.20847810979894341</v>
      </c>
      <c r="L708" s="77">
        <f>Tableau1[[#This Row],[Différence HP
Instantané]]/Tableau1[[#This Row],[Diff jour
Instantané]]</f>
        <v>5.0034746351746415</v>
      </c>
      <c r="M708" s="77">
        <f>Tableau1[[#This Row],[Conso HP / jour
Instantané]]*365</f>
        <v>1826.2682418387442</v>
      </c>
      <c r="N708" s="79">
        <f>Tableau1[[#This Row],[Index HP
kWh]]-$I$5</f>
        <v>-175036</v>
      </c>
      <c r="O708" s="80">
        <f>Tableau1[[#This Row],[Différence HP
Cumul]]/(Tableau1[[#This Row],[Diff jour_x000D_
Cumul]]*24)</f>
        <v>-7.4372162488873137</v>
      </c>
      <c r="P708" s="80">
        <f>Tableau1[[#This Row],[Différence HP
Cumul]]/Tableau1[[#This Row],[Diff jour_x000D_
Cumul]]</f>
        <v>-178.49318997329553</v>
      </c>
      <c r="Q708" s="80">
        <f>Tableau1[[#This Row],[Conso HP / jour
Cumul]]*365</f>
        <v>-65150.01434025287</v>
      </c>
      <c r="R708" s="78">
        <v>2375</v>
      </c>
      <c r="S708" s="79">
        <f>Tableau1[[#This Row],[Index HC_x000D_
kWh]]-R707</f>
        <v>2</v>
      </c>
      <c r="T708" s="81">
        <f>Tableau1[[#This Row],[Différence_x000D_ HC
Instantané]]/(Tableau1[[#This Row],[Diff jour
Instantané]]*24)</f>
        <v>8.3391243919577362E-2</v>
      </c>
      <c r="U708" s="81">
        <f>Tableau1[[#This Row],[Différence_x000D_ HC
Instantané]]/Tableau1[[#This Row],[Diff jour
Instantané]]</f>
        <v>2.0013898540698567</v>
      </c>
      <c r="V708" s="81">
        <f>Tableau1[[#This Row],[Conso HC / jour_x000D_
Instantané]]*365</f>
        <v>730.50729673549768</v>
      </c>
      <c r="W708" s="79">
        <f>Tableau1[[#This Row],[Index HC_x000D_
kWh]]-$R$5</f>
        <v>-117057</v>
      </c>
      <c r="X708" s="82">
        <f>Tableau1[[#This Row],[Différence HC
Cumul]]/(Tableau1[[#This Row],[Diff jour_x000D_
Cumul]]*24)</f>
        <v>-4.9737095365867718</v>
      </c>
      <c r="Y708" s="82">
        <f>Tableau1[[#This Row],[Différence HC
Cumul]]/Tableau1[[#This Row],[Diff jour_x000D_
Cumul]]</f>
        <v>-119.36902887808253</v>
      </c>
      <c r="Z708" s="82">
        <f>Tableau1[[#This Row],[Conso HC / jour_x000D_
Cumul]]*365</f>
        <v>-43569.695540500121</v>
      </c>
      <c r="AA708" s="79">
        <f>Tableau1[[#This Row],[Différence HP
Instantané]]+Tableau1[[#This Row],[Différence_x000D_ HC
Instantané]]</f>
        <v>7</v>
      </c>
      <c r="AB708" s="80">
        <f>Tableau1[[#This Row],[Conso HP + HC
Instantané]]/(Tableau1[[#This Row],[Diff jour
Instantané]]*24)</f>
        <v>0.29186935371852074</v>
      </c>
      <c r="AC708" s="80">
        <f>IF(ISERROR(Tableau1[[#This Row],[Date]]-A707),"",Tableau1[[#This Row],[Conso HP + HC
Instantané]]/Tableau1[[#This Row],[Diff jour
Instantané]])</f>
        <v>7.0048644892444987</v>
      </c>
      <c r="AD708" s="80">
        <f>Tableau1[[#This Row],[Conso HP + HC / jour_x000D_
Instantané]]*365</f>
        <v>2556.7755385742421</v>
      </c>
      <c r="AE708" s="79">
        <f>Tableau1[[#This Row],[Différence HP
Cumul]]+Tableau1[[#This Row],[Différence HC
Cumul]]</f>
        <v>-292093</v>
      </c>
      <c r="AF708" s="77">
        <f>(Tableau1[[#This Row],[Conso HP + HC
Cumul]]-AE$6)/Tableau1[[#This Row],[Diff jour_x000D_
Cumul
depuis le 24/01]]</f>
        <v>-312.62495496471109</v>
      </c>
      <c r="AG708" s="77">
        <f>(Tableau1[[#This Row],[Conso HP + HC
Cumul]]-AE$59)/Tableau1[[#This Row],[Diff jour_x000D_
Cumul
depuis
précédente facture
16/02/2021]]</f>
        <v>-322.0226427171267</v>
      </c>
      <c r="AH708" s="80">
        <f>Tableau1[[#This Row],[Conso HP + HC
Cumul]]/(Tableau1[[#This Row],[Diff jour_x000D_
Cumul]]*24)</f>
        <v>-12.410925785474086</v>
      </c>
      <c r="AI708" s="80">
        <f>Tableau1[[#This Row],[Conso HP + HC
Cumul]]/Tableau1[[#This Row],[Diff jour_x000D_
Cumul]]</f>
        <v>-297.86221885137809</v>
      </c>
      <c r="AJ708" s="80">
        <f>Tableau1[[#This Row],[Conso HP + HC / jour_x000D_
Cumul]]*365</f>
        <v>-108719.709880753</v>
      </c>
      <c r="AK708" s="83">
        <f>(Tableau1[[#This Row],[Différence HP
Cumul]]*0.1799)+(Tableau1[[#This Row],[Différence HC
Cumul]]*0.1346)</f>
        <v>-47244.848599999998</v>
      </c>
      <c r="AL708" s="83">
        <f>Tableau1[[#This Row],[Montant
Tarif HP/HC]]/Tableau1[[#This Row],[Diff jour_x000D_
Cumul]]</f>
        <v>-48.177996163185774</v>
      </c>
      <c r="AM708" s="83">
        <f>(Tableau1[[#This Row],[Montant
Tarif HP/HC]]-AK$6)/Tableau1[[#This Row],[Diff jour_x000D_
Cumul
depuis le 24/01]]</f>
        <v>-50.574908030758642</v>
      </c>
      <c r="AN708" s="83">
        <f>(Tableau1[[#This Row],[Montant
Tarif HP/HC]]-AK$59)/Tableau1[[#This Row],[Diff jour_x000D_
Cumul
depuis
précédente facture
16/02/2021]]</f>
        <v>-52.10361792849114</v>
      </c>
      <c r="AO708" s="83">
        <f>Tableau1[[#This Row],[Conso HP + HC
Cumul]]*0.1599</f>
        <v>-46705.670699999995</v>
      </c>
      <c r="AP708" s="83">
        <f>Tableau1[[#This Row],[Montant
Tarif normal]]/Tableau1[[#This Row],[Diff jour_x000D_
Cumul]]</f>
        <v>-47.628168794335345</v>
      </c>
      <c r="AQ708" s="83">
        <f>(Tableau1[[#This Row],[Conso HP / an
Cumul]]*0.1799)+(Tableau1[[#This Row],[Conso HC / an_x000D_
Cumul]]*0.1346)</f>
        <v>-17584.96859956281</v>
      </c>
      <c r="AR708" s="83">
        <f>Tableau1[[#This Row],[Conso HP + HC / an_x000D_
Cumul]]*0.1599</f>
        <v>-17384.281609932405</v>
      </c>
      <c r="AS708" s="79">
        <f>MONTH(Tableau1[[#This Row],[Date]])</f>
        <v>8</v>
      </c>
      <c r="AT708" s="79">
        <f>YEAR(Tableau1[[#This Row],[Date]])</f>
        <v>2023</v>
      </c>
    </row>
    <row r="709" spans="1:46" x14ac:dyDescent="0.2">
      <c r="A709" s="74">
        <v>45164.326388888891</v>
      </c>
      <c r="B709" s="75"/>
      <c r="C709" s="76">
        <f>IF(ISERROR(Tableau1[[#This Row],[Date]]-A708),"",Tableau1[[#This Row],[Date]]-A708)</f>
        <v>0.98680555555620231</v>
      </c>
      <c r="D709" s="77">
        <f>IF(ISERROR(Tableau1[[#This Row],[Date]]-A708),"",Tableau1[[#This Row],[Date]]-A708)</f>
        <v>0.98680555555620231</v>
      </c>
      <c r="E709" s="76">
        <f>Tableau1[[#This Row],[Date]]-$A$5</f>
        <v>981.61805555555475</v>
      </c>
      <c r="F709" s="77">
        <f>Tableau1[[#This Row],[Date]]-$A$5</f>
        <v>981.61805555555475</v>
      </c>
      <c r="G709" s="77">
        <f>Tableau1[[#This Row],[Diff jour_x000D_
Cumul]]-F$6</f>
        <v>943.53472222222626</v>
      </c>
      <c r="H709" s="77">
        <f>Tableau1[[#This Row],[Diff jour_x000D_
Cumul]]-F$59</f>
        <v>921.01527777777665</v>
      </c>
      <c r="I709" s="78">
        <v>4728</v>
      </c>
      <c r="J709" s="79">
        <f>IF(ISERROR(Tableau1[[#This Row],[Index HP
kWh]]-I708),"",Tableau1[[#This Row],[Index HP
kWh]]-I708)</f>
        <v>5</v>
      </c>
      <c r="K709" s="77">
        <f>IF(ISERROR(Tableau1[[#This Row],[Différence HP
Instantané]]/(Tableau1[[#This Row],[Diff jour
Instantané]]*24)),"",Tableau1[[#This Row],[Différence HP
Instantané]]/(Tableau1[[#This Row],[Diff jour
Instantané]]*24))</f>
        <v>0.21111893033061463</v>
      </c>
      <c r="L709" s="77">
        <f>Tableau1[[#This Row],[Différence HP
Instantané]]/Tableau1[[#This Row],[Diff jour
Instantané]]</f>
        <v>5.0668543279347507</v>
      </c>
      <c r="M709" s="77">
        <f>Tableau1[[#This Row],[Conso HP / jour
Instantané]]*365</f>
        <v>1849.401829696184</v>
      </c>
      <c r="N709" s="79">
        <f>Tableau1[[#This Row],[Index HP
kWh]]-$I$5</f>
        <v>-175031</v>
      </c>
      <c r="O709" s="80">
        <f>Tableau1[[#This Row],[Différence HP
Cumul]]/(Tableau1[[#This Row],[Diff jour_x000D_
Cumul]]*24)</f>
        <v>-7.4295274949948062</v>
      </c>
      <c r="P709" s="80">
        <f>Tableau1[[#This Row],[Différence HP
Cumul]]/Tableau1[[#This Row],[Diff jour_x000D_
Cumul]]</f>
        <v>-178.30865987987536</v>
      </c>
      <c r="Q709" s="80">
        <f>Tableau1[[#This Row],[Conso HP / jour
Cumul]]*365</f>
        <v>-65082.660856154507</v>
      </c>
      <c r="R709" s="78">
        <v>2378</v>
      </c>
      <c r="S709" s="79">
        <f>Tableau1[[#This Row],[Index HC_x000D_
kWh]]-R708</f>
        <v>3</v>
      </c>
      <c r="T709" s="81">
        <f>Tableau1[[#This Row],[Différence_x000D_ HC
Instantané]]/(Tableau1[[#This Row],[Diff jour
Instantané]]*24)</f>
        <v>0.12667135819836878</v>
      </c>
      <c r="U709" s="81">
        <f>Tableau1[[#This Row],[Différence_x000D_ HC
Instantané]]/Tableau1[[#This Row],[Diff jour
Instantané]]</f>
        <v>3.0401125967608507</v>
      </c>
      <c r="V709" s="81">
        <f>Tableau1[[#This Row],[Conso HC / jour_x000D_
Instantané]]*365</f>
        <v>1109.6410978177105</v>
      </c>
      <c r="W709" s="79">
        <f>Tableau1[[#This Row],[Index HC_x000D_
kWh]]-$R$5</f>
        <v>-117054</v>
      </c>
      <c r="X709" s="82">
        <f>Tableau1[[#This Row],[Différence HC
Cumul]]/(Tableau1[[#This Row],[Diff jour_x000D_
Cumul]]*24)</f>
        <v>-4.9685822020049137</v>
      </c>
      <c r="Y709" s="82">
        <f>Tableau1[[#This Row],[Différence HC
Cumul]]/Tableau1[[#This Row],[Diff jour_x000D_
Cumul]]</f>
        <v>-119.24597284811793</v>
      </c>
      <c r="Z709" s="82">
        <f>Tableau1[[#This Row],[Conso HC / jour_x000D_
Cumul]]*365</f>
        <v>-43524.780089563043</v>
      </c>
      <c r="AA709" s="79">
        <f>Tableau1[[#This Row],[Différence HP
Instantané]]+Tableau1[[#This Row],[Différence_x000D_ HC
Instantané]]</f>
        <v>8</v>
      </c>
      <c r="AB709" s="80">
        <f>Tableau1[[#This Row],[Conso HP + HC
Instantané]]/(Tableau1[[#This Row],[Diff jour
Instantané]]*24)</f>
        <v>0.33779028852898341</v>
      </c>
      <c r="AC709" s="80">
        <f>IF(ISERROR(Tableau1[[#This Row],[Date]]-A708),"",Tableau1[[#This Row],[Conso HP + HC
Instantané]]/Tableau1[[#This Row],[Diff jour
Instantané]])</f>
        <v>8.1069669246956018</v>
      </c>
      <c r="AD709" s="80">
        <f>Tableau1[[#This Row],[Conso HP + HC / jour_x000D_
Instantané]]*365</f>
        <v>2959.0429275138945</v>
      </c>
      <c r="AE709" s="79">
        <f>Tableau1[[#This Row],[Différence HP
Cumul]]+Tableau1[[#This Row],[Différence HC
Cumul]]</f>
        <v>-292085</v>
      </c>
      <c r="AF709" s="77">
        <f>(Tableau1[[#This Row],[Conso HP + HC
Cumul]]-AE$6)/Tableau1[[#This Row],[Diff jour_x000D_
Cumul
depuis le 24/01]]</f>
        <v>-312.28951416437758</v>
      </c>
      <c r="AG709" s="77">
        <f>(Tableau1[[#This Row],[Conso HP + HC
Cumul]]-AE$59)/Tableau1[[#This Row],[Diff jour_x000D_
Cumul
depuis
précédente facture
16/02/2021]]</f>
        <v>-321.66893117649494</v>
      </c>
      <c r="AH709" s="80">
        <f>Tableau1[[#This Row],[Conso HP + HC
Cumul]]/(Tableau1[[#This Row],[Diff jour_x000D_
Cumul]]*24)</f>
        <v>-12.39810969699972</v>
      </c>
      <c r="AI709" s="80">
        <f>Tableau1[[#This Row],[Conso HP + HC
Cumul]]/Tableau1[[#This Row],[Diff jour_x000D_
Cumul]]</f>
        <v>-297.55463272799329</v>
      </c>
      <c r="AJ709" s="80">
        <f>Tableau1[[#This Row],[Conso HP + HC / jour_x000D_
Cumul]]*365</f>
        <v>-108607.44094571755</v>
      </c>
      <c r="AK709" s="83">
        <f>(Tableau1[[#This Row],[Différence HP
Cumul]]*0.1799)+(Tableau1[[#This Row],[Différence HC
Cumul]]*0.1346)</f>
        <v>-47243.545299999998</v>
      </c>
      <c r="AL709" s="83">
        <f>Tableau1[[#This Row],[Montant
Tarif HP/HC]]/Tableau1[[#This Row],[Diff jour_x000D_
Cumul]]</f>
        <v>-48.128235857746247</v>
      </c>
      <c r="AM709" s="83">
        <f>(Tableau1[[#This Row],[Montant
Tarif HP/HC]]-AK$6)/Tableau1[[#This Row],[Diff jour_x000D_
Cumul
depuis le 24/01]]</f>
        <v>-50.520632444486751</v>
      </c>
      <c r="AN709" s="83">
        <f>(Tableau1[[#This Row],[Montant
Tarif HP/HC]]-AK$59)/Tableau1[[#This Row],[Diff jour_x000D_
Cumul
depuis
précédente facture
16/02/2021]]</f>
        <v>-52.046377358319909</v>
      </c>
      <c r="AO709" s="83">
        <f>Tableau1[[#This Row],[Conso HP + HC
Cumul]]*0.1599</f>
        <v>-46704.391499999998</v>
      </c>
      <c r="AP709" s="83">
        <f>Tableau1[[#This Row],[Montant
Tarif normal]]/Tableau1[[#This Row],[Diff jour_x000D_
Cumul]]</f>
        <v>-47.578985773206121</v>
      </c>
      <c r="AQ709" s="83">
        <f>(Tableau1[[#This Row],[Conso HP / an
Cumul]]*0.1799)+(Tableau1[[#This Row],[Conso HC / an_x000D_
Cumul]]*0.1346)</f>
        <v>-17566.806088077381</v>
      </c>
      <c r="AR709" s="83">
        <f>Tableau1[[#This Row],[Conso HP + HC / an_x000D_
Cumul]]*0.1599</f>
        <v>-17366.329807220234</v>
      </c>
      <c r="AS709" s="79">
        <f>MONTH(Tableau1[[#This Row],[Date]])</f>
        <v>8</v>
      </c>
      <c r="AT709" s="79">
        <f>YEAR(Tableau1[[#This Row],[Date]])</f>
        <v>2023</v>
      </c>
    </row>
    <row r="710" spans="1:46" x14ac:dyDescent="0.2">
      <c r="A710" s="74">
        <v>45166.322916666664</v>
      </c>
      <c r="B710" s="75"/>
      <c r="C710" s="76">
        <f>IF(ISERROR(Tableau1[[#This Row],[Date]]-A709),"",Tableau1[[#This Row],[Date]]-A709)</f>
        <v>1.9965277777737356</v>
      </c>
      <c r="D710" s="77">
        <f>IF(ISERROR(Tableau1[[#This Row],[Date]]-A709),"",Tableau1[[#This Row],[Date]]-A709)</f>
        <v>1.9965277777737356</v>
      </c>
      <c r="E710" s="76">
        <f>Tableau1[[#This Row],[Date]]-$A$5</f>
        <v>983.61458333332848</v>
      </c>
      <c r="F710" s="77">
        <f>Tableau1[[#This Row],[Date]]-$A$5</f>
        <v>983.61458333332848</v>
      </c>
      <c r="G710" s="77">
        <f>Tableau1[[#This Row],[Diff jour_x000D_
Cumul]]-F$6</f>
        <v>945.53125</v>
      </c>
      <c r="H710" s="77">
        <f>Tableau1[[#This Row],[Diff jour_x000D_
Cumul]]-F$59</f>
        <v>923.01180555555038</v>
      </c>
      <c r="I710" s="78">
        <v>4735</v>
      </c>
      <c r="J710" s="79">
        <f>IF(ISERROR(Tableau1[[#This Row],[Index HP
kWh]]-I709),"",Tableau1[[#This Row],[Index HP
kWh]]-I709)</f>
        <v>7</v>
      </c>
      <c r="K710" s="77">
        <f>IF(ISERROR(Tableau1[[#This Row],[Différence HP
Instantané]]/(Tableau1[[#This Row],[Diff jour
Instantané]]*24)),"",Tableau1[[#This Row],[Différence HP
Instantané]]/(Tableau1[[#This Row],[Diff jour
Instantané]]*24))</f>
        <v>0.14608695652203491</v>
      </c>
      <c r="L710" s="77">
        <f>Tableau1[[#This Row],[Différence HP
Instantané]]/Tableau1[[#This Row],[Diff jour
Instantané]]</f>
        <v>3.5060869565288377</v>
      </c>
      <c r="M710" s="77">
        <f>Tableau1[[#This Row],[Conso HP / jour
Instantané]]*365</f>
        <v>1279.7217391330257</v>
      </c>
      <c r="N710" s="79">
        <f>Tableau1[[#This Row],[Index HP
kWh]]-$I$5</f>
        <v>-175024</v>
      </c>
      <c r="O710" s="80">
        <f>Tableau1[[#This Row],[Différence HP
Cumul]]/(Tableau1[[#This Row],[Diff jour_x000D_
Cumul]]*24)</f>
        <v>-7.4141506137016258</v>
      </c>
      <c r="P710" s="80">
        <f>Tableau1[[#This Row],[Différence HP
Cumul]]/Tableau1[[#This Row],[Diff jour_x000D_
Cumul]]</f>
        <v>-177.93961472883902</v>
      </c>
      <c r="Q710" s="80">
        <f>Tableau1[[#This Row],[Conso HP / jour
Cumul]]*365</f>
        <v>-64947.959376026243</v>
      </c>
      <c r="R710" s="78">
        <v>2382</v>
      </c>
      <c r="S710" s="79">
        <f>Tableau1[[#This Row],[Index HC_x000D_
kWh]]-R709</f>
        <v>4</v>
      </c>
      <c r="T710" s="81">
        <f>Tableau1[[#This Row],[Différence_x000D_ HC
Instantané]]/(Tableau1[[#This Row],[Diff jour
Instantané]]*24)</f>
        <v>8.3478260869734228E-2</v>
      </c>
      <c r="U710" s="81">
        <f>Tableau1[[#This Row],[Différence_x000D_ HC
Instantané]]/Tableau1[[#This Row],[Diff jour
Instantané]]</f>
        <v>2.0034782608736217</v>
      </c>
      <c r="V710" s="81">
        <f>Tableau1[[#This Row],[Conso HC / jour_x000D_
Instantané]]*365</f>
        <v>731.26956521887189</v>
      </c>
      <c r="W710" s="79">
        <f>Tableau1[[#This Row],[Index HC_x000D_
kWh]]-$R$5</f>
        <v>-117050</v>
      </c>
      <c r="X710" s="82">
        <f>Tableau1[[#This Row],[Différence HC
Cumul]]/(Tableau1[[#This Row],[Diff jour_x000D_
Cumul]]*24)</f>
        <v>-4.9583275969797018</v>
      </c>
      <c r="Y710" s="82">
        <f>Tableau1[[#This Row],[Différence HC
Cumul]]/Tableau1[[#This Row],[Diff jour_x000D_
Cumul]]</f>
        <v>-118.99986232751284</v>
      </c>
      <c r="Z710" s="82">
        <f>Tableau1[[#This Row],[Conso HC / jour_x000D_
Cumul]]*365</f>
        <v>-43434.949749542189</v>
      </c>
      <c r="AA710" s="79">
        <f>Tableau1[[#This Row],[Différence HP
Instantané]]+Tableau1[[#This Row],[Différence_x000D_ HC
Instantané]]</f>
        <v>11</v>
      </c>
      <c r="AB710" s="80">
        <f>Tableau1[[#This Row],[Conso HP + HC
Instantané]]/(Tableau1[[#This Row],[Diff jour
Instantané]]*24)</f>
        <v>0.22956521739176913</v>
      </c>
      <c r="AC710" s="80">
        <f>IF(ISERROR(Tableau1[[#This Row],[Date]]-A709),"",Tableau1[[#This Row],[Conso HP + HC
Instantané]]/Tableau1[[#This Row],[Diff jour
Instantané]])</f>
        <v>5.509565217402459</v>
      </c>
      <c r="AD710" s="80">
        <f>Tableau1[[#This Row],[Conso HP + HC / jour_x000D_
Instantané]]*365</f>
        <v>2010.9913043518975</v>
      </c>
      <c r="AE710" s="79">
        <f>Tableau1[[#This Row],[Différence HP
Cumul]]+Tableau1[[#This Row],[Différence HC
Cumul]]</f>
        <v>-292074</v>
      </c>
      <c r="AF710" s="77">
        <f>(Tableau1[[#This Row],[Conso HP + HC
Cumul]]-AE$6)/Tableau1[[#This Row],[Diff jour_x000D_
Cumul
depuis le 24/01]]</f>
        <v>-311.61846845358099</v>
      </c>
      <c r="AG710" s="77">
        <f>(Tableau1[[#This Row],[Conso HP + HC
Cumul]]-AE$59)/Tableau1[[#This Row],[Diff jour_x000D_
Cumul
depuis
précédente facture
16/02/2021]]</f>
        <v>-320.96122521606304</v>
      </c>
      <c r="AH710" s="80">
        <f>Tableau1[[#This Row],[Conso HP + HC
Cumul]]/(Tableau1[[#This Row],[Diff jour_x000D_
Cumul]]*24)</f>
        <v>-12.372478210681328</v>
      </c>
      <c r="AI710" s="80">
        <f>Tableau1[[#This Row],[Conso HP + HC
Cumul]]/Tableau1[[#This Row],[Diff jour_x000D_
Cumul]]</f>
        <v>-296.93947705635185</v>
      </c>
      <c r="AJ710" s="80">
        <f>Tableau1[[#This Row],[Conso HP + HC / jour_x000D_
Cumul]]*365</f>
        <v>-108382.90912556842</v>
      </c>
      <c r="AK710" s="83">
        <f>(Tableau1[[#This Row],[Différence HP
Cumul]]*0.1799)+(Tableau1[[#This Row],[Différence HC
Cumul]]*0.1346)</f>
        <v>-47241.747600000002</v>
      </c>
      <c r="AL710" s="83">
        <f>Tableau1[[#This Row],[Montant
Tarif HP/HC]]/Tableau1[[#This Row],[Diff jour_x000D_
Cumul]]</f>
        <v>-48.028718159001372</v>
      </c>
      <c r="AM710" s="83">
        <f>(Tableau1[[#This Row],[Montant
Tarif HP/HC]]-AK$6)/Tableau1[[#This Row],[Diff jour_x000D_
Cumul
depuis le 24/01]]</f>
        <v>-50.412054810457086</v>
      </c>
      <c r="AN710" s="83">
        <f>(Tableau1[[#This Row],[Montant
Tarif HP/HC]]-AK$59)/Tableau1[[#This Row],[Diff jour_x000D_
Cumul
depuis
précédente facture
16/02/2021]]</f>
        <v>-51.931850396159604</v>
      </c>
      <c r="AO710" s="83">
        <f>Tableau1[[#This Row],[Conso HP + HC
Cumul]]*0.1599</f>
        <v>-46702.632599999997</v>
      </c>
      <c r="AP710" s="83">
        <f>Tableau1[[#This Row],[Montant
Tarif normal]]/Tableau1[[#This Row],[Diff jour_x000D_
Cumul]]</f>
        <v>-47.48062238131066</v>
      </c>
      <c r="AQ710" s="83">
        <f>(Tableau1[[#This Row],[Conso HP / an
Cumul]]*0.1799)+(Tableau1[[#This Row],[Conso HC / an_x000D_
Cumul]]*0.1346)</f>
        <v>-17530.482128035499</v>
      </c>
      <c r="AR710" s="83">
        <f>Tableau1[[#This Row],[Conso HP + HC / an_x000D_
Cumul]]*0.1599</f>
        <v>-17330.427169178387</v>
      </c>
      <c r="AS710" s="79">
        <f>MONTH(Tableau1[[#This Row],[Date]])</f>
        <v>8</v>
      </c>
      <c r="AT710" s="79">
        <f>YEAR(Tableau1[[#This Row],[Date]])</f>
        <v>2023</v>
      </c>
    </row>
    <row r="711" spans="1:46" x14ac:dyDescent="0.2">
      <c r="A711" s="74">
        <v>45167.318055555559</v>
      </c>
      <c r="B711" s="75"/>
      <c r="C711" s="76">
        <f>IF(ISERROR(Tableau1[[#This Row],[Date]]-A710),"",Tableau1[[#This Row],[Date]]-A710)</f>
        <v>0.99513888889487134</v>
      </c>
      <c r="D711" s="77">
        <f>IF(ISERROR(Tableau1[[#This Row],[Date]]-A710),"",Tableau1[[#This Row],[Date]]-A710)</f>
        <v>0.99513888889487134</v>
      </c>
      <c r="E711" s="76">
        <f>Tableau1[[#This Row],[Date]]-$A$5</f>
        <v>984.60972222222335</v>
      </c>
      <c r="F711" s="77">
        <f>Tableau1[[#This Row],[Date]]-$A$5</f>
        <v>984.60972222222335</v>
      </c>
      <c r="G711" s="77">
        <f>Tableau1[[#This Row],[Diff jour_x000D_
Cumul]]-F$6</f>
        <v>946.52638888889487</v>
      </c>
      <c r="H711" s="77">
        <f>Tableau1[[#This Row],[Diff jour_x000D_
Cumul]]-F$59</f>
        <v>924.00694444444525</v>
      </c>
      <c r="I711" s="78">
        <v>4740</v>
      </c>
      <c r="J711" s="79">
        <f>IF(ISERROR(Tableau1[[#This Row],[Index HP
kWh]]-I710),"",Tableau1[[#This Row],[Index HP
kWh]]-I710)</f>
        <v>5</v>
      </c>
      <c r="K711" s="77">
        <f>IF(ISERROR(Tableau1[[#This Row],[Différence HP
Instantané]]/(Tableau1[[#This Row],[Diff jour
Instantané]]*24)),"",Tableau1[[#This Row],[Différence HP
Instantané]]/(Tableau1[[#This Row],[Diff jour
Instantané]]*24))</f>
        <v>0.20935101186196545</v>
      </c>
      <c r="L711" s="77">
        <f>Tableau1[[#This Row],[Différence HP
Instantané]]/Tableau1[[#This Row],[Diff jour
Instantané]]</f>
        <v>5.0244242846871705</v>
      </c>
      <c r="M711" s="77">
        <f>Tableau1[[#This Row],[Conso HP / jour
Instantané]]*365</f>
        <v>1833.9148639108173</v>
      </c>
      <c r="N711" s="79">
        <f>Tableau1[[#This Row],[Index HP
kWh]]-$I$5</f>
        <v>-175019</v>
      </c>
      <c r="O711" s="80">
        <f>Tableau1[[#This Row],[Différence HP
Cumul]]/(Tableau1[[#This Row],[Diff jour_x000D_
Cumul]]*24)</f>
        <v>-7.4064455882829972</v>
      </c>
      <c r="P711" s="80">
        <f>Tableau1[[#This Row],[Différence HP
Cumul]]/Tableau1[[#This Row],[Diff jour_x000D_
Cumul]]</f>
        <v>-177.75469411879192</v>
      </c>
      <c r="Q711" s="80">
        <f>Tableau1[[#This Row],[Conso HP / jour
Cumul]]*365</f>
        <v>-64880.463353359053</v>
      </c>
      <c r="R711" s="78">
        <v>2384</v>
      </c>
      <c r="S711" s="79">
        <f>Tableau1[[#This Row],[Index HC_x000D_
kWh]]-R710</f>
        <v>2</v>
      </c>
      <c r="T711" s="81">
        <f>Tableau1[[#This Row],[Différence_x000D_ HC
Instantané]]/(Tableau1[[#This Row],[Diff jour
Instantané]]*24)</f>
        <v>8.3740404744786182E-2</v>
      </c>
      <c r="U711" s="81">
        <f>Tableau1[[#This Row],[Différence_x000D_ HC
Instantané]]/Tableau1[[#This Row],[Diff jour
Instantané]]</f>
        <v>2.0097697138748685</v>
      </c>
      <c r="V711" s="81">
        <f>Tableau1[[#This Row],[Conso HC / jour_x000D_
Instantané]]*365</f>
        <v>733.56594556432697</v>
      </c>
      <c r="W711" s="79">
        <f>Tableau1[[#This Row],[Index HC_x000D_
kWh]]-$R$5</f>
        <v>-117048</v>
      </c>
      <c r="X711" s="82">
        <f>Tableau1[[#This Row],[Différence HC
Cumul]]/(Tableau1[[#This Row],[Diff jour_x000D_
Cumul]]*24)</f>
        <v>-4.953231610381434</v>
      </c>
      <c r="Y711" s="82">
        <f>Tableau1[[#This Row],[Différence HC
Cumul]]/Tableau1[[#This Row],[Diff jour_x000D_
Cumul]]</f>
        <v>-118.87755864915442</v>
      </c>
      <c r="Z711" s="82">
        <f>Tableau1[[#This Row],[Conso HC / jour_x000D_
Cumul]]*365</f>
        <v>-43390.308906941362</v>
      </c>
      <c r="AA711" s="79">
        <f>Tableau1[[#This Row],[Différence HP
Instantané]]+Tableau1[[#This Row],[Différence_x000D_ HC
Instantané]]</f>
        <v>7</v>
      </c>
      <c r="AB711" s="80">
        <f>Tableau1[[#This Row],[Conso HP + HC
Instantané]]/(Tableau1[[#This Row],[Diff jour
Instantané]]*24)</f>
        <v>0.29309141660675164</v>
      </c>
      <c r="AC711" s="80">
        <f>IF(ISERROR(Tableau1[[#This Row],[Date]]-A710),"",Tableau1[[#This Row],[Conso HP + HC
Instantané]]/Tableau1[[#This Row],[Diff jour
Instantané]])</f>
        <v>7.0341939985620394</v>
      </c>
      <c r="AD711" s="80">
        <f>Tableau1[[#This Row],[Conso HP + HC / jour_x000D_
Instantané]]*365</f>
        <v>2567.4808094751443</v>
      </c>
      <c r="AE711" s="79">
        <f>Tableau1[[#This Row],[Différence HP
Cumul]]+Tableau1[[#This Row],[Différence HC
Cumul]]</f>
        <v>-292067</v>
      </c>
      <c r="AF711" s="77">
        <f>(Tableau1[[#This Row],[Conso HP + HC
Cumul]]-AE$6)/Tableau1[[#This Row],[Diff jour_x000D_
Cumul
depuis le 24/01]]</f>
        <v>-311.28345015913254</v>
      </c>
      <c r="AG711" s="77">
        <f>(Tableau1[[#This Row],[Conso HP + HC
Cumul]]-AE$59)/Tableau1[[#This Row],[Diff jour_x000D_
Cumul
depuis
précédente facture
16/02/2021]]</f>
        <v>-320.60798003862976</v>
      </c>
      <c r="AH711" s="80">
        <f>Tableau1[[#This Row],[Conso HP + HC
Cumul]]/(Tableau1[[#This Row],[Diff jour_x000D_
Cumul]]*24)</f>
        <v>-12.359677198664432</v>
      </c>
      <c r="AI711" s="80">
        <f>Tableau1[[#This Row],[Conso HP + HC
Cumul]]/Tableau1[[#This Row],[Diff jour_x000D_
Cumul]]</f>
        <v>-296.63225276794634</v>
      </c>
      <c r="AJ711" s="80">
        <f>Tableau1[[#This Row],[Conso HP + HC / jour_x000D_
Cumul]]*365</f>
        <v>-108270.77226030041</v>
      </c>
      <c r="AK711" s="83">
        <f>(Tableau1[[#This Row],[Différence HP
Cumul]]*0.1799)+(Tableau1[[#This Row],[Différence HC
Cumul]]*0.1346)</f>
        <v>-47240.5789</v>
      </c>
      <c r="AL711" s="83">
        <f>Tableau1[[#This Row],[Montant
Tarif HP/HC]]/Tableau1[[#This Row],[Diff jour_x000D_
Cumul]]</f>
        <v>-47.978988866146857</v>
      </c>
      <c r="AM711" s="83">
        <f>(Tableau1[[#This Row],[Montant
Tarif HP/HC]]-AK$6)/Tableau1[[#This Row],[Diff jour_x000D_
Cumul
depuis le 24/01]]</f>
        <v>-50.357818925632735</v>
      </c>
      <c r="AN711" s="83">
        <f>(Tableau1[[#This Row],[Montant
Tarif HP/HC]]-AK$59)/Tableau1[[#This Row],[Diff jour_x000D_
Cumul
depuis
précédente facture
16/02/2021]]</f>
        <v>-51.874655908370052</v>
      </c>
      <c r="AO711" s="83">
        <f>Tableau1[[#This Row],[Conso HP + HC
Cumul]]*0.1599</f>
        <v>-46701.513299999999</v>
      </c>
      <c r="AP711" s="83">
        <f>Tableau1[[#This Row],[Montant
Tarif normal]]/Tableau1[[#This Row],[Diff jour_x000D_
Cumul]]</f>
        <v>-47.431497217594618</v>
      </c>
      <c r="AQ711" s="83">
        <f>(Tableau1[[#This Row],[Conso HP / an
Cumul]]*0.1799)+(Tableau1[[#This Row],[Conso HC / an_x000D_
Cumul]]*0.1346)</f>
        <v>-17512.3309361436</v>
      </c>
      <c r="AR711" s="83">
        <f>Tableau1[[#This Row],[Conso HP + HC / an_x000D_
Cumul]]*0.1599</f>
        <v>-17312.496484422034</v>
      </c>
      <c r="AS711" s="79">
        <f>MONTH(Tableau1[[#This Row],[Date]])</f>
        <v>8</v>
      </c>
      <c r="AT711" s="79">
        <f>YEAR(Tableau1[[#This Row],[Date]])</f>
        <v>2023</v>
      </c>
    </row>
    <row r="712" spans="1:46" x14ac:dyDescent="0.2">
      <c r="A712" s="74">
        <v>45168.397222222222</v>
      </c>
      <c r="B712" s="75"/>
      <c r="C712" s="76">
        <f>IF(ISERROR(Tableau1[[#This Row],[Date]]-A711),"",Tableau1[[#This Row],[Date]]-A711)</f>
        <v>1.0791666666627862</v>
      </c>
      <c r="D712" s="77">
        <f>IF(ISERROR(Tableau1[[#This Row],[Date]]-A711),"",Tableau1[[#This Row],[Date]]-A711)</f>
        <v>1.0791666666627862</v>
      </c>
      <c r="E712" s="76">
        <f>Tableau1[[#This Row],[Date]]-$A$5</f>
        <v>985.68888888888614</v>
      </c>
      <c r="F712" s="77">
        <f>Tableau1[[#This Row],[Date]]-$A$5</f>
        <v>985.68888888888614</v>
      </c>
      <c r="G712" s="77">
        <f>Tableau1[[#This Row],[Diff jour_x000D_
Cumul]]-F$6</f>
        <v>947.60555555555766</v>
      </c>
      <c r="H712" s="77">
        <f>Tableau1[[#This Row],[Diff jour_x000D_
Cumul]]-F$59</f>
        <v>925.08611111110804</v>
      </c>
      <c r="I712" s="78">
        <v>4746</v>
      </c>
      <c r="J712" s="79">
        <f>IF(ISERROR(Tableau1[[#This Row],[Index HP
kWh]]-I711),"",Tableau1[[#This Row],[Index HP
kWh]]-I711)</f>
        <v>6</v>
      </c>
      <c r="K712" s="77">
        <f>IF(ISERROR(Tableau1[[#This Row],[Différence HP
Instantané]]/(Tableau1[[#This Row],[Diff jour
Instantané]]*24)),"",Tableau1[[#This Row],[Différence HP
Instantané]]/(Tableau1[[#This Row],[Diff jour
Instantané]]*24))</f>
        <v>0.23166023166106467</v>
      </c>
      <c r="L712" s="77">
        <f>Tableau1[[#This Row],[Différence HP
Instantané]]/Tableau1[[#This Row],[Diff jour
Instantané]]</f>
        <v>5.5598455598655523</v>
      </c>
      <c r="M712" s="77">
        <f>Tableau1[[#This Row],[Conso HP / jour
Instantané]]*365</f>
        <v>2029.3436293509267</v>
      </c>
      <c r="N712" s="79">
        <f>Tableau1[[#This Row],[Index HP
kWh]]-$I$5</f>
        <v>-175013</v>
      </c>
      <c r="O712" s="80">
        <f>Tableau1[[#This Row],[Différence HP
Cumul]]/(Tableau1[[#This Row],[Diff jour_x000D_
Cumul]]*24)</f>
        <v>-7.3980831229146204</v>
      </c>
      <c r="P712" s="80">
        <f>Tableau1[[#This Row],[Différence HP
Cumul]]/Tableau1[[#This Row],[Diff jour_x000D_
Cumul]]</f>
        <v>-177.55399494995089</v>
      </c>
      <c r="Q712" s="80">
        <f>Tableau1[[#This Row],[Conso HP / jour
Cumul]]*365</f>
        <v>-64807.208156732078</v>
      </c>
      <c r="R712" s="78">
        <v>2386</v>
      </c>
      <c r="S712" s="79">
        <f>Tableau1[[#This Row],[Index HC_x000D_
kWh]]-R711</f>
        <v>2</v>
      </c>
      <c r="T712" s="81">
        <f>Tableau1[[#This Row],[Différence_x000D_ HC
Instantané]]/(Tableau1[[#This Row],[Diff jour
Instantané]]*24)</f>
        <v>7.7220077220354885E-2</v>
      </c>
      <c r="U712" s="81">
        <f>Tableau1[[#This Row],[Différence_x000D_ HC
Instantané]]/Tableau1[[#This Row],[Diff jour
Instantané]]</f>
        <v>1.8532818532885174</v>
      </c>
      <c r="V712" s="81">
        <f>Tableau1[[#This Row],[Conso HC / jour_x000D_
Instantané]]*365</f>
        <v>676.44787645030885</v>
      </c>
      <c r="W712" s="79">
        <f>Tableau1[[#This Row],[Index HC_x000D_
kWh]]-$R$5</f>
        <v>-117046</v>
      </c>
      <c r="X712" s="82">
        <f>Tableau1[[#This Row],[Différence HC
Cumul]]/(Tableau1[[#This Row],[Diff jour_x000D_
Cumul]]*24)</f>
        <v>-4.9477240959509565</v>
      </c>
      <c r="Y712" s="82">
        <f>Tableau1[[#This Row],[Différence HC
Cumul]]/Tableau1[[#This Row],[Diff jour_x000D_
Cumul]]</f>
        <v>-118.74537830282294</v>
      </c>
      <c r="Z712" s="82">
        <f>Tableau1[[#This Row],[Conso HC / jour_x000D_
Cumul]]*365</f>
        <v>-43342.063080530374</v>
      </c>
      <c r="AA712" s="79">
        <f>Tableau1[[#This Row],[Différence HP
Instantané]]+Tableau1[[#This Row],[Différence_x000D_ HC
Instantané]]</f>
        <v>8</v>
      </c>
      <c r="AB712" s="80">
        <f>Tableau1[[#This Row],[Conso HP + HC
Instantané]]/(Tableau1[[#This Row],[Diff jour
Instantané]]*24)</f>
        <v>0.30888030888141954</v>
      </c>
      <c r="AC712" s="80">
        <f>IF(ISERROR(Tableau1[[#This Row],[Date]]-A711),"",Tableau1[[#This Row],[Conso HP + HC
Instantané]]/Tableau1[[#This Row],[Diff jour
Instantané]])</f>
        <v>7.4131274131540694</v>
      </c>
      <c r="AD712" s="80">
        <f>Tableau1[[#This Row],[Conso HP + HC / jour_x000D_
Instantané]]*365</f>
        <v>2705.7915058012354</v>
      </c>
      <c r="AE712" s="79">
        <f>Tableau1[[#This Row],[Différence HP
Cumul]]+Tableau1[[#This Row],[Différence HC
Cumul]]</f>
        <v>-292059</v>
      </c>
      <c r="AF712" s="77">
        <f>(Tableau1[[#This Row],[Conso HP + HC
Cumul]]-AE$6)/Tableau1[[#This Row],[Diff jour_x000D_
Cumul
depuis le 24/01]]</f>
        <v>-310.92050724340226</v>
      </c>
      <c r="AG712" s="77">
        <f>(Tableau1[[#This Row],[Conso HP + HC
Cumul]]-AE$59)/Tableau1[[#This Row],[Diff jour_x000D_
Cumul
depuis
précédente facture
16/02/2021]]</f>
        <v>-320.22532436920392</v>
      </c>
      <c r="AH712" s="80">
        <f>Tableau1[[#This Row],[Conso HP + HC
Cumul]]/(Tableau1[[#This Row],[Diff jour_x000D_
Cumul]]*24)</f>
        <v>-12.345807218865577</v>
      </c>
      <c r="AI712" s="80">
        <f>Tableau1[[#This Row],[Conso HP + HC
Cumul]]/Tableau1[[#This Row],[Diff jour_x000D_
Cumul]]</f>
        <v>-296.29937325277382</v>
      </c>
      <c r="AJ712" s="80">
        <f>Tableau1[[#This Row],[Conso HP + HC / jour_x000D_
Cumul]]*365</f>
        <v>-108149.27123726244</v>
      </c>
      <c r="AK712" s="83">
        <f>(Tableau1[[#This Row],[Différence HP
Cumul]]*0.1799)+(Tableau1[[#This Row],[Différence HC
Cumul]]*0.1346)</f>
        <v>-47239.230299999996</v>
      </c>
      <c r="AL712" s="83">
        <f>Tableau1[[#This Row],[Montant
Tarif HP/HC]]/Tableau1[[#This Row],[Diff jour_x000D_
Cumul]]</f>
        <v>-47.925091611056132</v>
      </c>
      <c r="AM712" s="83">
        <f>(Tableau1[[#This Row],[Montant
Tarif HP/HC]]-AK$6)/Tableau1[[#This Row],[Diff jour_x000D_
Cumul
depuis le 24/01]]</f>
        <v>-50.299046497311828</v>
      </c>
      <c r="AN712" s="83">
        <f>(Tableau1[[#This Row],[Montant
Tarif HP/HC]]-AK$59)/Tableau1[[#This Row],[Diff jour_x000D_
Cumul
depuis
précédente facture
16/02/2021]]</f>
        <v>-51.812683299753047</v>
      </c>
      <c r="AO712" s="83">
        <f>Tableau1[[#This Row],[Conso HP + HC
Cumul]]*0.1599</f>
        <v>-46700.234099999994</v>
      </c>
      <c r="AP712" s="83">
        <f>Tableau1[[#This Row],[Montant
Tarif normal]]/Tableau1[[#This Row],[Diff jour_x000D_
Cumul]]</f>
        <v>-47.378269783118533</v>
      </c>
      <c r="AQ712" s="83">
        <f>(Tableau1[[#This Row],[Conso HP / an
Cumul]]*0.1799)+(Tableau1[[#This Row],[Conso HC / an_x000D_
Cumul]]*0.1346)</f>
        <v>-17492.658438035491</v>
      </c>
      <c r="AR712" s="83">
        <f>Tableau1[[#This Row],[Conso HP + HC / an_x000D_
Cumul]]*0.1599</f>
        <v>-17293.068470838261</v>
      </c>
      <c r="AS712" s="79">
        <f>MONTH(Tableau1[[#This Row],[Date]])</f>
        <v>8</v>
      </c>
      <c r="AT712" s="79">
        <f>YEAR(Tableau1[[#This Row],[Date]])</f>
        <v>2023</v>
      </c>
    </row>
    <row r="713" spans="1:46" x14ac:dyDescent="0.2">
      <c r="A713" s="74">
        <v>45169.364583333336</v>
      </c>
      <c r="B713" s="75"/>
      <c r="C713" s="76">
        <f>IF(ISERROR(Tableau1[[#This Row],[Date]]-A712),"",Tableau1[[#This Row],[Date]]-A712)</f>
        <v>0.96736111111385981</v>
      </c>
      <c r="D713" s="77">
        <f>IF(ISERROR(Tableau1[[#This Row],[Date]]-A712),"",Tableau1[[#This Row],[Date]]-A712)</f>
        <v>0.96736111111385981</v>
      </c>
      <c r="E713" s="76">
        <f>Tableau1[[#This Row],[Date]]-$A$5</f>
        <v>986.65625</v>
      </c>
      <c r="F713" s="77">
        <f>Tableau1[[#This Row],[Date]]-$A$5</f>
        <v>986.65625</v>
      </c>
      <c r="G713" s="77">
        <f>Tableau1[[#This Row],[Diff jour_x000D_
Cumul]]-F$6</f>
        <v>948.57291666667152</v>
      </c>
      <c r="H713" s="77">
        <f>Tableau1[[#This Row],[Diff jour_x000D_
Cumul]]-F$59</f>
        <v>926.0534722222219</v>
      </c>
      <c r="I713" s="78">
        <v>4751</v>
      </c>
      <c r="J713" s="79">
        <f>IF(ISERROR(Tableau1[[#This Row],[Index HP
kWh]]-I712),"",Tableau1[[#This Row],[Index HP
kWh]]-I712)</f>
        <v>5</v>
      </c>
      <c r="K713" s="77">
        <f>IF(ISERROR(Tableau1[[#This Row],[Différence HP
Instantané]]/(Tableau1[[#This Row],[Diff jour
Instantané]]*24)),"",Tableau1[[#This Row],[Différence HP
Instantané]]/(Tableau1[[#This Row],[Diff jour
Instantané]]*24))</f>
        <v>0.21536252691970392</v>
      </c>
      <c r="L713" s="77">
        <f>Tableau1[[#This Row],[Différence HP
Instantané]]/Tableau1[[#This Row],[Diff jour
Instantané]]</f>
        <v>5.1687006460728941</v>
      </c>
      <c r="M713" s="77">
        <f>Tableau1[[#This Row],[Conso HP / jour
Instantané]]*365</f>
        <v>1886.5757358166063</v>
      </c>
      <c r="N713" s="79">
        <f>Tableau1[[#This Row],[Index HP
kWh]]-$I$5</f>
        <v>-175008</v>
      </c>
      <c r="O713" s="80">
        <f>Tableau1[[#This Row],[Différence HP
Cumul]]/(Tableau1[[#This Row],[Diff jour_x000D_
Cumul]]*24)</f>
        <v>-7.3906185664966904</v>
      </c>
      <c r="P713" s="80">
        <f>Tableau1[[#This Row],[Différence HP
Cumul]]/Tableau1[[#This Row],[Diff jour_x000D_
Cumul]]</f>
        <v>-177.37484559592056</v>
      </c>
      <c r="Q713" s="80">
        <f>Tableau1[[#This Row],[Conso HP / jour
Cumul]]*365</f>
        <v>-64741.818642511003</v>
      </c>
      <c r="R713" s="78">
        <v>2388</v>
      </c>
      <c r="S713" s="79">
        <f>Tableau1[[#This Row],[Index HC_x000D_
kWh]]-R712</f>
        <v>2</v>
      </c>
      <c r="T713" s="81">
        <f>Tableau1[[#This Row],[Différence_x000D_ HC
Instantané]]/(Tableau1[[#This Row],[Diff jour
Instantané]]*24)</f>
        <v>8.6145010767881572E-2</v>
      </c>
      <c r="U713" s="81">
        <f>Tableau1[[#This Row],[Différence_x000D_ HC
Instantané]]/Tableau1[[#This Row],[Diff jour
Instantané]]</f>
        <v>2.0674802584291578</v>
      </c>
      <c r="V713" s="81">
        <f>Tableau1[[#This Row],[Conso HC / jour_x000D_
Instantané]]*365</f>
        <v>754.63029432664257</v>
      </c>
      <c r="W713" s="79">
        <f>Tableau1[[#This Row],[Index HC_x000D_
kWh]]-$R$5</f>
        <v>-117044</v>
      </c>
      <c r="X713" s="82">
        <f>Tableau1[[#This Row],[Différence HC
Cumul]]/(Tableau1[[#This Row],[Diff jour_x000D_
Cumul]]*24)</f>
        <v>-4.9427886696438943</v>
      </c>
      <c r="Y713" s="82">
        <f>Tableau1[[#This Row],[Différence HC
Cumul]]/Tableau1[[#This Row],[Diff jour_x000D_
Cumul]]</f>
        <v>-118.62692807145346</v>
      </c>
      <c r="Z713" s="82">
        <f>Tableau1[[#This Row],[Conso HC / jour_x000D_
Cumul]]*365</f>
        <v>-43298.828746080515</v>
      </c>
      <c r="AA713" s="79">
        <f>Tableau1[[#This Row],[Différence HP
Instantané]]+Tableau1[[#This Row],[Différence_x000D_ HC
Instantané]]</f>
        <v>7</v>
      </c>
      <c r="AB713" s="80">
        <f>Tableau1[[#This Row],[Conso HP + HC
Instantané]]/(Tableau1[[#This Row],[Diff jour
Instantané]]*24)</f>
        <v>0.30150753768758548</v>
      </c>
      <c r="AC713" s="80">
        <f>IF(ISERROR(Tableau1[[#This Row],[Date]]-A712),"",Tableau1[[#This Row],[Conso HP + HC
Instantané]]/Tableau1[[#This Row],[Diff jour
Instantané]])</f>
        <v>7.236180904502052</v>
      </c>
      <c r="AD713" s="80">
        <f>Tableau1[[#This Row],[Conso HP + HC / jour_x000D_
Instantané]]*365</f>
        <v>2641.2060301432489</v>
      </c>
      <c r="AE713" s="79">
        <f>Tableau1[[#This Row],[Différence HP
Cumul]]+Tableau1[[#This Row],[Différence HC
Cumul]]</f>
        <v>-292052</v>
      </c>
      <c r="AF713" s="77">
        <f>(Tableau1[[#This Row],[Conso HP + HC
Cumul]]-AE$6)/Tableau1[[#This Row],[Diff jour_x000D_
Cumul
depuis le 24/01]]</f>
        <v>-310.59604888922894</v>
      </c>
      <c r="AG713" s="77">
        <f>(Tableau1[[#This Row],[Conso HP + HC
Cumul]]-AE$59)/Tableau1[[#This Row],[Diff jour_x000D_
Cumul
depuis
précédente facture
16/02/2021]]</f>
        <v>-319.88325608147488</v>
      </c>
      <c r="AH713" s="80">
        <f>Tableau1[[#This Row],[Conso HP + HC
Cumul]]/(Tableau1[[#This Row],[Diff jour_x000D_
Cumul]]*24)</f>
        <v>-12.333407236140584</v>
      </c>
      <c r="AI713" s="80">
        <f>Tableau1[[#This Row],[Conso HP + HC
Cumul]]/Tableau1[[#This Row],[Diff jour_x000D_
Cumul]]</f>
        <v>-296.00177366737404</v>
      </c>
      <c r="AJ713" s="80">
        <f>Tableau1[[#This Row],[Conso HP + HC / jour_x000D_
Cumul]]*365</f>
        <v>-108040.64738859152</v>
      </c>
      <c r="AK713" s="83">
        <f>(Tableau1[[#This Row],[Différence HP
Cumul]]*0.1799)+(Tableau1[[#This Row],[Différence HC
Cumul]]*0.1346)</f>
        <v>-47238.061600000001</v>
      </c>
      <c r="AL713" s="83">
        <f>Tableau1[[#This Row],[Montant
Tarif HP/HC]]/Tableau1[[#This Row],[Diff jour_x000D_
Cumul]]</f>
        <v>-47.876919241123744</v>
      </c>
      <c r="AM713" s="83">
        <f>(Tableau1[[#This Row],[Montant
Tarif HP/HC]]-AK$6)/Tableau1[[#This Row],[Diff jour_x000D_
Cumul
depuis le 24/01]]</f>
        <v>-50.246519126318887</v>
      </c>
      <c r="AN713" s="83">
        <f>(Tableau1[[#This Row],[Montant
Tarif HP/HC]]-AK$59)/Tableau1[[#This Row],[Diff jour_x000D_
Cumul
depuis
précédente facture
16/02/2021]]</f>
        <v>-51.757297432278726</v>
      </c>
      <c r="AO713" s="83">
        <f>Tableau1[[#This Row],[Conso HP + HC
Cumul]]*0.1599</f>
        <v>-46699.114799999996</v>
      </c>
      <c r="AP713" s="83">
        <f>Tableau1[[#This Row],[Montant
Tarif normal]]/Tableau1[[#This Row],[Diff jour_x000D_
Cumul]]</f>
        <v>-47.3306836094131</v>
      </c>
      <c r="AQ713" s="83">
        <f>(Tableau1[[#This Row],[Conso HP / an
Cumul]]*0.1799)+(Tableau1[[#This Row],[Conso HC / an_x000D_
Cumul]]*0.1346)</f>
        <v>-17475.075523010168</v>
      </c>
      <c r="AR713" s="83">
        <f>Tableau1[[#This Row],[Conso HP + HC / an_x000D_
Cumul]]*0.1599</f>
        <v>-17275.699517435783</v>
      </c>
      <c r="AS713" s="79">
        <f>MONTH(Tableau1[[#This Row],[Date]])</f>
        <v>8</v>
      </c>
      <c r="AT713" s="79">
        <f>YEAR(Tableau1[[#This Row],[Date]])</f>
        <v>2023</v>
      </c>
    </row>
    <row r="714" spans="1:46" x14ac:dyDescent="0.2">
      <c r="A714" s="74">
        <v>45170.324999999997</v>
      </c>
      <c r="B714" s="75"/>
      <c r="C714" s="76">
        <f>IF(ISERROR(Tableau1[[#This Row],[Date]]-A713),"",Tableau1[[#This Row],[Date]]-A713)</f>
        <v>0.96041666666133096</v>
      </c>
      <c r="D714" s="77">
        <f>IF(ISERROR(Tableau1[[#This Row],[Date]]-A713),"",Tableau1[[#This Row],[Date]]-A713)</f>
        <v>0.96041666666133096</v>
      </c>
      <c r="E714" s="76">
        <f>Tableau1[[#This Row],[Date]]-$A$5</f>
        <v>987.61666666666133</v>
      </c>
      <c r="F714" s="77">
        <f>Tableau1[[#This Row],[Date]]-$A$5</f>
        <v>987.61666666666133</v>
      </c>
      <c r="G714" s="77">
        <f>Tableau1[[#This Row],[Diff jour_x000D_
Cumul]]-F$6</f>
        <v>949.53333333333285</v>
      </c>
      <c r="H714" s="77">
        <f>Tableau1[[#This Row],[Diff jour_x000D_
Cumul]]-F$59</f>
        <v>927.01388888888323</v>
      </c>
      <c r="I714" s="78">
        <v>4755</v>
      </c>
      <c r="J714" s="79">
        <f>IF(ISERROR(Tableau1[[#This Row],[Index HP
kWh]]-I713),"",Tableau1[[#This Row],[Index HP
kWh]]-I713)</f>
        <v>4</v>
      </c>
      <c r="K714" s="77">
        <f>IF(ISERROR(Tableau1[[#This Row],[Différence HP
Instantané]]/(Tableau1[[#This Row],[Diff jour
Instantané]]*24)),"",Tableau1[[#This Row],[Différence HP
Instantané]]/(Tableau1[[#This Row],[Diff jour
Instantané]]*24))</f>
        <v>0.17353579175801398</v>
      </c>
      <c r="L714" s="77">
        <f>Tableau1[[#This Row],[Différence HP
Instantané]]/Tableau1[[#This Row],[Diff jour
Instantané]]</f>
        <v>4.164859002192336</v>
      </c>
      <c r="M714" s="77">
        <f>Tableau1[[#This Row],[Conso HP / jour
Instantané]]*365</f>
        <v>1520.1735358002027</v>
      </c>
      <c r="N714" s="79">
        <f>Tableau1[[#This Row],[Index HP
kWh]]-$I$5</f>
        <v>-175004</v>
      </c>
      <c r="O714" s="80">
        <f>Tableau1[[#This Row],[Différence HP
Cumul]]/(Tableau1[[#This Row],[Diff jour_x000D_
Cumul]]*24)</f>
        <v>-7.3832627368918837</v>
      </c>
      <c r="P714" s="80">
        <f>Tableau1[[#This Row],[Différence HP
Cumul]]/Tableau1[[#This Row],[Diff jour_x000D_
Cumul]]</f>
        <v>-177.19830568540522</v>
      </c>
      <c r="Q714" s="80">
        <f>Tableau1[[#This Row],[Conso HP / jour
Cumul]]*365</f>
        <v>-64677.381575172905</v>
      </c>
      <c r="R714" s="78">
        <v>2390</v>
      </c>
      <c r="S714" s="79">
        <f>Tableau1[[#This Row],[Index HC_x000D_
kWh]]-R713</f>
        <v>2</v>
      </c>
      <c r="T714" s="81">
        <f>Tableau1[[#This Row],[Différence_x000D_ HC
Instantané]]/(Tableau1[[#This Row],[Diff jour
Instantané]]*24)</f>
        <v>8.676789587900699E-2</v>
      </c>
      <c r="U714" s="81">
        <f>Tableau1[[#This Row],[Différence_x000D_ HC
Instantané]]/Tableau1[[#This Row],[Diff jour
Instantané]]</f>
        <v>2.082429501096168</v>
      </c>
      <c r="V714" s="81">
        <f>Tableau1[[#This Row],[Conso HC / jour_x000D_
Instantané]]*365</f>
        <v>760.08676790010134</v>
      </c>
      <c r="W714" s="79">
        <f>Tableau1[[#This Row],[Index HC_x000D_
kWh]]-$R$5</f>
        <v>-117042</v>
      </c>
      <c r="X714" s="82">
        <f>Tableau1[[#This Row],[Différence HC
Cumul]]/(Tableau1[[#This Row],[Diff jour_x000D_
Cumul]]*24)</f>
        <v>-4.9378976323472603</v>
      </c>
      <c r="Y714" s="82">
        <f>Tableau1[[#This Row],[Différence HC
Cumul]]/Tableau1[[#This Row],[Diff jour_x000D_
Cumul]]</f>
        <v>-118.50954317633423</v>
      </c>
      <c r="Z714" s="82">
        <f>Tableau1[[#This Row],[Conso HC / jour_x000D_
Cumul]]*365</f>
        <v>-43255.983259361994</v>
      </c>
      <c r="AA714" s="79">
        <f>Tableau1[[#This Row],[Différence HP
Instantané]]+Tableau1[[#This Row],[Différence_x000D_ HC
Instantané]]</f>
        <v>6</v>
      </c>
      <c r="AB714" s="80">
        <f>Tableau1[[#This Row],[Conso HP + HC
Instantané]]/(Tableau1[[#This Row],[Diff jour
Instantané]]*24)</f>
        <v>0.260303687637021</v>
      </c>
      <c r="AC714" s="80">
        <f>IF(ISERROR(Tableau1[[#This Row],[Date]]-A713),"",Tableau1[[#This Row],[Conso HP + HC
Instantané]]/Tableau1[[#This Row],[Diff jour
Instantané]])</f>
        <v>6.2472885032885035</v>
      </c>
      <c r="AD714" s="80">
        <f>Tableau1[[#This Row],[Conso HP + HC / jour_x000D_
Instantané]]*365</f>
        <v>2280.2603037003037</v>
      </c>
      <c r="AE714" s="79">
        <f>Tableau1[[#This Row],[Différence HP
Cumul]]+Tableau1[[#This Row],[Différence HC
Cumul]]</f>
        <v>-292046</v>
      </c>
      <c r="AF714" s="77">
        <f>(Tableau1[[#This Row],[Conso HP + HC
Cumul]]-AE$6)/Tableau1[[#This Row],[Diff jour_x000D_
Cumul
depuis le 24/01]]</f>
        <v>-310.27557396615896</v>
      </c>
      <c r="AG714" s="77">
        <f>(Tableau1[[#This Row],[Conso HP + HC
Cumul]]-AE$59)/Tableau1[[#This Row],[Diff jour_x000D_
Cumul
depuis
précédente facture
16/02/2021]]</f>
        <v>-319.5453741853342</v>
      </c>
      <c r="AH714" s="80">
        <f>Tableau1[[#This Row],[Conso HP + HC
Cumul]]/(Tableau1[[#This Row],[Diff jour_x000D_
Cumul]]*24)</f>
        <v>-12.321160369239143</v>
      </c>
      <c r="AI714" s="80">
        <f>Tableau1[[#This Row],[Conso HP + HC
Cumul]]/Tableau1[[#This Row],[Diff jour_x000D_
Cumul]]</f>
        <v>-295.70784886173948</v>
      </c>
      <c r="AJ714" s="80">
        <f>Tableau1[[#This Row],[Conso HP + HC / jour_x000D_
Cumul]]*365</f>
        <v>-107933.36483453491</v>
      </c>
      <c r="AK714" s="83">
        <f>(Tableau1[[#This Row],[Différence HP
Cumul]]*0.1799)+(Tableau1[[#This Row],[Différence HC
Cumul]]*0.1346)</f>
        <v>-47237.072800000002</v>
      </c>
      <c r="AL714" s="83">
        <f>Tableau1[[#This Row],[Montant
Tarif HP/HC]]/Tableau1[[#This Row],[Diff jour_x000D_
Cumul]]</f>
        <v>-47.829359704338991</v>
      </c>
      <c r="AM714" s="83">
        <f>(Tableau1[[#This Row],[Montant
Tarif HP/HC]]-AK$6)/Tableau1[[#This Row],[Diff jour_x000D_
Cumul
depuis le 24/01]]</f>
        <v>-50.194655339465029</v>
      </c>
      <c r="AN714" s="83">
        <f>(Tableau1[[#This Row],[Montant
Tarif HP/HC]]-AK$59)/Tableau1[[#This Row],[Diff jour_x000D_
Cumul
depuis
précédente facture
16/02/2021]]</f>
        <v>-51.70260853097642</v>
      </c>
      <c r="AO714" s="83">
        <f>Tableau1[[#This Row],[Conso HP + HC
Cumul]]*0.1599</f>
        <v>-46698.155399999996</v>
      </c>
      <c r="AP714" s="83">
        <f>Tableau1[[#This Row],[Montant
Tarif normal]]/Tableau1[[#This Row],[Diff jour_x000D_
Cumul]]</f>
        <v>-47.283685032992132</v>
      </c>
      <c r="AQ714" s="83">
        <f>(Tableau1[[#This Row],[Conso HP / an
Cumul]]*0.1799)+(Tableau1[[#This Row],[Conso HC / an_x000D_
Cumul]]*0.1346)</f>
        <v>-17457.716292083729</v>
      </c>
      <c r="AR714" s="83">
        <f>Tableau1[[#This Row],[Conso HP + HC / an_x000D_
Cumul]]*0.1599</f>
        <v>-17258.545037042131</v>
      </c>
      <c r="AS714" s="79">
        <f>MONTH(Tableau1[[#This Row],[Date]])</f>
        <v>9</v>
      </c>
      <c r="AT714" s="79">
        <f>YEAR(Tableau1[[#This Row],[Date]])</f>
        <v>2023</v>
      </c>
    </row>
    <row r="715" spans="1:46" x14ac:dyDescent="0.2">
      <c r="A715" s="74">
        <v>45171.439583333333</v>
      </c>
      <c r="B715" s="75"/>
      <c r="C715" s="76">
        <f>IF(ISERROR(Tableau1[[#This Row],[Date]]-A714),"",Tableau1[[#This Row],[Date]]-A714)</f>
        <v>1.1145833333357587</v>
      </c>
      <c r="D715" s="77">
        <f>IF(ISERROR(Tableau1[[#This Row],[Date]]-A714),"",Tableau1[[#This Row],[Date]]-A714)</f>
        <v>1.1145833333357587</v>
      </c>
      <c r="E715" s="76">
        <f>Tableau1[[#This Row],[Date]]-$A$5</f>
        <v>988.73124999999709</v>
      </c>
      <c r="F715" s="77">
        <f>Tableau1[[#This Row],[Date]]-$A$5</f>
        <v>988.73124999999709</v>
      </c>
      <c r="G715" s="77">
        <f>Tableau1[[#This Row],[Diff jour_x000D_
Cumul]]-F$6</f>
        <v>950.64791666666861</v>
      </c>
      <c r="H715" s="77">
        <f>Tableau1[[#This Row],[Diff jour_x000D_
Cumul]]-F$59</f>
        <v>928.12847222221899</v>
      </c>
      <c r="I715" s="78">
        <v>4766</v>
      </c>
      <c r="J715" s="79">
        <f>IF(ISERROR(Tableau1[[#This Row],[Index HP
kWh]]-I714),"",Tableau1[[#This Row],[Index HP
kWh]]-I714)</f>
        <v>11</v>
      </c>
      <c r="K715" s="77">
        <f>IF(ISERROR(Tableau1[[#This Row],[Différence HP
Instantané]]/(Tableau1[[#This Row],[Diff jour
Instantané]]*24)),"",Tableau1[[#This Row],[Différence HP
Instantané]]/(Tableau1[[#This Row],[Diff jour
Instantané]]*24))</f>
        <v>0.41121495327013324</v>
      </c>
      <c r="L715" s="77">
        <f>Tableau1[[#This Row],[Différence HP
Instantané]]/Tableau1[[#This Row],[Diff jour
Instantané]]</f>
        <v>9.8691588784831978</v>
      </c>
      <c r="M715" s="77">
        <f>Tableau1[[#This Row],[Conso HP / jour
Instantané]]*365</f>
        <v>3602.2429906463672</v>
      </c>
      <c r="N715" s="79">
        <f>Tableau1[[#This Row],[Index HP
kWh]]-$I$5</f>
        <v>-174993</v>
      </c>
      <c r="O715" s="80">
        <f>Tableau1[[#This Row],[Différence HP
Cumul]]/(Tableau1[[#This Row],[Diff jour_x000D_
Cumul]]*24)</f>
        <v>-7.3744761278659103</v>
      </c>
      <c r="P715" s="80">
        <f>Tableau1[[#This Row],[Différence HP
Cumul]]/Tableau1[[#This Row],[Diff jour_x000D_
Cumul]]</f>
        <v>-176.98742706878184</v>
      </c>
      <c r="Q715" s="80">
        <f>Tableau1[[#This Row],[Conso HP / jour
Cumul]]*365</f>
        <v>-64600.410880105374</v>
      </c>
      <c r="R715" s="78">
        <v>2395</v>
      </c>
      <c r="S715" s="79">
        <f>Tableau1[[#This Row],[Index HC_x000D_
kWh]]-R714</f>
        <v>5</v>
      </c>
      <c r="T715" s="81">
        <f>Tableau1[[#This Row],[Différence_x000D_ HC
Instantané]]/(Tableau1[[#This Row],[Diff jour
Instantané]]*24)</f>
        <v>0.18691588785006055</v>
      </c>
      <c r="U715" s="81">
        <f>Tableau1[[#This Row],[Différence_x000D_ HC
Instantané]]/Tableau1[[#This Row],[Diff jour
Instantané]]</f>
        <v>4.4859813084014535</v>
      </c>
      <c r="V715" s="81">
        <f>Tableau1[[#This Row],[Conso HC / jour_x000D_
Instantané]]*365</f>
        <v>1637.3831775665305</v>
      </c>
      <c r="W715" s="79">
        <f>Tableau1[[#This Row],[Index HC_x000D_
kWh]]-$R$5</f>
        <v>-117037</v>
      </c>
      <c r="X715" s="82">
        <f>Tableau1[[#This Row],[Différence HC
Cumul]]/(Tableau1[[#This Row],[Diff jour_x000D_
Cumul]]*24)</f>
        <v>-4.9321204995459391</v>
      </c>
      <c r="Y715" s="82">
        <f>Tableau1[[#This Row],[Différence HC
Cumul]]/Tableau1[[#This Row],[Diff jour_x000D_
Cumul]]</f>
        <v>-118.37089198910255</v>
      </c>
      <c r="Z715" s="82">
        <f>Tableau1[[#This Row],[Conso HC / jour_x000D_
Cumul]]*365</f>
        <v>-43205.37557602243</v>
      </c>
      <c r="AA715" s="79">
        <f>Tableau1[[#This Row],[Différence HP
Instantané]]+Tableau1[[#This Row],[Différence_x000D_ HC
Instantané]]</f>
        <v>16</v>
      </c>
      <c r="AB715" s="80">
        <f>Tableau1[[#This Row],[Conso HP + HC
Instantané]]/(Tableau1[[#This Row],[Diff jour
Instantané]]*24)</f>
        <v>0.59813084112019377</v>
      </c>
      <c r="AC715" s="80">
        <f>IF(ISERROR(Tableau1[[#This Row],[Date]]-A714),"",Tableau1[[#This Row],[Conso HP + HC
Instantané]]/Tableau1[[#This Row],[Diff jour
Instantané]])</f>
        <v>14.35514018688465</v>
      </c>
      <c r="AD715" s="80">
        <f>Tableau1[[#This Row],[Conso HP + HC / jour_x000D_
Instantané]]*365</f>
        <v>5239.626168212897</v>
      </c>
      <c r="AE715" s="79">
        <f>Tableau1[[#This Row],[Différence HP
Cumul]]+Tableau1[[#This Row],[Différence HC
Cumul]]</f>
        <v>-292030</v>
      </c>
      <c r="AF715" s="77">
        <f>(Tableau1[[#This Row],[Conso HP + HC
Cumul]]-AE$6)/Tableau1[[#This Row],[Diff jour_x000D_
Cumul
depuis le 24/01]]</f>
        <v>-309.8949619886431</v>
      </c>
      <c r="AG715" s="77">
        <f>(Tableau1[[#This Row],[Conso HP + HC
Cumul]]-AE$59)/Tableau1[[#This Row],[Diff jour_x000D_
Cumul
depuis
précédente facture
16/02/2021]]</f>
        <v>-319.1443952697532</v>
      </c>
      <c r="AH715" s="80">
        <f>Tableau1[[#This Row],[Conso HP + HC
Cumul]]/(Tableau1[[#This Row],[Diff jour_x000D_
Cumul]]*24)</f>
        <v>-12.306596627411849</v>
      </c>
      <c r="AI715" s="80">
        <f>Tableau1[[#This Row],[Conso HP + HC
Cumul]]/Tableau1[[#This Row],[Diff jour_x000D_
Cumul]]</f>
        <v>-295.35831905788439</v>
      </c>
      <c r="AJ715" s="80">
        <f>Tableau1[[#This Row],[Conso HP + HC / jour_x000D_
Cumul]]*365</f>
        <v>-107805.7864561278</v>
      </c>
      <c r="AK715" s="83">
        <f>(Tableau1[[#This Row],[Différence HP
Cumul]]*0.1799)+(Tableau1[[#This Row],[Différence HC
Cumul]]*0.1346)</f>
        <v>-47234.420899999997</v>
      </c>
      <c r="AL715" s="83">
        <f>Tableau1[[#This Row],[Montant
Tarif HP/HC]]/Tableau1[[#This Row],[Diff jour_x000D_
Cumul]]</f>
        <v>-47.772760191407052</v>
      </c>
      <c r="AM715" s="83">
        <f>(Tableau1[[#This Row],[Montant
Tarif HP/HC]]-AK$6)/Tableau1[[#This Row],[Diff jour_x000D_
Cumul
depuis le 24/01]]</f>
        <v>-50.133015246180683</v>
      </c>
      <c r="AN715" s="83">
        <f>(Tableau1[[#This Row],[Montant
Tarif HP/HC]]-AK$59)/Tableau1[[#This Row],[Diff jour_x000D_
Cumul
depuis
précédente facture
16/02/2021]]</f>
        <v>-51.637661955623237</v>
      </c>
      <c r="AO715" s="83">
        <f>Tableau1[[#This Row],[Conso HP + HC
Cumul]]*0.1599</f>
        <v>-46695.596999999994</v>
      </c>
      <c r="AP715" s="83">
        <f>Tableau1[[#This Row],[Montant
Tarif normal]]/Tableau1[[#This Row],[Diff jour_x000D_
Cumul]]</f>
        <v>-47.227795217355705</v>
      </c>
      <c r="AQ715" s="83">
        <f>(Tableau1[[#This Row],[Conso HP / an
Cumul]]*0.1799)+(Tableau1[[#This Row],[Conso HC / an_x000D_
Cumul]]*0.1346)</f>
        <v>-17437.057469863576</v>
      </c>
      <c r="AR715" s="83">
        <f>Tableau1[[#This Row],[Conso HP + HC / an_x000D_
Cumul]]*0.1599</f>
        <v>-17238.145254334831</v>
      </c>
      <c r="AS715" s="79">
        <f>MONTH(Tableau1[[#This Row],[Date]])</f>
        <v>9</v>
      </c>
      <c r="AT715" s="79">
        <f>YEAR(Tableau1[[#This Row],[Date]])</f>
        <v>2023</v>
      </c>
    </row>
    <row r="716" spans="1:46" x14ac:dyDescent="0.2">
      <c r="A716" s="74">
        <v>45172.44027777778</v>
      </c>
      <c r="B716" s="75"/>
      <c r="C716" s="76">
        <f>IF(ISERROR(Tableau1[[#This Row],[Date]]-A715),"",Tableau1[[#This Row],[Date]]-A715)</f>
        <v>1.0006944444467081</v>
      </c>
      <c r="D716" s="77">
        <f>IF(ISERROR(Tableau1[[#This Row],[Date]]-A715),"",Tableau1[[#This Row],[Date]]-A715)</f>
        <v>1.0006944444467081</v>
      </c>
      <c r="E716" s="76">
        <f>Tableau1[[#This Row],[Date]]-$A$5</f>
        <v>989.7319444444438</v>
      </c>
      <c r="F716" s="77">
        <f>Tableau1[[#This Row],[Date]]-$A$5</f>
        <v>989.7319444444438</v>
      </c>
      <c r="G716" s="77">
        <f>Tableau1[[#This Row],[Diff jour_x000D_
Cumul]]-F$6</f>
        <v>951.64861111111531</v>
      </c>
      <c r="H716" s="77">
        <f>Tableau1[[#This Row],[Diff jour_x000D_
Cumul]]-F$59</f>
        <v>929.1291666666657</v>
      </c>
      <c r="I716" s="78">
        <v>4772</v>
      </c>
      <c r="J716" s="79">
        <f>IF(ISERROR(Tableau1[[#This Row],[Index HP
kWh]]-I715),"",Tableau1[[#This Row],[Index HP
kWh]]-I715)</f>
        <v>6</v>
      </c>
      <c r="K716" s="77">
        <f>IF(ISERROR(Tableau1[[#This Row],[Différence HP
Instantané]]/(Tableau1[[#This Row],[Diff jour
Instantané]]*24)),"",Tableau1[[#This Row],[Différence HP
Instantané]]/(Tableau1[[#This Row],[Diff jour
Instantané]]*24))</f>
        <v>0.24982650936792897</v>
      </c>
      <c r="L716" s="77">
        <f>Tableau1[[#This Row],[Différence HP
Instantané]]/Tableau1[[#This Row],[Diff jour
Instantané]]</f>
        <v>5.9958362248302954</v>
      </c>
      <c r="M716" s="77">
        <f>Tableau1[[#This Row],[Conso HP / jour
Instantané]]*365</f>
        <v>2188.4802220630577</v>
      </c>
      <c r="N716" s="79">
        <f>Tableau1[[#This Row],[Index HP
kWh]]-$I$5</f>
        <v>-174987</v>
      </c>
      <c r="O716" s="80">
        <f>Tableau1[[#This Row],[Différence HP
Cumul]]/(Tableau1[[#This Row],[Diff jour_x000D_
Cumul]]*24)</f>
        <v>-7.3667673766886983</v>
      </c>
      <c r="P716" s="80">
        <f>Tableau1[[#This Row],[Différence HP
Cumul]]/Tableau1[[#This Row],[Diff jour_x000D_
Cumul]]</f>
        <v>-176.80241704052875</v>
      </c>
      <c r="Q716" s="80">
        <f>Tableau1[[#This Row],[Conso HP / jour
Cumul]]*365</f>
        <v>-64532.882219792991</v>
      </c>
      <c r="R716" s="78">
        <v>2398</v>
      </c>
      <c r="S716" s="79">
        <f>Tableau1[[#This Row],[Index HC_x000D_
kWh]]-R715</f>
        <v>3</v>
      </c>
      <c r="T716" s="81">
        <f>Tableau1[[#This Row],[Différence_x000D_ HC
Instantané]]/(Tableau1[[#This Row],[Diff jour
Instantané]]*24)</f>
        <v>0.12491325468396448</v>
      </c>
      <c r="U716" s="81">
        <f>Tableau1[[#This Row],[Différence_x000D_ HC
Instantané]]/Tableau1[[#This Row],[Diff jour
Instantané]]</f>
        <v>2.9979181124151477</v>
      </c>
      <c r="V716" s="81">
        <f>Tableau1[[#This Row],[Conso HC / jour_x000D_
Instantané]]*365</f>
        <v>1094.2401110315288</v>
      </c>
      <c r="W716" s="79">
        <f>Tableau1[[#This Row],[Index HC_x000D_
kWh]]-$R$5</f>
        <v>-117034</v>
      </c>
      <c r="X716" s="82">
        <f>Tableau1[[#This Row],[Différence HC
Cumul]]/(Tableau1[[#This Row],[Diff jour_x000D_
Cumul]]*24)</f>
        <v>-4.9270074529158459</v>
      </c>
      <c r="Y716" s="82">
        <f>Tableau1[[#This Row],[Différence HC
Cumul]]/Tableau1[[#This Row],[Diff jour_x000D_
Cumul]]</f>
        <v>-118.24817886998031</v>
      </c>
      <c r="Z716" s="82">
        <f>Tableau1[[#This Row],[Conso HC / jour_x000D_
Cumul]]*365</f>
        <v>-43160.58528754281</v>
      </c>
      <c r="AA716" s="79">
        <f>Tableau1[[#This Row],[Différence HP
Instantané]]+Tableau1[[#This Row],[Différence_x000D_ HC
Instantané]]</f>
        <v>9</v>
      </c>
      <c r="AB716" s="80">
        <f>Tableau1[[#This Row],[Conso HP + HC
Instantané]]/(Tableau1[[#This Row],[Diff jour
Instantané]]*24)</f>
        <v>0.37473976405189346</v>
      </c>
      <c r="AC716" s="80">
        <f>IF(ISERROR(Tableau1[[#This Row],[Date]]-A715),"",Tableau1[[#This Row],[Conso HP + HC
Instantané]]/Tableau1[[#This Row],[Diff jour
Instantané]])</f>
        <v>8.9937543372454432</v>
      </c>
      <c r="AD716" s="80">
        <f>Tableau1[[#This Row],[Conso HP + HC / jour_x000D_
Instantané]]*365</f>
        <v>3282.7203330945867</v>
      </c>
      <c r="AE716" s="79">
        <f>Tableau1[[#This Row],[Différence HP
Cumul]]+Tableau1[[#This Row],[Différence HC
Cumul]]</f>
        <v>-292021</v>
      </c>
      <c r="AF716" s="77">
        <f>(Tableau1[[#This Row],[Conso HP + HC
Cumul]]-AE$6)/Tableau1[[#This Row],[Diff jour_x000D_
Cumul
depuis le 24/01]]</f>
        <v>-309.55963846365893</v>
      </c>
      <c r="AG716" s="77">
        <f>(Tableau1[[#This Row],[Conso HP + HC
Cumul]]-AE$59)/Tableau1[[#This Row],[Diff jour_x000D_
Cumul
depuis
précédente facture
16/02/2021]]</f>
        <v>-318.79098259571049</v>
      </c>
      <c r="AH716" s="80">
        <f>Tableau1[[#This Row],[Conso HP + HC
Cumul]]/(Tableau1[[#This Row],[Diff jour_x000D_
Cumul]]*24)</f>
        <v>-12.293774829604544</v>
      </c>
      <c r="AI716" s="80">
        <f>Tableau1[[#This Row],[Conso HP + HC
Cumul]]/Tableau1[[#This Row],[Diff jour_x000D_
Cumul]]</f>
        <v>-295.05059591050906</v>
      </c>
      <c r="AJ716" s="80">
        <f>Tableau1[[#This Row],[Conso HP + HC / jour_x000D_
Cumul]]*365</f>
        <v>-107693.46750733581</v>
      </c>
      <c r="AK716" s="83">
        <f>(Tableau1[[#This Row],[Différence HP
Cumul]]*0.1799)+(Tableau1[[#This Row],[Différence HC
Cumul]]*0.1346)</f>
        <v>-47232.937699999995</v>
      </c>
      <c r="AL716" s="83">
        <f>Tableau1[[#This Row],[Montant
Tarif HP/HC]]/Tableau1[[#This Row],[Diff jour_x000D_
Cumul]]</f>
        <v>-47.722959701490467</v>
      </c>
      <c r="AM716" s="83">
        <f>(Tableau1[[#This Row],[Montant
Tarif HP/HC]]-AK$6)/Tableau1[[#This Row],[Diff jour_x000D_
Cumul
depuis le 24/01]]</f>
        <v>-50.078739929391311</v>
      </c>
      <c r="AN716" s="83">
        <f>(Tableau1[[#This Row],[Montant
Tarif HP/HC]]-AK$59)/Tableau1[[#This Row],[Diff jour_x000D_
Cumul
depuis
précédente facture
16/02/2021]]</f>
        <v>-51.580450619083329</v>
      </c>
      <c r="AO716" s="83">
        <f>Tableau1[[#This Row],[Conso HP + HC
Cumul]]*0.1599</f>
        <v>-46694.157899999998</v>
      </c>
      <c r="AP716" s="83">
        <f>Tableau1[[#This Row],[Montant
Tarif normal]]/Tableau1[[#This Row],[Diff jour_x000D_
Cumul]]</f>
        <v>-47.178590286090397</v>
      </c>
      <c r="AQ716" s="83">
        <f>(Tableau1[[#This Row],[Conso HP / an
Cumul]]*0.1799)+(Tableau1[[#This Row],[Conso HC / an_x000D_
Cumul]]*0.1346)</f>
        <v>-17418.880291044021</v>
      </c>
      <c r="AR716" s="83">
        <f>Tableau1[[#This Row],[Conso HP + HC / an_x000D_
Cumul]]*0.1599</f>
        <v>-17220.185454422994</v>
      </c>
      <c r="AS716" s="79">
        <f>MONTH(Tableau1[[#This Row],[Date]])</f>
        <v>9</v>
      </c>
      <c r="AT716" s="79">
        <f>YEAR(Tableau1[[#This Row],[Date]])</f>
        <v>2023</v>
      </c>
    </row>
    <row r="717" spans="1:46" x14ac:dyDescent="0.2">
      <c r="A717" s="74">
        <v>45173.442361111112</v>
      </c>
      <c r="B717" s="75"/>
      <c r="C717" s="76">
        <f>IF(ISERROR(Tableau1[[#This Row],[Date]]-A716),"",Tableau1[[#This Row],[Date]]-A716)</f>
        <v>1.0020833333328483</v>
      </c>
      <c r="D717" s="77">
        <f>IF(ISERROR(Tableau1[[#This Row],[Date]]-A716),"",Tableau1[[#This Row],[Date]]-A716)</f>
        <v>1.0020833333328483</v>
      </c>
      <c r="E717" s="76">
        <f>Tableau1[[#This Row],[Date]]-$A$5</f>
        <v>990.73402777777665</v>
      </c>
      <c r="F717" s="77">
        <f>Tableau1[[#This Row],[Date]]-$A$5</f>
        <v>990.73402777777665</v>
      </c>
      <c r="G717" s="77">
        <f>Tableau1[[#This Row],[Diff jour_x000D_
Cumul]]-F$6</f>
        <v>952.65069444444816</v>
      </c>
      <c r="H717" s="77">
        <f>Tableau1[[#This Row],[Diff jour_x000D_
Cumul]]-F$59</f>
        <v>930.13124999999854</v>
      </c>
      <c r="I717" s="78">
        <v>4778</v>
      </c>
      <c r="J717" s="79">
        <f>IF(ISERROR(Tableau1[[#This Row],[Index HP
kWh]]-I716),"",Tableau1[[#This Row],[Index HP
kWh]]-I716)</f>
        <v>6</v>
      </c>
      <c r="K717" s="77">
        <f>IF(ISERROR(Tableau1[[#This Row],[Différence HP
Instantané]]/(Tableau1[[#This Row],[Diff jour
Instantané]]*24)),"",Tableau1[[#This Row],[Différence HP
Instantané]]/(Tableau1[[#This Row],[Diff jour
Instantané]]*24))</f>
        <v>0.24948024948037023</v>
      </c>
      <c r="L717" s="77">
        <f>Tableau1[[#This Row],[Différence HP
Instantané]]/Tableau1[[#This Row],[Diff jour
Instantané]]</f>
        <v>5.987525987528886</v>
      </c>
      <c r="M717" s="77">
        <f>Tableau1[[#This Row],[Conso HP / jour
Instantané]]*365</f>
        <v>2185.4469854480435</v>
      </c>
      <c r="N717" s="79">
        <f>Tableau1[[#This Row],[Index HP
kWh]]-$I$5</f>
        <v>-174981</v>
      </c>
      <c r="O717" s="80">
        <f>Tableau1[[#This Row],[Différence HP
Cumul]]/(Tableau1[[#This Row],[Diff jour_x000D_
Cumul]]*24)</f>
        <v>-7.359063881507617</v>
      </c>
      <c r="P717" s="80">
        <f>Tableau1[[#This Row],[Différence HP
Cumul]]/Tableau1[[#This Row],[Diff jour_x000D_
Cumul]]</f>
        <v>-176.61753315618282</v>
      </c>
      <c r="Q717" s="80">
        <f>Tableau1[[#This Row],[Conso HP / jour
Cumul]]*365</f>
        <v>-64465.399602006728</v>
      </c>
      <c r="R717" s="78">
        <v>2400</v>
      </c>
      <c r="S717" s="79">
        <f>Tableau1[[#This Row],[Index HC_x000D_
kWh]]-R716</f>
        <v>2</v>
      </c>
      <c r="T717" s="81">
        <f>Tableau1[[#This Row],[Différence_x000D_ HC
Instantané]]/(Tableau1[[#This Row],[Diff jour
Instantané]]*24)</f>
        <v>8.316008316012341E-2</v>
      </c>
      <c r="U717" s="81">
        <f>Tableau1[[#This Row],[Différence_x000D_ HC
Instantané]]/Tableau1[[#This Row],[Diff jour
Instantané]]</f>
        <v>1.9958419958429618</v>
      </c>
      <c r="V717" s="81">
        <f>Tableau1[[#This Row],[Conso HC / jour_x000D_
Instantané]]*365</f>
        <v>728.48232848268105</v>
      </c>
      <c r="W717" s="79">
        <f>Tableau1[[#This Row],[Index HC_x000D_
kWh]]-$R$5</f>
        <v>-117032</v>
      </c>
      <c r="X717" s="82">
        <f>Tableau1[[#This Row],[Différence HC
Cumul]]/(Tableau1[[#This Row],[Diff jour_x000D_
Cumul]]*24)</f>
        <v>-4.9219398916488037</v>
      </c>
      <c r="Y717" s="82">
        <f>Tableau1[[#This Row],[Différence HC
Cumul]]/Tableau1[[#This Row],[Diff jour_x000D_
Cumul]]</f>
        <v>-118.1265573995713</v>
      </c>
      <c r="Z717" s="82">
        <f>Tableau1[[#This Row],[Conso HC / jour_x000D_
Cumul]]*365</f>
        <v>-43116.193450843522</v>
      </c>
      <c r="AA717" s="79">
        <f>Tableau1[[#This Row],[Différence HP
Instantané]]+Tableau1[[#This Row],[Différence_x000D_ HC
Instantané]]</f>
        <v>8</v>
      </c>
      <c r="AB717" s="80">
        <f>Tableau1[[#This Row],[Conso HP + HC
Instantané]]/(Tableau1[[#This Row],[Diff jour
Instantané]]*24)</f>
        <v>0.33264033264049364</v>
      </c>
      <c r="AC717" s="80">
        <f>IF(ISERROR(Tableau1[[#This Row],[Date]]-A716),"",Tableau1[[#This Row],[Conso HP + HC
Instantané]]/Tableau1[[#This Row],[Diff jour
Instantané]])</f>
        <v>7.9833679833718474</v>
      </c>
      <c r="AD717" s="80">
        <f>Tableau1[[#This Row],[Conso HP + HC / jour_x000D_
Instantané]]*365</f>
        <v>2913.9293139307242</v>
      </c>
      <c r="AE717" s="79">
        <f>Tableau1[[#This Row],[Différence HP
Cumul]]+Tableau1[[#This Row],[Différence HC
Cumul]]</f>
        <v>-292013</v>
      </c>
      <c r="AF717" s="77">
        <f>(Tableau1[[#This Row],[Conso HP + HC
Cumul]]-AE$6)/Tableau1[[#This Row],[Diff jour_x000D_
Cumul
depuis le 24/01]]</f>
        <v>-309.22561828581973</v>
      </c>
      <c r="AG717" s="77">
        <f>(Tableau1[[#This Row],[Conso HP + HC
Cumul]]-AE$59)/Tableau1[[#This Row],[Diff jour_x000D_
Cumul
depuis
précédente facture
16/02/2021]]</f>
        <v>-318.43892998971967</v>
      </c>
      <c r="AH717" s="80">
        <f>Tableau1[[#This Row],[Conso HP + HC
Cumul]]/(Tableau1[[#This Row],[Diff jour_x000D_
Cumul]]*24)</f>
        <v>-12.281003773156421</v>
      </c>
      <c r="AI717" s="80">
        <f>Tableau1[[#This Row],[Conso HP + HC
Cumul]]/Tableau1[[#This Row],[Diff jour_x000D_
Cumul]]</f>
        <v>-294.7440905557541</v>
      </c>
      <c r="AJ717" s="80">
        <f>Tableau1[[#This Row],[Conso HP + HC / jour_x000D_
Cumul]]*365</f>
        <v>-107581.59305285025</v>
      </c>
      <c r="AK717" s="83">
        <f>(Tableau1[[#This Row],[Différence HP
Cumul]]*0.1799)+(Tableau1[[#This Row],[Différence HC
Cumul]]*0.1346)</f>
        <v>-47231.589099999997</v>
      </c>
      <c r="AL717" s="83">
        <f>Tableau1[[#This Row],[Montant
Tarif HP/HC]]/Tableau1[[#This Row],[Diff jour_x000D_
Cumul]]</f>
        <v>-47.673328840779583</v>
      </c>
      <c r="AM717" s="83">
        <f>(Tableau1[[#This Row],[Montant
Tarif HP/HC]]-AK$6)/Tableau1[[#This Row],[Diff jour_x000D_
Cumul
depuis le 24/01]]</f>
        <v>-50.024646995918353</v>
      </c>
      <c r="AN717" s="83">
        <f>(Tableau1[[#This Row],[Montant
Tarif HP/HC]]-AK$59)/Tableau1[[#This Row],[Diff jour_x000D_
Cumul
depuis
précédente facture
16/02/2021]]</f>
        <v>-51.523430161066059</v>
      </c>
      <c r="AO717" s="83">
        <f>Tableau1[[#This Row],[Conso HP + HC
Cumul]]*0.1599</f>
        <v>-46692.878699999994</v>
      </c>
      <c r="AP717" s="83">
        <f>Tableau1[[#This Row],[Montant
Tarif normal]]/Tableau1[[#This Row],[Diff jour_x000D_
Cumul]]</f>
        <v>-47.129580079865072</v>
      </c>
      <c r="AQ717" s="83">
        <f>(Tableau1[[#This Row],[Conso HP / an
Cumul]]*0.1799)+(Tableau1[[#This Row],[Conso HC / an_x000D_
Cumul]]*0.1346)</f>
        <v>-17400.765026884546</v>
      </c>
      <c r="AR717" s="83">
        <f>Tableau1[[#This Row],[Conso HP + HC / an_x000D_
Cumul]]*0.1599</f>
        <v>-17202.296729150752</v>
      </c>
      <c r="AS717" s="79">
        <f>MONTH(Tableau1[[#This Row],[Date]])</f>
        <v>9</v>
      </c>
      <c r="AT717" s="79">
        <f>YEAR(Tableau1[[#This Row],[Date]])</f>
        <v>2023</v>
      </c>
    </row>
    <row r="718" spans="1:46" x14ac:dyDescent="0.2">
      <c r="A718" s="74">
        <v>45174.317361111112</v>
      </c>
      <c r="B718" s="75"/>
      <c r="C718" s="76">
        <f>IF(ISERROR(Tableau1[[#This Row],[Date]]-A717),"",Tableau1[[#This Row],[Date]]-A717)</f>
        <v>0.875</v>
      </c>
      <c r="D718" s="77">
        <f>IF(ISERROR(Tableau1[[#This Row],[Date]]-A717),"",Tableau1[[#This Row],[Date]]-A717)</f>
        <v>0.875</v>
      </c>
      <c r="E718" s="76">
        <f>Tableau1[[#This Row],[Date]]-$A$5</f>
        <v>991.60902777777665</v>
      </c>
      <c r="F718" s="77">
        <f>Tableau1[[#This Row],[Date]]-$A$5</f>
        <v>991.60902777777665</v>
      </c>
      <c r="G718" s="77">
        <f>Tableau1[[#This Row],[Diff jour_x000D_
Cumul]]-F$6</f>
        <v>953.52569444444816</v>
      </c>
      <c r="H718" s="77">
        <f>Tableau1[[#This Row],[Diff jour_x000D_
Cumul]]-F$59</f>
        <v>931.00624999999854</v>
      </c>
      <c r="I718" s="78">
        <v>4783</v>
      </c>
      <c r="J718" s="79">
        <f>IF(ISERROR(Tableau1[[#This Row],[Index HP
kWh]]-I717),"",Tableau1[[#This Row],[Index HP
kWh]]-I717)</f>
        <v>5</v>
      </c>
      <c r="K718" s="77">
        <f>IF(ISERROR(Tableau1[[#This Row],[Différence HP
Instantané]]/(Tableau1[[#This Row],[Diff jour
Instantané]]*24)),"",Tableau1[[#This Row],[Différence HP
Instantané]]/(Tableau1[[#This Row],[Diff jour
Instantané]]*24))</f>
        <v>0.23809523809523808</v>
      </c>
      <c r="L718" s="77">
        <f>Tableau1[[#This Row],[Différence HP
Instantané]]/Tableau1[[#This Row],[Diff jour
Instantané]]</f>
        <v>5.7142857142857144</v>
      </c>
      <c r="M718" s="77">
        <f>Tableau1[[#This Row],[Conso HP / jour
Instantané]]*365</f>
        <v>2085.7142857142858</v>
      </c>
      <c r="N718" s="79">
        <f>Tableau1[[#This Row],[Index HP
kWh]]-$I$5</f>
        <v>-174976</v>
      </c>
      <c r="O718" s="80">
        <f>Tableau1[[#This Row],[Différence HP
Cumul]]/(Tableau1[[#This Row],[Diff jour_x000D_
Cumul]]*24)</f>
        <v>-7.3523601161692254</v>
      </c>
      <c r="P718" s="80">
        <f>Tableau1[[#This Row],[Différence HP
Cumul]]/Tableau1[[#This Row],[Diff jour_x000D_
Cumul]]</f>
        <v>-176.4566427880614</v>
      </c>
      <c r="Q718" s="80">
        <f>Tableau1[[#This Row],[Conso HP / jour
Cumul]]*365</f>
        <v>-64406.674617642413</v>
      </c>
      <c r="R718" s="78">
        <v>2402</v>
      </c>
      <c r="S718" s="79">
        <f>Tableau1[[#This Row],[Index HC_x000D_
kWh]]-R717</f>
        <v>2</v>
      </c>
      <c r="T718" s="81">
        <f>Tableau1[[#This Row],[Différence_x000D_ HC
Instantané]]/(Tableau1[[#This Row],[Diff jour
Instantané]]*24)</f>
        <v>9.5238095238095233E-2</v>
      </c>
      <c r="U718" s="81">
        <f>Tableau1[[#This Row],[Différence_x000D_ HC
Instantané]]/Tableau1[[#This Row],[Diff jour
Instantané]]</f>
        <v>2.2857142857142856</v>
      </c>
      <c r="V718" s="81">
        <f>Tableau1[[#This Row],[Conso HC / jour_x000D_
Instantané]]*365</f>
        <v>834.28571428571422</v>
      </c>
      <c r="W718" s="79">
        <f>Tableau1[[#This Row],[Index HC_x000D_
kWh]]-$R$5</f>
        <v>-117030</v>
      </c>
      <c r="X718" s="82">
        <f>Tableau1[[#This Row],[Différence HC
Cumul]]/(Tableau1[[#This Row],[Diff jour_x000D_
Cumul]]*24)</f>
        <v>-4.917512712573636</v>
      </c>
      <c r="Y718" s="82">
        <f>Tableau1[[#This Row],[Différence HC
Cumul]]/Tableau1[[#This Row],[Diff jour_x000D_
Cumul]]</f>
        <v>-118.02030510176725</v>
      </c>
      <c r="Z718" s="82">
        <f>Tableau1[[#This Row],[Conso HC / jour_x000D_
Cumul]]*365</f>
        <v>-43077.411362145045</v>
      </c>
      <c r="AA718" s="79">
        <f>Tableau1[[#This Row],[Différence HP
Instantané]]+Tableau1[[#This Row],[Différence_x000D_ HC
Instantané]]</f>
        <v>7</v>
      </c>
      <c r="AB718" s="80">
        <f>Tableau1[[#This Row],[Conso HP + HC
Instantané]]/(Tableau1[[#This Row],[Diff jour
Instantané]]*24)</f>
        <v>0.33333333333333331</v>
      </c>
      <c r="AC718" s="80">
        <f>IF(ISERROR(Tableau1[[#This Row],[Date]]-A717),"",Tableau1[[#This Row],[Conso HP + HC
Instantané]]/Tableau1[[#This Row],[Diff jour
Instantané]])</f>
        <v>8</v>
      </c>
      <c r="AD718" s="80">
        <f>Tableau1[[#This Row],[Conso HP + HC / jour_x000D_
Instantané]]*365</f>
        <v>2920</v>
      </c>
      <c r="AE718" s="79">
        <f>Tableau1[[#This Row],[Différence HP
Cumul]]+Tableau1[[#This Row],[Différence HC
Cumul]]</f>
        <v>-292006</v>
      </c>
      <c r="AF718" s="77">
        <f>(Tableau1[[#This Row],[Conso HP + HC
Cumul]]-AE$6)/Tableau1[[#This Row],[Diff jour_x000D_
Cumul
depuis le 24/01]]</f>
        <v>-308.93451714652446</v>
      </c>
      <c r="AG718" s="77">
        <f>(Tableau1[[#This Row],[Conso HP + HC
Cumul]]-AE$59)/Tableau1[[#This Row],[Diff jour_x000D_
Cumul
depuis
précédente facture
16/02/2021]]</f>
        <v>-318.13212854371329</v>
      </c>
      <c r="AH718" s="80">
        <f>Tableau1[[#This Row],[Conso HP + HC
Cumul]]/(Tableau1[[#This Row],[Diff jour_x000D_
Cumul]]*24)</f>
        <v>-12.26987282874286</v>
      </c>
      <c r="AI718" s="80">
        <f>Tableau1[[#This Row],[Conso HP + HC
Cumul]]/Tableau1[[#This Row],[Diff jour_x000D_
Cumul]]</f>
        <v>-294.47694788982869</v>
      </c>
      <c r="AJ718" s="80">
        <f>Tableau1[[#This Row],[Conso HP + HC / jour_x000D_
Cumul]]*365</f>
        <v>-107484.08597978747</v>
      </c>
      <c r="AK718" s="83">
        <f>(Tableau1[[#This Row],[Différence HP
Cumul]]*0.1799)+(Tableau1[[#This Row],[Différence HC
Cumul]]*0.1346)</f>
        <v>-47230.420400000003</v>
      </c>
      <c r="AL718" s="83">
        <f>Tableau1[[#This Row],[Montant
Tarif HP/HC]]/Tableau1[[#This Row],[Diff jour_x000D_
Cumul]]</f>
        <v>-47.63008310427012</v>
      </c>
      <c r="AM718" s="83">
        <f>(Tableau1[[#This Row],[Montant
Tarif HP/HC]]-AK$6)/Tableau1[[#This Row],[Diff jour_x000D_
Cumul
depuis le 24/01]]</f>
        <v>-49.977516366525506</v>
      </c>
      <c r="AN718" s="83">
        <f>(Tableau1[[#This Row],[Montant
Tarif HP/HC]]-AK$59)/Tableau1[[#This Row],[Diff jour_x000D_
Cumul
depuis
précédente facture
16/02/2021]]</f>
        <v>-51.473750901242688</v>
      </c>
      <c r="AO718" s="83">
        <f>Tableau1[[#This Row],[Conso HP + HC
Cumul]]*0.1599</f>
        <v>-46691.759399999995</v>
      </c>
      <c r="AP718" s="83">
        <f>Tableau1[[#This Row],[Montant
Tarif normal]]/Tableau1[[#This Row],[Diff jour_x000D_
Cumul]]</f>
        <v>-47.086863967583596</v>
      </c>
      <c r="AQ718" s="83">
        <f>(Tableau1[[#This Row],[Conso HP / an
Cumul]]*0.1799)+(Tableau1[[#This Row],[Conso HC / an_x000D_
Cumul]]*0.1346)</f>
        <v>-17384.980333058593</v>
      </c>
      <c r="AR718" s="83">
        <f>Tableau1[[#This Row],[Conso HP + HC / an_x000D_
Cumul]]*0.1599</f>
        <v>-17186.705348168016</v>
      </c>
      <c r="AS718" s="79">
        <f>MONTH(Tableau1[[#This Row],[Date]])</f>
        <v>9</v>
      </c>
      <c r="AT718" s="79">
        <f>YEAR(Tableau1[[#This Row],[Date]])</f>
        <v>2023</v>
      </c>
    </row>
    <row r="719" spans="1:46" x14ac:dyDescent="0.2">
      <c r="A719" s="74">
        <v>45175.354166666664</v>
      </c>
      <c r="B719" s="75"/>
      <c r="C719" s="76">
        <f>IF(ISERROR(Tableau1[[#This Row],[Date]]-A718),"",Tableau1[[#This Row],[Date]]-A718)</f>
        <v>1.0368055555518367</v>
      </c>
      <c r="D719" s="77">
        <f>IF(ISERROR(Tableau1[[#This Row],[Date]]-A718),"",Tableau1[[#This Row],[Date]]-A718)</f>
        <v>1.0368055555518367</v>
      </c>
      <c r="E719" s="76">
        <f>Tableau1[[#This Row],[Date]]-$A$5</f>
        <v>992.64583333332848</v>
      </c>
      <c r="F719" s="77">
        <f>Tableau1[[#This Row],[Date]]-$A$5</f>
        <v>992.64583333332848</v>
      </c>
      <c r="G719" s="77">
        <f>Tableau1[[#This Row],[Diff jour_x000D_
Cumul]]-F$6</f>
        <v>954.5625</v>
      </c>
      <c r="H719" s="77">
        <f>Tableau1[[#This Row],[Diff jour_x000D_
Cumul]]-F$59</f>
        <v>932.04305555555038</v>
      </c>
      <c r="I719" s="78">
        <v>4787</v>
      </c>
      <c r="J719" s="79">
        <f>IF(ISERROR(Tableau1[[#This Row],[Index HP
kWh]]-I718),"",Tableau1[[#This Row],[Index HP
kWh]]-I718)</f>
        <v>4</v>
      </c>
      <c r="K719" s="77">
        <f>IF(ISERROR(Tableau1[[#This Row],[Différence HP
Instantané]]/(Tableau1[[#This Row],[Diff jour
Instantané]]*24)),"",Tableau1[[#This Row],[Différence HP
Instantané]]/(Tableau1[[#This Row],[Diff jour
Instantané]]*24))</f>
        <v>0.16075016744866766</v>
      </c>
      <c r="L719" s="77">
        <f>Tableau1[[#This Row],[Différence HP
Instantané]]/Tableau1[[#This Row],[Diff jour
Instantané]]</f>
        <v>3.8580040187680242</v>
      </c>
      <c r="M719" s="77">
        <f>Tableau1[[#This Row],[Conso HP / jour
Instantané]]*365</f>
        <v>1408.1714668503289</v>
      </c>
      <c r="N719" s="79">
        <f>Tableau1[[#This Row],[Index HP
kWh]]-$I$5</f>
        <v>-174972</v>
      </c>
      <c r="O719" s="80">
        <f>Tableau1[[#This Row],[Différence HP
Cumul]]/(Tableau1[[#This Row],[Diff jour_x000D_
Cumul]]*24)</f>
        <v>-7.3445127710034566</v>
      </c>
      <c r="P719" s="80">
        <f>Tableau1[[#This Row],[Différence HP
Cumul]]/Tableau1[[#This Row],[Diff jour_x000D_
Cumul]]</f>
        <v>-176.26830650408297</v>
      </c>
      <c r="Q719" s="80">
        <f>Tableau1[[#This Row],[Conso HP / jour
Cumul]]*365</f>
        <v>-64337.931873990288</v>
      </c>
      <c r="R719" s="78">
        <v>2404</v>
      </c>
      <c r="S719" s="79">
        <f>Tableau1[[#This Row],[Index HC_x000D_
kWh]]-R718</f>
        <v>2</v>
      </c>
      <c r="T719" s="81">
        <f>Tableau1[[#This Row],[Différence_x000D_ HC
Instantané]]/(Tableau1[[#This Row],[Diff jour
Instantané]]*24)</f>
        <v>8.0375083724333829E-2</v>
      </c>
      <c r="U719" s="81">
        <f>Tableau1[[#This Row],[Différence_x000D_ HC
Instantané]]/Tableau1[[#This Row],[Diff jour
Instantané]]</f>
        <v>1.9290020093840121</v>
      </c>
      <c r="V719" s="81">
        <f>Tableau1[[#This Row],[Conso HC / jour_x000D_
Instantané]]*365</f>
        <v>704.08573342516445</v>
      </c>
      <c r="W719" s="79">
        <f>Tableau1[[#This Row],[Index HC_x000D_
kWh]]-$R$5</f>
        <v>-117028</v>
      </c>
      <c r="X719" s="82">
        <f>Tableau1[[#This Row],[Différence HC
Cumul]]/(Tableau1[[#This Row],[Diff jour_x000D_
Cumul]]*24)</f>
        <v>-4.9122924843117328</v>
      </c>
      <c r="Y719" s="82">
        <f>Tableau1[[#This Row],[Différence HC
Cumul]]/Tableau1[[#This Row],[Diff jour_x000D_
Cumul]]</f>
        <v>-117.89501962348159</v>
      </c>
      <c r="Z719" s="82">
        <f>Tableau1[[#This Row],[Conso HC / jour_x000D_
Cumul]]*365</f>
        <v>-43031.682162570782</v>
      </c>
      <c r="AA719" s="79">
        <f>Tableau1[[#This Row],[Différence HP
Instantané]]+Tableau1[[#This Row],[Différence_x000D_ HC
Instantané]]</f>
        <v>6</v>
      </c>
      <c r="AB719" s="80">
        <f>Tableau1[[#This Row],[Conso HP + HC
Instantané]]/(Tableau1[[#This Row],[Diff jour
Instantané]]*24)</f>
        <v>0.24112525117300151</v>
      </c>
      <c r="AC719" s="80">
        <f>IF(ISERROR(Tableau1[[#This Row],[Date]]-A718),"",Tableau1[[#This Row],[Conso HP + HC
Instantané]]/Tableau1[[#This Row],[Diff jour
Instantané]])</f>
        <v>5.7870060281520361</v>
      </c>
      <c r="AD719" s="80">
        <f>Tableau1[[#This Row],[Conso HP + HC / jour_x000D_
Instantané]]*365</f>
        <v>2112.2572002754932</v>
      </c>
      <c r="AE719" s="79">
        <f>Tableau1[[#This Row],[Différence HP
Cumul]]+Tableau1[[#This Row],[Différence HC
Cumul]]</f>
        <v>-292000</v>
      </c>
      <c r="AF719" s="77">
        <f>(Tableau1[[#This Row],[Conso HP + HC
Cumul]]-AE$6)/Tableau1[[#This Row],[Diff jour_x000D_
Cumul
depuis le 24/01]]</f>
        <v>-308.59267989262099</v>
      </c>
      <c r="AG719" s="77">
        <f>(Tableau1[[#This Row],[Conso HP + HC
Cumul]]-AE$59)/Tableau1[[#This Row],[Diff jour_x000D_
Cumul
depuis
précédente facture
16/02/2021]]</f>
        <v>-317.77180059934221</v>
      </c>
      <c r="AH719" s="80">
        <f>Tableau1[[#This Row],[Conso HP + HC
Cumul]]/(Tableau1[[#This Row],[Diff jour_x000D_
Cumul]]*24)</f>
        <v>-12.256805255315189</v>
      </c>
      <c r="AI719" s="80">
        <f>Tableau1[[#This Row],[Conso HP + HC
Cumul]]/Tableau1[[#This Row],[Diff jour_x000D_
Cumul]]</f>
        <v>-294.16332612756457</v>
      </c>
      <c r="AJ719" s="80">
        <f>Tableau1[[#This Row],[Conso HP + HC / jour_x000D_
Cumul]]*365</f>
        <v>-107369.61403656106</v>
      </c>
      <c r="AK719" s="83">
        <f>(Tableau1[[#This Row],[Différence HP
Cumul]]*0.1799)+(Tableau1[[#This Row],[Différence HC
Cumul]]*0.1346)</f>
        <v>-47229.431600000004</v>
      </c>
      <c r="AL719" s="83">
        <f>Tableau1[[#This Row],[Montant
Tarif HP/HC]]/Tableau1[[#This Row],[Diff jour_x000D_
Cumul]]</f>
        <v>-47.579337981405153</v>
      </c>
      <c r="AM719" s="83">
        <f>(Tableau1[[#This Row],[Montant
Tarif HP/HC]]-AK$6)/Tableau1[[#This Row],[Diff jour_x000D_
Cumul
depuis le 24/01]]</f>
        <v>-49.922197027434038</v>
      </c>
      <c r="AN719" s="83">
        <f>(Tableau1[[#This Row],[Montant
Tarif HP/HC]]-AK$59)/Tableau1[[#This Row],[Diff jour_x000D_
Cumul
depuis
précédente facture
16/02/2021]]</f>
        <v>-51.415430558018741</v>
      </c>
      <c r="AO719" s="83">
        <f>Tableau1[[#This Row],[Conso HP + HC
Cumul]]*0.1599</f>
        <v>-46690.799999999996</v>
      </c>
      <c r="AP719" s="83">
        <f>Tableau1[[#This Row],[Montant
Tarif normal]]/Tableau1[[#This Row],[Diff jour_x000D_
Cumul]]</f>
        <v>-47.036715847797566</v>
      </c>
      <c r="AQ719" s="83">
        <f>(Tableau1[[#This Row],[Conso HP / an
Cumul]]*0.1799)+(Tableau1[[#This Row],[Conso HC / an_x000D_
Cumul]]*0.1346)</f>
        <v>-17366.458363212882</v>
      </c>
      <c r="AR719" s="83">
        <f>Tableau1[[#This Row],[Conso HP + HC / an_x000D_
Cumul]]*0.1599</f>
        <v>-17168.401284446114</v>
      </c>
      <c r="AS719" s="79">
        <f>MONTH(Tableau1[[#This Row],[Date]])</f>
        <v>9</v>
      </c>
      <c r="AT719" s="79">
        <f>YEAR(Tableau1[[#This Row],[Date]])</f>
        <v>2023</v>
      </c>
    </row>
    <row r="720" spans="1:46" x14ac:dyDescent="0.2">
      <c r="A720" s="74">
        <v>45176.339583333334</v>
      </c>
      <c r="B720" s="75"/>
      <c r="C720" s="76">
        <f>IF(ISERROR(Tableau1[[#This Row],[Date]]-A719),"",Tableau1[[#This Row],[Date]]-A719)</f>
        <v>0.98541666667006211</v>
      </c>
      <c r="D720" s="77">
        <f>IF(ISERROR(Tableau1[[#This Row],[Date]]-A719),"",Tableau1[[#This Row],[Date]]-A719)</f>
        <v>0.98541666667006211</v>
      </c>
      <c r="E720" s="76">
        <f>Tableau1[[#This Row],[Date]]-$A$5</f>
        <v>993.63124999999854</v>
      </c>
      <c r="F720" s="77">
        <f>Tableau1[[#This Row],[Date]]-$A$5</f>
        <v>993.63124999999854</v>
      </c>
      <c r="G720" s="77">
        <f>Tableau1[[#This Row],[Diff jour_x000D_
Cumul]]-F$6</f>
        <v>955.54791666667006</v>
      </c>
      <c r="H720" s="77">
        <f>Tableau1[[#This Row],[Diff jour_x000D_
Cumul]]-F$59</f>
        <v>933.02847222222044</v>
      </c>
      <c r="I720" s="78">
        <v>4795</v>
      </c>
      <c r="J720" s="79">
        <f>IF(ISERROR(Tableau1[[#This Row],[Index HP
kWh]]-I719),"",Tableau1[[#This Row],[Index HP
kWh]]-I719)</f>
        <v>8</v>
      </c>
      <c r="K720" s="77">
        <f>IF(ISERROR(Tableau1[[#This Row],[Différence HP
Instantané]]/(Tableau1[[#This Row],[Diff jour
Instantané]]*24)),"",Tableau1[[#This Row],[Différence HP
Instantané]]/(Tableau1[[#This Row],[Diff jour
Instantané]]*24))</f>
        <v>0.33826638477684712</v>
      </c>
      <c r="L720" s="77">
        <f>Tableau1[[#This Row],[Différence HP
Instantané]]/Tableau1[[#This Row],[Diff jour
Instantané]]</f>
        <v>8.1183932346443317</v>
      </c>
      <c r="M720" s="77">
        <f>Tableau1[[#This Row],[Conso HP / jour
Instantané]]*365</f>
        <v>2963.213530645181</v>
      </c>
      <c r="N720" s="79">
        <f>Tableau1[[#This Row],[Index HP
kWh]]-$I$5</f>
        <v>-174964</v>
      </c>
      <c r="O720" s="80">
        <f>Tableau1[[#This Row],[Différence HP
Cumul]]/(Tableau1[[#This Row],[Diff jour_x000D_
Cumul]]*24)</f>
        <v>-7.3368935071905979</v>
      </c>
      <c r="P720" s="80">
        <f>Tableau1[[#This Row],[Différence HP
Cumul]]/Tableau1[[#This Row],[Diff jour_x000D_
Cumul]]</f>
        <v>-176.08544417257434</v>
      </c>
      <c r="Q720" s="80">
        <f>Tableau1[[#This Row],[Conso HP / jour
Cumul]]*365</f>
        <v>-64271.187122989635</v>
      </c>
      <c r="R720" s="78">
        <v>2407</v>
      </c>
      <c r="S720" s="79">
        <f>Tableau1[[#This Row],[Index HC_x000D_
kWh]]-R719</f>
        <v>3</v>
      </c>
      <c r="T720" s="81">
        <f>Tableau1[[#This Row],[Différence_x000D_ HC
Instantané]]/(Tableau1[[#This Row],[Diff jour
Instantané]]*24)</f>
        <v>0.12684989429131768</v>
      </c>
      <c r="U720" s="81">
        <f>Tableau1[[#This Row],[Différence_x000D_ HC
Instantané]]/Tableau1[[#This Row],[Diff jour
Instantané]]</f>
        <v>3.0443974629916242</v>
      </c>
      <c r="V720" s="81">
        <f>Tableau1[[#This Row],[Conso HC / jour_x000D_
Instantané]]*365</f>
        <v>1111.2050739919428</v>
      </c>
      <c r="W720" s="79">
        <f>Tableau1[[#This Row],[Index HC_x000D_
kWh]]-$R$5</f>
        <v>-117025</v>
      </c>
      <c r="X720" s="82">
        <f>Tableau1[[#This Row],[Différence HC
Cumul]]/(Tableau1[[#This Row],[Diff jour_x000D_
Cumul]]*24)</f>
        <v>-4.9072950017088068</v>
      </c>
      <c r="Y720" s="82">
        <f>Tableau1[[#This Row],[Différence HC
Cumul]]/Tableau1[[#This Row],[Diff jour_x000D_
Cumul]]</f>
        <v>-117.77508004101136</v>
      </c>
      <c r="Z720" s="82">
        <f>Tableau1[[#This Row],[Conso HC / jour_x000D_
Cumul]]*365</f>
        <v>-42987.904214969145</v>
      </c>
      <c r="AA720" s="79">
        <f>Tableau1[[#This Row],[Différence HP
Instantané]]+Tableau1[[#This Row],[Différence_x000D_ HC
Instantané]]</f>
        <v>11</v>
      </c>
      <c r="AB720" s="80">
        <f>Tableau1[[#This Row],[Conso HP + HC
Instantané]]/(Tableau1[[#This Row],[Diff jour
Instantané]]*24)</f>
        <v>0.46511627906816477</v>
      </c>
      <c r="AC720" s="80">
        <f>IF(ISERROR(Tableau1[[#This Row],[Date]]-A719),"",Tableau1[[#This Row],[Conso HP + HC
Instantané]]/Tableau1[[#This Row],[Diff jour
Instantané]])</f>
        <v>11.162790697635955</v>
      </c>
      <c r="AD720" s="80">
        <f>Tableau1[[#This Row],[Conso HP + HC / jour_x000D_
Instantané]]*365</f>
        <v>4074.4186046371237</v>
      </c>
      <c r="AE720" s="79">
        <f>Tableau1[[#This Row],[Différence HP
Cumul]]+Tableau1[[#This Row],[Différence HC
Cumul]]</f>
        <v>-291989</v>
      </c>
      <c r="AF720" s="77">
        <f>(Tableau1[[#This Row],[Conso HP + HC
Cumul]]-AE$6)/Tableau1[[#This Row],[Diff jour_x000D_
Cumul
depuis le 24/01]]</f>
        <v>-308.26292942748705</v>
      </c>
      <c r="AG720" s="77">
        <f>(Tableau1[[#This Row],[Conso HP + HC
Cumul]]-AE$59)/Tableau1[[#This Row],[Diff jour_x000D_
Cumul
depuis
précédente facture
16/02/2021]]</f>
        <v>-317.42439680818421</v>
      </c>
      <c r="AH720" s="80">
        <f>Tableau1[[#This Row],[Conso HP + HC
Cumul]]/(Tableau1[[#This Row],[Diff jour_x000D_
Cumul]]*24)</f>
        <v>-12.244188508899404</v>
      </c>
      <c r="AI720" s="80">
        <f>Tableau1[[#This Row],[Conso HP + HC
Cumul]]/Tableau1[[#This Row],[Diff jour_x000D_
Cumul]]</f>
        <v>-293.86052421358568</v>
      </c>
      <c r="AJ720" s="80">
        <f>Tableau1[[#This Row],[Conso HP + HC / jour_x000D_
Cumul]]*365</f>
        <v>-107259.09133795877</v>
      </c>
      <c r="AK720" s="83">
        <f>(Tableau1[[#This Row],[Différence HP
Cumul]]*0.1799)+(Tableau1[[#This Row],[Différence HC
Cumul]]*0.1346)</f>
        <v>-47227.588600000003</v>
      </c>
      <c r="AL720" s="83">
        <f>Tableau1[[#This Row],[Montant
Tarif HP/HC]]/Tableau1[[#This Row],[Diff jour_x000D_
Cumul]]</f>
        <v>-47.530297180166258</v>
      </c>
      <c r="AM720" s="83">
        <f>(Tableau1[[#This Row],[Montant
Tarif HP/HC]]-AK$6)/Tableau1[[#This Row],[Diff jour_x000D_
Cumul
depuis le 24/01]]</f>
        <v>-49.868785613838313</v>
      </c>
      <c r="AN720" s="83">
        <f>(Tableau1[[#This Row],[Montant
Tarif HP/HC]]-AK$59)/Tableau1[[#This Row],[Diff jour_x000D_
Cumul
depuis
précédente facture
16/02/2021]]</f>
        <v>-51.359152937603973</v>
      </c>
      <c r="AO720" s="83">
        <f>Tableau1[[#This Row],[Conso HP + HC
Cumul]]*0.1599</f>
        <v>-46689.041099999995</v>
      </c>
      <c r="AP720" s="83">
        <f>Tableau1[[#This Row],[Montant
Tarif normal]]/Tableau1[[#This Row],[Diff jour_x000D_
Cumul]]</f>
        <v>-46.988297821752347</v>
      </c>
      <c r="AQ720" s="83">
        <f>(Tableau1[[#This Row],[Conso HP / an
Cumul]]*0.1799)+(Tableau1[[#This Row],[Conso HC / an_x000D_
Cumul]]*0.1346)</f>
        <v>-17348.558470760683</v>
      </c>
      <c r="AR720" s="83">
        <f>Tableau1[[#This Row],[Conso HP + HC / an_x000D_
Cumul]]*0.1599</f>
        <v>-17150.728704939607</v>
      </c>
      <c r="AS720" s="79">
        <f>MONTH(Tableau1[[#This Row],[Date]])</f>
        <v>9</v>
      </c>
      <c r="AT720" s="79">
        <f>YEAR(Tableau1[[#This Row],[Date]])</f>
        <v>2023</v>
      </c>
    </row>
    <row r="721" spans="1:46" x14ac:dyDescent="0.2">
      <c r="A721" s="74">
        <v>45177.308333333334</v>
      </c>
      <c r="B721" s="75"/>
      <c r="C721" s="76">
        <f>IF(ISERROR(Tableau1[[#This Row],[Date]]-A720),"",Tableau1[[#This Row],[Date]]-A720)</f>
        <v>0.96875</v>
      </c>
      <c r="D721" s="77">
        <f>IF(ISERROR(Tableau1[[#This Row],[Date]]-A720),"",Tableau1[[#This Row],[Date]]-A720)</f>
        <v>0.96875</v>
      </c>
      <c r="E721" s="76">
        <f>Tableau1[[#This Row],[Date]]-$A$5</f>
        <v>994.59999999999854</v>
      </c>
      <c r="F721" s="77">
        <f>Tableau1[[#This Row],[Date]]-$A$5</f>
        <v>994.59999999999854</v>
      </c>
      <c r="G721" s="77">
        <f>Tableau1[[#This Row],[Diff jour_x000D_
Cumul]]-F$6</f>
        <v>956.51666666667006</v>
      </c>
      <c r="H721" s="77">
        <f>Tableau1[[#This Row],[Diff jour_x000D_
Cumul]]-F$59</f>
        <v>933.99722222222044</v>
      </c>
      <c r="I721" s="78">
        <v>4799</v>
      </c>
      <c r="J721" s="79">
        <f>IF(ISERROR(Tableau1[[#This Row],[Index HP
kWh]]-I720),"",Tableau1[[#This Row],[Index HP
kWh]]-I720)</f>
        <v>4</v>
      </c>
      <c r="K721" s="77">
        <f>IF(ISERROR(Tableau1[[#This Row],[Différence HP
Instantané]]/(Tableau1[[#This Row],[Diff jour
Instantané]]*24)),"",Tableau1[[#This Row],[Différence HP
Instantané]]/(Tableau1[[#This Row],[Diff jour
Instantané]]*24))</f>
        <v>0.17204301075268819</v>
      </c>
      <c r="L721" s="77">
        <f>Tableau1[[#This Row],[Différence HP
Instantané]]/Tableau1[[#This Row],[Diff jour
Instantané]]</f>
        <v>4.129032258064516</v>
      </c>
      <c r="M721" s="77">
        <f>Tableau1[[#This Row],[Conso HP / jour
Instantané]]*365</f>
        <v>1507.0967741935483</v>
      </c>
      <c r="N721" s="79">
        <f>Tableau1[[#This Row],[Index HP
kWh]]-$I$5</f>
        <v>-174960</v>
      </c>
      <c r="O721" s="80">
        <f>Tableau1[[#This Row],[Différence HP
Cumul]]/(Tableau1[[#This Row],[Diff jour_x000D_
Cumul]]*24)</f>
        <v>-7.3295797305449533</v>
      </c>
      <c r="P721" s="80">
        <f>Tableau1[[#This Row],[Différence HP
Cumul]]/Tableau1[[#This Row],[Diff jour_x000D_
Cumul]]</f>
        <v>-175.90991353307888</v>
      </c>
      <c r="Q721" s="80">
        <f>Tableau1[[#This Row],[Conso HP / jour
Cumul]]*365</f>
        <v>-64207.118439573787</v>
      </c>
      <c r="R721" s="78">
        <v>2409</v>
      </c>
      <c r="S721" s="79">
        <f>Tableau1[[#This Row],[Index HC_x000D_
kWh]]-R720</f>
        <v>2</v>
      </c>
      <c r="T721" s="81">
        <f>Tableau1[[#This Row],[Différence_x000D_ HC
Instantané]]/(Tableau1[[#This Row],[Diff jour
Instantané]]*24)</f>
        <v>8.6021505376344093E-2</v>
      </c>
      <c r="U721" s="81">
        <f>Tableau1[[#This Row],[Différence_x000D_ HC
Instantané]]/Tableau1[[#This Row],[Diff jour
Instantané]]</f>
        <v>2.064516129032258</v>
      </c>
      <c r="V721" s="81">
        <f>Tableau1[[#This Row],[Conso HC / jour_x000D_
Instantané]]*365</f>
        <v>753.54838709677415</v>
      </c>
      <c r="W721" s="79">
        <f>Tableau1[[#This Row],[Index HC_x000D_
kWh]]-$R$5</f>
        <v>-117023</v>
      </c>
      <c r="X721" s="82">
        <f>Tableau1[[#This Row],[Différence HC
Cumul]]/(Tableau1[[#This Row],[Diff jour_x000D_
Cumul]]*24)</f>
        <v>-4.9024314632348087</v>
      </c>
      <c r="Y721" s="82">
        <f>Tableau1[[#This Row],[Différence HC
Cumul]]/Tableau1[[#This Row],[Diff jour_x000D_
Cumul]]</f>
        <v>-117.65835511763541</v>
      </c>
      <c r="Z721" s="82">
        <f>Tableau1[[#This Row],[Conso HC / jour_x000D_
Cumul]]*365</f>
        <v>-42945.299617936922</v>
      </c>
      <c r="AA721" s="79">
        <f>Tableau1[[#This Row],[Différence HP
Instantané]]+Tableau1[[#This Row],[Différence_x000D_ HC
Instantané]]</f>
        <v>6</v>
      </c>
      <c r="AB721" s="80">
        <f>Tableau1[[#This Row],[Conso HP + HC
Instantané]]/(Tableau1[[#This Row],[Diff jour
Instantané]]*24)</f>
        <v>0.25806451612903225</v>
      </c>
      <c r="AC721" s="80">
        <f>IF(ISERROR(Tableau1[[#This Row],[Date]]-A720),"",Tableau1[[#This Row],[Conso HP + HC
Instantané]]/Tableau1[[#This Row],[Diff jour
Instantané]])</f>
        <v>6.193548387096774</v>
      </c>
      <c r="AD721" s="80">
        <f>Tableau1[[#This Row],[Conso HP + HC / jour_x000D_
Instantané]]*365</f>
        <v>2260.6451612903224</v>
      </c>
      <c r="AE721" s="79">
        <f>Tableau1[[#This Row],[Différence HP
Cumul]]+Tableau1[[#This Row],[Différence HC
Cumul]]</f>
        <v>-291983</v>
      </c>
      <c r="AF721" s="77">
        <f>(Tableau1[[#This Row],[Conso HP + HC
Cumul]]-AE$6)/Tableau1[[#This Row],[Diff jour_x000D_
Cumul
depuis le 24/01]]</f>
        <v>-307.94445122057357</v>
      </c>
      <c r="AG721" s="77">
        <f>(Tableau1[[#This Row],[Conso HP + HC
Cumul]]-AE$59)/Tableau1[[#This Row],[Diff jour_x000D_
Cumul
depuis
précédente facture
16/02/2021]]</f>
        <v>-317.08873747542731</v>
      </c>
      <c r="AH721" s="80">
        <f>Tableau1[[#This Row],[Conso HP + HC
Cumul]]/(Tableau1[[#This Row],[Diff jour_x000D_
Cumul]]*24)</f>
        <v>-12.232011193779762</v>
      </c>
      <c r="AI721" s="80">
        <f>Tableau1[[#This Row],[Conso HP + HC
Cumul]]/Tableau1[[#This Row],[Diff jour_x000D_
Cumul]]</f>
        <v>-293.56826865071429</v>
      </c>
      <c r="AJ721" s="80">
        <f>Tableau1[[#This Row],[Conso HP + HC / jour_x000D_
Cumul]]*365</f>
        <v>-107152.41805751072</v>
      </c>
      <c r="AK721" s="83">
        <f>(Tableau1[[#This Row],[Différence HP
Cumul]]*0.1799)+(Tableau1[[#This Row],[Différence HC
Cumul]]*0.1346)</f>
        <v>-47226.599799999996</v>
      </c>
      <c r="AL721" s="83">
        <f>Tableau1[[#This Row],[Montant
Tarif HP/HC]]/Tableau1[[#This Row],[Diff jour_x000D_
Cumul]]</f>
        <v>-47.483008043434616</v>
      </c>
      <c r="AM721" s="83">
        <f>(Tableau1[[#This Row],[Montant
Tarif HP/HC]]-AK$6)/Tableau1[[#This Row],[Diff jour_x000D_
Cumul
depuis le 24/01]]</f>
        <v>-49.817245282361171</v>
      </c>
      <c r="AN721" s="83">
        <f>(Tableau1[[#This Row],[Montant
Tarif HP/HC]]-AK$59)/Tableau1[[#This Row],[Diff jour_x000D_
Cumul
depuis
précédente facture
16/02/2021]]</f>
        <v>-51.304824104283057</v>
      </c>
      <c r="AO721" s="83">
        <f>Tableau1[[#This Row],[Conso HP + HC
Cumul]]*0.1599</f>
        <v>-46688.081699999995</v>
      </c>
      <c r="AP721" s="83">
        <f>Tableau1[[#This Row],[Montant
Tarif normal]]/Tableau1[[#This Row],[Diff jour_x000D_
Cumul]]</f>
        <v>-46.941566157249213</v>
      </c>
      <c r="AQ721" s="83">
        <f>(Tableau1[[#This Row],[Conso HP / an
Cumul]]*0.1799)+(Tableau1[[#This Row],[Conso HC / an_x000D_
Cumul]]*0.1346)</f>
        <v>-17331.297935853632</v>
      </c>
      <c r="AR721" s="83">
        <f>Tableau1[[#This Row],[Conso HP + HC / an_x000D_
Cumul]]*0.1599</f>
        <v>-17133.67164739596</v>
      </c>
      <c r="AS721" s="79">
        <f>MONTH(Tableau1[[#This Row],[Date]])</f>
        <v>9</v>
      </c>
      <c r="AT721" s="79">
        <f>YEAR(Tableau1[[#This Row],[Date]])</f>
        <v>2023</v>
      </c>
    </row>
    <row r="722" spans="1:46" x14ac:dyDescent="0.2">
      <c r="A722" s="74">
        <v>45178.319444444445</v>
      </c>
      <c r="B722" s="75"/>
      <c r="C722" s="76">
        <f>IF(ISERROR(Tableau1[[#This Row],[Date]]-A721),"",Tableau1[[#This Row],[Date]]-A721)</f>
        <v>1.0111111111109494</v>
      </c>
      <c r="D722" s="77">
        <f>IF(ISERROR(Tableau1[[#This Row],[Date]]-A721),"",Tableau1[[#This Row],[Date]]-A721)</f>
        <v>1.0111111111109494</v>
      </c>
      <c r="E722" s="76">
        <f>Tableau1[[#This Row],[Date]]-$A$5</f>
        <v>995.61111111110949</v>
      </c>
      <c r="F722" s="77">
        <f>Tableau1[[#This Row],[Date]]-$A$5</f>
        <v>995.61111111110949</v>
      </c>
      <c r="G722" s="77">
        <f>Tableau1[[#This Row],[Diff jour_x000D_
Cumul]]-F$6</f>
        <v>957.52777777778101</v>
      </c>
      <c r="H722" s="77">
        <f>Tableau1[[#This Row],[Diff jour_x000D_
Cumul]]-F$59</f>
        <v>935.00833333333139</v>
      </c>
      <c r="I722" s="78">
        <v>4804</v>
      </c>
      <c r="J722" s="79">
        <f>IF(ISERROR(Tableau1[[#This Row],[Index HP
kWh]]-I721),"",Tableau1[[#This Row],[Index HP
kWh]]-I721)</f>
        <v>5</v>
      </c>
      <c r="K722" s="77">
        <f>IF(ISERROR(Tableau1[[#This Row],[Différence HP
Instantané]]/(Tableau1[[#This Row],[Diff jour
Instantané]]*24)),"",Tableau1[[#This Row],[Différence HP
Instantané]]/(Tableau1[[#This Row],[Diff jour
Instantané]]*24))</f>
        <v>0.20604395604398898</v>
      </c>
      <c r="L722" s="77">
        <f>Tableau1[[#This Row],[Différence HP
Instantané]]/Tableau1[[#This Row],[Diff jour
Instantané]]</f>
        <v>4.9450549450557357</v>
      </c>
      <c r="M722" s="77">
        <f>Tableau1[[#This Row],[Conso HP / jour
Instantané]]*365</f>
        <v>1804.9450549453436</v>
      </c>
      <c r="N722" s="79">
        <f>Tableau1[[#This Row],[Index HP
kWh]]-$I$5</f>
        <v>-174955</v>
      </c>
      <c r="O722" s="80">
        <f>Tableau1[[#This Row],[Différence HP
Cumul]]/(Tableau1[[#This Row],[Diff jour_x000D_
Cumul]]*24)</f>
        <v>-7.3219267897996883</v>
      </c>
      <c r="P722" s="80">
        <f>Tableau1[[#This Row],[Différence HP
Cumul]]/Tableau1[[#This Row],[Diff jour_x000D_
Cumul]]</f>
        <v>-175.7262429551925</v>
      </c>
      <c r="Q722" s="80">
        <f>Tableau1[[#This Row],[Conso HP / jour
Cumul]]*365</f>
        <v>-64140.078678645266</v>
      </c>
      <c r="R722" s="78">
        <v>2411</v>
      </c>
      <c r="S722" s="79">
        <f>Tableau1[[#This Row],[Index HC_x000D_
kWh]]-R721</f>
        <v>2</v>
      </c>
      <c r="T722" s="81">
        <f>Tableau1[[#This Row],[Différence_x000D_ HC
Instantané]]/(Tableau1[[#This Row],[Diff jour
Instantané]]*24)</f>
        <v>8.24175824175956E-2</v>
      </c>
      <c r="U722" s="81">
        <f>Tableau1[[#This Row],[Différence_x000D_ HC
Instantané]]/Tableau1[[#This Row],[Diff jour
Instantané]]</f>
        <v>1.9780219780222943</v>
      </c>
      <c r="V722" s="81">
        <f>Tableau1[[#This Row],[Conso HC / jour_x000D_
Instantané]]*365</f>
        <v>721.97802197813746</v>
      </c>
      <c r="W722" s="79">
        <f>Tableau1[[#This Row],[Index HC_x000D_
kWh]]-$R$5</f>
        <v>-117021</v>
      </c>
      <c r="X722" s="82">
        <f>Tableau1[[#This Row],[Différence HC
Cumul]]/(Tableau1[[#This Row],[Diff jour_x000D_
Cumul]]*24)</f>
        <v>-4.8973690084258772</v>
      </c>
      <c r="Y722" s="82">
        <f>Tableau1[[#This Row],[Différence HC
Cumul]]/Tableau1[[#This Row],[Diff jour_x000D_
Cumul]]</f>
        <v>-117.53685620222105</v>
      </c>
      <c r="Z722" s="82">
        <f>Tableau1[[#This Row],[Conso HC / jour_x000D_
Cumul]]*365</f>
        <v>-42900.952513810684</v>
      </c>
      <c r="AA722" s="79">
        <f>Tableau1[[#This Row],[Différence HP
Instantané]]+Tableau1[[#This Row],[Différence_x000D_ HC
Instantané]]</f>
        <v>7</v>
      </c>
      <c r="AB722" s="80">
        <f>Tableau1[[#This Row],[Conso HP + HC
Instantané]]/(Tableau1[[#This Row],[Diff jour
Instantané]]*24)</f>
        <v>0.28846153846158457</v>
      </c>
      <c r="AC722" s="80">
        <f>IF(ISERROR(Tableau1[[#This Row],[Date]]-A721),"",Tableau1[[#This Row],[Conso HP + HC
Instantané]]/Tableau1[[#This Row],[Diff jour
Instantané]])</f>
        <v>6.92307692307803</v>
      </c>
      <c r="AD722" s="80">
        <f>Tableau1[[#This Row],[Conso HP + HC / jour_x000D_
Instantané]]*365</f>
        <v>2526.9230769234809</v>
      </c>
      <c r="AE722" s="79">
        <f>Tableau1[[#This Row],[Différence HP
Cumul]]+Tableau1[[#This Row],[Différence HC
Cumul]]</f>
        <v>-291976</v>
      </c>
      <c r="AF722" s="77">
        <f>(Tableau1[[#This Row],[Conso HP + HC
Cumul]]-AE$6)/Tableau1[[#This Row],[Diff jour_x000D_
Cumul
depuis le 24/01]]</f>
        <v>-307.61196367961372</v>
      </c>
      <c r="AG722" s="77">
        <f>(Tableau1[[#This Row],[Conso HP + HC
Cumul]]-AE$59)/Tableau1[[#This Row],[Diff jour_x000D_
Cumul
depuis
précédente facture
16/02/2021]]</f>
        <v>-316.73835349061125</v>
      </c>
      <c r="AH722" s="80">
        <f>Tableau1[[#This Row],[Conso HP + HC
Cumul]]/(Tableau1[[#This Row],[Diff jour_x000D_
Cumul]]*24)</f>
        <v>-12.219295798225565</v>
      </c>
      <c r="AI722" s="80">
        <f>Tableau1[[#This Row],[Conso HP + HC
Cumul]]/Tableau1[[#This Row],[Diff jour_x000D_
Cumul]]</f>
        <v>-293.26309915741359</v>
      </c>
      <c r="AJ722" s="80">
        <f>Tableau1[[#This Row],[Conso HP + HC / jour_x000D_
Cumul]]*365</f>
        <v>-107041.03119245596</v>
      </c>
      <c r="AK722" s="83">
        <f>(Tableau1[[#This Row],[Différence HP
Cumul]]*0.1799)+(Tableau1[[#This Row],[Différence HC
Cumul]]*0.1346)</f>
        <v>-47225.431100000002</v>
      </c>
      <c r="AL722" s="83">
        <f>Tableau1[[#This Row],[Montant
Tarif HP/HC]]/Tableau1[[#This Row],[Diff jour_x000D_
Cumul]]</f>
        <v>-47.433611952458087</v>
      </c>
      <c r="AM722" s="83">
        <f>(Tableau1[[#This Row],[Montant
Tarif HP/HC]]-AK$6)/Tableau1[[#This Row],[Diff jour_x000D_
Cumul
depuis le 24/01]]</f>
        <v>-49.763419720924674</v>
      </c>
      <c r="AN722" s="83">
        <f>(Tableau1[[#This Row],[Montant
Tarif HP/HC]]-AK$59)/Tableau1[[#This Row],[Diff jour_x000D_
Cumul
depuis
précédente facture
16/02/2021]]</f>
        <v>-51.248093510753129</v>
      </c>
      <c r="AO722" s="83">
        <f>Tableau1[[#This Row],[Conso HP + HC
Cumul]]*0.1599</f>
        <v>-46686.962399999997</v>
      </c>
      <c r="AP722" s="83">
        <f>Tableau1[[#This Row],[Montant
Tarif normal]]/Tableau1[[#This Row],[Diff jour_x000D_
Cumul]]</f>
        <v>-46.892769555270426</v>
      </c>
      <c r="AQ722" s="83">
        <f>(Tableau1[[#This Row],[Conso HP / an
Cumul]]*0.1799)+(Tableau1[[#This Row],[Conso HC / an_x000D_
Cumul]]*0.1346)</f>
        <v>-17313.268362647199</v>
      </c>
      <c r="AR722" s="83">
        <f>Tableau1[[#This Row],[Conso HP + HC / an_x000D_
Cumul]]*0.1599</f>
        <v>-17115.860887673709</v>
      </c>
      <c r="AS722" s="79">
        <f>MONTH(Tableau1[[#This Row],[Date]])</f>
        <v>9</v>
      </c>
      <c r="AT722" s="79">
        <f>YEAR(Tableau1[[#This Row],[Date]])</f>
        <v>2023</v>
      </c>
    </row>
    <row r="723" spans="1:46" x14ac:dyDescent="0.2">
      <c r="A723" s="74">
        <v>45179.311111111114</v>
      </c>
      <c r="B723" s="75"/>
      <c r="C723" s="76">
        <f>IF(ISERROR(Tableau1[[#This Row],[Date]]-A722),"",Tableau1[[#This Row],[Date]]-A722)</f>
        <v>0.99166666666860692</v>
      </c>
      <c r="D723" s="77">
        <f>IF(ISERROR(Tableau1[[#This Row],[Date]]-A722),"",Tableau1[[#This Row],[Date]]-A722)</f>
        <v>0.99166666666860692</v>
      </c>
      <c r="E723" s="76">
        <f>Tableau1[[#This Row],[Date]]-$A$5</f>
        <v>996.6027777777781</v>
      </c>
      <c r="F723" s="77">
        <f>Tableau1[[#This Row],[Date]]-$A$5</f>
        <v>996.6027777777781</v>
      </c>
      <c r="G723" s="77">
        <f>Tableau1[[#This Row],[Diff jour_x000D_
Cumul]]-F$6</f>
        <v>958.51944444444962</v>
      </c>
      <c r="H723" s="77">
        <f>Tableau1[[#This Row],[Diff jour_x000D_
Cumul]]-F$59</f>
        <v>936</v>
      </c>
      <c r="I723" s="78">
        <v>4811</v>
      </c>
      <c r="J723" s="79">
        <f>IF(ISERROR(Tableau1[[#This Row],[Index HP
kWh]]-I722),"",Tableau1[[#This Row],[Index HP
kWh]]-I722)</f>
        <v>7</v>
      </c>
      <c r="K723" s="77">
        <f>IF(ISERROR(Tableau1[[#This Row],[Différence HP
Instantané]]/(Tableau1[[#This Row],[Diff jour
Instantané]]*24)),"",Tableau1[[#This Row],[Différence HP
Instantané]]/(Tableau1[[#This Row],[Diff jour
Instantané]]*24))</f>
        <v>0.29411764705824806</v>
      </c>
      <c r="L723" s="77">
        <f>Tableau1[[#This Row],[Différence HP
Instantané]]/Tableau1[[#This Row],[Diff jour
Instantané]]</f>
        <v>7.0588235293979533</v>
      </c>
      <c r="M723" s="77">
        <f>Tableau1[[#This Row],[Conso HP / jour
Instantané]]*365</f>
        <v>2576.4705882302528</v>
      </c>
      <c r="N723" s="79">
        <f>Tableau1[[#This Row],[Index HP
kWh]]-$I$5</f>
        <v>-174948</v>
      </c>
      <c r="O723" s="80">
        <f>Tableau1[[#This Row],[Différence HP
Cumul]]/(Tableau1[[#This Row],[Diff jour_x000D_
Cumul]]*24)</f>
        <v>-7.3143484671536889</v>
      </c>
      <c r="P723" s="80">
        <f>Tableau1[[#This Row],[Différence HP
Cumul]]/Tableau1[[#This Row],[Diff jour_x000D_
Cumul]]</f>
        <v>-175.54436321168853</v>
      </c>
      <c r="Q723" s="80">
        <f>Tableau1[[#This Row],[Conso HP / jour
Cumul]]*365</f>
        <v>-64073.692572266315</v>
      </c>
      <c r="R723" s="78">
        <v>2413</v>
      </c>
      <c r="S723" s="79">
        <f>Tableau1[[#This Row],[Index HC_x000D_
kWh]]-R722</f>
        <v>2</v>
      </c>
      <c r="T723" s="81">
        <f>Tableau1[[#This Row],[Différence_x000D_ HC
Instantané]]/(Tableau1[[#This Row],[Diff jour
Instantané]]*24)</f>
        <v>8.4033613445213734E-2</v>
      </c>
      <c r="U723" s="81">
        <f>Tableau1[[#This Row],[Différence_x000D_ HC
Instantané]]/Tableau1[[#This Row],[Diff jour
Instantané]]</f>
        <v>2.0168067226851298</v>
      </c>
      <c r="V723" s="81">
        <f>Tableau1[[#This Row],[Conso HC / jour_x000D_
Instantané]]*365</f>
        <v>736.13445378007236</v>
      </c>
      <c r="W723" s="79">
        <f>Tableau1[[#This Row],[Index HC_x000D_
kWh]]-$R$5</f>
        <v>-117019</v>
      </c>
      <c r="X723" s="82">
        <f>Tableau1[[#This Row],[Différence HC
Cumul]]/(Tableau1[[#This Row],[Diff jour_x000D_
Cumul]]*24)</f>
        <v>-4.8924122783790471</v>
      </c>
      <c r="Y723" s="82">
        <f>Tableau1[[#This Row],[Différence HC
Cumul]]/Tableau1[[#This Row],[Diff jour_x000D_
Cumul]]</f>
        <v>-117.41789468109714</v>
      </c>
      <c r="Z723" s="82">
        <f>Tableau1[[#This Row],[Conso HC / jour_x000D_
Cumul]]*365</f>
        <v>-42857.531558600458</v>
      </c>
      <c r="AA723" s="79">
        <f>Tableau1[[#This Row],[Différence HP
Instantané]]+Tableau1[[#This Row],[Différence_x000D_ HC
Instantané]]</f>
        <v>9</v>
      </c>
      <c r="AB723" s="80">
        <f>Tableau1[[#This Row],[Conso HP + HC
Instantané]]/(Tableau1[[#This Row],[Diff jour
Instantané]]*24)</f>
        <v>0.37815126050346182</v>
      </c>
      <c r="AC723" s="80">
        <f>IF(ISERROR(Tableau1[[#This Row],[Date]]-A722),"",Tableau1[[#This Row],[Conso HP + HC
Instantané]]/Tableau1[[#This Row],[Diff jour
Instantané]])</f>
        <v>9.0756302520830836</v>
      </c>
      <c r="AD723" s="80">
        <f>Tableau1[[#This Row],[Conso HP + HC / jour_x000D_
Instantané]]*365</f>
        <v>3312.6050420103256</v>
      </c>
      <c r="AE723" s="79">
        <f>Tableau1[[#This Row],[Différence HP
Cumul]]+Tableau1[[#This Row],[Différence HC
Cumul]]</f>
        <v>-291967</v>
      </c>
      <c r="AF723" s="77">
        <f>(Tableau1[[#This Row],[Conso HP + HC
Cumul]]-AE$6)/Tableau1[[#This Row],[Diff jour_x000D_
Cumul
depuis le 24/01]]</f>
        <v>-307.28432449350248</v>
      </c>
      <c r="AG723" s="77">
        <f>(Tableau1[[#This Row],[Conso HP + HC
Cumul]]-AE$59)/Tableau1[[#This Row],[Diff jour_x000D_
Cumul
depuis
précédente facture
16/02/2021]]</f>
        <v>-316.39316239316241</v>
      </c>
      <c r="AH723" s="80">
        <f>Tableau1[[#This Row],[Conso HP + HC
Cumul]]/(Tableau1[[#This Row],[Diff jour_x000D_
Cumul]]*24)</f>
        <v>-12.206760745532737</v>
      </c>
      <c r="AI723" s="80">
        <f>Tableau1[[#This Row],[Conso HP + HC
Cumul]]/Tableau1[[#This Row],[Diff jour_x000D_
Cumul]]</f>
        <v>-292.96225789278566</v>
      </c>
      <c r="AJ723" s="80">
        <f>Tableau1[[#This Row],[Conso HP + HC / jour_x000D_
Cumul]]*365</f>
        <v>-106931.22413086676</v>
      </c>
      <c r="AK723" s="83">
        <f>(Tableau1[[#This Row],[Différence HP
Cumul]]*0.1799)+(Tableau1[[#This Row],[Différence HC
Cumul]]*0.1346)</f>
        <v>-47223.902600000001</v>
      </c>
      <c r="AL723" s="83">
        <f>Tableau1[[#This Row],[Montant
Tarif HP/HC]]/Tableau1[[#This Row],[Diff jour_x000D_
Cumul]]</f>
        <v>-47.384879565858441</v>
      </c>
      <c r="AM723" s="83">
        <f>(Tableau1[[#This Row],[Montant
Tarif HP/HC]]-AK$6)/Tableau1[[#This Row],[Diff jour_x000D_
Cumul
depuis le 24/01]]</f>
        <v>-49.710340751216165</v>
      </c>
      <c r="AN723" s="83">
        <f>(Tableau1[[#This Row],[Montant
Tarif HP/HC]]-AK$59)/Tableau1[[#This Row],[Diff jour_x000D_
Cumul
depuis
précédente facture
16/02/2021]]</f>
        <v>-51.192164529914535</v>
      </c>
      <c r="AO723" s="83">
        <f>Tableau1[[#This Row],[Conso HP + HC
Cumul]]*0.1599</f>
        <v>-46685.523299999993</v>
      </c>
      <c r="AP723" s="83">
        <f>Tableau1[[#This Row],[Montant
Tarif normal]]/Tableau1[[#This Row],[Diff jour_x000D_
Cumul]]</f>
        <v>-46.844665037056423</v>
      </c>
      <c r="AQ723" s="83">
        <f>(Tableau1[[#This Row],[Conso HP / an
Cumul]]*0.1799)+(Tableau1[[#This Row],[Conso HC / an_x000D_
Cumul]]*0.1346)</f>
        <v>-17295.481041538333</v>
      </c>
      <c r="AR723" s="83">
        <f>Tableau1[[#This Row],[Conso HP + HC / an_x000D_
Cumul]]*0.1599</f>
        <v>-17098.302738525592</v>
      </c>
      <c r="AS723" s="79">
        <f>MONTH(Tableau1[[#This Row],[Date]])</f>
        <v>9</v>
      </c>
      <c r="AT723" s="79">
        <f>YEAR(Tableau1[[#This Row],[Date]])</f>
        <v>2023</v>
      </c>
    </row>
    <row r="724" spans="1:46" x14ac:dyDescent="0.2">
      <c r="A724" s="74">
        <v>45180.315972222219</v>
      </c>
      <c r="B724" s="75"/>
      <c r="C724" s="76">
        <f>IF(ISERROR(Tableau1[[#This Row],[Date]]-A723),"",Tableau1[[#This Row],[Date]]-A723)</f>
        <v>1.0048611111051287</v>
      </c>
      <c r="D724" s="77">
        <f>IF(ISERROR(Tableau1[[#This Row],[Date]]-A723),"",Tableau1[[#This Row],[Date]]-A723)</f>
        <v>1.0048611111051287</v>
      </c>
      <c r="E724" s="76">
        <f>Tableau1[[#This Row],[Date]]-$A$5</f>
        <v>997.60763888888323</v>
      </c>
      <c r="F724" s="77">
        <f>Tableau1[[#This Row],[Date]]-$A$5</f>
        <v>997.60763888888323</v>
      </c>
      <c r="G724" s="77">
        <f>Tableau1[[#This Row],[Diff jour_x000D_
Cumul]]-F$6</f>
        <v>959.52430555555475</v>
      </c>
      <c r="H724" s="77">
        <f>Tableau1[[#This Row],[Diff jour_x000D_
Cumul]]-F$59</f>
        <v>937.00486111110513</v>
      </c>
      <c r="I724" s="78">
        <v>4819</v>
      </c>
      <c r="J724" s="79">
        <f>IF(ISERROR(Tableau1[[#This Row],[Index HP
kWh]]-I723),"",Tableau1[[#This Row],[Index HP
kWh]]-I723)</f>
        <v>8</v>
      </c>
      <c r="K724" s="77">
        <f>IF(ISERROR(Tableau1[[#This Row],[Différence HP
Instantané]]/(Tableau1[[#This Row],[Diff jour
Instantané]]*24)),"",Tableau1[[#This Row],[Différence HP
Instantané]]/(Tableau1[[#This Row],[Diff jour
Instantané]]*24))</f>
        <v>0.33172080166057893</v>
      </c>
      <c r="L724" s="77">
        <f>Tableau1[[#This Row],[Différence HP
Instantané]]/Tableau1[[#This Row],[Diff jour
Instantané]]</f>
        <v>7.9612992398538935</v>
      </c>
      <c r="M724" s="77">
        <f>Tableau1[[#This Row],[Conso HP / jour
Instantané]]*365</f>
        <v>2905.8742225466713</v>
      </c>
      <c r="N724" s="79">
        <f>Tableau1[[#This Row],[Index HP
kWh]]-$I$5</f>
        <v>-174940</v>
      </c>
      <c r="O724" s="80">
        <f>Tableau1[[#This Row],[Différence HP
Cumul]]/(Tableau1[[#This Row],[Diff jour_x000D_
Cumul]]*24)</f>
        <v>-7.3066468043340214</v>
      </c>
      <c r="P724" s="80">
        <f>Tableau1[[#This Row],[Différence HP
Cumul]]/Tableau1[[#This Row],[Diff jour_x000D_
Cumul]]</f>
        <v>-175.35952330401651</v>
      </c>
      <c r="Q724" s="80">
        <f>Tableau1[[#This Row],[Conso HP / jour
Cumul]]*365</f>
        <v>-64006.226005966026</v>
      </c>
      <c r="R724" s="78">
        <v>2415</v>
      </c>
      <c r="S724" s="79">
        <f>Tableau1[[#This Row],[Index HC_x000D_
kWh]]-R723</f>
        <v>2</v>
      </c>
      <c r="T724" s="81">
        <f>Tableau1[[#This Row],[Différence_x000D_ HC
Instantané]]/(Tableau1[[#This Row],[Diff jour
Instantané]]*24)</f>
        <v>8.2930200415144734E-2</v>
      </c>
      <c r="U724" s="81">
        <f>Tableau1[[#This Row],[Différence_x000D_ HC
Instantané]]/Tableau1[[#This Row],[Diff jour
Instantané]]</f>
        <v>1.9903248099634734</v>
      </c>
      <c r="V724" s="81">
        <f>Tableau1[[#This Row],[Conso HC / jour_x000D_
Instantané]]*365</f>
        <v>726.46855563666782</v>
      </c>
      <c r="W724" s="79">
        <f>Tableau1[[#This Row],[Index HC_x000D_
kWh]]-$R$5</f>
        <v>-117017</v>
      </c>
      <c r="X724" s="82">
        <f>Tableau1[[#This Row],[Différence HC
Cumul]]/(Tableau1[[#This Row],[Diff jour_x000D_
Cumul]]*24)</f>
        <v>-4.8874007608480285</v>
      </c>
      <c r="Y724" s="82">
        <f>Tableau1[[#This Row],[Différence HC
Cumul]]/Tableau1[[#This Row],[Diff jour_x000D_
Cumul]]</f>
        <v>-117.29761826035269</v>
      </c>
      <c r="Z724" s="82">
        <f>Tableau1[[#This Row],[Conso HC / jour_x000D_
Cumul]]*365</f>
        <v>-42813.63066502873</v>
      </c>
      <c r="AA724" s="79">
        <f>Tableau1[[#This Row],[Différence HP
Instantané]]+Tableau1[[#This Row],[Différence_x000D_ HC
Instantané]]</f>
        <v>10</v>
      </c>
      <c r="AB724" s="80">
        <f>Tableau1[[#This Row],[Conso HP + HC
Instantané]]/(Tableau1[[#This Row],[Diff jour
Instantané]]*24)</f>
        <v>0.41465100207572364</v>
      </c>
      <c r="AC724" s="80">
        <f>IF(ISERROR(Tableau1[[#This Row],[Date]]-A723),"",Tableau1[[#This Row],[Conso HP + HC
Instantané]]/Tableau1[[#This Row],[Diff jour
Instantané]])</f>
        <v>9.9516240498173669</v>
      </c>
      <c r="AD724" s="80">
        <f>Tableau1[[#This Row],[Conso HP + HC / jour_x000D_
Instantané]]*365</f>
        <v>3632.3427781833389</v>
      </c>
      <c r="AE724" s="79">
        <f>Tableau1[[#This Row],[Différence HP
Cumul]]+Tableau1[[#This Row],[Différence HC
Cumul]]</f>
        <v>-291957</v>
      </c>
      <c r="AF724" s="77">
        <f>(Tableau1[[#This Row],[Conso HP + HC
Cumul]]-AE$6)/Tableau1[[#This Row],[Diff jour_x000D_
Cumul
depuis le 24/01]]</f>
        <v>-306.95209938373716</v>
      </c>
      <c r="AG724" s="77">
        <f>(Tableau1[[#This Row],[Conso HP + HC
Cumul]]-AE$59)/Tableau1[[#This Row],[Diff jour_x000D_
Cumul
depuis
précédente facture
16/02/2021]]</f>
        <v>-316.04318428918589</v>
      </c>
      <c r="AH724" s="80">
        <f>Tableau1[[#This Row],[Conso HP + HC
Cumul]]/(Tableau1[[#This Row],[Diff jour_x000D_
Cumul]]*24)</f>
        <v>-12.19404756518205</v>
      </c>
      <c r="AI724" s="80">
        <f>Tableau1[[#This Row],[Conso HP + HC
Cumul]]/Tableau1[[#This Row],[Diff jour_x000D_
Cumul]]</f>
        <v>-292.65714156436917</v>
      </c>
      <c r="AJ724" s="80">
        <f>Tableau1[[#This Row],[Conso HP + HC / jour_x000D_
Cumul]]*365</f>
        <v>-106819.85667099475</v>
      </c>
      <c r="AK724" s="83">
        <f>(Tableau1[[#This Row],[Différence HP
Cumul]]*0.1799)+(Tableau1[[#This Row],[Différence HC
Cumul]]*0.1346)</f>
        <v>-47222.194199999998</v>
      </c>
      <c r="AL724" s="83">
        <f>Tableau1[[#This Row],[Montant
Tarif HP/HC]]/Tableau1[[#This Row],[Diff jour_x000D_
Cumul]]</f>
        <v>-47.335437660236039</v>
      </c>
      <c r="AM724" s="83">
        <f>(Tableau1[[#This Row],[Montant
Tarif HP/HC]]-AK$6)/Tableau1[[#This Row],[Diff jour_x000D_
Cumul
depuis le 24/01]]</f>
        <v>-49.656501168475451</v>
      </c>
      <c r="AN724" s="83">
        <f>(Tableau1[[#This Row],[Montant
Tarif HP/HC]]-AK$59)/Tableau1[[#This Row],[Diff jour_x000D_
Cumul
depuis
précédente facture
16/02/2021]]</f>
        <v>-51.135441862257949</v>
      </c>
      <c r="AO724" s="83">
        <f>Tableau1[[#This Row],[Conso HP + HC
Cumul]]*0.1599</f>
        <v>-46683.924299999999</v>
      </c>
      <c r="AP724" s="83">
        <f>Tableau1[[#This Row],[Montant
Tarif normal]]/Tableau1[[#This Row],[Diff jour_x000D_
Cumul]]</f>
        <v>-46.795876936142633</v>
      </c>
      <c r="AQ724" s="83">
        <f>(Tableau1[[#This Row],[Conso HP / an
Cumul]]*0.1799)+(Tableau1[[#This Row],[Conso HC / an_x000D_
Cumul]]*0.1346)</f>
        <v>-17277.434745986156</v>
      </c>
      <c r="AR724" s="83">
        <f>Tableau1[[#This Row],[Conso HP + HC / an_x000D_
Cumul]]*0.1599</f>
        <v>-17080.495081692057</v>
      </c>
      <c r="AS724" s="79">
        <f>MONTH(Tableau1[[#This Row],[Date]])</f>
        <v>9</v>
      </c>
      <c r="AT724" s="79">
        <f>YEAR(Tableau1[[#This Row],[Date]])</f>
        <v>2023</v>
      </c>
    </row>
  </sheetData>
  <mergeCells count="3">
    <mergeCell ref="D1:F1"/>
    <mergeCell ref="D2:F2"/>
    <mergeCell ref="G1:I1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1"/>
  <sheetViews>
    <sheetView workbookViewId="0">
      <selection activeCell="S33" sqref="S33"/>
    </sheetView>
  </sheetViews>
  <sheetFormatPr baseColWidth="10" defaultRowHeight="12.75" x14ac:dyDescent="0.2"/>
  <cols>
    <col min="1" max="1" width="21.140625" customWidth="1"/>
    <col min="2" max="2" width="32.5703125" customWidth="1"/>
    <col min="3" max="3" width="20" customWidth="1"/>
    <col min="4" max="4" width="12" bestFit="1" customWidth="1"/>
    <col min="5" max="6" width="12.28515625" bestFit="1" customWidth="1"/>
    <col min="7" max="7" width="11.28515625" customWidth="1"/>
    <col min="8" max="9" width="12.28515625" bestFit="1" customWidth="1"/>
    <col min="10" max="10" width="11.28515625" customWidth="1"/>
    <col min="11" max="12" width="12.28515625" bestFit="1" customWidth="1"/>
    <col min="13" max="13" width="12" bestFit="1" customWidth="1"/>
    <col min="14" max="15" width="12.28515625" bestFit="1" customWidth="1"/>
    <col min="16" max="16" width="12" bestFit="1" customWidth="1"/>
    <col min="17" max="18" width="12.28515625" bestFit="1" customWidth="1"/>
    <col min="19" max="19" width="11.28515625" customWidth="1"/>
    <col min="20" max="20" width="12.28515625" bestFit="1" customWidth="1"/>
    <col min="21" max="21" width="11.28515625" customWidth="1"/>
    <col min="22" max="23" width="12.28515625" bestFit="1" customWidth="1"/>
    <col min="24" max="38" width="12" bestFit="1" customWidth="1"/>
    <col min="39" max="39" width="11.28515625" customWidth="1"/>
    <col min="40" max="40" width="11" customWidth="1"/>
    <col min="41" max="45" width="12" bestFit="1" customWidth="1"/>
    <col min="46" max="46" width="12.28515625" bestFit="1" customWidth="1"/>
    <col min="47" max="47" width="12" bestFit="1" customWidth="1"/>
    <col min="48" max="48" width="12.28515625" bestFit="1" customWidth="1"/>
    <col min="49" max="50" width="12" bestFit="1" customWidth="1"/>
    <col min="51" max="51" width="12.28515625" bestFit="1" customWidth="1"/>
    <col min="52" max="52" width="12" bestFit="1" customWidth="1"/>
    <col min="53" max="53" width="12.28515625" bestFit="1" customWidth="1"/>
    <col min="54" max="54" width="12" bestFit="1" customWidth="1"/>
    <col min="55" max="55" width="12.28515625" bestFit="1" customWidth="1"/>
    <col min="56" max="56" width="12" bestFit="1" customWidth="1"/>
    <col min="57" max="57" width="12.28515625" bestFit="1" customWidth="1"/>
    <col min="58" max="58" width="12" bestFit="1" customWidth="1"/>
    <col min="59" max="60" width="12.28515625" bestFit="1" customWidth="1"/>
    <col min="61" max="61" width="11.28515625" customWidth="1"/>
    <col min="62" max="62" width="12.28515625" bestFit="1" customWidth="1"/>
    <col min="63" max="63" width="12" bestFit="1" customWidth="1"/>
    <col min="64" max="66" width="12.28515625" bestFit="1" customWidth="1"/>
    <col min="67" max="67" width="12" bestFit="1" customWidth="1"/>
    <col min="68" max="69" width="12.28515625" bestFit="1" customWidth="1"/>
    <col min="70" max="70" width="11.28515625" customWidth="1"/>
    <col min="71" max="72" width="12.28515625" bestFit="1" customWidth="1"/>
    <col min="73" max="73" width="12" bestFit="1" customWidth="1"/>
    <col min="74" max="75" width="12.28515625" bestFit="1" customWidth="1"/>
    <col min="76" max="76" width="12" bestFit="1" customWidth="1"/>
    <col min="77" max="78" width="12.28515625" bestFit="1" customWidth="1"/>
    <col min="79" max="79" width="12" bestFit="1" customWidth="1"/>
    <col min="80" max="81" width="12.28515625" bestFit="1" customWidth="1"/>
    <col min="82" max="82" width="12" bestFit="1" customWidth="1"/>
    <col min="83" max="83" width="12.28515625" bestFit="1" customWidth="1"/>
    <col min="84" max="84" width="12" bestFit="1" customWidth="1"/>
    <col min="85" max="85" width="12.28515625" bestFit="1" customWidth="1"/>
    <col min="86" max="86" width="12" bestFit="1" customWidth="1"/>
    <col min="87" max="87" width="12.28515625" bestFit="1" customWidth="1"/>
    <col min="88" max="104" width="12" bestFit="1" customWidth="1"/>
    <col min="105" max="105" width="11" customWidth="1"/>
    <col min="106" max="107" width="12" bestFit="1" customWidth="1"/>
    <col min="108" max="108" width="12.28515625" bestFit="1" customWidth="1"/>
    <col min="109" max="109" width="12" bestFit="1" customWidth="1"/>
    <col min="110" max="110" width="12.28515625" bestFit="1" customWidth="1"/>
    <col min="111" max="111" width="12" bestFit="1" customWidth="1"/>
    <col min="112" max="112" width="12.28515625" bestFit="1" customWidth="1"/>
    <col min="113" max="114" width="12" bestFit="1" customWidth="1"/>
    <col min="115" max="115" width="12.28515625" bestFit="1" customWidth="1"/>
    <col min="116" max="116" width="12" bestFit="1" customWidth="1"/>
    <col min="117" max="117" width="12.28515625" bestFit="1" customWidth="1"/>
    <col min="118" max="118" width="12" bestFit="1" customWidth="1"/>
    <col min="119" max="120" width="12.28515625" bestFit="1" customWidth="1"/>
    <col min="121" max="121" width="11.28515625" customWidth="1"/>
    <col min="122" max="122" width="12" bestFit="1" customWidth="1"/>
    <col min="123" max="123" width="12.28515625" bestFit="1" customWidth="1"/>
    <col min="124" max="125" width="12" bestFit="1" customWidth="1"/>
    <col min="126" max="126" width="11.28515625" customWidth="1"/>
    <col min="127" max="127" width="12" bestFit="1" customWidth="1"/>
    <col min="128" max="128" width="12.28515625" bestFit="1" customWidth="1"/>
    <col min="129" max="129" width="11.28515625" customWidth="1"/>
    <col min="130" max="130" width="12.28515625" bestFit="1" customWidth="1"/>
    <col min="131" max="132" width="12" bestFit="1" customWidth="1"/>
    <col min="133" max="135" width="12.28515625" bestFit="1" customWidth="1"/>
    <col min="136" max="143" width="12" bestFit="1" customWidth="1"/>
    <col min="144" max="144" width="11" customWidth="1"/>
    <col min="145" max="148" width="12" bestFit="1" customWidth="1"/>
    <col min="149" max="150" width="11.28515625" customWidth="1"/>
    <col min="151" max="151" width="12" bestFit="1" customWidth="1"/>
    <col min="152" max="156" width="12.28515625" bestFit="1" customWidth="1"/>
    <col min="157" max="161" width="12" bestFit="1" customWidth="1"/>
    <col min="162" max="162" width="12.28515625" bestFit="1" customWidth="1"/>
    <col min="163" max="164" width="12" bestFit="1" customWidth="1"/>
    <col min="165" max="165" width="11.28515625" customWidth="1"/>
    <col min="166" max="167" width="12" bestFit="1" customWidth="1"/>
    <col min="168" max="168" width="12.28515625" bestFit="1" customWidth="1"/>
    <col min="169" max="169" width="12" bestFit="1" customWidth="1"/>
    <col min="170" max="170" width="13.28515625" bestFit="1" customWidth="1"/>
    <col min="171" max="171" width="12.28515625" bestFit="1" customWidth="1"/>
    <col min="172" max="174" width="13.28515625" bestFit="1" customWidth="1"/>
    <col min="175" max="175" width="12.28515625" bestFit="1" customWidth="1"/>
    <col min="176" max="177" width="13.28515625" bestFit="1" customWidth="1"/>
    <col min="178" max="178" width="13.140625" bestFit="1" customWidth="1"/>
  </cols>
  <sheetData>
    <row r="1" spans="1:3" x14ac:dyDescent="0.2">
      <c r="A1" s="27" t="s">
        <v>47</v>
      </c>
      <c r="B1" t="s">
        <v>49</v>
      </c>
      <c r="C1" t="s">
        <v>50</v>
      </c>
    </row>
    <row r="2" spans="1:3" x14ac:dyDescent="0.2">
      <c r="A2" s="28">
        <v>44182.708333333336</v>
      </c>
      <c r="B2" s="29" t="e">
        <v>#VALUE!</v>
      </c>
      <c r="C2" s="29">
        <v>10.3</v>
      </c>
    </row>
    <row r="3" spans="1:3" x14ac:dyDescent="0.2">
      <c r="A3" s="28">
        <v>44220.791666666664</v>
      </c>
      <c r="B3" s="29">
        <v>2.8129102844642531</v>
      </c>
      <c r="C3" s="29">
        <v>4.7</v>
      </c>
    </row>
    <row r="4" spans="1:3" x14ac:dyDescent="0.2">
      <c r="A4" s="28">
        <v>44221.349305555559</v>
      </c>
      <c r="B4" s="29">
        <v>2.7646326276166668</v>
      </c>
      <c r="C4" s="29">
        <v>1.3</v>
      </c>
    </row>
    <row r="5" spans="1:3" x14ac:dyDescent="0.2">
      <c r="A5" s="28">
        <v>44221.555555555555</v>
      </c>
      <c r="B5" s="29">
        <v>3.030303030367171</v>
      </c>
      <c r="C5" s="29">
        <v>4.3</v>
      </c>
    </row>
    <row r="6" spans="1:3" x14ac:dyDescent="0.2">
      <c r="A6" s="28">
        <v>44221.805555555555</v>
      </c>
      <c r="B6" s="29">
        <v>2.6666666666666665</v>
      </c>
      <c r="C6" s="29">
        <v>0.6</v>
      </c>
    </row>
    <row r="7" spans="1:3" x14ac:dyDescent="0.2">
      <c r="A7" s="28">
        <v>44222.280555555553</v>
      </c>
      <c r="B7" s="29">
        <v>3.2456140350976623</v>
      </c>
      <c r="C7" s="29">
        <v>-4</v>
      </c>
    </row>
    <row r="8" spans="1:3" x14ac:dyDescent="0.2">
      <c r="A8" s="28">
        <v>44222.561805555553</v>
      </c>
      <c r="B8" s="29">
        <v>3.4074074074074074</v>
      </c>
      <c r="C8" s="29">
        <v>3.1</v>
      </c>
    </row>
    <row r="9" spans="1:3" x14ac:dyDescent="0.2">
      <c r="A9" s="28">
        <v>44222.816666666666</v>
      </c>
      <c r="B9" s="29">
        <v>3.2697547683757753</v>
      </c>
      <c r="C9" s="29">
        <v>3.7</v>
      </c>
    </row>
    <row r="10" spans="1:3" x14ac:dyDescent="0.2">
      <c r="A10" s="28">
        <v>44223.270833333336</v>
      </c>
      <c r="B10" s="29">
        <v>3.0275229357571822</v>
      </c>
      <c r="C10" s="29">
        <v>4.7</v>
      </c>
    </row>
    <row r="11" spans="1:3" x14ac:dyDescent="0.2">
      <c r="A11" s="28">
        <v>44223.550694444442</v>
      </c>
      <c r="B11" s="29">
        <v>2.8287841191524605</v>
      </c>
      <c r="C11" s="29">
        <v>9.6</v>
      </c>
    </row>
    <row r="12" spans="1:3" x14ac:dyDescent="0.2">
      <c r="A12" s="28">
        <v>44223.834027777775</v>
      </c>
      <c r="B12" s="29">
        <v>3.382352941182261</v>
      </c>
      <c r="C12" s="29">
        <v>10.6</v>
      </c>
    </row>
    <row r="13" spans="1:3" x14ac:dyDescent="0.2">
      <c r="A13" s="28">
        <v>44224.286805555559</v>
      </c>
      <c r="B13" s="29">
        <v>2.2085889570252446</v>
      </c>
      <c r="C13" s="29">
        <v>11.1</v>
      </c>
    </row>
    <row r="14" spans="1:3" x14ac:dyDescent="0.2">
      <c r="A14" s="28">
        <v>44224.559027777781</v>
      </c>
      <c r="B14" s="29">
        <v>2.1428571428596883</v>
      </c>
      <c r="C14" s="29">
        <v>12.1</v>
      </c>
    </row>
    <row r="15" spans="1:3" x14ac:dyDescent="0.2">
      <c r="A15" s="28">
        <v>44224.800000000003</v>
      </c>
      <c r="B15" s="29">
        <v>2.0749279538932743</v>
      </c>
      <c r="C15" s="29">
        <v>11.4</v>
      </c>
    </row>
    <row r="16" spans="1:3" x14ac:dyDescent="0.2">
      <c r="A16" s="28">
        <v>44225.286111111112</v>
      </c>
      <c r="B16" s="29">
        <v>2.0571428571496995</v>
      </c>
      <c r="C16" s="29">
        <v>10.3</v>
      </c>
    </row>
    <row r="17" spans="1:3" x14ac:dyDescent="0.2">
      <c r="A17" s="28">
        <v>44225.564583333333</v>
      </c>
      <c r="B17" s="29">
        <v>2.2443890274457559</v>
      </c>
      <c r="C17" s="29">
        <v>11.6</v>
      </c>
    </row>
    <row r="18" spans="1:3" x14ac:dyDescent="0.2">
      <c r="A18" s="28">
        <v>44225.879861111112</v>
      </c>
      <c r="B18" s="29">
        <v>2.3788546255372411</v>
      </c>
      <c r="C18" s="29">
        <v>9.6</v>
      </c>
    </row>
    <row r="19" spans="1:3" x14ac:dyDescent="0.2">
      <c r="A19" s="28">
        <v>44226.274305555555</v>
      </c>
      <c r="B19" s="29">
        <v>2.007042253531822</v>
      </c>
      <c r="C19" s="29">
        <v>10.7</v>
      </c>
    </row>
    <row r="20" spans="1:3" x14ac:dyDescent="0.2">
      <c r="A20" s="28">
        <v>44226.640277777777</v>
      </c>
      <c r="B20" s="29">
        <v>2.3908918406093234</v>
      </c>
      <c r="C20" s="29">
        <v>9.8000000000000007</v>
      </c>
    </row>
    <row r="21" spans="1:3" x14ac:dyDescent="0.2">
      <c r="A21" s="28">
        <v>44227.345138888886</v>
      </c>
      <c r="B21" s="29">
        <v>2.3645320197098574</v>
      </c>
      <c r="C21" s="29">
        <v>8.8000000000000007</v>
      </c>
    </row>
    <row r="22" spans="1:3" x14ac:dyDescent="0.2">
      <c r="A22" s="28">
        <v>44227.455555555556</v>
      </c>
      <c r="B22" s="29">
        <v>2.2641509433266012</v>
      </c>
      <c r="C22" s="29">
        <v>9.5</v>
      </c>
    </row>
    <row r="23" spans="1:3" x14ac:dyDescent="0.2">
      <c r="A23" s="28">
        <v>44227.856944444444</v>
      </c>
      <c r="B23" s="29">
        <v>3.0103806228470713</v>
      </c>
      <c r="C23" s="29">
        <v>9.6999999999999993</v>
      </c>
    </row>
    <row r="24" spans="1:3" x14ac:dyDescent="0.2">
      <c r="A24" s="28">
        <v>44228.319444444445</v>
      </c>
      <c r="B24" s="29">
        <v>2.1621621621553593</v>
      </c>
      <c r="C24" s="29">
        <v>9.8000000000000007</v>
      </c>
    </row>
    <row r="25" spans="1:3" x14ac:dyDescent="0.2">
      <c r="A25" s="28">
        <v>44228.557638888888</v>
      </c>
      <c r="B25" s="29">
        <v>2.4489795918583455</v>
      </c>
      <c r="C25" s="29">
        <v>11</v>
      </c>
    </row>
    <row r="26" spans="1:3" x14ac:dyDescent="0.2">
      <c r="A26" s="28">
        <v>44228.847222222219</v>
      </c>
      <c r="B26" s="29">
        <v>2.1582733813094248</v>
      </c>
      <c r="C26" s="29">
        <v>9.5</v>
      </c>
    </row>
    <row r="27" spans="1:3" x14ac:dyDescent="0.2">
      <c r="A27" s="28">
        <v>44229.290277777778</v>
      </c>
      <c r="B27" s="29">
        <v>2.0689655172247683</v>
      </c>
      <c r="C27" s="29">
        <v>11.8</v>
      </c>
    </row>
    <row r="28" spans="1:3" x14ac:dyDescent="0.2">
      <c r="A28" s="28">
        <v>44229.568055555559</v>
      </c>
      <c r="B28" s="29">
        <v>2.2499999999738067</v>
      </c>
      <c r="C28" s="29">
        <v>12.7</v>
      </c>
    </row>
    <row r="29" spans="1:3" x14ac:dyDescent="0.2">
      <c r="A29" s="28">
        <v>44229.977777777778</v>
      </c>
      <c r="B29" s="29">
        <v>2.1355932203558385</v>
      </c>
      <c r="C29" s="29">
        <v>11.4</v>
      </c>
    </row>
    <row r="30" spans="1:3" x14ac:dyDescent="0.2">
      <c r="A30" s="28">
        <v>44230.561805555553</v>
      </c>
      <c r="B30" s="29">
        <v>2.1403091557764249</v>
      </c>
      <c r="C30" s="29">
        <v>11.5</v>
      </c>
    </row>
    <row r="31" spans="1:3" x14ac:dyDescent="0.2">
      <c r="A31" s="28">
        <v>44230.942361111112</v>
      </c>
      <c r="B31" s="29">
        <v>2.5182481751589432</v>
      </c>
      <c r="C31" s="29">
        <v>8.4</v>
      </c>
    </row>
    <row r="32" spans="1:3" x14ac:dyDescent="0.2">
      <c r="A32" s="28">
        <v>44231.351388888892</v>
      </c>
      <c r="B32" s="29">
        <v>2.1392190152708337</v>
      </c>
      <c r="C32" s="29">
        <v>8.3000000000000007</v>
      </c>
    </row>
    <row r="33" spans="1:3" x14ac:dyDescent="0.2">
      <c r="A33" s="28">
        <v>44231.73541666667</v>
      </c>
      <c r="B33" s="29">
        <v>2.4954792043378626</v>
      </c>
      <c r="C33" s="29">
        <v>10.8</v>
      </c>
    </row>
    <row r="34" spans="1:3" x14ac:dyDescent="0.2">
      <c r="A34" s="28">
        <v>44232.367361111108</v>
      </c>
      <c r="B34" s="29">
        <v>2.3076923077159255</v>
      </c>
      <c r="C34" s="29">
        <v>7.3</v>
      </c>
    </row>
    <row r="35" spans="1:3" x14ac:dyDescent="0.2">
      <c r="A35" s="28">
        <v>44232.765277777777</v>
      </c>
      <c r="B35" s="29">
        <v>2.1989528795704296</v>
      </c>
      <c r="C35" s="29">
        <v>8.5</v>
      </c>
    </row>
    <row r="36" spans="1:3" x14ac:dyDescent="0.2">
      <c r="A36" s="28">
        <v>44233.375</v>
      </c>
      <c r="B36" s="29">
        <v>2.4601366742551143</v>
      </c>
      <c r="C36" s="29">
        <v>7.2</v>
      </c>
    </row>
    <row r="37" spans="1:3" x14ac:dyDescent="0.2">
      <c r="A37" s="28">
        <v>44233.599305555559</v>
      </c>
      <c r="B37" s="29">
        <v>2.7863777089341406</v>
      </c>
      <c r="C37" s="29">
        <v>7.4</v>
      </c>
    </row>
    <row r="38" spans="1:3" x14ac:dyDescent="0.2">
      <c r="A38" s="28">
        <v>44234.290277777778</v>
      </c>
      <c r="B38" s="29">
        <v>2.9547738693605621</v>
      </c>
      <c r="C38" s="29">
        <v>2.9</v>
      </c>
    </row>
    <row r="39" spans="1:3" x14ac:dyDescent="0.2">
      <c r="A39" s="28">
        <v>44234.468055555553</v>
      </c>
      <c r="B39" s="29">
        <v>3.2812500000477485</v>
      </c>
      <c r="C39" s="29">
        <v>6.1</v>
      </c>
    </row>
    <row r="40" spans="1:3" x14ac:dyDescent="0.2">
      <c r="A40" s="28">
        <v>44235.318055555559</v>
      </c>
      <c r="B40" s="29">
        <v>2.8431372548824911</v>
      </c>
      <c r="C40" s="29">
        <v>-0.5</v>
      </c>
    </row>
    <row r="41" spans="1:3" x14ac:dyDescent="0.2">
      <c r="A41" s="28">
        <v>44235.568055555559</v>
      </c>
      <c r="B41" s="29">
        <v>4</v>
      </c>
      <c r="C41" s="29">
        <v>3.8</v>
      </c>
    </row>
    <row r="42" spans="1:3" x14ac:dyDescent="0.2">
      <c r="A42" s="28">
        <v>44235.863194444442</v>
      </c>
      <c r="B42" s="29">
        <v>3.2470588235916718</v>
      </c>
      <c r="C42" s="29">
        <v>0.2</v>
      </c>
    </row>
    <row r="43" spans="1:3" x14ac:dyDescent="0.2">
      <c r="A43" s="28">
        <v>44236.270833333336</v>
      </c>
      <c r="B43" s="29">
        <v>2.862010221433291</v>
      </c>
      <c r="C43" s="29">
        <v>0.2</v>
      </c>
    </row>
    <row r="44" spans="1:3" x14ac:dyDescent="0.2">
      <c r="A44" s="28">
        <v>44236.55972222222</v>
      </c>
      <c r="B44" s="29">
        <v>5.3365384616161187</v>
      </c>
      <c r="C44" s="29">
        <v>2.1</v>
      </c>
    </row>
    <row r="45" spans="1:3" x14ac:dyDescent="0.2">
      <c r="A45" s="28">
        <v>44237.295138888891</v>
      </c>
      <c r="B45" s="29">
        <v>3.2294617563590271</v>
      </c>
      <c r="C45" s="29">
        <v>1</v>
      </c>
    </row>
    <row r="46" spans="1:3" x14ac:dyDescent="0.2">
      <c r="A46" s="28">
        <v>44237.561111111114</v>
      </c>
      <c r="B46" s="29">
        <v>3.9164490861452137</v>
      </c>
      <c r="C46" s="29">
        <v>-0.4</v>
      </c>
    </row>
    <row r="47" spans="1:3" x14ac:dyDescent="0.2">
      <c r="A47" s="28">
        <v>44238.317361111112</v>
      </c>
      <c r="B47" s="29">
        <v>4.2975206611652945</v>
      </c>
      <c r="C47" s="29">
        <v>-4</v>
      </c>
    </row>
    <row r="48" spans="1:3" x14ac:dyDescent="0.2">
      <c r="A48" s="28">
        <v>44238.561805555553</v>
      </c>
      <c r="B48" s="29">
        <v>4.943181818253751</v>
      </c>
      <c r="C48" s="29">
        <v>-2</v>
      </c>
    </row>
    <row r="49" spans="1:3" x14ac:dyDescent="0.2">
      <c r="A49" s="28">
        <v>44239.304861111108</v>
      </c>
      <c r="B49" s="29">
        <v>3.9813084112192847</v>
      </c>
      <c r="C49" s="29">
        <v>-1.7</v>
      </c>
    </row>
    <row r="50" spans="1:3" x14ac:dyDescent="0.2">
      <c r="A50" s="28">
        <v>44240.348611111112</v>
      </c>
      <c r="B50" s="29">
        <v>4.4710578842128363</v>
      </c>
      <c r="C50" s="29">
        <v>-5</v>
      </c>
    </row>
    <row r="51" spans="1:3" x14ac:dyDescent="0.2">
      <c r="A51" s="28">
        <v>44240.716666666667</v>
      </c>
      <c r="B51" s="29">
        <v>4.5283018868023994</v>
      </c>
      <c r="C51" s="29">
        <v>0</v>
      </c>
    </row>
    <row r="52" spans="1:3" x14ac:dyDescent="0.2">
      <c r="A52" s="28">
        <v>44241.356249999997</v>
      </c>
      <c r="B52" s="29">
        <v>3.51791530946493</v>
      </c>
      <c r="C52" s="29">
        <v>-4</v>
      </c>
    </row>
    <row r="53" spans="1:3" x14ac:dyDescent="0.2">
      <c r="A53" s="28">
        <v>44241.749305555553</v>
      </c>
      <c r="B53" s="29">
        <v>4.1342756183677558</v>
      </c>
      <c r="C53" s="29">
        <v>7.1</v>
      </c>
    </row>
    <row r="54" spans="1:3" x14ac:dyDescent="0.2">
      <c r="A54" s="28">
        <v>44242.275694444441</v>
      </c>
      <c r="B54" s="29">
        <v>3.0870712401131266</v>
      </c>
      <c r="C54" s="29">
        <v>5.4</v>
      </c>
    </row>
    <row r="55" spans="1:3" x14ac:dyDescent="0.2">
      <c r="A55" s="28">
        <v>44242.572222222225</v>
      </c>
      <c r="B55" s="29">
        <v>3.5128805619881018</v>
      </c>
      <c r="C55" s="29">
        <v>10.9</v>
      </c>
    </row>
    <row r="56" spans="1:3" x14ac:dyDescent="0.2">
      <c r="A56" s="28">
        <v>44243.311111111114</v>
      </c>
      <c r="B56" s="29">
        <v>2.4812030075182538</v>
      </c>
      <c r="C56" s="29">
        <v>6.1</v>
      </c>
    </row>
    <row r="57" spans="1:3" x14ac:dyDescent="0.2">
      <c r="A57" s="28">
        <v>44243.850694444445</v>
      </c>
      <c r="B57" s="29">
        <v>2.7027027027124211</v>
      </c>
      <c r="C57" s="29">
        <v>9.5</v>
      </c>
    </row>
    <row r="58" spans="1:3" x14ac:dyDescent="0.2">
      <c r="A58" s="28">
        <v>44244.290972222225</v>
      </c>
      <c r="B58" s="29">
        <v>1.9873817034620032</v>
      </c>
      <c r="C58" s="29">
        <v>8.9</v>
      </c>
    </row>
    <row r="59" spans="1:3" x14ac:dyDescent="0.2">
      <c r="A59" s="28">
        <v>44244.581250000003</v>
      </c>
      <c r="B59" s="29">
        <v>2.5837320574133895</v>
      </c>
      <c r="C59" s="29">
        <v>13.2</v>
      </c>
    </row>
    <row r="60" spans="1:3" x14ac:dyDescent="0.2">
      <c r="A60" s="28">
        <v>44244.863194444442</v>
      </c>
      <c r="B60" s="29">
        <v>1.7733990148098522</v>
      </c>
      <c r="C60" s="29">
        <v>9.5</v>
      </c>
    </row>
    <row r="61" spans="1:3" x14ac:dyDescent="0.2">
      <c r="A61" s="28">
        <v>44245.308333333334</v>
      </c>
      <c r="B61" s="29">
        <v>1.9656786271315199</v>
      </c>
      <c r="C61" s="29">
        <v>9.9</v>
      </c>
    </row>
    <row r="62" spans="1:3" x14ac:dyDescent="0.2">
      <c r="A62" s="28">
        <v>44245.650694444441</v>
      </c>
      <c r="B62" s="29">
        <v>2.7991886410106464</v>
      </c>
      <c r="C62" s="29">
        <v>9.5</v>
      </c>
    </row>
    <row r="63" spans="1:3" x14ac:dyDescent="0.2">
      <c r="A63" s="28">
        <v>44246.314583333333</v>
      </c>
      <c r="B63" s="29">
        <v>2.2594142259309673</v>
      </c>
      <c r="C63" s="29">
        <v>7.6</v>
      </c>
    </row>
    <row r="64" spans="1:3" x14ac:dyDescent="0.2">
      <c r="A64" s="28">
        <v>44246.565972222219</v>
      </c>
      <c r="B64" s="29">
        <v>1.6574585635540342</v>
      </c>
      <c r="C64" s="29">
        <v>13.7</v>
      </c>
    </row>
    <row r="65" spans="1:3" x14ac:dyDescent="0.2">
      <c r="A65" s="28">
        <v>44246.673611111109</v>
      </c>
      <c r="B65" s="29">
        <v>0.38709677418773369</v>
      </c>
      <c r="C65" s="29">
        <v>14.8</v>
      </c>
    </row>
    <row r="66" spans="1:3" x14ac:dyDescent="0.2">
      <c r="A66" s="28">
        <v>44246.739583333336</v>
      </c>
      <c r="B66" s="29">
        <v>1.8947368419891704</v>
      </c>
      <c r="C66" s="29">
        <v>14</v>
      </c>
    </row>
    <row r="67" spans="1:3" x14ac:dyDescent="0.2">
      <c r="A67" s="28">
        <v>44247.353472222225</v>
      </c>
      <c r="B67" s="29">
        <v>1.9683257918546853</v>
      </c>
      <c r="C67" s="29">
        <v>10.5</v>
      </c>
    </row>
    <row r="68" spans="1:3" x14ac:dyDescent="0.2">
      <c r="A68" s="28">
        <v>44247.567361111112</v>
      </c>
      <c r="B68" s="29">
        <v>2.5324675324828476</v>
      </c>
      <c r="C68" s="29">
        <v>14.8</v>
      </c>
    </row>
    <row r="69" spans="1:3" x14ac:dyDescent="0.2">
      <c r="A69" s="28">
        <v>44248.736111111109</v>
      </c>
      <c r="B69" s="29">
        <v>0.24955436720204746</v>
      </c>
      <c r="C69" s="29">
        <v>14.5</v>
      </c>
    </row>
    <row r="70" spans="1:3" x14ac:dyDescent="0.2">
      <c r="A70" s="28">
        <v>44249.348611111112</v>
      </c>
      <c r="B70" s="29">
        <v>2.3809523809410673</v>
      </c>
      <c r="C70" s="29">
        <v>9.9</v>
      </c>
    </row>
    <row r="71" spans="1:3" x14ac:dyDescent="0.2">
      <c r="A71" s="28">
        <v>44249.555555555555</v>
      </c>
      <c r="B71" s="29">
        <v>2.2147651006936364</v>
      </c>
      <c r="C71" s="29">
        <v>12.3</v>
      </c>
    </row>
    <row r="72" spans="1:3" x14ac:dyDescent="0.2">
      <c r="A72" s="28">
        <v>44249.961111111108</v>
      </c>
      <c r="B72" s="29">
        <v>1.8493150685034727</v>
      </c>
      <c r="C72" s="29">
        <v>10.1</v>
      </c>
    </row>
    <row r="73" spans="1:3" x14ac:dyDescent="0.2">
      <c r="A73" s="28">
        <v>44250.270833333336</v>
      </c>
      <c r="B73" s="29">
        <v>1.8834080717154495</v>
      </c>
      <c r="C73" s="29">
        <v>7.1</v>
      </c>
    </row>
    <row r="74" spans="1:3" x14ac:dyDescent="0.2">
      <c r="A74" s="28">
        <v>44250.556250000001</v>
      </c>
      <c r="B74" s="29">
        <v>1.6058394160638525</v>
      </c>
      <c r="C74" s="29">
        <v>15.3</v>
      </c>
    </row>
    <row r="75" spans="1:3" x14ac:dyDescent="0.2">
      <c r="A75" s="28">
        <v>44250.962500000001</v>
      </c>
      <c r="B75" s="29">
        <v>1.641025641025641</v>
      </c>
      <c r="C75" s="29">
        <v>11.5</v>
      </c>
    </row>
    <row r="76" spans="1:3" x14ac:dyDescent="0.2">
      <c r="A76" s="28">
        <v>44251.287499999999</v>
      </c>
      <c r="B76" s="29">
        <v>1.4102564102690391</v>
      </c>
      <c r="C76" s="29">
        <v>9.4</v>
      </c>
    </row>
    <row r="77" spans="1:3" x14ac:dyDescent="0.2">
      <c r="A77" s="28">
        <v>44251.57708333333</v>
      </c>
      <c r="B77" s="29">
        <v>2.0143884892221298</v>
      </c>
      <c r="C77" s="29">
        <v>16.899999999999999</v>
      </c>
    </row>
    <row r="78" spans="1:3" x14ac:dyDescent="0.2">
      <c r="A78" s="28">
        <v>44251.938888888886</v>
      </c>
      <c r="B78" s="29">
        <v>1.0364683301325042</v>
      </c>
      <c r="C78" s="29">
        <v>8.8000000000000007</v>
      </c>
    </row>
    <row r="79" spans="1:3" x14ac:dyDescent="0.2">
      <c r="A79" s="28">
        <v>44252.257638888892</v>
      </c>
      <c r="B79" s="29">
        <v>0.26143790849195786</v>
      </c>
      <c r="C79" s="29">
        <v>10.199999999999999</v>
      </c>
    </row>
    <row r="80" spans="1:3" x14ac:dyDescent="0.2">
      <c r="A80" s="28">
        <v>44252.679861111108</v>
      </c>
      <c r="B80" s="29">
        <v>1.6776315789717813</v>
      </c>
      <c r="C80" s="29">
        <v>13.4</v>
      </c>
    </row>
    <row r="81" spans="1:3" x14ac:dyDescent="0.2">
      <c r="A81" s="28">
        <v>44252.955555555556</v>
      </c>
      <c r="B81" s="29">
        <v>1.9647355163462938</v>
      </c>
      <c r="C81" s="29">
        <v>9.8000000000000007</v>
      </c>
    </row>
    <row r="82" spans="1:3" x14ac:dyDescent="0.2">
      <c r="A82" s="28">
        <v>44253.279861111114</v>
      </c>
      <c r="B82" s="29">
        <v>1.541755888640971</v>
      </c>
      <c r="C82" s="29">
        <v>6.3</v>
      </c>
    </row>
    <row r="83" spans="1:3" x14ac:dyDescent="0.2">
      <c r="A83" s="28">
        <v>44253.582638888889</v>
      </c>
      <c r="B83" s="29">
        <v>1.9266055046036175</v>
      </c>
      <c r="C83" s="29">
        <v>13.1</v>
      </c>
    </row>
    <row r="84" spans="1:3" x14ac:dyDescent="0.2">
      <c r="A84" s="28">
        <v>44254.361111111109</v>
      </c>
      <c r="B84" s="29">
        <v>2.2479928635198552</v>
      </c>
      <c r="C84" s="29">
        <v>1.8</v>
      </c>
    </row>
    <row r="85" spans="1:3" x14ac:dyDescent="0.2">
      <c r="A85" s="28">
        <v>44254.574999999997</v>
      </c>
      <c r="B85" s="29">
        <v>2.7272727272892205</v>
      </c>
      <c r="C85" s="29">
        <v>10.7</v>
      </c>
    </row>
    <row r="86" spans="1:3" x14ac:dyDescent="0.2">
      <c r="A86" s="28">
        <v>44255.336805555555</v>
      </c>
      <c r="B86" s="29">
        <v>2.5706472196829711</v>
      </c>
      <c r="C86" s="29">
        <v>1.2</v>
      </c>
    </row>
    <row r="87" spans="1:3" x14ac:dyDescent="0.2">
      <c r="A87" s="28">
        <v>44255.982638888891</v>
      </c>
      <c r="B87" s="29">
        <v>2.7096774193446631</v>
      </c>
      <c r="C87" s="29">
        <v>4.8</v>
      </c>
    </row>
    <row r="88" spans="1:3" x14ac:dyDescent="0.2">
      <c r="A88" s="28">
        <v>44256.304861111108</v>
      </c>
      <c r="B88" s="29">
        <v>2.7155172414188264</v>
      </c>
      <c r="C88" s="29">
        <v>1.5</v>
      </c>
    </row>
    <row r="89" spans="1:3" x14ac:dyDescent="0.2">
      <c r="A89" s="28">
        <v>44256.575694444444</v>
      </c>
      <c r="B89" s="29">
        <v>2.6153846153611946</v>
      </c>
      <c r="C89" s="29">
        <v>15.3</v>
      </c>
    </row>
    <row r="90" spans="1:3" x14ac:dyDescent="0.2">
      <c r="A90" s="28">
        <v>44256.975694444445</v>
      </c>
      <c r="B90" s="29">
        <v>1.9791666666594665</v>
      </c>
      <c r="C90" s="29">
        <v>7.2</v>
      </c>
    </row>
    <row r="91" spans="1:3" x14ac:dyDescent="0.2">
      <c r="A91" s="28">
        <v>44257.306944444441</v>
      </c>
      <c r="B91" s="29">
        <v>2.0125786163787254</v>
      </c>
      <c r="C91" s="29">
        <v>8</v>
      </c>
    </row>
    <row r="92" spans="1:3" x14ac:dyDescent="0.2">
      <c r="A92" s="28">
        <v>44257.621527777781</v>
      </c>
      <c r="B92" s="29">
        <v>2.2516556290904663</v>
      </c>
      <c r="C92" s="29">
        <v>14.9</v>
      </c>
    </row>
    <row r="93" spans="1:3" x14ac:dyDescent="0.2">
      <c r="A93" s="28">
        <v>44257.945833333331</v>
      </c>
      <c r="B93" s="29">
        <v>1.670235546065191</v>
      </c>
      <c r="C93" s="29">
        <v>9.6999999999999993</v>
      </c>
    </row>
    <row r="94" spans="1:3" x14ac:dyDescent="0.2">
      <c r="A94" s="28">
        <v>44258.293055555558</v>
      </c>
      <c r="B94" s="29">
        <v>1.9199999999776483</v>
      </c>
      <c r="C94" s="29">
        <v>8.9</v>
      </c>
    </row>
    <row r="95" spans="1:3" x14ac:dyDescent="0.2">
      <c r="A95" s="28">
        <v>44258.59097222222</v>
      </c>
      <c r="B95" s="29">
        <v>2.0979020979294241</v>
      </c>
      <c r="C95" s="29">
        <v>12.7</v>
      </c>
    </row>
    <row r="96" spans="1:3" x14ac:dyDescent="0.2">
      <c r="A96" s="28">
        <v>44259.288888888892</v>
      </c>
      <c r="B96" s="29">
        <v>1.791044776106955</v>
      </c>
      <c r="C96" s="29">
        <v>5.7</v>
      </c>
    </row>
    <row r="97" spans="1:3" x14ac:dyDescent="0.2">
      <c r="A97" s="28">
        <v>44259.567361111112</v>
      </c>
      <c r="B97" s="29">
        <v>2.2443890274457559</v>
      </c>
      <c r="C97" s="29">
        <v>12.5</v>
      </c>
    </row>
    <row r="98" spans="1:3" x14ac:dyDescent="0.2">
      <c r="A98" s="28">
        <v>44259.955555555556</v>
      </c>
      <c r="B98" s="29">
        <v>1.5026833631509831</v>
      </c>
      <c r="C98" s="29">
        <v>6</v>
      </c>
    </row>
    <row r="99" spans="1:3" x14ac:dyDescent="0.2">
      <c r="A99" s="28">
        <v>44260.296527777777</v>
      </c>
      <c r="B99" s="29">
        <v>2.0773930753672514</v>
      </c>
      <c r="C99" s="29">
        <v>5.2</v>
      </c>
    </row>
    <row r="100" spans="1:3" x14ac:dyDescent="0.2">
      <c r="A100" s="28">
        <v>44261.322916666664</v>
      </c>
      <c r="B100" s="29">
        <v>2.6792963464174497</v>
      </c>
      <c r="C100" s="29">
        <v>-2.2999999999999998</v>
      </c>
    </row>
    <row r="101" spans="1:3" x14ac:dyDescent="0.2">
      <c r="A101" s="28">
        <v>44261.661805555559</v>
      </c>
      <c r="B101" s="29">
        <v>2.8278688524090958</v>
      </c>
      <c r="C101" s="29">
        <v>9.6999999999999993</v>
      </c>
    </row>
    <row r="102" spans="1:3" x14ac:dyDescent="0.2">
      <c r="A102" s="28">
        <v>44262.313888888886</v>
      </c>
      <c r="B102" s="29">
        <v>2.9392971246290629</v>
      </c>
      <c r="C102" s="29">
        <v>1.9</v>
      </c>
    </row>
    <row r="103" spans="1:3" x14ac:dyDescent="0.2">
      <c r="A103" s="28">
        <v>44263.286805555559</v>
      </c>
      <c r="B103" s="29">
        <v>2.5695931477349516</v>
      </c>
      <c r="C103" s="29">
        <v>-0.7</v>
      </c>
    </row>
    <row r="104" spans="1:3" x14ac:dyDescent="0.2">
      <c r="A104" s="28">
        <v>44263.581250000003</v>
      </c>
      <c r="B104" s="29">
        <v>2.8301886792514996</v>
      </c>
      <c r="C104" s="29">
        <v>8.4</v>
      </c>
    </row>
    <row r="105" spans="1:3" x14ac:dyDescent="0.2">
      <c r="A105" s="28">
        <v>44264.307638888888</v>
      </c>
      <c r="B105" s="29">
        <v>2.6959847036484899</v>
      </c>
      <c r="C105" s="29">
        <v>-3.6</v>
      </c>
    </row>
    <row r="106" spans="1:3" x14ac:dyDescent="0.2">
      <c r="A106" s="28">
        <v>44264.573611111111</v>
      </c>
      <c r="B106" s="29">
        <v>2.9765013054703626</v>
      </c>
      <c r="C106" s="29">
        <v>9</v>
      </c>
    </row>
    <row r="107" spans="1:3" x14ac:dyDescent="0.2">
      <c r="A107" s="28">
        <v>44265.317361111112</v>
      </c>
      <c r="B107" s="29">
        <v>2.521008403356412</v>
      </c>
      <c r="C107" s="29">
        <v>-0.4</v>
      </c>
    </row>
    <row r="108" spans="1:3" x14ac:dyDescent="0.2">
      <c r="A108" s="28">
        <v>44265.580555555556</v>
      </c>
      <c r="B108" s="29">
        <v>2.2163588390555784</v>
      </c>
      <c r="C108" s="29">
        <v>7.9</v>
      </c>
    </row>
    <row r="109" spans="1:3" x14ac:dyDescent="0.2">
      <c r="A109" s="28">
        <v>44266.308333333334</v>
      </c>
      <c r="B109" s="29">
        <v>2.4618320610676085</v>
      </c>
      <c r="C109" s="29">
        <v>11.2</v>
      </c>
    </row>
    <row r="110" spans="1:3" x14ac:dyDescent="0.2">
      <c r="A110" s="28">
        <v>44266.568055555559</v>
      </c>
      <c r="B110" s="29">
        <v>2.2459893047904629</v>
      </c>
      <c r="C110" s="29">
        <v>10.4</v>
      </c>
    </row>
    <row r="111" spans="1:3" x14ac:dyDescent="0.2">
      <c r="A111" s="28">
        <v>44267.30972222222</v>
      </c>
      <c r="B111" s="29">
        <v>2.2471910112521218</v>
      </c>
      <c r="C111" s="29">
        <v>3.2</v>
      </c>
    </row>
    <row r="112" spans="1:3" x14ac:dyDescent="0.2">
      <c r="A112" s="28">
        <v>44267.563888888886</v>
      </c>
      <c r="B112" s="29">
        <v>2.2950819672218747</v>
      </c>
      <c r="C112" s="29">
        <v>10.199999999999999</v>
      </c>
    </row>
    <row r="113" spans="1:3" x14ac:dyDescent="0.2">
      <c r="A113" s="28">
        <v>44268.349305555559</v>
      </c>
      <c r="B113" s="29">
        <v>2.01591511934721</v>
      </c>
      <c r="C113" s="29">
        <v>7.9</v>
      </c>
    </row>
    <row r="114" spans="1:3" x14ac:dyDescent="0.2">
      <c r="A114" s="28">
        <v>44269.336805555555</v>
      </c>
      <c r="B114" s="29">
        <v>2.3628691983226822</v>
      </c>
      <c r="C114" s="29">
        <v>2.7</v>
      </c>
    </row>
    <row r="115" spans="1:3" x14ac:dyDescent="0.2">
      <c r="A115" s="28">
        <v>44269.593055555553</v>
      </c>
      <c r="B115" s="29">
        <v>2.7642276422921204</v>
      </c>
      <c r="C115" s="29">
        <v>11.8</v>
      </c>
    </row>
    <row r="116" spans="1:3" x14ac:dyDescent="0.2">
      <c r="A116" s="28">
        <v>44270.331250000003</v>
      </c>
      <c r="B116" s="29">
        <v>1.9755409219052502</v>
      </c>
      <c r="C116" s="29">
        <v>8.8000000000000007</v>
      </c>
    </row>
    <row r="117" spans="1:3" x14ac:dyDescent="0.2">
      <c r="A117" s="28">
        <v>44270.563194444447</v>
      </c>
      <c r="B117" s="29">
        <v>1.9760479041971268</v>
      </c>
      <c r="C117" s="29">
        <v>11.1</v>
      </c>
    </row>
    <row r="118" spans="1:3" x14ac:dyDescent="0.2">
      <c r="A118" s="28">
        <v>44271.366666666669</v>
      </c>
      <c r="B118" s="29">
        <v>2.0224719101131736</v>
      </c>
      <c r="C118" s="29">
        <v>8.1999999999999993</v>
      </c>
    </row>
    <row r="119" spans="1:3" x14ac:dyDescent="0.2">
      <c r="A119" s="28">
        <v>44271.591666666667</v>
      </c>
      <c r="B119" s="29">
        <v>1.6666666666774459</v>
      </c>
      <c r="C119" s="29">
        <v>14.2</v>
      </c>
    </row>
    <row r="120" spans="1:3" x14ac:dyDescent="0.2">
      <c r="A120" s="28">
        <v>44271.679861111108</v>
      </c>
      <c r="B120" s="29">
        <v>0.47244094490094468</v>
      </c>
      <c r="C120" s="29">
        <v>13</v>
      </c>
    </row>
    <row r="121" spans="1:3" x14ac:dyDescent="0.2">
      <c r="A121" s="28">
        <v>44272.289583333331</v>
      </c>
      <c r="B121" s="29">
        <v>1.5034168564892365</v>
      </c>
      <c r="C121" s="29">
        <v>8.9</v>
      </c>
    </row>
    <row r="122" spans="1:3" x14ac:dyDescent="0.2">
      <c r="A122" s="28">
        <v>44273.306250000001</v>
      </c>
      <c r="B122" s="29">
        <v>2.172131147533729</v>
      </c>
      <c r="C122" s="29">
        <v>2.4</v>
      </c>
    </row>
    <row r="123" spans="1:3" x14ac:dyDescent="0.2">
      <c r="A123" s="28">
        <v>44273.558333333334</v>
      </c>
      <c r="B123" s="29">
        <v>2.3140495867813122</v>
      </c>
      <c r="C123" s="29">
        <v>7.5</v>
      </c>
    </row>
    <row r="124" spans="1:3" x14ac:dyDescent="0.2">
      <c r="A124" s="28">
        <v>44274.296527777777</v>
      </c>
      <c r="B124" s="29">
        <v>2.2577610536282537</v>
      </c>
      <c r="C124" s="29">
        <v>5.5</v>
      </c>
    </row>
    <row r="125" spans="1:3" x14ac:dyDescent="0.2">
      <c r="A125" s="28">
        <v>44275.374305555553</v>
      </c>
      <c r="B125" s="29">
        <v>2.4742268041263098</v>
      </c>
      <c r="C125" s="29">
        <v>3</v>
      </c>
    </row>
    <row r="126" spans="1:3" x14ac:dyDescent="0.2">
      <c r="A126" s="28">
        <v>44276.363888888889</v>
      </c>
      <c r="B126" s="29">
        <v>2.2315789473629519</v>
      </c>
      <c r="C126" s="29">
        <v>2.1</v>
      </c>
    </row>
    <row r="127" spans="1:3" x14ac:dyDescent="0.2">
      <c r="A127" s="28">
        <v>44277.306944444441</v>
      </c>
      <c r="B127" s="29">
        <v>2.5184094256358516</v>
      </c>
      <c r="C127" s="29">
        <v>-0.3</v>
      </c>
    </row>
    <row r="128" spans="1:3" x14ac:dyDescent="0.2">
      <c r="A128" s="28">
        <v>44277.571527777778</v>
      </c>
      <c r="B128" s="29">
        <v>2.3622047243748034</v>
      </c>
      <c r="C128" s="29">
        <v>10.199999999999999</v>
      </c>
    </row>
    <row r="129" spans="1:3" x14ac:dyDescent="0.2">
      <c r="A129" s="28">
        <v>44278.37222222222</v>
      </c>
      <c r="B129" s="29">
        <v>2.185602775374341</v>
      </c>
      <c r="C129" s="29">
        <v>4.5999999999999996</v>
      </c>
    </row>
    <row r="130" spans="1:3" x14ac:dyDescent="0.2">
      <c r="A130" s="28">
        <v>44279.582638888889</v>
      </c>
      <c r="B130" s="29">
        <v>1.6523235800317748</v>
      </c>
      <c r="C130" s="29">
        <v>15.9</v>
      </c>
    </row>
    <row r="131" spans="1:3" x14ac:dyDescent="0.2">
      <c r="A131" s="28">
        <v>44280.365972222222</v>
      </c>
      <c r="B131" s="29">
        <v>1.4361702127668468</v>
      </c>
      <c r="C131" s="29">
        <v>9.1</v>
      </c>
    </row>
    <row r="132" spans="1:3" x14ac:dyDescent="0.2">
      <c r="A132" s="28">
        <v>44281.377083333333</v>
      </c>
      <c r="B132" s="29">
        <v>1.401098901099125</v>
      </c>
      <c r="C132" s="29">
        <v>9.1</v>
      </c>
    </row>
    <row r="133" spans="1:3" x14ac:dyDescent="0.2">
      <c r="A133" s="28">
        <v>44281.582638888889</v>
      </c>
      <c r="B133" s="29">
        <v>1.8243243243185843</v>
      </c>
      <c r="C133" s="29">
        <v>13.9</v>
      </c>
    </row>
    <row r="134" spans="1:3" x14ac:dyDescent="0.2">
      <c r="A134" s="28">
        <v>44282.456944444442</v>
      </c>
      <c r="B134" s="29">
        <v>1.9539316918239626</v>
      </c>
      <c r="C134" s="29">
        <v>9.9</v>
      </c>
    </row>
    <row r="135" spans="1:3" x14ac:dyDescent="0.2">
      <c r="A135" s="28">
        <v>44283.438194444447</v>
      </c>
      <c r="B135" s="29">
        <v>2.1231422505213398</v>
      </c>
      <c r="C135" s="29">
        <v>11</v>
      </c>
    </row>
    <row r="136" spans="1:3" x14ac:dyDescent="0.2">
      <c r="A136" s="28">
        <v>44284.395833333336</v>
      </c>
      <c r="B136" s="29">
        <v>0.95721537345886665</v>
      </c>
      <c r="C136" s="29">
        <v>11.2</v>
      </c>
    </row>
    <row r="137" spans="1:3" x14ac:dyDescent="0.2">
      <c r="A137" s="28">
        <v>44285.361805555556</v>
      </c>
      <c r="B137" s="29">
        <v>0.69015097052607299</v>
      </c>
      <c r="C137" s="29">
        <v>10.6</v>
      </c>
    </row>
    <row r="138" spans="1:3" x14ac:dyDescent="0.2">
      <c r="A138" s="28">
        <v>44286.352083333331</v>
      </c>
      <c r="B138" s="29">
        <v>0.46283309958045177</v>
      </c>
      <c r="C138" s="29">
        <v>12.4</v>
      </c>
    </row>
    <row r="139" spans="1:3" x14ac:dyDescent="0.2">
      <c r="A139" s="28">
        <v>44287.375</v>
      </c>
      <c r="B139" s="29">
        <v>0.40733197555930883</v>
      </c>
      <c r="C139" s="29">
        <v>12.4</v>
      </c>
    </row>
    <row r="140" spans="1:3" x14ac:dyDescent="0.2">
      <c r="A140" s="28">
        <v>44288.572222222225</v>
      </c>
      <c r="B140" s="29">
        <v>0.41763341067195137</v>
      </c>
      <c r="C140" s="29">
        <v>17.2</v>
      </c>
    </row>
    <row r="141" spans="1:3" x14ac:dyDescent="0.2">
      <c r="A141" s="28">
        <v>44289.354861111111</v>
      </c>
      <c r="B141" s="29">
        <v>1.1712511091434215</v>
      </c>
      <c r="C141" s="29">
        <v>2.7</v>
      </c>
    </row>
    <row r="142" spans="1:3" x14ac:dyDescent="0.2">
      <c r="A142" s="28">
        <v>44290.429166666669</v>
      </c>
      <c r="B142" s="29">
        <v>1.9392372333510861</v>
      </c>
      <c r="C142" s="29">
        <v>6.4</v>
      </c>
    </row>
    <row r="143" spans="1:3" x14ac:dyDescent="0.2">
      <c r="A143" s="28">
        <v>44291.402083333334</v>
      </c>
      <c r="B143" s="29">
        <v>1.1991434689519451</v>
      </c>
      <c r="C143" s="29">
        <v>5.9</v>
      </c>
    </row>
    <row r="144" spans="1:3" x14ac:dyDescent="0.2">
      <c r="A144" s="28">
        <v>44292.3125</v>
      </c>
      <c r="B144" s="29">
        <v>1.8306636155625915</v>
      </c>
      <c r="C144" s="29">
        <v>-1.5</v>
      </c>
    </row>
    <row r="145" spans="1:3" x14ac:dyDescent="0.2">
      <c r="A145" s="28">
        <v>44292.576388888891</v>
      </c>
      <c r="B145" s="29">
        <v>2.3684210526170673</v>
      </c>
      <c r="C145" s="29">
        <v>6.6</v>
      </c>
    </row>
    <row r="146" spans="1:3" x14ac:dyDescent="0.2">
      <c r="A146" s="28">
        <v>44293.378472222219</v>
      </c>
      <c r="B146" s="29">
        <v>2.3376623376764747</v>
      </c>
      <c r="C146" s="29">
        <v>1.1000000000000001</v>
      </c>
    </row>
    <row r="147" spans="1:3" x14ac:dyDescent="0.2">
      <c r="A147" s="28">
        <v>44294.395138888889</v>
      </c>
      <c r="B147" s="29">
        <v>2.0491803278620084</v>
      </c>
      <c r="C147" s="29">
        <v>5.8</v>
      </c>
    </row>
    <row r="148" spans="1:3" x14ac:dyDescent="0.2">
      <c r="A148" s="28">
        <v>44295.370138888888</v>
      </c>
      <c r="B148" s="29">
        <v>1.5811965811989412</v>
      </c>
      <c r="C148" s="29">
        <v>8.4</v>
      </c>
    </row>
    <row r="149" spans="1:3" x14ac:dyDescent="0.2">
      <c r="A149" s="28">
        <v>44297.355555555558</v>
      </c>
      <c r="B149" s="29">
        <v>1.3641133263355474</v>
      </c>
      <c r="C149" s="29">
        <v>5</v>
      </c>
    </row>
    <row r="150" spans="1:3" x14ac:dyDescent="0.2">
      <c r="A150" s="28">
        <v>44298.311805555553</v>
      </c>
      <c r="B150" s="29">
        <v>1.9607843137344418</v>
      </c>
      <c r="C150" s="29">
        <v>-0.1</v>
      </c>
    </row>
    <row r="151" spans="1:3" x14ac:dyDescent="0.2">
      <c r="A151" s="28">
        <v>44299.333333333336</v>
      </c>
      <c r="B151" s="29">
        <v>1.8354860638936823</v>
      </c>
      <c r="C151" s="29">
        <v>0.8</v>
      </c>
    </row>
    <row r="152" spans="1:3" x14ac:dyDescent="0.2">
      <c r="A152" s="28">
        <v>44299.523611111108</v>
      </c>
      <c r="B152" s="29">
        <v>2.189781021961076</v>
      </c>
      <c r="C152" s="29">
        <v>10.1</v>
      </c>
    </row>
    <row r="153" spans="1:3" x14ac:dyDescent="0.2">
      <c r="A153" s="28">
        <v>44299.570833333331</v>
      </c>
      <c r="B153" s="29">
        <v>1.764705882310645</v>
      </c>
      <c r="C153" s="29">
        <v>10.4</v>
      </c>
    </row>
    <row r="154" spans="1:3" x14ac:dyDescent="0.2">
      <c r="A154" s="28">
        <v>44299.667361111111</v>
      </c>
      <c r="B154" s="29">
        <v>0.86330935250207874</v>
      </c>
      <c r="C154" s="29">
        <v>11.5</v>
      </c>
    </row>
    <row r="155" spans="1:3" x14ac:dyDescent="0.2">
      <c r="A155" s="28">
        <v>44299.793749999997</v>
      </c>
      <c r="B155" s="29">
        <v>0.32967032967749932</v>
      </c>
      <c r="C155" s="29">
        <v>10.1</v>
      </c>
    </row>
    <row r="156" spans="1:3" x14ac:dyDescent="0.2">
      <c r="A156" s="28">
        <v>44301.794444444444</v>
      </c>
      <c r="B156" s="29">
        <v>2.0201318986440175</v>
      </c>
      <c r="C156" s="29">
        <v>9.6</v>
      </c>
    </row>
    <row r="157" spans="1:3" x14ac:dyDescent="0.2">
      <c r="A157" s="28">
        <v>44302.370833333334</v>
      </c>
      <c r="B157" s="29">
        <v>2.3132530120417036</v>
      </c>
      <c r="C157" s="29">
        <v>2.1</v>
      </c>
    </row>
    <row r="158" spans="1:3" x14ac:dyDescent="0.2">
      <c r="A158" s="28">
        <v>44306.379861111112</v>
      </c>
      <c r="B158" s="29">
        <v>1.4862289970551374</v>
      </c>
      <c r="C158" s="29">
        <v>10.6</v>
      </c>
    </row>
    <row r="159" spans="1:3" x14ac:dyDescent="0.2">
      <c r="A159" s="28">
        <v>44310.32708333333</v>
      </c>
      <c r="B159" s="29">
        <v>0.70724841660886262</v>
      </c>
      <c r="C159" s="29">
        <v>7</v>
      </c>
    </row>
    <row r="160" spans="1:3" x14ac:dyDescent="0.2">
      <c r="A160" s="28">
        <v>44311.275000000001</v>
      </c>
      <c r="B160" s="29">
        <v>0.61538461538146638</v>
      </c>
      <c r="C160" s="29">
        <v>8.5</v>
      </c>
    </row>
    <row r="161" spans="1:3" x14ac:dyDescent="0.2">
      <c r="A161" s="28">
        <v>44312.320833333331</v>
      </c>
      <c r="B161" s="29">
        <v>0.5976095617549283</v>
      </c>
      <c r="C161" s="29">
        <v>8.9</v>
      </c>
    </row>
    <row r="162" spans="1:3" x14ac:dyDescent="0.2">
      <c r="A162" s="28">
        <v>44314.811805555553</v>
      </c>
      <c r="B162" s="29">
        <v>0.61890158907172799</v>
      </c>
      <c r="C162" s="29">
        <v>15.1</v>
      </c>
    </row>
    <row r="163" spans="1:3" x14ac:dyDescent="0.2">
      <c r="A163" s="28">
        <v>44319.370138888888</v>
      </c>
      <c r="B163" s="29">
        <v>1.0694698354659515</v>
      </c>
      <c r="C163" s="29">
        <v>7.2</v>
      </c>
    </row>
    <row r="164" spans="1:3" x14ac:dyDescent="0.2">
      <c r="A164" s="28">
        <v>44320.299305555556</v>
      </c>
      <c r="B164" s="29">
        <v>1.1659192825087761</v>
      </c>
      <c r="C164" s="29">
        <v>10.6</v>
      </c>
    </row>
    <row r="165" spans="1:3" x14ac:dyDescent="0.2">
      <c r="A165" s="28">
        <v>44322.910416666666</v>
      </c>
      <c r="B165" s="29">
        <v>1.6117021276605725</v>
      </c>
      <c r="C165" s="29">
        <v>11.8</v>
      </c>
    </row>
    <row r="166" spans="1:3" x14ac:dyDescent="0.2">
      <c r="A166" s="28">
        <v>44362.272916666669</v>
      </c>
      <c r="B166" s="29">
        <v>0.75897110193706674</v>
      </c>
      <c r="C166" s="29">
        <v>15.4</v>
      </c>
    </row>
    <row r="167" spans="1:3" x14ac:dyDescent="0.2">
      <c r="A167" s="28">
        <v>44380.677083333336</v>
      </c>
      <c r="B167" s="29">
        <v>0.48675571654968153</v>
      </c>
      <c r="C167" s="29">
        <v>22.3</v>
      </c>
    </row>
    <row r="168" spans="1:3" x14ac:dyDescent="0.2">
      <c r="A168" s="28">
        <v>44451.747916666667</v>
      </c>
      <c r="B168" s="29">
        <v>0.47956850559888747</v>
      </c>
      <c r="C168" s="29">
        <v>24.2</v>
      </c>
    </row>
    <row r="169" spans="1:3" x14ac:dyDescent="0.2">
      <c r="A169" s="28">
        <v>44469.249305555553</v>
      </c>
      <c r="B169" s="29">
        <v>0.50472184747250204</v>
      </c>
      <c r="C169" s="29">
        <v>5</v>
      </c>
    </row>
    <row r="170" spans="1:3" x14ac:dyDescent="0.2">
      <c r="A170" s="28">
        <v>44484.5</v>
      </c>
      <c r="B170" s="29">
        <v>0.82236692318188243</v>
      </c>
      <c r="C170" s="29"/>
    </row>
    <row r="171" spans="1:3" x14ac:dyDescent="0.2">
      <c r="A171" s="28">
        <v>44502.765972222223</v>
      </c>
      <c r="B171" s="29">
        <v>1.0812454853057916</v>
      </c>
      <c r="C171" s="29">
        <v>8.4</v>
      </c>
    </row>
    <row r="172" spans="1:3" x14ac:dyDescent="0.2">
      <c r="A172" s="28">
        <v>44511.496527777781</v>
      </c>
      <c r="B172" s="29">
        <v>1.6990136811959002</v>
      </c>
      <c r="C172" s="29">
        <v>11.4</v>
      </c>
    </row>
    <row r="173" spans="1:3" x14ac:dyDescent="0.2">
      <c r="A173" s="28">
        <v>44520.461805555555</v>
      </c>
      <c r="B173" s="29">
        <v>1.6080557707210967</v>
      </c>
      <c r="C173" s="29">
        <v>3.8</v>
      </c>
    </row>
    <row r="174" spans="1:3" x14ac:dyDescent="0.2">
      <c r="A174" s="28">
        <v>44528.518055555556</v>
      </c>
      <c r="B174" s="29">
        <v>2.3635893457456296</v>
      </c>
      <c r="C174" s="29">
        <v>5.6</v>
      </c>
    </row>
    <row r="175" spans="1:3" x14ac:dyDescent="0.2">
      <c r="A175" s="28">
        <v>44537.881249999999</v>
      </c>
      <c r="B175" s="29">
        <v>2.5187272862128327</v>
      </c>
      <c r="C175" s="29">
        <v>7.1</v>
      </c>
    </row>
    <row r="176" spans="1:3" x14ac:dyDescent="0.2">
      <c r="A176" s="28">
        <v>44549.504861111112</v>
      </c>
      <c r="B176" s="29">
        <v>2.6347233839162127</v>
      </c>
      <c r="C176" s="29">
        <v>1.5</v>
      </c>
    </row>
    <row r="177" spans="1:3" x14ac:dyDescent="0.2">
      <c r="A177" s="28">
        <v>44550.722222222219</v>
      </c>
      <c r="B177" s="29">
        <v>3.6280661722895906</v>
      </c>
      <c r="C177" s="29">
        <v>1.8</v>
      </c>
    </row>
    <row r="178" spans="1:3" x14ac:dyDescent="0.2">
      <c r="A178" s="28">
        <v>44552.724305555559</v>
      </c>
      <c r="B178" s="29">
        <v>3.5379812694989257</v>
      </c>
      <c r="C178" s="29">
        <v>-0.7</v>
      </c>
    </row>
    <row r="179" spans="1:3" x14ac:dyDescent="0.2">
      <c r="A179" s="28">
        <v>44554.658333333333</v>
      </c>
      <c r="B179" s="29">
        <v>2.5206463195743884</v>
      </c>
      <c r="C179" s="29">
        <v>11</v>
      </c>
    </row>
    <row r="180" spans="1:3" x14ac:dyDescent="0.2">
      <c r="A180" s="28">
        <v>44556.803472222222</v>
      </c>
      <c r="B180" s="29">
        <v>0.46617028164451002</v>
      </c>
      <c r="C180" s="29">
        <v>10.6</v>
      </c>
    </row>
    <row r="181" spans="1:3" x14ac:dyDescent="0.2">
      <c r="A181" s="28">
        <v>44578.790277777778</v>
      </c>
      <c r="B181" s="29">
        <v>2.3877957108113379</v>
      </c>
      <c r="C181" s="29">
        <v>4.5999999999999996</v>
      </c>
    </row>
    <row r="182" spans="1:3" x14ac:dyDescent="0.2">
      <c r="A182" s="28">
        <v>44580.3125</v>
      </c>
      <c r="B182" s="29">
        <v>2.7098540145991157</v>
      </c>
      <c r="C182" s="29">
        <v>3.1</v>
      </c>
    </row>
    <row r="183" spans="1:3" x14ac:dyDescent="0.2">
      <c r="A183" s="28">
        <v>44581.306944444441</v>
      </c>
      <c r="B183" s="29">
        <v>2.7653631285015119</v>
      </c>
      <c r="C183" s="29">
        <v>4.8</v>
      </c>
    </row>
    <row r="184" spans="1:3" x14ac:dyDescent="0.2">
      <c r="A184" s="28">
        <v>44582.325694444444</v>
      </c>
      <c r="B184" s="29">
        <v>2.7402862985606786</v>
      </c>
      <c r="C184" s="29">
        <v>-1.5</v>
      </c>
    </row>
    <row r="185" spans="1:3" x14ac:dyDescent="0.2">
      <c r="A185" s="28">
        <v>44583.338888888888</v>
      </c>
      <c r="B185" s="29">
        <v>3.0843043180280141</v>
      </c>
      <c r="C185" s="29">
        <v>-2.1</v>
      </c>
    </row>
    <row r="186" spans="1:3" x14ac:dyDescent="0.2">
      <c r="A186" s="28">
        <v>44584.343055555553</v>
      </c>
      <c r="B186" s="29">
        <v>3.3609958506256539</v>
      </c>
      <c r="C186" s="29">
        <v>2</v>
      </c>
    </row>
    <row r="187" spans="1:3" x14ac:dyDescent="0.2">
      <c r="A187" s="28">
        <v>44585.331944444442</v>
      </c>
      <c r="B187" s="29">
        <v>3.1601123595500451</v>
      </c>
      <c r="C187" s="29">
        <v>-0.7</v>
      </c>
    </row>
    <row r="188" spans="1:3" x14ac:dyDescent="0.2">
      <c r="A188" s="28">
        <v>44586.320138888892</v>
      </c>
      <c r="B188" s="29">
        <v>3.3731553056745383</v>
      </c>
      <c r="C188" s="29">
        <v>-3.4</v>
      </c>
    </row>
    <row r="189" spans="1:3" x14ac:dyDescent="0.2">
      <c r="A189" s="28">
        <v>44587.322916666664</v>
      </c>
      <c r="B189" s="29">
        <v>3.2409972299346652</v>
      </c>
      <c r="C189" s="29">
        <v>-1.1000000000000001</v>
      </c>
    </row>
    <row r="190" spans="1:3" x14ac:dyDescent="0.2">
      <c r="A190" s="28">
        <v>44588.306944444441</v>
      </c>
      <c r="B190" s="29">
        <v>3.8108680310559007</v>
      </c>
      <c r="C190" s="29">
        <v>-1.8</v>
      </c>
    </row>
    <row r="191" spans="1:3" x14ac:dyDescent="0.2">
      <c r="A191" s="28">
        <v>44589.354861111111</v>
      </c>
      <c r="B191" s="29">
        <v>3.1411530815007564</v>
      </c>
      <c r="C191" s="29">
        <v>5.4</v>
      </c>
    </row>
    <row r="192" spans="1:3" x14ac:dyDescent="0.2">
      <c r="A192" s="28">
        <v>44590.316666666666</v>
      </c>
      <c r="B192" s="29">
        <v>2.4693140794244584</v>
      </c>
      <c r="C192" s="29">
        <v>5.7</v>
      </c>
    </row>
    <row r="193" spans="1:3" x14ac:dyDescent="0.2">
      <c r="A193" s="28">
        <v>44591.369444444441</v>
      </c>
      <c r="B193" s="29">
        <v>2.2559366754672849</v>
      </c>
      <c r="C193" s="29">
        <v>7</v>
      </c>
    </row>
    <row r="194" spans="1:3" x14ac:dyDescent="0.2">
      <c r="A194" s="28">
        <v>44592.310416666667</v>
      </c>
      <c r="B194" s="29">
        <v>2.1697416974076535</v>
      </c>
      <c r="C194" s="29">
        <v>7.1</v>
      </c>
    </row>
    <row r="195" spans="1:3" x14ac:dyDescent="0.2">
      <c r="A195" s="28">
        <v>44593.308333333334</v>
      </c>
      <c r="B195" s="29">
        <v>2.5469728601240229</v>
      </c>
      <c r="C195" s="29">
        <v>4</v>
      </c>
    </row>
    <row r="196" spans="1:3" x14ac:dyDescent="0.2">
      <c r="A196" s="28">
        <v>44594.327777777777</v>
      </c>
      <c r="B196" s="29">
        <v>2.2070844686694007</v>
      </c>
      <c r="C196" s="29">
        <v>7.6</v>
      </c>
    </row>
    <row r="197" spans="1:3" x14ac:dyDescent="0.2">
      <c r="A197" s="28">
        <v>44595.347222222219</v>
      </c>
      <c r="B197" s="29">
        <v>2.2070844686694007</v>
      </c>
      <c r="C197" s="29">
        <v>3.7</v>
      </c>
    </row>
    <row r="198" spans="1:3" x14ac:dyDescent="0.2">
      <c r="A198" s="28">
        <v>44596.349305555559</v>
      </c>
      <c r="B198" s="29">
        <v>2.3284823284665488</v>
      </c>
      <c r="C198" s="29">
        <v>7.3</v>
      </c>
    </row>
    <row r="199" spans="1:3" x14ac:dyDescent="0.2">
      <c r="A199" s="28">
        <v>44597.365972222222</v>
      </c>
      <c r="B199" s="29">
        <v>2.3770491803369418</v>
      </c>
      <c r="C199" s="29">
        <v>-0.7</v>
      </c>
    </row>
    <row r="200" spans="1:3" x14ac:dyDescent="0.2">
      <c r="A200" s="28">
        <v>44598.431944444441</v>
      </c>
      <c r="B200" s="29">
        <v>2.3452768729712843</v>
      </c>
      <c r="C200" s="29">
        <v>8.3000000000000007</v>
      </c>
    </row>
    <row r="201" spans="1:3" x14ac:dyDescent="0.2">
      <c r="A201" s="28">
        <v>44599.319444444445</v>
      </c>
      <c r="B201" s="29">
        <v>2.1596244131349169</v>
      </c>
      <c r="C201" s="29">
        <v>7.6</v>
      </c>
    </row>
    <row r="202" spans="1:3" x14ac:dyDescent="0.2">
      <c r="A202" s="28">
        <v>44600.311111111114</v>
      </c>
      <c r="B202" s="29">
        <v>2.0588235294077366</v>
      </c>
      <c r="C202" s="29">
        <v>-0.3</v>
      </c>
    </row>
    <row r="203" spans="1:3" x14ac:dyDescent="0.2">
      <c r="A203" s="28">
        <v>44601.356249999997</v>
      </c>
      <c r="B203" s="29">
        <v>2.0730897010079028</v>
      </c>
      <c r="C203" s="29">
        <v>0.1</v>
      </c>
    </row>
    <row r="204" spans="1:3" x14ac:dyDescent="0.2">
      <c r="A204" s="28">
        <v>44602.35833333333</v>
      </c>
      <c r="B204" s="29">
        <v>2.2869022869033939</v>
      </c>
      <c r="C204" s="29">
        <v>5.6</v>
      </c>
    </row>
    <row r="205" spans="1:3" x14ac:dyDescent="0.2">
      <c r="A205" s="28">
        <v>44603.345138888886</v>
      </c>
      <c r="B205" s="29">
        <v>2.4067558057690066</v>
      </c>
      <c r="C205" s="29">
        <v>0.1</v>
      </c>
    </row>
    <row r="206" spans="1:3" x14ac:dyDescent="0.2">
      <c r="A206" s="28">
        <v>44604.306944444441</v>
      </c>
      <c r="B206" s="29">
        <v>2.4259927797854326</v>
      </c>
      <c r="C206" s="29">
        <v>-0.9</v>
      </c>
    </row>
    <row r="207" spans="1:3" x14ac:dyDescent="0.2">
      <c r="A207" s="28">
        <v>44606.317361111112</v>
      </c>
      <c r="B207" s="29">
        <v>2.4041450777144067</v>
      </c>
      <c r="C207" s="29">
        <v>5.5</v>
      </c>
    </row>
    <row r="208" spans="1:3" x14ac:dyDescent="0.2">
      <c r="A208" s="28">
        <v>44607.304861111108</v>
      </c>
      <c r="B208" s="29">
        <v>2.3628691983226822</v>
      </c>
      <c r="C208" s="29">
        <v>2.6</v>
      </c>
    </row>
    <row r="209" spans="1:3" x14ac:dyDescent="0.2">
      <c r="A209" s="28">
        <v>44609.369444444441</v>
      </c>
      <c r="B209" s="29">
        <v>1.8750000000011611</v>
      </c>
      <c r="C209" s="29">
        <v>10.9</v>
      </c>
    </row>
    <row r="210" spans="1:3" x14ac:dyDescent="0.2">
      <c r="A210" s="28">
        <v>44612.501388888886</v>
      </c>
      <c r="B210" s="29">
        <v>2.0487804878043492</v>
      </c>
      <c r="C210" s="29">
        <v>11.2</v>
      </c>
    </row>
    <row r="211" spans="1:3" x14ac:dyDescent="0.2">
      <c r="A211" s="28">
        <v>44613.348611111112</v>
      </c>
      <c r="B211" s="29">
        <v>1.9180327868760947</v>
      </c>
      <c r="C211" s="29">
        <v>6</v>
      </c>
    </row>
    <row r="212" spans="1:3" x14ac:dyDescent="0.2">
      <c r="A212" s="28">
        <v>44608.324999999997</v>
      </c>
      <c r="B212" s="29">
        <v>2.1238938053093981</v>
      </c>
      <c r="C212" s="29">
        <v>11.2</v>
      </c>
    </row>
    <row r="213" spans="1:3" x14ac:dyDescent="0.2">
      <c r="A213" s="28">
        <v>44614.397916666669</v>
      </c>
      <c r="B213" s="29">
        <v>2.2236929185955852</v>
      </c>
      <c r="C213" s="29">
        <v>8.3000000000000007</v>
      </c>
    </row>
    <row r="214" spans="1:3" x14ac:dyDescent="0.2">
      <c r="A214" s="28">
        <v>44616.357638888891</v>
      </c>
      <c r="B214" s="29">
        <v>1.8284904323178071</v>
      </c>
      <c r="C214" s="29">
        <v>4.2</v>
      </c>
    </row>
    <row r="215" spans="1:3" x14ac:dyDescent="0.2">
      <c r="A215" s="28">
        <v>44617.413194444445</v>
      </c>
      <c r="B215" s="29">
        <v>2.4473684210545059</v>
      </c>
      <c r="C215" s="29">
        <v>6.3</v>
      </c>
    </row>
    <row r="216" spans="1:3" x14ac:dyDescent="0.2">
      <c r="A216" s="28">
        <v>44620.315972222219</v>
      </c>
      <c r="B216" s="29">
        <v>2.4401913875632069</v>
      </c>
      <c r="C216" s="29">
        <v>0.2</v>
      </c>
    </row>
    <row r="217" spans="1:3" x14ac:dyDescent="0.2">
      <c r="A217" s="28">
        <v>44621.313888888886</v>
      </c>
      <c r="B217" s="29">
        <v>1.6283924843415885</v>
      </c>
      <c r="C217" s="29">
        <v>8.1</v>
      </c>
    </row>
    <row r="218" spans="1:3" x14ac:dyDescent="0.2">
      <c r="A218" s="28">
        <v>44622.354166666664</v>
      </c>
      <c r="B218" s="29">
        <v>1.4419225634174422</v>
      </c>
      <c r="C218" s="29">
        <v>7.8</v>
      </c>
    </row>
    <row r="219" spans="1:3" x14ac:dyDescent="0.2">
      <c r="A219" s="28">
        <v>44623.352083333331</v>
      </c>
      <c r="B219" s="29">
        <v>1.7954070981202128</v>
      </c>
      <c r="C219" s="29">
        <v>8.4</v>
      </c>
    </row>
    <row r="220" spans="1:3" x14ac:dyDescent="0.2">
      <c r="A220" s="28">
        <v>44624.350694444445</v>
      </c>
      <c r="B220" s="29">
        <v>1.6689847009689804</v>
      </c>
      <c r="C220" s="29">
        <v>7</v>
      </c>
    </row>
    <row r="221" spans="1:3" x14ac:dyDescent="0.2">
      <c r="A221" s="28">
        <v>44625.352777777778</v>
      </c>
      <c r="B221" s="29">
        <v>2.2869022869033939</v>
      </c>
      <c r="C221" s="29">
        <v>2.8</v>
      </c>
    </row>
    <row r="222" spans="1:3" x14ac:dyDescent="0.2">
      <c r="A222" s="28">
        <v>44627.323611111111</v>
      </c>
      <c r="B222" s="29">
        <v>2.1987315010576238</v>
      </c>
      <c r="C222" s="29">
        <v>-3</v>
      </c>
    </row>
    <row r="223" spans="1:3" x14ac:dyDescent="0.2">
      <c r="A223" s="28">
        <v>44628.318749999999</v>
      </c>
      <c r="B223" s="29">
        <v>2.3866015352438557</v>
      </c>
      <c r="C223" s="29">
        <v>6.5</v>
      </c>
    </row>
    <row r="224" spans="1:3" x14ac:dyDescent="0.2">
      <c r="A224" s="28">
        <v>44629.32708333333</v>
      </c>
      <c r="B224" s="29">
        <v>1.9834710743839818</v>
      </c>
      <c r="C224" s="29">
        <v>8.3000000000000007</v>
      </c>
    </row>
    <row r="225" spans="1:3" x14ac:dyDescent="0.2">
      <c r="A225" s="28">
        <v>44630.350694444445</v>
      </c>
      <c r="B225" s="29">
        <v>1.5875169606447692</v>
      </c>
      <c r="C225" s="29">
        <v>9.1999999999999993</v>
      </c>
    </row>
    <row r="226" spans="1:3" x14ac:dyDescent="0.2">
      <c r="A226" s="28">
        <v>44631.377083333333</v>
      </c>
      <c r="B226" s="29">
        <v>1.7050067659020134</v>
      </c>
      <c r="C226" s="29">
        <v>10</v>
      </c>
    </row>
    <row r="227" spans="1:3" x14ac:dyDescent="0.2">
      <c r="A227" s="28">
        <v>44632.318055555559</v>
      </c>
      <c r="B227" s="29">
        <v>1.7269372693652751</v>
      </c>
      <c r="C227" s="29">
        <v>6.8</v>
      </c>
    </row>
    <row r="228" spans="1:3" x14ac:dyDescent="0.2">
      <c r="A228" s="28">
        <v>44633.4</v>
      </c>
      <c r="B228" s="29">
        <v>1.7715019255490128</v>
      </c>
      <c r="C228" s="29"/>
    </row>
    <row r="229" spans="1:3" x14ac:dyDescent="0.2">
      <c r="A229" s="28">
        <v>44634.325694444444</v>
      </c>
      <c r="B229" s="29">
        <v>2.295573893478581</v>
      </c>
      <c r="C229" s="29"/>
    </row>
    <row r="230" spans="1:3" x14ac:dyDescent="0.2">
      <c r="A230" s="28">
        <v>44635.316666666666</v>
      </c>
      <c r="B230" s="29">
        <v>1.7238962859150686</v>
      </c>
      <c r="C230" s="29"/>
    </row>
    <row r="231" spans="1:3" x14ac:dyDescent="0.2">
      <c r="A231" s="28">
        <v>44636.319444444445</v>
      </c>
      <c r="B231" s="29">
        <v>1.37119113573164</v>
      </c>
      <c r="C231" s="29"/>
    </row>
    <row r="232" spans="1:3" x14ac:dyDescent="0.2">
      <c r="A232" s="28">
        <v>44637.433333333334</v>
      </c>
      <c r="B232" s="29">
        <v>1.7581047381543582</v>
      </c>
      <c r="C232" s="29"/>
    </row>
    <row r="233" spans="1:3" x14ac:dyDescent="0.2">
      <c r="A233" s="28">
        <v>44638.349305555559</v>
      </c>
      <c r="B233" s="29">
        <v>2.2289613343379049</v>
      </c>
      <c r="C233" s="29"/>
    </row>
    <row r="234" spans="1:3" x14ac:dyDescent="0.2">
      <c r="A234" s="28">
        <v>44639.329861111109</v>
      </c>
      <c r="B234" s="29">
        <v>2.0396600566679863</v>
      </c>
      <c r="C234" s="29"/>
    </row>
    <row r="235" spans="1:3" x14ac:dyDescent="0.2">
      <c r="A235" s="28">
        <v>44640.384027777778</v>
      </c>
      <c r="B235" s="29">
        <v>1.5019762845822158</v>
      </c>
      <c r="C235" s="29"/>
    </row>
    <row r="236" spans="1:3" x14ac:dyDescent="0.2">
      <c r="A236" s="28">
        <v>44641.328472222223</v>
      </c>
      <c r="B236" s="29">
        <v>1.2794117647047871</v>
      </c>
      <c r="C236" s="29"/>
    </row>
    <row r="237" spans="1:3" x14ac:dyDescent="0.2">
      <c r="A237" s="28">
        <v>44642.306250000001</v>
      </c>
      <c r="B237" s="29">
        <v>1.1931818181814235</v>
      </c>
      <c r="C237" s="29"/>
    </row>
    <row r="238" spans="1:3" x14ac:dyDescent="0.2">
      <c r="A238" s="28">
        <v>44643.37222222222</v>
      </c>
      <c r="B238" s="29">
        <v>1.4071661237827704</v>
      </c>
      <c r="C238" s="29"/>
    </row>
    <row r="239" spans="1:3" x14ac:dyDescent="0.2">
      <c r="A239" s="28">
        <v>44644.322916666664</v>
      </c>
      <c r="B239" s="29">
        <v>1.7531044558083511</v>
      </c>
      <c r="C239" s="29"/>
    </row>
    <row r="240" spans="1:3" x14ac:dyDescent="0.2">
      <c r="A240" s="28">
        <v>44645.34375</v>
      </c>
      <c r="B240" s="29">
        <v>1.3469387755070039</v>
      </c>
      <c r="C240" s="29"/>
    </row>
    <row r="241" spans="1:3" x14ac:dyDescent="0.2">
      <c r="A241" s="28">
        <v>44646.310416666667</v>
      </c>
      <c r="B241" s="29">
        <v>1.1206896551718515</v>
      </c>
      <c r="C241" s="29"/>
    </row>
    <row r="242" spans="1:3" x14ac:dyDescent="0.2">
      <c r="A242" s="28">
        <v>44647.415277777778</v>
      </c>
      <c r="B242" s="29">
        <v>1.131363922061762</v>
      </c>
      <c r="C242" s="29"/>
    </row>
    <row r="243" spans="1:3" x14ac:dyDescent="0.2">
      <c r="A243" s="28">
        <v>44648.330555555556</v>
      </c>
      <c r="B243" s="29">
        <v>1.0925644916536352</v>
      </c>
      <c r="C243" s="29"/>
    </row>
    <row r="244" spans="1:3" x14ac:dyDescent="0.2">
      <c r="A244" s="28">
        <v>44649.307638888888</v>
      </c>
      <c r="B244" s="29">
        <v>0.5117270788922742</v>
      </c>
      <c r="C244" s="29"/>
    </row>
    <row r="245" spans="1:3" x14ac:dyDescent="0.2">
      <c r="A245" s="28">
        <v>44650.302083333336</v>
      </c>
      <c r="B245" s="29">
        <v>1.1312849161968868</v>
      </c>
      <c r="C245" s="29"/>
    </row>
    <row r="246" spans="1:3" x14ac:dyDescent="0.2">
      <c r="A246" s="28">
        <v>44651.354166666664</v>
      </c>
      <c r="B246" s="29">
        <v>1.6633663366413323</v>
      </c>
      <c r="C246" s="29"/>
    </row>
    <row r="247" spans="1:3" x14ac:dyDescent="0.2">
      <c r="A247" s="28">
        <v>44652.319444444445</v>
      </c>
      <c r="B247" s="29">
        <v>2.5035971222937712</v>
      </c>
      <c r="C247" s="29"/>
    </row>
    <row r="248" spans="1:3" x14ac:dyDescent="0.2">
      <c r="A248" s="28">
        <v>44653.337500000001</v>
      </c>
      <c r="B248" s="29">
        <v>3.0286493860826598</v>
      </c>
      <c r="C248" s="29"/>
    </row>
    <row r="249" spans="1:3" x14ac:dyDescent="0.2">
      <c r="A249" s="28">
        <v>44655.328472222223</v>
      </c>
      <c r="B249" s="29">
        <v>2.8461806766659663</v>
      </c>
      <c r="C249" s="29"/>
    </row>
    <row r="250" spans="1:3" x14ac:dyDescent="0.2">
      <c r="A250" s="28">
        <v>44656.311111111114</v>
      </c>
      <c r="B250" s="29">
        <v>1.9505300353324795</v>
      </c>
      <c r="C250" s="29"/>
    </row>
    <row r="251" spans="1:3" x14ac:dyDescent="0.2">
      <c r="A251" s="28">
        <v>44657.324999999997</v>
      </c>
      <c r="B251" s="29">
        <v>1.602739726036343</v>
      </c>
      <c r="C251" s="29"/>
    </row>
    <row r="252" spans="1:3" x14ac:dyDescent="0.2">
      <c r="A252" s="28">
        <v>44658.334027777775</v>
      </c>
      <c r="B252" s="29">
        <v>1.7343427391598021</v>
      </c>
      <c r="C252" s="29"/>
    </row>
    <row r="253" spans="1:3" x14ac:dyDescent="0.2">
      <c r="A253" s="28">
        <v>44659.350694444445</v>
      </c>
      <c r="B253" s="29">
        <v>1.7622950819613274</v>
      </c>
      <c r="C253" s="29"/>
    </row>
    <row r="254" spans="1:3" x14ac:dyDescent="0.2">
      <c r="A254" s="28">
        <v>44660.356249999997</v>
      </c>
      <c r="B254" s="29">
        <v>1.9889502762504496</v>
      </c>
      <c r="C254" s="29"/>
    </row>
    <row r="255" spans="1:3" x14ac:dyDescent="0.2">
      <c r="A255" s="28">
        <v>44661.318749999999</v>
      </c>
      <c r="B255" s="29">
        <v>1.9480519480490028</v>
      </c>
      <c r="C255" s="29"/>
    </row>
    <row r="256" spans="1:3" x14ac:dyDescent="0.2">
      <c r="A256" s="28">
        <v>44662.323611111111</v>
      </c>
      <c r="B256" s="29">
        <v>1.4512785072545245</v>
      </c>
      <c r="C256" s="29"/>
    </row>
    <row r="257" spans="1:3" x14ac:dyDescent="0.2">
      <c r="A257" s="28">
        <v>44663.318055555559</v>
      </c>
      <c r="B257" s="29">
        <v>0.62849162010938153</v>
      </c>
      <c r="C257" s="29"/>
    </row>
    <row r="258" spans="1:3" x14ac:dyDescent="0.2">
      <c r="A258" s="28">
        <v>44664.316666666666</v>
      </c>
      <c r="B258" s="29">
        <v>1.0848400556377416</v>
      </c>
      <c r="C258" s="29"/>
    </row>
    <row r="259" spans="1:3" x14ac:dyDescent="0.2">
      <c r="A259" s="28">
        <v>44665.342361111114</v>
      </c>
      <c r="B259" s="29">
        <v>0.89370345294191889</v>
      </c>
      <c r="C259" s="29"/>
    </row>
    <row r="260" spans="1:3" x14ac:dyDescent="0.2">
      <c r="A260" s="28">
        <v>44666.384722222225</v>
      </c>
      <c r="B260" s="29">
        <v>0.51965356429055365</v>
      </c>
      <c r="C260" s="29"/>
    </row>
    <row r="261" spans="1:3" x14ac:dyDescent="0.2">
      <c r="A261" s="28">
        <v>44667.31527777778</v>
      </c>
      <c r="B261" s="29">
        <v>0.49253731343326373</v>
      </c>
      <c r="C261" s="29"/>
    </row>
    <row r="262" spans="1:3" x14ac:dyDescent="0.2">
      <c r="A262" s="28">
        <v>44668.347916666666</v>
      </c>
      <c r="B262" s="29">
        <v>0.52454606590590191</v>
      </c>
      <c r="C262" s="29"/>
    </row>
    <row r="263" spans="1:3" x14ac:dyDescent="0.2">
      <c r="A263" s="28">
        <v>44670.322222222225</v>
      </c>
      <c r="B263" s="29">
        <v>0.40098487513118047</v>
      </c>
      <c r="C263" s="29"/>
    </row>
    <row r="264" spans="1:3" x14ac:dyDescent="0.2">
      <c r="A264" s="28">
        <v>44671.309027777781</v>
      </c>
      <c r="B264" s="29">
        <v>1.4356087262481794</v>
      </c>
      <c r="C264" s="29"/>
    </row>
    <row r="265" spans="1:3" x14ac:dyDescent="0.2">
      <c r="A265" s="28">
        <v>44672.314583333333</v>
      </c>
      <c r="B265" s="29">
        <v>1.0773480663023269</v>
      </c>
      <c r="C265" s="29"/>
    </row>
    <row r="266" spans="1:3" x14ac:dyDescent="0.2">
      <c r="A266" s="28">
        <v>44673.347222222219</v>
      </c>
      <c r="B266" s="29">
        <v>0.52454606590590191</v>
      </c>
      <c r="C266" s="29"/>
    </row>
    <row r="267" spans="1:3" x14ac:dyDescent="0.2">
      <c r="A267" s="28">
        <v>44674.461111111108</v>
      </c>
      <c r="B267" s="29">
        <v>0.41147132169570089</v>
      </c>
      <c r="C267" s="29"/>
    </row>
    <row r="268" spans="1:3" x14ac:dyDescent="0.2">
      <c r="A268" s="28">
        <v>44675.356249999997</v>
      </c>
      <c r="B268" s="29">
        <v>0.74476338246689422</v>
      </c>
      <c r="C268" s="29"/>
    </row>
    <row r="269" spans="1:3" x14ac:dyDescent="0.2">
      <c r="A269" s="28">
        <v>44677.357638888891</v>
      </c>
      <c r="B269" s="29">
        <v>0.89521165856841223</v>
      </c>
      <c r="C269" s="29"/>
    </row>
    <row r="270" spans="1:3" x14ac:dyDescent="0.2">
      <c r="A270" s="28">
        <v>44678.388888888891</v>
      </c>
      <c r="B270" s="29">
        <v>1.0909090909090908</v>
      </c>
      <c r="C270" s="29"/>
    </row>
    <row r="271" spans="1:3" x14ac:dyDescent="0.2">
      <c r="A271" s="28">
        <v>44679.313888888886</v>
      </c>
      <c r="B271" s="29">
        <v>0.58558558558834928</v>
      </c>
      <c r="C271" s="29"/>
    </row>
    <row r="272" spans="1:3" x14ac:dyDescent="0.2">
      <c r="A272" s="28">
        <v>44680.336111111108</v>
      </c>
      <c r="B272" s="29">
        <v>0.44836956521753313</v>
      </c>
      <c r="C272" s="29"/>
    </row>
    <row r="273" spans="1:3" x14ac:dyDescent="0.2">
      <c r="A273" s="28">
        <v>44681.359722222223</v>
      </c>
      <c r="B273" s="29">
        <v>0.36635006784110058</v>
      </c>
      <c r="C273" s="29"/>
    </row>
    <row r="274" spans="1:3" x14ac:dyDescent="0.2">
      <c r="A274" s="28">
        <v>44682.336805555555</v>
      </c>
      <c r="B274" s="29">
        <v>0.42643923241022846</v>
      </c>
      <c r="C274" s="29"/>
    </row>
    <row r="275" spans="1:3" x14ac:dyDescent="0.2">
      <c r="A275" s="28">
        <v>44683.318055555559</v>
      </c>
      <c r="B275" s="29">
        <v>0.76433121018768235</v>
      </c>
      <c r="C275" s="29"/>
    </row>
    <row r="276" spans="1:3" x14ac:dyDescent="0.2">
      <c r="A276" s="28">
        <v>44684.311111111114</v>
      </c>
      <c r="B276" s="29">
        <v>0.46153846153883726</v>
      </c>
      <c r="C276" s="29"/>
    </row>
    <row r="277" spans="1:3" x14ac:dyDescent="0.2">
      <c r="A277" s="28">
        <v>44685.341666666667</v>
      </c>
      <c r="B277" s="29">
        <v>0.44474393531094991</v>
      </c>
      <c r="C277" s="29"/>
    </row>
    <row r="278" spans="1:3" x14ac:dyDescent="0.2">
      <c r="A278" s="28">
        <v>44686.306944444441</v>
      </c>
      <c r="B278" s="29">
        <v>0.5611510791390405</v>
      </c>
      <c r="C278" s="29"/>
    </row>
    <row r="279" spans="1:3" x14ac:dyDescent="0.2">
      <c r="A279" s="28">
        <v>44687.322916666664</v>
      </c>
      <c r="B279" s="29">
        <v>0.53315105946625496</v>
      </c>
      <c r="C279" s="29"/>
    </row>
    <row r="280" spans="1:3" x14ac:dyDescent="0.2">
      <c r="A280" s="28">
        <v>44688.351388888892</v>
      </c>
      <c r="B280" s="29">
        <v>0.44564483456885357</v>
      </c>
      <c r="C280" s="29"/>
    </row>
    <row r="281" spans="1:3" x14ac:dyDescent="0.2">
      <c r="A281" s="28">
        <v>44689.48333333333</v>
      </c>
      <c r="B281" s="29">
        <v>0.40490797546243618</v>
      </c>
      <c r="C281" s="29"/>
    </row>
    <row r="282" spans="1:3" x14ac:dyDescent="0.2">
      <c r="A282" s="28">
        <v>44690.322916666664</v>
      </c>
      <c r="B282" s="29">
        <v>0.44665012406896282</v>
      </c>
      <c r="C282" s="29"/>
    </row>
    <row r="283" spans="1:3" x14ac:dyDescent="0.2">
      <c r="A283" s="28">
        <v>44691.3125</v>
      </c>
      <c r="B283" s="29">
        <v>0.33684210526233233</v>
      </c>
      <c r="C283" s="29"/>
    </row>
    <row r="284" spans="1:3" x14ac:dyDescent="0.2">
      <c r="A284" s="28">
        <v>44692.36041666667</v>
      </c>
      <c r="B284" s="29">
        <v>0.39761431411401982</v>
      </c>
      <c r="C284" s="29"/>
    </row>
    <row r="285" spans="1:3" x14ac:dyDescent="0.2">
      <c r="A285" s="28">
        <v>44693.302083333336</v>
      </c>
      <c r="B285" s="29">
        <v>0.44247787610665051</v>
      </c>
      <c r="C285" s="29"/>
    </row>
    <row r="286" spans="1:3" x14ac:dyDescent="0.2">
      <c r="A286" s="28">
        <v>44694.348611111112</v>
      </c>
      <c r="B286" s="29">
        <v>0.35832780358366556</v>
      </c>
      <c r="C286" s="29"/>
    </row>
    <row r="287" spans="1:3" x14ac:dyDescent="0.2">
      <c r="A287" s="28">
        <v>44695.335416666669</v>
      </c>
      <c r="B287" s="29">
        <v>0.42223786066122926</v>
      </c>
      <c r="C287" s="29"/>
    </row>
    <row r="288" spans="1:3" x14ac:dyDescent="0.2">
      <c r="A288" s="28">
        <v>44696.374305555553</v>
      </c>
      <c r="B288" s="29">
        <v>0.52139037433366064</v>
      </c>
      <c r="C288" s="29"/>
    </row>
    <row r="289" spans="1:3" x14ac:dyDescent="0.2">
      <c r="A289" s="28">
        <v>44697.314583333333</v>
      </c>
      <c r="B289" s="29">
        <v>0.4431314623329875</v>
      </c>
      <c r="C289" s="29"/>
    </row>
    <row r="290" spans="1:3" x14ac:dyDescent="0.2">
      <c r="A290" s="28">
        <v>44698.313194444447</v>
      </c>
      <c r="B290" s="29">
        <v>0.41724617524224511</v>
      </c>
      <c r="C290" s="29"/>
    </row>
    <row r="291" spans="1:3" x14ac:dyDescent="0.2">
      <c r="A291" s="28">
        <v>44699.352777777778</v>
      </c>
      <c r="B291" s="29">
        <v>0.40080160320716085</v>
      </c>
      <c r="C291" s="29"/>
    </row>
    <row r="292" spans="1:3" x14ac:dyDescent="0.2">
      <c r="A292" s="28">
        <v>44700.306944444441</v>
      </c>
      <c r="B292" s="29">
        <v>0.4803493449801195</v>
      </c>
      <c r="C292" s="29"/>
    </row>
    <row r="293" spans="1:3" x14ac:dyDescent="0.2">
      <c r="A293" s="28">
        <v>44701.344444444447</v>
      </c>
      <c r="B293" s="29">
        <v>0.3614457831305023</v>
      </c>
      <c r="C293" s="29"/>
    </row>
    <row r="294" spans="1:3" x14ac:dyDescent="0.2">
      <c r="A294" s="28">
        <v>44702.284722222219</v>
      </c>
      <c r="B294" s="29">
        <v>0.39881831610277485</v>
      </c>
      <c r="C294" s="29"/>
    </row>
    <row r="295" spans="1:3" x14ac:dyDescent="0.2">
      <c r="A295" s="28">
        <v>44704.321527777778</v>
      </c>
      <c r="B295" s="29">
        <v>0.30685305148258718</v>
      </c>
      <c r="C295" s="29"/>
    </row>
    <row r="296" spans="1:3" x14ac:dyDescent="0.2">
      <c r="A296" s="28">
        <v>44705.320138888892</v>
      </c>
      <c r="B296" s="29">
        <v>0.5006954102906942</v>
      </c>
      <c r="C296" s="29"/>
    </row>
    <row r="297" spans="1:3" x14ac:dyDescent="0.2">
      <c r="A297" s="28">
        <v>44706.347222222219</v>
      </c>
      <c r="B297" s="29">
        <v>0.32454361054965991</v>
      </c>
      <c r="C297" s="29"/>
    </row>
    <row r="298" spans="1:3" x14ac:dyDescent="0.2">
      <c r="A298" s="28">
        <v>44707.390277777777</v>
      </c>
      <c r="B298" s="29">
        <v>0.47936085219610458</v>
      </c>
      <c r="C298" s="29"/>
    </row>
    <row r="299" spans="1:3" x14ac:dyDescent="0.2">
      <c r="A299" s="28">
        <v>44708.337500000001</v>
      </c>
      <c r="B299" s="29">
        <v>0.35190615835681016</v>
      </c>
      <c r="C299" s="29"/>
    </row>
    <row r="300" spans="1:3" x14ac:dyDescent="0.2">
      <c r="A300" s="28">
        <v>44709.306250000001</v>
      </c>
      <c r="B300" s="29">
        <v>0.4731182795698925</v>
      </c>
      <c r="C300" s="29"/>
    </row>
    <row r="301" spans="1:3" x14ac:dyDescent="0.2">
      <c r="A301" s="28">
        <v>44710.356944444444</v>
      </c>
      <c r="B301" s="29">
        <v>0.47587574355680129</v>
      </c>
      <c r="C301" s="29"/>
    </row>
    <row r="302" spans="1:3" x14ac:dyDescent="0.2">
      <c r="A302" s="28">
        <v>44711.320833333331</v>
      </c>
      <c r="B302" s="29">
        <v>0.47550432276720872</v>
      </c>
      <c r="C302" s="29"/>
    </row>
    <row r="303" spans="1:3" x14ac:dyDescent="0.2">
      <c r="A303" s="28">
        <v>44712.322916666664</v>
      </c>
      <c r="B303" s="29">
        <v>0.29106029106043196</v>
      </c>
      <c r="C303" s="29"/>
    </row>
    <row r="304" spans="1:3" x14ac:dyDescent="0.2">
      <c r="A304" s="28">
        <v>44713.322916666664</v>
      </c>
      <c r="B304" s="29">
        <v>0.29166666666666669</v>
      </c>
      <c r="C304" s="29"/>
    </row>
    <row r="305" spans="1:3" x14ac:dyDescent="0.2">
      <c r="A305" s="28">
        <v>44714.304166666669</v>
      </c>
      <c r="B305" s="29">
        <v>0.42462845010426792</v>
      </c>
      <c r="C305" s="29"/>
    </row>
    <row r="306" spans="1:3" x14ac:dyDescent="0.2">
      <c r="A306" s="28">
        <v>44715.309027777781</v>
      </c>
      <c r="B306" s="29">
        <v>0.49758120248726551</v>
      </c>
      <c r="C306" s="29"/>
    </row>
    <row r="307" spans="1:3" x14ac:dyDescent="0.2">
      <c r="A307" s="28">
        <v>44716.347222222219</v>
      </c>
      <c r="B307" s="29">
        <v>0.56187290970249693</v>
      </c>
      <c r="C307" s="29"/>
    </row>
    <row r="308" spans="1:3" x14ac:dyDescent="0.2">
      <c r="A308" s="28">
        <v>44717.347222222219</v>
      </c>
      <c r="B308" s="29">
        <v>0.625</v>
      </c>
      <c r="C308" s="29"/>
    </row>
    <row r="309" spans="1:3" x14ac:dyDescent="0.2">
      <c r="A309" s="28">
        <v>44719.318055555559</v>
      </c>
      <c r="B309" s="29">
        <v>0.33826638477684712</v>
      </c>
      <c r="C309" s="29"/>
    </row>
    <row r="310" spans="1:3" x14ac:dyDescent="0.2">
      <c r="A310" s="28">
        <v>44720.364583333336</v>
      </c>
      <c r="B310" s="29">
        <v>0.47777040477822075</v>
      </c>
      <c r="C310" s="29"/>
    </row>
    <row r="311" spans="1:3" x14ac:dyDescent="0.2">
      <c r="A311" s="28">
        <v>44721.319444444445</v>
      </c>
      <c r="B311" s="29">
        <v>0.5236363636372503</v>
      </c>
      <c r="C311" s="29"/>
    </row>
    <row r="312" spans="1:3" x14ac:dyDescent="0.2">
      <c r="A312" s="28">
        <v>44722.334027777775</v>
      </c>
      <c r="B312" s="29">
        <v>0.45174537987830854</v>
      </c>
      <c r="C312" s="29"/>
    </row>
    <row r="313" spans="1:3" x14ac:dyDescent="0.2">
      <c r="A313" s="28">
        <v>44723.320833333331</v>
      </c>
      <c r="B313" s="29">
        <v>0.42223786066122926</v>
      </c>
      <c r="C313" s="29"/>
    </row>
    <row r="314" spans="1:3" x14ac:dyDescent="0.2">
      <c r="A314" s="28">
        <v>44724.353472222225</v>
      </c>
      <c r="B314" s="29">
        <v>0.36314727639383493</v>
      </c>
      <c r="C314" s="29"/>
    </row>
    <row r="315" spans="1:3" x14ac:dyDescent="0.2">
      <c r="A315" s="28">
        <v>44725.335416666669</v>
      </c>
      <c r="B315" s="29">
        <v>0.38189533239063345</v>
      </c>
      <c r="C315" s="29"/>
    </row>
    <row r="316" spans="1:3" x14ac:dyDescent="0.2">
      <c r="A316" s="28">
        <v>44726.321527777778</v>
      </c>
      <c r="B316" s="29">
        <v>0.33802816901463878</v>
      </c>
      <c r="C316" s="29"/>
    </row>
    <row r="317" spans="1:3" x14ac:dyDescent="0.2">
      <c r="A317" s="28">
        <v>44727.296527777777</v>
      </c>
      <c r="B317" s="29">
        <v>0.47008547008617169</v>
      </c>
      <c r="C317" s="29"/>
    </row>
    <row r="318" spans="1:3" x14ac:dyDescent="0.2">
      <c r="A318" s="28">
        <v>44728.322222222225</v>
      </c>
      <c r="B318" s="29">
        <v>0.64996614759412275</v>
      </c>
      <c r="C318" s="29"/>
    </row>
    <row r="319" spans="1:3" x14ac:dyDescent="0.2">
      <c r="A319" s="28">
        <v>44729.31527777778</v>
      </c>
      <c r="B319" s="29">
        <v>0.62937062937114174</v>
      </c>
      <c r="C319" s="29"/>
    </row>
    <row r="320" spans="1:3" x14ac:dyDescent="0.2">
      <c r="A320" s="28">
        <v>44730.36041666667</v>
      </c>
      <c r="B320" s="29">
        <v>0.5581395348828575</v>
      </c>
      <c r="C320" s="29"/>
    </row>
    <row r="321" spans="1:3" x14ac:dyDescent="0.2">
      <c r="A321" s="28">
        <v>44731.375694444447</v>
      </c>
      <c r="B321" s="29">
        <v>0.41039671682672291</v>
      </c>
      <c r="C321" s="29"/>
    </row>
    <row r="322" spans="1:3" x14ac:dyDescent="0.2">
      <c r="A322" s="28">
        <v>44732.313888888886</v>
      </c>
      <c r="B322" s="29">
        <v>0.44411547002457846</v>
      </c>
      <c r="C322" s="29"/>
    </row>
    <row r="323" spans="1:3" x14ac:dyDescent="0.2">
      <c r="A323" s="28">
        <v>44733.307638888888</v>
      </c>
      <c r="B323" s="29">
        <v>0.37735849056548515</v>
      </c>
      <c r="C323" s="29"/>
    </row>
    <row r="324" spans="1:3" x14ac:dyDescent="0.2">
      <c r="A324" s="28">
        <v>44734.311805555553</v>
      </c>
      <c r="B324" s="29">
        <v>0.3734439834028504</v>
      </c>
      <c r="C324" s="29"/>
    </row>
    <row r="325" spans="1:3" x14ac:dyDescent="0.2">
      <c r="A325" s="28">
        <v>44735.313194444447</v>
      </c>
      <c r="B325" s="29">
        <v>0.54091539528188182</v>
      </c>
      <c r="C325" s="29"/>
    </row>
    <row r="326" spans="1:3" x14ac:dyDescent="0.2">
      <c r="A326" s="28">
        <v>44736.322222222225</v>
      </c>
      <c r="B326" s="29">
        <v>0.37164487267710045</v>
      </c>
      <c r="C326" s="29"/>
    </row>
    <row r="327" spans="1:3" x14ac:dyDescent="0.2">
      <c r="A327" s="28">
        <v>44737.38958333333</v>
      </c>
      <c r="B327" s="29">
        <v>0.31229668184950576</v>
      </c>
      <c r="C327" s="29"/>
    </row>
    <row r="328" spans="1:3" x14ac:dyDescent="0.2">
      <c r="A328" s="28">
        <v>44738.408333333333</v>
      </c>
      <c r="B328" s="29">
        <v>0.44989775050996217</v>
      </c>
      <c r="C328" s="29"/>
    </row>
    <row r="329" spans="1:3" x14ac:dyDescent="0.2">
      <c r="A329" s="28">
        <v>44739.320833333331</v>
      </c>
      <c r="B329" s="29">
        <v>0.41095890411024438</v>
      </c>
      <c r="C329" s="29"/>
    </row>
    <row r="330" spans="1:3" x14ac:dyDescent="0.2">
      <c r="A330" s="28">
        <v>44740.313194444447</v>
      </c>
      <c r="B330" s="29">
        <v>0.37788663400819622</v>
      </c>
      <c r="C330" s="29"/>
    </row>
    <row r="331" spans="1:3" x14ac:dyDescent="0.2">
      <c r="A331" s="28">
        <v>44741.350694444445</v>
      </c>
      <c r="B331" s="29">
        <v>0.28112449799236217</v>
      </c>
      <c r="C331" s="29"/>
    </row>
    <row r="332" spans="1:3" x14ac:dyDescent="0.2">
      <c r="A332" s="28">
        <v>44742.323611111111</v>
      </c>
      <c r="B332" s="29">
        <v>0.47109207708826417</v>
      </c>
      <c r="C332" s="29"/>
    </row>
    <row r="333" spans="1:3" x14ac:dyDescent="0.2">
      <c r="A333" s="28">
        <v>44743.336111111108</v>
      </c>
      <c r="B333" s="29">
        <v>0.370370370371435</v>
      </c>
      <c r="C333" s="29"/>
    </row>
    <row r="334" spans="1:3" x14ac:dyDescent="0.2">
      <c r="A334" s="28">
        <v>44745.384722222225</v>
      </c>
      <c r="B334" s="29">
        <v>0.38644067796503417</v>
      </c>
      <c r="C334" s="29"/>
    </row>
    <row r="335" spans="1:3" x14ac:dyDescent="0.2">
      <c r="A335" s="28">
        <v>44746.318749999999</v>
      </c>
      <c r="B335" s="29">
        <v>0.35687732342161882</v>
      </c>
      <c r="C335" s="29"/>
    </row>
    <row r="336" spans="1:3" x14ac:dyDescent="0.2">
      <c r="A336" s="28">
        <v>44747.299305555556</v>
      </c>
      <c r="B336" s="29">
        <v>0.33994334277547528</v>
      </c>
      <c r="C336" s="29"/>
    </row>
    <row r="337" spans="1:3" x14ac:dyDescent="0.2">
      <c r="A337" s="28">
        <v>44748.342361111114</v>
      </c>
      <c r="B337" s="29">
        <v>0.31957390146406972</v>
      </c>
      <c r="C337" s="29"/>
    </row>
    <row r="338" spans="1:3" x14ac:dyDescent="0.2">
      <c r="A338" s="28">
        <v>44749.314583333333</v>
      </c>
      <c r="B338" s="29">
        <v>0.4714285714301395</v>
      </c>
      <c r="C338" s="29"/>
    </row>
    <row r="339" spans="1:3" x14ac:dyDescent="0.2">
      <c r="A339" s="28">
        <v>44750.343055555553</v>
      </c>
      <c r="B339" s="29">
        <v>0.32410533423418642</v>
      </c>
      <c r="C339" s="29"/>
    </row>
    <row r="340" spans="1:3" x14ac:dyDescent="0.2">
      <c r="A340" s="28">
        <v>44751.455555555556</v>
      </c>
      <c r="B340" s="29">
        <v>0.41198501872551396</v>
      </c>
      <c r="C340" s="29"/>
    </row>
    <row r="341" spans="1:3" x14ac:dyDescent="0.2">
      <c r="A341" s="28">
        <v>44752.465277777781</v>
      </c>
      <c r="B341" s="29">
        <v>0.45392022008136795</v>
      </c>
      <c r="C341" s="29"/>
    </row>
    <row r="342" spans="1:3" x14ac:dyDescent="0.2">
      <c r="A342" s="28">
        <v>44753.314583333333</v>
      </c>
      <c r="B342" s="29">
        <v>0.24529844644424662</v>
      </c>
      <c r="C342" s="29"/>
    </row>
    <row r="343" spans="1:3" x14ac:dyDescent="0.2">
      <c r="A343" s="28">
        <v>44754.320138888892</v>
      </c>
      <c r="B343" s="29">
        <v>0.41436464088251207</v>
      </c>
      <c r="C343" s="29"/>
    </row>
    <row r="344" spans="1:3" x14ac:dyDescent="0.2">
      <c r="A344" s="28">
        <v>44755.311805555553</v>
      </c>
      <c r="B344" s="29">
        <v>0.46218487395206664</v>
      </c>
      <c r="C344" s="29"/>
    </row>
    <row r="345" spans="1:3" x14ac:dyDescent="0.2">
      <c r="A345" s="28">
        <v>44756.347222222219</v>
      </c>
      <c r="B345" s="29">
        <v>0.44265593561409683</v>
      </c>
      <c r="C345" s="29"/>
    </row>
    <row r="346" spans="1:3" x14ac:dyDescent="0.2">
      <c r="A346" s="28">
        <v>44757.318055555559</v>
      </c>
      <c r="B346" s="29">
        <v>0.21459227467661054</v>
      </c>
      <c r="C346" s="29"/>
    </row>
    <row r="347" spans="1:3" x14ac:dyDescent="0.2">
      <c r="A347" s="28">
        <v>44758.425694444442</v>
      </c>
      <c r="B347" s="29">
        <v>0.45141065830951638</v>
      </c>
      <c r="C347" s="29"/>
    </row>
    <row r="348" spans="1:3" x14ac:dyDescent="0.2">
      <c r="A348" s="28">
        <v>44759.459722222222</v>
      </c>
      <c r="B348" s="29">
        <v>0.32236400268581222</v>
      </c>
      <c r="C348" s="29"/>
    </row>
    <row r="349" spans="1:3" x14ac:dyDescent="0.2">
      <c r="A349" s="28">
        <v>44760.376388888886</v>
      </c>
      <c r="B349" s="29">
        <v>0.45454545454665718</v>
      </c>
      <c r="C349" s="29"/>
    </row>
    <row r="350" spans="1:3" x14ac:dyDescent="0.2">
      <c r="A350" s="28">
        <v>44761.365972222222</v>
      </c>
      <c r="B350" s="29">
        <v>0.37894736842012389</v>
      </c>
      <c r="C350" s="29"/>
    </row>
    <row r="351" spans="1:3" x14ac:dyDescent="0.2">
      <c r="A351" s="28">
        <v>44762.32708333333</v>
      </c>
      <c r="B351" s="29">
        <v>0.39017341040587139</v>
      </c>
      <c r="C351" s="29"/>
    </row>
    <row r="352" spans="1:3" x14ac:dyDescent="0.2">
      <c r="A352" s="28">
        <v>44763.347222222219</v>
      </c>
      <c r="B352" s="29">
        <v>0.32675289312452277</v>
      </c>
      <c r="C352" s="29"/>
    </row>
    <row r="353" spans="1:3" x14ac:dyDescent="0.2">
      <c r="A353" s="28">
        <v>44764.329861111109</v>
      </c>
      <c r="B353" s="29">
        <v>0.42402826855053904</v>
      </c>
      <c r="C353" s="29"/>
    </row>
    <row r="354" spans="1:3" x14ac:dyDescent="0.2">
      <c r="A354" s="28">
        <v>44765.144444444442</v>
      </c>
      <c r="B354" s="29">
        <v>0.51150895140695418</v>
      </c>
      <c r="C354" s="29"/>
    </row>
    <row r="355" spans="1:3" x14ac:dyDescent="0.2">
      <c r="A355" s="28">
        <v>44779.277777777781</v>
      </c>
      <c r="B355" s="29">
        <v>0.21816037735840821</v>
      </c>
      <c r="C355" s="29"/>
    </row>
    <row r="356" spans="1:3" x14ac:dyDescent="0.2">
      <c r="A356" s="28">
        <v>44780.34097222222</v>
      </c>
      <c r="B356" s="29">
        <v>0.43109079033514797</v>
      </c>
      <c r="C356" s="29"/>
    </row>
    <row r="357" spans="1:3" x14ac:dyDescent="0.2">
      <c r="A357" s="28">
        <v>44781.331944444442</v>
      </c>
      <c r="B357" s="29">
        <v>0.50455501051172735</v>
      </c>
      <c r="C357" s="29"/>
    </row>
    <row r="358" spans="1:3" x14ac:dyDescent="0.2">
      <c r="A358" s="28">
        <v>44782.318055555559</v>
      </c>
      <c r="B358" s="29">
        <v>0.3802816901386627</v>
      </c>
      <c r="C358" s="29"/>
    </row>
    <row r="359" spans="1:3" x14ac:dyDescent="0.2">
      <c r="A359" s="28">
        <v>44783.34652777778</v>
      </c>
      <c r="B359" s="29">
        <v>0.32410533423418642</v>
      </c>
      <c r="C359" s="29"/>
    </row>
    <row r="360" spans="1:3" x14ac:dyDescent="0.2">
      <c r="A360" s="28">
        <v>44784.345833333333</v>
      </c>
      <c r="B360" s="29">
        <v>0.45865184155767547</v>
      </c>
      <c r="C360" s="29"/>
    </row>
    <row r="361" spans="1:3" x14ac:dyDescent="0.2">
      <c r="A361" s="28">
        <v>44785.351388888892</v>
      </c>
      <c r="B361" s="29">
        <v>0.37292817679426088</v>
      </c>
      <c r="C361" s="29"/>
    </row>
    <row r="362" spans="1:3" x14ac:dyDescent="0.2">
      <c r="A362" s="28">
        <v>44786.336111111108</v>
      </c>
      <c r="B362" s="29">
        <v>0.33850493653243652</v>
      </c>
      <c r="C362" s="29"/>
    </row>
    <row r="363" spans="1:3" x14ac:dyDescent="0.2">
      <c r="A363" s="28">
        <v>44789.318055555559</v>
      </c>
      <c r="B363" s="29">
        <v>0.34932463903042976</v>
      </c>
      <c r="C363" s="29"/>
    </row>
    <row r="364" spans="1:3" x14ac:dyDescent="0.2">
      <c r="A364" s="28">
        <v>44790.356944444444</v>
      </c>
      <c r="B364" s="29">
        <v>0.36096256684638045</v>
      </c>
      <c r="C364" s="29"/>
    </row>
    <row r="365" spans="1:3" x14ac:dyDescent="0.2">
      <c r="A365" s="28">
        <v>44791.316666666666</v>
      </c>
      <c r="B365" s="29">
        <v>0.52098408104214367</v>
      </c>
      <c r="C365" s="29"/>
    </row>
    <row r="366" spans="1:3" x14ac:dyDescent="0.2">
      <c r="A366" s="28">
        <v>44792.306944444441</v>
      </c>
      <c r="B366" s="29">
        <v>0.3786816269294605</v>
      </c>
      <c r="C366" s="29"/>
    </row>
    <row r="367" spans="1:3" x14ac:dyDescent="0.2">
      <c r="A367" s="28">
        <v>44793.30972222222</v>
      </c>
      <c r="B367" s="29">
        <v>0.41551246537322423</v>
      </c>
      <c r="C367" s="29"/>
    </row>
    <row r="368" spans="1:3" x14ac:dyDescent="0.2">
      <c r="A368" s="28">
        <v>44795.320138888892</v>
      </c>
      <c r="B368" s="29">
        <v>0.41450777201972527</v>
      </c>
      <c r="C368" s="29"/>
    </row>
    <row r="369" spans="1:3" x14ac:dyDescent="0.2">
      <c r="A369" s="28">
        <v>44796.306250000001</v>
      </c>
      <c r="B369" s="29">
        <v>0.33802816901463878</v>
      </c>
      <c r="C369" s="29"/>
    </row>
    <row r="370" spans="1:3" x14ac:dyDescent="0.2">
      <c r="A370" s="28">
        <v>44797.310416666667</v>
      </c>
      <c r="B370" s="29">
        <v>0.45643153527015051</v>
      </c>
      <c r="C370" s="29"/>
    </row>
    <row r="371" spans="1:3" x14ac:dyDescent="0.2">
      <c r="A371" s="28">
        <v>44798.316666666666</v>
      </c>
      <c r="B371" s="29">
        <v>0.53830227743349068</v>
      </c>
      <c r="C371" s="29"/>
    </row>
    <row r="372" spans="1:3" x14ac:dyDescent="0.2">
      <c r="A372" s="28">
        <v>44799.321527777778</v>
      </c>
      <c r="B372" s="29">
        <v>0.33172080165817702</v>
      </c>
      <c r="C372" s="29"/>
    </row>
    <row r="373" spans="1:3" x14ac:dyDescent="0.2">
      <c r="A373" s="28">
        <v>44800.306944444441</v>
      </c>
      <c r="B373" s="29">
        <v>0.46511627907159903</v>
      </c>
      <c r="C373" s="29"/>
    </row>
    <row r="374" spans="1:3" x14ac:dyDescent="0.2">
      <c r="A374" s="28">
        <v>44802.320833333331</v>
      </c>
      <c r="B374" s="29">
        <v>0.28965517241356054</v>
      </c>
      <c r="C374" s="29"/>
    </row>
    <row r="375" spans="1:3" x14ac:dyDescent="0.2">
      <c r="A375" s="28">
        <v>44803.3125</v>
      </c>
      <c r="B375" s="29">
        <v>0.37815126050346182</v>
      </c>
      <c r="C375" s="29"/>
    </row>
    <row r="376" spans="1:3" x14ac:dyDescent="0.2">
      <c r="A376" s="28">
        <v>44804.359722222223</v>
      </c>
      <c r="B376" s="29">
        <v>0.35809018567600553</v>
      </c>
      <c r="C376" s="29"/>
    </row>
    <row r="377" spans="1:3" x14ac:dyDescent="0.2">
      <c r="A377" s="28">
        <v>44805.369444444441</v>
      </c>
      <c r="B377" s="29">
        <v>0.4126547455314899</v>
      </c>
      <c r="C377" s="29"/>
    </row>
    <row r="378" spans="1:3" x14ac:dyDescent="0.2">
      <c r="A378" s="28">
        <v>44806.30972222222</v>
      </c>
      <c r="B378" s="29">
        <v>0.53175775479958498</v>
      </c>
      <c r="C378" s="29"/>
    </row>
    <row r="379" spans="1:3" x14ac:dyDescent="0.2">
      <c r="A379" s="28">
        <v>44807.335416666669</v>
      </c>
      <c r="B379" s="29">
        <v>0.40622884224632677</v>
      </c>
      <c r="C379" s="29"/>
    </row>
    <row r="380" spans="1:3" x14ac:dyDescent="0.2">
      <c r="A380" s="28">
        <v>44808.453472222223</v>
      </c>
      <c r="B380" s="29">
        <v>0.40993788819905419</v>
      </c>
      <c r="C380" s="29"/>
    </row>
    <row r="381" spans="1:3" x14ac:dyDescent="0.2">
      <c r="A381" s="28">
        <v>44809.320138888892</v>
      </c>
      <c r="B381" s="29">
        <v>0.38461538461452355</v>
      </c>
      <c r="C381" s="29"/>
    </row>
    <row r="382" spans="1:3" x14ac:dyDescent="0.2">
      <c r="A382" s="28">
        <v>44810.313194444447</v>
      </c>
      <c r="B382" s="29">
        <v>0.37762237762268502</v>
      </c>
      <c r="C382" s="29"/>
    </row>
    <row r="383" spans="1:3" x14ac:dyDescent="0.2">
      <c r="A383" s="28">
        <v>44811.362500000003</v>
      </c>
      <c r="B383" s="29">
        <v>0.31767041694222642</v>
      </c>
      <c r="C383" s="29"/>
    </row>
    <row r="384" spans="1:3" x14ac:dyDescent="0.2">
      <c r="A384" s="28">
        <v>44812.337500000001</v>
      </c>
      <c r="B384" s="29">
        <v>0.42735042735106515</v>
      </c>
      <c r="C384" s="29"/>
    </row>
    <row r="385" spans="1:3" x14ac:dyDescent="0.2">
      <c r="A385" s="28">
        <v>44813.34375</v>
      </c>
      <c r="B385" s="29">
        <v>0.37267080745395509</v>
      </c>
      <c r="C385" s="29"/>
    </row>
    <row r="386" spans="1:3" x14ac:dyDescent="0.2">
      <c r="A386" s="28">
        <v>44814.345833333333</v>
      </c>
      <c r="B386" s="29">
        <v>0.41580041580061705</v>
      </c>
      <c r="C386" s="29"/>
    </row>
    <row r="387" spans="1:3" x14ac:dyDescent="0.2">
      <c r="A387" s="28">
        <v>44815.407638888886</v>
      </c>
      <c r="B387" s="29">
        <v>0.35317200784901975</v>
      </c>
      <c r="C387" s="29"/>
    </row>
    <row r="388" spans="1:3" x14ac:dyDescent="0.2">
      <c r="A388" s="28">
        <v>44816.313888888886</v>
      </c>
      <c r="B388" s="29">
        <v>0.41379310344827586</v>
      </c>
      <c r="C388" s="29"/>
    </row>
    <row r="389" spans="1:3" x14ac:dyDescent="0.2">
      <c r="A389" s="28">
        <v>44817.319444444445</v>
      </c>
      <c r="B389" s="29">
        <v>0.33149171270600969</v>
      </c>
      <c r="C389" s="29"/>
    </row>
    <row r="390" spans="1:3" x14ac:dyDescent="0.2">
      <c r="A390" s="28">
        <v>44819.356249999997</v>
      </c>
      <c r="B390" s="29">
        <v>0.30685305148368336</v>
      </c>
      <c r="C390" s="29"/>
    </row>
    <row r="391" spans="1:3" x14ac:dyDescent="0.2">
      <c r="A391" s="28">
        <v>44820.316666666666</v>
      </c>
      <c r="B391" s="29">
        <v>0.30368763557422379</v>
      </c>
      <c r="C391" s="29"/>
    </row>
    <row r="392" spans="1:3" x14ac:dyDescent="0.2">
      <c r="A392" s="28">
        <v>44821.379166666666</v>
      </c>
      <c r="B392" s="29">
        <v>0.31372549019607843</v>
      </c>
      <c r="C392" s="29"/>
    </row>
    <row r="393" spans="1:3" x14ac:dyDescent="0.2">
      <c r="A393" s="28">
        <v>44822.359722222223</v>
      </c>
      <c r="B393" s="29">
        <v>0.42492917846934408</v>
      </c>
      <c r="C393" s="29"/>
    </row>
    <row r="394" spans="1:3" x14ac:dyDescent="0.2">
      <c r="A394" s="28">
        <v>44823.320833333331</v>
      </c>
      <c r="B394" s="29">
        <v>0.39017341040587139</v>
      </c>
      <c r="C394" s="29"/>
    </row>
    <row r="395" spans="1:3" x14ac:dyDescent="0.2">
      <c r="A395" s="28">
        <v>44824.306944444441</v>
      </c>
      <c r="B395" s="29">
        <v>0.29577464788780888</v>
      </c>
      <c r="C395" s="29"/>
    </row>
    <row r="396" spans="1:3" x14ac:dyDescent="0.2">
      <c r="A396" s="28">
        <v>44825.311805555553</v>
      </c>
      <c r="B396" s="29">
        <v>0.2902557014509049</v>
      </c>
      <c r="C396" s="29"/>
    </row>
    <row r="397" spans="1:3" x14ac:dyDescent="0.2">
      <c r="A397" s="28">
        <v>44826.317361111112</v>
      </c>
      <c r="B397" s="29">
        <v>0.41436464088251207</v>
      </c>
      <c r="C397" s="29"/>
    </row>
    <row r="398" spans="1:3" x14ac:dyDescent="0.2">
      <c r="A398" s="28">
        <v>44827.34097222222</v>
      </c>
      <c r="B398" s="29">
        <v>0.28493894165621475</v>
      </c>
      <c r="C398" s="29"/>
    </row>
    <row r="399" spans="1:3" x14ac:dyDescent="0.2">
      <c r="A399" s="28">
        <v>44828.343055555553</v>
      </c>
      <c r="B399" s="29">
        <v>0.37422037422055537</v>
      </c>
      <c r="C399" s="29"/>
    </row>
    <row r="400" spans="1:3" x14ac:dyDescent="0.2">
      <c r="A400" s="28">
        <v>44830.319444444445</v>
      </c>
      <c r="B400" s="29">
        <v>0.40056219255032605</v>
      </c>
      <c r="C400" s="29"/>
    </row>
    <row r="401" spans="1:3" x14ac:dyDescent="0.2">
      <c r="A401" s="28">
        <v>44831.323611111111</v>
      </c>
      <c r="B401" s="29">
        <v>0.3734439834028504</v>
      </c>
      <c r="C401" s="29"/>
    </row>
    <row r="402" spans="1:3" x14ac:dyDescent="0.2">
      <c r="A402" s="28">
        <v>44832.383333333331</v>
      </c>
      <c r="B402" s="29">
        <v>0.27522935779862706</v>
      </c>
      <c r="C402" s="29"/>
    </row>
    <row r="403" spans="1:3" x14ac:dyDescent="0.2">
      <c r="A403" s="28">
        <v>44833.340277777781</v>
      </c>
      <c r="B403" s="29">
        <v>0.39187227866261271</v>
      </c>
      <c r="C403" s="29"/>
    </row>
    <row r="404" spans="1:3" x14ac:dyDescent="0.2">
      <c r="A404" s="28">
        <v>44834.347222222219</v>
      </c>
      <c r="B404" s="29">
        <v>0.91034482759205393</v>
      </c>
      <c r="C404" s="29"/>
    </row>
    <row r="405" spans="1:3" x14ac:dyDescent="0.2">
      <c r="A405" s="28">
        <v>44835.425000000003</v>
      </c>
      <c r="B405" s="29">
        <v>0.65721649484161415</v>
      </c>
      <c r="C405" s="29"/>
    </row>
    <row r="406" spans="1:3" x14ac:dyDescent="0.2">
      <c r="A406" s="28">
        <v>44837.322222222225</v>
      </c>
      <c r="B406" s="29">
        <v>0.41727672035146207</v>
      </c>
      <c r="C406" s="29"/>
    </row>
    <row r="407" spans="1:3" x14ac:dyDescent="0.2">
      <c r="A407" s="28">
        <v>44838.314583333333</v>
      </c>
      <c r="B407" s="29">
        <v>0.41987403778996324</v>
      </c>
      <c r="C407" s="29"/>
    </row>
    <row r="408" spans="1:3" x14ac:dyDescent="0.2">
      <c r="A408" s="28">
        <v>44839.347222222219</v>
      </c>
      <c r="B408" s="29">
        <v>0.36314727639639366</v>
      </c>
      <c r="C408" s="29"/>
    </row>
    <row r="409" spans="1:3" x14ac:dyDescent="0.2">
      <c r="A409" s="28">
        <v>44840.314583333333</v>
      </c>
      <c r="B409" s="29">
        <v>0.38765254845546709</v>
      </c>
      <c r="C409" s="29"/>
    </row>
    <row r="410" spans="1:3" x14ac:dyDescent="0.2">
      <c r="A410" s="28">
        <v>44841.348611111112</v>
      </c>
      <c r="B410" s="29">
        <v>0.60443250503589785</v>
      </c>
      <c r="C410" s="29"/>
    </row>
    <row r="411" spans="1:3" x14ac:dyDescent="0.2">
      <c r="A411" s="28">
        <v>44842.373611111114</v>
      </c>
      <c r="B411" s="29">
        <v>0.93495934959216853</v>
      </c>
      <c r="C411" s="29"/>
    </row>
    <row r="412" spans="1:3" x14ac:dyDescent="0.2">
      <c r="A412" s="28">
        <v>44843.462500000001</v>
      </c>
      <c r="B412" s="29">
        <v>0.80357142857238317</v>
      </c>
      <c r="C412" s="29"/>
    </row>
    <row r="413" spans="1:3" x14ac:dyDescent="0.2">
      <c r="A413" s="28">
        <v>44844.317361111112</v>
      </c>
      <c r="B413" s="29">
        <v>0.43866774979699602</v>
      </c>
      <c r="C413" s="29"/>
    </row>
    <row r="414" spans="1:3" x14ac:dyDescent="0.2">
      <c r="A414" s="28">
        <v>44845.311111111114</v>
      </c>
      <c r="B414" s="29">
        <v>0.41928721173942796</v>
      </c>
      <c r="C414" s="29"/>
    </row>
    <row r="415" spans="1:3" x14ac:dyDescent="0.2">
      <c r="A415" s="28">
        <v>44846.364583333336</v>
      </c>
      <c r="B415" s="29">
        <v>0.59327620303248274</v>
      </c>
      <c r="C415" s="29"/>
    </row>
    <row r="416" spans="1:3" x14ac:dyDescent="0.2">
      <c r="A416" s="28">
        <v>44847.3</v>
      </c>
      <c r="B416" s="29">
        <v>0.48997772828482389</v>
      </c>
      <c r="C416" s="29"/>
    </row>
    <row r="417" spans="1:3" x14ac:dyDescent="0.2">
      <c r="A417" s="28">
        <v>44848.30972222222</v>
      </c>
      <c r="B417" s="29">
        <v>0.4126547455314899</v>
      </c>
      <c r="C417" s="29"/>
    </row>
    <row r="418" spans="1:3" x14ac:dyDescent="0.2">
      <c r="A418" s="28">
        <v>44849.548611111109</v>
      </c>
      <c r="B418" s="29">
        <v>0.40358744394613566</v>
      </c>
      <c r="C418" s="29"/>
    </row>
    <row r="419" spans="1:3" x14ac:dyDescent="0.2">
      <c r="A419" s="28">
        <v>44850.394444444442</v>
      </c>
      <c r="B419" s="29">
        <v>0.39408866995096492</v>
      </c>
      <c r="C419" s="29"/>
    </row>
    <row r="420" spans="1:3" x14ac:dyDescent="0.2">
      <c r="A420" s="28">
        <v>44851.307638888888</v>
      </c>
      <c r="B420" s="29">
        <v>0.54752851710978145</v>
      </c>
      <c r="C420" s="29"/>
    </row>
    <row r="421" spans="1:3" x14ac:dyDescent="0.2">
      <c r="A421" s="28">
        <v>44852.31527777778</v>
      </c>
      <c r="B421" s="29">
        <v>0.33080634045385016</v>
      </c>
      <c r="C421" s="29"/>
    </row>
    <row r="422" spans="1:3" x14ac:dyDescent="0.2">
      <c r="A422" s="28">
        <v>44853.39166666667</v>
      </c>
      <c r="B422" s="29">
        <v>0.3870967741929669</v>
      </c>
      <c r="C422" s="29"/>
    </row>
    <row r="423" spans="1:3" x14ac:dyDescent="0.2">
      <c r="A423" s="28">
        <v>44854.307638888888</v>
      </c>
      <c r="B423" s="29">
        <v>0.54586808188300662</v>
      </c>
      <c r="C423" s="29"/>
    </row>
    <row r="424" spans="1:3" x14ac:dyDescent="0.2">
      <c r="A424" s="28">
        <v>44855.338888888888</v>
      </c>
      <c r="B424" s="29">
        <v>0.32323232323232326</v>
      </c>
      <c r="C424" s="29"/>
    </row>
    <row r="425" spans="1:3" x14ac:dyDescent="0.2">
      <c r="A425" s="28">
        <v>44856.338194444441</v>
      </c>
      <c r="B425" s="29">
        <v>0.41695621959788681</v>
      </c>
      <c r="C425" s="29"/>
    </row>
    <row r="426" spans="1:3" x14ac:dyDescent="0.2">
      <c r="A426" s="28">
        <v>44857.45</v>
      </c>
      <c r="B426" s="29">
        <v>0.44971892567119376</v>
      </c>
      <c r="C426" s="29"/>
    </row>
    <row r="427" spans="1:3" x14ac:dyDescent="0.2">
      <c r="A427" s="28">
        <v>44858.31527777778</v>
      </c>
      <c r="B427" s="29">
        <v>0.38523274478121899</v>
      </c>
      <c r="C427" s="29"/>
    </row>
    <row r="428" spans="1:3" x14ac:dyDescent="0.2">
      <c r="A428" s="28">
        <v>44859.315972222219</v>
      </c>
      <c r="B428" s="29">
        <v>0.37473976405461817</v>
      </c>
      <c r="C428" s="29"/>
    </row>
    <row r="429" spans="1:3" x14ac:dyDescent="0.2">
      <c r="A429" s="28">
        <v>44860.363194444442</v>
      </c>
      <c r="B429" s="29">
        <v>0.47745358090134077</v>
      </c>
      <c r="C429" s="29"/>
    </row>
    <row r="430" spans="1:3" x14ac:dyDescent="0.2">
      <c r="A430" s="28">
        <v>44861.316666666666</v>
      </c>
      <c r="B430" s="29">
        <v>0.52439912600083416</v>
      </c>
      <c r="C430" s="29"/>
    </row>
    <row r="431" spans="1:3" x14ac:dyDescent="0.2">
      <c r="A431" s="28">
        <v>44862.348611111112</v>
      </c>
      <c r="B431" s="29">
        <v>0.44414535666120608</v>
      </c>
      <c r="C431" s="29"/>
    </row>
    <row r="432" spans="1:3" x14ac:dyDescent="0.2">
      <c r="A432" s="28">
        <v>44863.336805555555</v>
      </c>
      <c r="B432" s="29">
        <v>0.4216444132124218</v>
      </c>
      <c r="C432" s="29"/>
    </row>
    <row r="433" spans="1:3" x14ac:dyDescent="0.2">
      <c r="A433" s="28">
        <v>44866.343055555553</v>
      </c>
      <c r="B433" s="29">
        <v>0.36036036036053481</v>
      </c>
      <c r="C433" s="29"/>
    </row>
    <row r="434" spans="1:3" x14ac:dyDescent="0.2">
      <c r="A434" s="28">
        <v>44867.345833333333</v>
      </c>
      <c r="B434" s="29">
        <v>0.54016620498519152</v>
      </c>
      <c r="C434" s="29"/>
    </row>
    <row r="435" spans="1:3" x14ac:dyDescent="0.2">
      <c r="A435" s="28">
        <v>44868.387499999997</v>
      </c>
      <c r="B435" s="29">
        <v>0.64000000000149015</v>
      </c>
      <c r="C435" s="29"/>
    </row>
    <row r="436" spans="1:3" x14ac:dyDescent="0.2">
      <c r="A436" s="28">
        <v>44869.370833333334</v>
      </c>
      <c r="B436" s="29">
        <v>1.6949152542305996</v>
      </c>
      <c r="C436" s="29"/>
    </row>
    <row r="437" spans="1:3" x14ac:dyDescent="0.2">
      <c r="A437" s="28">
        <v>44870.311805555553</v>
      </c>
      <c r="B437" s="29">
        <v>1.4612546125511472</v>
      </c>
      <c r="C437" s="29"/>
    </row>
    <row r="438" spans="1:3" x14ac:dyDescent="0.2">
      <c r="A438" s="28">
        <v>44871.44027777778</v>
      </c>
      <c r="B438" s="29">
        <v>1.2923076923030632</v>
      </c>
      <c r="C438" s="29"/>
    </row>
    <row r="439" spans="1:3" x14ac:dyDescent="0.2">
      <c r="A439" s="28">
        <v>44872.321527777778</v>
      </c>
      <c r="B439" s="29">
        <v>1.0874704491743725</v>
      </c>
      <c r="C439" s="29"/>
    </row>
    <row r="440" spans="1:3" x14ac:dyDescent="0.2">
      <c r="A440" s="28">
        <v>44873.320138888892</v>
      </c>
      <c r="B440" s="29">
        <v>0.91794158553293925</v>
      </c>
      <c r="C440" s="29"/>
    </row>
    <row r="441" spans="1:3" x14ac:dyDescent="0.2">
      <c r="A441" s="28">
        <v>44874.388888888891</v>
      </c>
      <c r="B441" s="29">
        <v>0.77972709551763086</v>
      </c>
      <c r="C441" s="29"/>
    </row>
    <row r="442" spans="1:3" x14ac:dyDescent="0.2">
      <c r="A442" s="28">
        <v>44875.308333333334</v>
      </c>
      <c r="B442" s="29">
        <v>1.0422960725082859</v>
      </c>
      <c r="C442" s="29"/>
    </row>
    <row r="443" spans="1:3" x14ac:dyDescent="0.2">
      <c r="A443" s="28">
        <v>44876.362500000003</v>
      </c>
      <c r="B443" s="29">
        <v>1.5810276679812798</v>
      </c>
      <c r="C443" s="29"/>
    </row>
    <row r="444" spans="1:3" x14ac:dyDescent="0.2">
      <c r="A444" s="28">
        <v>44877.359722222223</v>
      </c>
      <c r="B444" s="29">
        <v>1.1281337047373881</v>
      </c>
      <c r="C444" s="29"/>
    </row>
    <row r="445" spans="1:3" x14ac:dyDescent="0.2">
      <c r="A445" s="28">
        <v>44878.379166666666</v>
      </c>
      <c r="B445" s="29">
        <v>0.81743869209977804</v>
      </c>
      <c r="C445" s="29"/>
    </row>
    <row r="446" spans="1:3" x14ac:dyDescent="0.2">
      <c r="A446" s="28">
        <v>44879.319444444445</v>
      </c>
      <c r="B446" s="29">
        <v>0.70901033973278005</v>
      </c>
      <c r="C446" s="29"/>
    </row>
    <row r="447" spans="1:3" x14ac:dyDescent="0.2">
      <c r="A447" s="28">
        <v>44881.320138888892</v>
      </c>
      <c r="B447" s="29">
        <v>1.1037834085374529</v>
      </c>
      <c r="C447" s="29"/>
    </row>
    <row r="448" spans="1:3" x14ac:dyDescent="0.2">
      <c r="A448" s="28">
        <v>44882.299305555556</v>
      </c>
      <c r="B448" s="29">
        <v>1.276595744684013</v>
      </c>
      <c r="C448" s="29"/>
    </row>
    <row r="449" spans="1:3" x14ac:dyDescent="0.2">
      <c r="A449" s="28">
        <v>44883.327777777777</v>
      </c>
      <c r="B449" s="29">
        <v>1.1748818365989258</v>
      </c>
      <c r="C449" s="29"/>
    </row>
    <row r="450" spans="1:3" x14ac:dyDescent="0.2">
      <c r="A450" s="28">
        <v>44884.400694444441</v>
      </c>
      <c r="B450" s="29">
        <v>1.7475728155379309</v>
      </c>
      <c r="C450" s="29"/>
    </row>
    <row r="451" spans="1:3" x14ac:dyDescent="0.2">
      <c r="A451" s="28">
        <v>44885.402083333334</v>
      </c>
      <c r="B451" s="29">
        <v>1.872399445206514</v>
      </c>
      <c r="C451" s="29"/>
    </row>
    <row r="452" spans="1:3" x14ac:dyDescent="0.2">
      <c r="A452" s="28">
        <v>44886.306250000001</v>
      </c>
      <c r="B452" s="29">
        <v>1.5668202764968553</v>
      </c>
      <c r="C452" s="29"/>
    </row>
    <row r="453" spans="1:3" x14ac:dyDescent="0.2">
      <c r="A453" s="28">
        <v>44887.321527777778</v>
      </c>
      <c r="B453" s="29">
        <v>1.7236662106722362</v>
      </c>
      <c r="C453" s="29"/>
    </row>
    <row r="454" spans="1:3" x14ac:dyDescent="0.2">
      <c r="A454" s="28">
        <v>44888.320833333331</v>
      </c>
      <c r="B454" s="29">
        <v>1.3759555246730264</v>
      </c>
      <c r="C454" s="29"/>
    </row>
    <row r="455" spans="1:3" x14ac:dyDescent="0.2">
      <c r="A455" s="28">
        <v>44889.36041666667</v>
      </c>
      <c r="B455" s="29">
        <v>1.683366733458294</v>
      </c>
      <c r="C455" s="29"/>
    </row>
    <row r="456" spans="1:3" x14ac:dyDescent="0.2">
      <c r="A456" s="28">
        <v>44890.34652777778</v>
      </c>
      <c r="B456" s="29">
        <v>1.3521126760585551</v>
      </c>
      <c r="C456" s="29"/>
    </row>
    <row r="457" spans="1:3" x14ac:dyDescent="0.2">
      <c r="A457" s="28">
        <v>44891.353472222225</v>
      </c>
      <c r="B457" s="29">
        <v>1.3241379310334196</v>
      </c>
      <c r="C457" s="29"/>
    </row>
    <row r="458" spans="1:3" x14ac:dyDescent="0.2">
      <c r="A458" s="28">
        <v>44892.386111111111</v>
      </c>
      <c r="B458" s="29">
        <v>1.5332885003403287</v>
      </c>
      <c r="C458" s="29"/>
    </row>
    <row r="459" spans="1:3" x14ac:dyDescent="0.2">
      <c r="A459" s="28">
        <v>44893.326388888891</v>
      </c>
      <c r="B459" s="29">
        <v>1.8168389955652489</v>
      </c>
      <c r="C459" s="29"/>
    </row>
    <row r="460" spans="1:3" x14ac:dyDescent="0.2">
      <c r="A460" s="28">
        <v>44894.31527777778</v>
      </c>
      <c r="B460" s="29">
        <v>1.8539325842693597</v>
      </c>
      <c r="C460" s="29"/>
    </row>
    <row r="461" spans="1:3" x14ac:dyDescent="0.2">
      <c r="A461" s="28">
        <v>44895.31527777778</v>
      </c>
      <c r="B461" s="29">
        <v>2.125</v>
      </c>
      <c r="C461" s="29"/>
    </row>
    <row r="462" spans="1:3" x14ac:dyDescent="0.2">
      <c r="A462" s="28">
        <v>44896.319444444445</v>
      </c>
      <c r="B462" s="29">
        <v>2.3651452282180525</v>
      </c>
      <c r="C462" s="29"/>
    </row>
    <row r="463" spans="1:3" x14ac:dyDescent="0.2">
      <c r="A463" s="28">
        <v>44897.320138888892</v>
      </c>
      <c r="B463" s="29">
        <v>1.8320610686981458</v>
      </c>
      <c r="C463" s="29"/>
    </row>
    <row r="464" spans="1:3" x14ac:dyDescent="0.2">
      <c r="A464" s="28">
        <v>44898.393055555556</v>
      </c>
      <c r="B464" s="29">
        <v>2.7184466019478926</v>
      </c>
      <c r="C464" s="29"/>
    </row>
    <row r="465" spans="1:3" x14ac:dyDescent="0.2">
      <c r="A465" s="28">
        <v>44900.320833333331</v>
      </c>
      <c r="B465" s="29">
        <v>2.5072046109543731</v>
      </c>
      <c r="C465" s="29"/>
    </row>
    <row r="466" spans="1:3" x14ac:dyDescent="0.2">
      <c r="A466" s="28">
        <v>44901.353472222225</v>
      </c>
      <c r="B466" s="29">
        <v>2.9051782111506794</v>
      </c>
      <c r="C466" s="29"/>
    </row>
    <row r="467" spans="1:3" x14ac:dyDescent="0.2">
      <c r="A467" s="28">
        <v>44902.289583333331</v>
      </c>
      <c r="B467" s="29">
        <v>2.8486646884410765</v>
      </c>
      <c r="C467" s="29"/>
    </row>
    <row r="468" spans="1:3" x14ac:dyDescent="0.2">
      <c r="A468" s="28">
        <v>44903.307638888888</v>
      </c>
      <c r="B468" s="29">
        <v>3.0286493860826598</v>
      </c>
      <c r="C468" s="29"/>
    </row>
    <row r="469" spans="1:3" x14ac:dyDescent="0.2">
      <c r="A469" s="28">
        <v>44905.364583333336</v>
      </c>
      <c r="B469" s="29">
        <v>3.5043889263947445</v>
      </c>
      <c r="C469" s="29"/>
    </row>
    <row r="470" spans="1:3" x14ac:dyDescent="0.2">
      <c r="A470" s="28">
        <v>44906.469444444447</v>
      </c>
      <c r="B470" s="29">
        <v>3.1678189817729336</v>
      </c>
      <c r="C470" s="29"/>
    </row>
    <row r="471" spans="1:3" x14ac:dyDescent="0.2">
      <c r="A471" s="28">
        <v>44907.31527777778</v>
      </c>
      <c r="B471" s="29">
        <v>3.3004926108393313</v>
      </c>
      <c r="C471" s="29"/>
    </row>
    <row r="472" spans="1:3" x14ac:dyDescent="0.2">
      <c r="A472" s="28">
        <v>44908.3125</v>
      </c>
      <c r="B472" s="29">
        <v>3.426183844017253</v>
      </c>
      <c r="C472" s="29"/>
    </row>
    <row r="473" spans="1:3" x14ac:dyDescent="0.2">
      <c r="A473" s="28">
        <v>44909.321527777778</v>
      </c>
      <c r="B473" s="29">
        <v>2.9731589814168036</v>
      </c>
      <c r="C473" s="29"/>
    </row>
    <row r="474" spans="1:3" x14ac:dyDescent="0.2">
      <c r="A474" s="28">
        <v>44910.34097222222</v>
      </c>
      <c r="B474" s="29" t="e">
        <v>#DIV/0!</v>
      </c>
      <c r="C474" s="29"/>
    </row>
    <row r="475" spans="1:3" x14ac:dyDescent="0.2">
      <c r="A475" s="28">
        <v>44911.337500000001</v>
      </c>
      <c r="B475" s="29">
        <v>3.0522648083524646</v>
      </c>
      <c r="C475" s="29"/>
    </row>
    <row r="476" spans="1:3" x14ac:dyDescent="0.2">
      <c r="A476" s="28">
        <v>44912.443749999999</v>
      </c>
      <c r="B476" s="29">
        <v>3.5404896421938719</v>
      </c>
      <c r="C476" s="29"/>
    </row>
    <row r="477" spans="1:3" x14ac:dyDescent="0.2">
      <c r="A477" s="28">
        <v>44913.431944444441</v>
      </c>
      <c r="B477" s="29">
        <v>3.6261419536268273</v>
      </c>
      <c r="C477" s="29"/>
    </row>
    <row r="478" spans="1:3" x14ac:dyDescent="0.2">
      <c r="A478" s="28">
        <v>44914.414583333331</v>
      </c>
      <c r="B478" s="29">
        <v>2.3745583038830187</v>
      </c>
      <c r="C478" s="29"/>
    </row>
    <row r="479" spans="1:3" x14ac:dyDescent="0.2">
      <c r="A479" s="28">
        <v>44917.402083333334</v>
      </c>
      <c r="B479" s="29">
        <v>1.5202231520208342</v>
      </c>
      <c r="C479" s="29"/>
    </row>
    <row r="480" spans="1:3" x14ac:dyDescent="0.2">
      <c r="A480" s="28">
        <v>44918.303472222222</v>
      </c>
      <c r="B480" s="29">
        <v>1.1556240369816275</v>
      </c>
      <c r="C480" s="29"/>
    </row>
    <row r="481" spans="1:3" x14ac:dyDescent="0.2">
      <c r="A481" s="28">
        <v>44919.39166666667</v>
      </c>
      <c r="B481" s="29">
        <v>0.72750478621321257</v>
      </c>
      <c r="C481" s="29"/>
    </row>
    <row r="482" spans="1:3" x14ac:dyDescent="0.2">
      <c r="A482" s="28">
        <v>44921.321527777778</v>
      </c>
      <c r="B482" s="29">
        <v>0.84202950701825297</v>
      </c>
      <c r="C482" s="29"/>
    </row>
    <row r="483" spans="1:3" x14ac:dyDescent="0.2">
      <c r="A483" s="28">
        <v>44922.320833333331</v>
      </c>
      <c r="B483" s="29">
        <v>2.1681723419090115</v>
      </c>
      <c r="C483" s="29"/>
    </row>
    <row r="484" spans="1:3" x14ac:dyDescent="0.2">
      <c r="A484" s="28">
        <v>44923.329861111109</v>
      </c>
      <c r="B484" s="29">
        <v>1.5691672401922019</v>
      </c>
      <c r="C484" s="29"/>
    </row>
    <row r="485" spans="1:3" x14ac:dyDescent="0.2">
      <c r="A485" s="28">
        <v>44924.330555555556</v>
      </c>
      <c r="B485" s="29">
        <v>1.4156835530849308</v>
      </c>
      <c r="C485" s="29"/>
    </row>
    <row r="486" spans="1:3" x14ac:dyDescent="0.2">
      <c r="A486" s="28">
        <v>44925.321527777778</v>
      </c>
      <c r="B486" s="29">
        <v>1.3454800280312729</v>
      </c>
      <c r="C486" s="29"/>
    </row>
    <row r="487" spans="1:3" x14ac:dyDescent="0.2">
      <c r="A487" s="28">
        <v>44926.378472222219</v>
      </c>
      <c r="B487" s="29">
        <v>0.90670170828163232</v>
      </c>
      <c r="C487" s="29"/>
    </row>
    <row r="488" spans="1:3" x14ac:dyDescent="0.2">
      <c r="A488" s="28">
        <v>44927.606944444444</v>
      </c>
      <c r="B488" s="29">
        <v>0.47484454493964445</v>
      </c>
      <c r="C488" s="29"/>
    </row>
    <row r="489" spans="1:3" x14ac:dyDescent="0.2">
      <c r="A489" s="28">
        <v>44928.325694444444</v>
      </c>
      <c r="B489" s="29">
        <v>1.3333333333333333</v>
      </c>
      <c r="C489" s="29"/>
    </row>
    <row r="490" spans="1:3" x14ac:dyDescent="0.2">
      <c r="A490" s="28">
        <v>44929.318055555559</v>
      </c>
      <c r="B490" s="29">
        <v>1.8894331700409812</v>
      </c>
      <c r="C490" s="29"/>
    </row>
    <row r="491" spans="1:3" x14ac:dyDescent="0.2">
      <c r="A491" s="28">
        <v>44930.318749999999</v>
      </c>
      <c r="B491" s="29">
        <v>1.5405968077800969</v>
      </c>
      <c r="C491" s="29"/>
    </row>
    <row r="492" spans="1:3" x14ac:dyDescent="0.2">
      <c r="A492" s="28">
        <v>44931.341666666667</v>
      </c>
      <c r="B492" s="29">
        <v>1.6293279022372353</v>
      </c>
      <c r="C492" s="29"/>
    </row>
    <row r="493" spans="1:3" x14ac:dyDescent="0.2">
      <c r="A493" s="28">
        <v>44932.331944444442</v>
      </c>
      <c r="B493" s="29">
        <v>1.2622720897648685</v>
      </c>
      <c r="C493" s="29"/>
    </row>
    <row r="494" spans="1:3" x14ac:dyDescent="0.2">
      <c r="A494" s="28">
        <v>44933.365277777775</v>
      </c>
      <c r="B494" s="29">
        <v>1.3709677419361275</v>
      </c>
      <c r="C494" s="29"/>
    </row>
    <row r="495" spans="1:3" x14ac:dyDescent="0.2">
      <c r="A495" s="28">
        <v>44934.39166666667</v>
      </c>
      <c r="B495" s="29">
        <v>2.0297699593927701</v>
      </c>
      <c r="C495" s="29"/>
    </row>
    <row r="496" spans="1:3" x14ac:dyDescent="0.2">
      <c r="A496" s="28">
        <v>44935.334722222222</v>
      </c>
      <c r="B496" s="29">
        <v>2.209131075119168</v>
      </c>
      <c r="C496" s="29"/>
    </row>
    <row r="497" spans="1:3" x14ac:dyDescent="0.2">
      <c r="A497" s="28">
        <v>44936.306944444441</v>
      </c>
      <c r="B497" s="29">
        <v>2.3142857142934119</v>
      </c>
      <c r="C497" s="29"/>
    </row>
    <row r="498" spans="1:3" x14ac:dyDescent="0.2">
      <c r="A498" s="28">
        <v>44937.377083333333</v>
      </c>
      <c r="B498" s="29">
        <v>1.7521090201117775</v>
      </c>
      <c r="C498" s="29"/>
    </row>
    <row r="499" spans="1:3" x14ac:dyDescent="0.2">
      <c r="A499" s="28">
        <v>44938.397222222222</v>
      </c>
      <c r="B499" s="29">
        <v>1.8379850238254405</v>
      </c>
      <c r="C499" s="29"/>
    </row>
    <row r="500" spans="1:3" x14ac:dyDescent="0.2">
      <c r="A500" s="28">
        <v>44939.352777777778</v>
      </c>
      <c r="B500" s="29">
        <v>1.8313953488359698</v>
      </c>
      <c r="C500" s="29"/>
    </row>
    <row r="501" spans="1:3" x14ac:dyDescent="0.2">
      <c r="A501" s="28">
        <v>44940.367361111108</v>
      </c>
      <c r="B501" s="29">
        <v>1.7248459958989963</v>
      </c>
      <c r="C501" s="29"/>
    </row>
    <row r="502" spans="1:3" x14ac:dyDescent="0.2">
      <c r="A502" s="28">
        <v>44941.769444444442</v>
      </c>
      <c r="B502" s="29">
        <v>1.9613670133715999</v>
      </c>
      <c r="C502" s="29"/>
    </row>
    <row r="503" spans="1:3" x14ac:dyDescent="0.2">
      <c r="A503" s="28">
        <v>44942.332638888889</v>
      </c>
      <c r="B503" s="29">
        <v>2.3674475955515204</v>
      </c>
      <c r="C503" s="29"/>
    </row>
    <row r="504" spans="1:3" x14ac:dyDescent="0.2">
      <c r="A504" s="28">
        <v>44943.319444444445</v>
      </c>
      <c r="B504" s="29">
        <v>2.5334271639673753</v>
      </c>
      <c r="C504" s="29"/>
    </row>
    <row r="505" spans="1:3" x14ac:dyDescent="0.2">
      <c r="A505" s="28">
        <v>44944.319444444445</v>
      </c>
      <c r="B505" s="29">
        <v>2.8333333333333335</v>
      </c>
      <c r="C505" s="29"/>
    </row>
    <row r="506" spans="1:3" x14ac:dyDescent="0.2">
      <c r="A506" s="28">
        <v>44945.453472222223</v>
      </c>
      <c r="B506" s="29">
        <v>3.2333129210033644</v>
      </c>
      <c r="C506" s="29"/>
    </row>
    <row r="507" spans="1:3" x14ac:dyDescent="0.2">
      <c r="A507" s="28">
        <v>44946.381944444445</v>
      </c>
      <c r="B507" s="29">
        <v>3.1862378459248197</v>
      </c>
      <c r="C507" s="29"/>
    </row>
    <row r="508" spans="1:3" x14ac:dyDescent="0.2">
      <c r="A508" s="28">
        <v>44947.398611111108</v>
      </c>
      <c r="B508" s="29">
        <v>3.1147540983725444</v>
      </c>
      <c r="C508" s="29"/>
    </row>
    <row r="509" spans="1:3" x14ac:dyDescent="0.2">
      <c r="A509" s="28">
        <v>44949.316666666666</v>
      </c>
      <c r="B509" s="29">
        <v>3.4974656046304902</v>
      </c>
      <c r="C509" s="29"/>
    </row>
    <row r="510" spans="1:3" x14ac:dyDescent="0.2">
      <c r="A510" s="28">
        <v>44950.329861111109</v>
      </c>
      <c r="B510" s="29">
        <v>3.2899246058965481</v>
      </c>
      <c r="C510" s="29"/>
    </row>
    <row r="511" spans="1:3" x14ac:dyDescent="0.2">
      <c r="A511" s="28">
        <v>44951.348611111112</v>
      </c>
      <c r="B511" s="29">
        <v>2.9856850715661127</v>
      </c>
      <c r="C511" s="29"/>
    </row>
    <row r="512" spans="1:3" x14ac:dyDescent="0.2">
      <c r="A512" s="28">
        <v>44952.328472222223</v>
      </c>
      <c r="B512" s="29">
        <v>3.3167965981578824</v>
      </c>
      <c r="C512" s="29"/>
    </row>
    <row r="513" spans="1:3" x14ac:dyDescent="0.2">
      <c r="A513" s="28">
        <v>44953.311805555553</v>
      </c>
      <c r="B513" s="29">
        <v>2.8389830508572604</v>
      </c>
      <c r="C513" s="29"/>
    </row>
    <row r="514" spans="1:3" x14ac:dyDescent="0.2">
      <c r="A514" s="28">
        <v>44954.336111111108</v>
      </c>
      <c r="B514" s="29">
        <v>2.6440677966122563</v>
      </c>
      <c r="C514" s="29"/>
    </row>
    <row r="515" spans="1:3" x14ac:dyDescent="0.2">
      <c r="A515" s="28">
        <v>44955.460416666669</v>
      </c>
      <c r="B515" s="29">
        <v>2.8906732550828509</v>
      </c>
      <c r="C515" s="29"/>
    </row>
    <row r="516" spans="1:3" x14ac:dyDescent="0.2">
      <c r="A516" s="28">
        <v>44956.316666666666</v>
      </c>
      <c r="B516" s="29">
        <v>2.7250608272598709</v>
      </c>
      <c r="C516" s="29"/>
    </row>
    <row r="517" spans="1:3" x14ac:dyDescent="0.2">
      <c r="A517" s="28">
        <v>44957.324999999997</v>
      </c>
      <c r="B517" s="29">
        <v>2.7272727272779753</v>
      </c>
      <c r="C517" s="29"/>
    </row>
    <row r="518" spans="1:3" x14ac:dyDescent="0.2">
      <c r="A518" s="28">
        <v>44958.474305555559</v>
      </c>
      <c r="B518" s="29">
        <v>2.3202416918298434</v>
      </c>
      <c r="C518" s="29"/>
    </row>
    <row r="519" spans="1:3" x14ac:dyDescent="0.2">
      <c r="A519" s="28">
        <v>44959.334027777775</v>
      </c>
      <c r="B519" s="29">
        <v>2.1324717286097474</v>
      </c>
      <c r="C519" s="29"/>
    </row>
    <row r="520" spans="1:3" x14ac:dyDescent="0.2">
      <c r="A520" s="28">
        <v>44960.34375</v>
      </c>
      <c r="B520" s="29">
        <v>2.0632737276425814</v>
      </c>
      <c r="C520" s="29"/>
    </row>
    <row r="521" spans="1:3" x14ac:dyDescent="0.2">
      <c r="A521" s="28">
        <v>44961.365972222222</v>
      </c>
      <c r="B521" s="29">
        <v>1.9565217391310536</v>
      </c>
      <c r="C521" s="29"/>
    </row>
    <row r="522" spans="1:3" x14ac:dyDescent="0.2">
      <c r="A522" s="28">
        <v>44962.435416666667</v>
      </c>
      <c r="B522" s="29">
        <v>1.8701298701284563</v>
      </c>
      <c r="C522" s="29"/>
    </row>
    <row r="523" spans="1:3" x14ac:dyDescent="0.2">
      <c r="A523" s="28">
        <v>44963.320138888892</v>
      </c>
      <c r="B523" s="29">
        <v>2.2605965463042219</v>
      </c>
      <c r="C523" s="29"/>
    </row>
    <row r="524" spans="1:3" x14ac:dyDescent="0.2">
      <c r="A524" s="28">
        <v>44964.313888888886</v>
      </c>
      <c r="B524" s="29">
        <v>2.6834381551519861</v>
      </c>
      <c r="C524" s="29"/>
    </row>
    <row r="525" spans="1:3" x14ac:dyDescent="0.2">
      <c r="A525" s="28">
        <v>44965.373611111114</v>
      </c>
      <c r="B525" s="29">
        <v>2.9095674967083665</v>
      </c>
      <c r="C525" s="29"/>
    </row>
    <row r="526" spans="1:3" x14ac:dyDescent="0.2">
      <c r="A526" s="28">
        <v>44966.370833333334</v>
      </c>
      <c r="B526" s="29">
        <v>3.2172701949918103</v>
      </c>
      <c r="C526" s="29"/>
    </row>
    <row r="527" spans="1:3" x14ac:dyDescent="0.2">
      <c r="A527" s="28">
        <v>44967.364583333336</v>
      </c>
      <c r="B527" s="29">
        <v>2.641509433958396</v>
      </c>
      <c r="C527" s="29"/>
    </row>
    <row r="528" spans="1:3" x14ac:dyDescent="0.2">
      <c r="A528" s="28">
        <v>44968.361111111109</v>
      </c>
      <c r="B528" s="29">
        <v>2.3414634146436439</v>
      </c>
      <c r="C528" s="29"/>
    </row>
    <row r="529" spans="1:3" x14ac:dyDescent="0.2">
      <c r="A529" s="28">
        <v>44969.404861111114</v>
      </c>
      <c r="B529" s="29">
        <v>2.6746506985916074</v>
      </c>
      <c r="C529" s="29"/>
    </row>
    <row r="530" spans="1:3" x14ac:dyDescent="0.2">
      <c r="A530" s="28">
        <v>44970.315972222219</v>
      </c>
      <c r="B530" s="29">
        <v>2.2865853658686723</v>
      </c>
      <c r="C530" s="29"/>
    </row>
    <row r="531" spans="1:3" x14ac:dyDescent="0.2">
      <c r="A531" s="28">
        <v>44971.321527777778</v>
      </c>
      <c r="B531" s="29">
        <v>2.0718232044125604</v>
      </c>
      <c r="C531" s="29"/>
    </row>
    <row r="532" spans="1:3" x14ac:dyDescent="0.2">
      <c r="A532" s="28">
        <v>44972.308333333334</v>
      </c>
      <c r="B532" s="29">
        <v>1.9000703729755317</v>
      </c>
      <c r="C532" s="29"/>
    </row>
    <row r="533" spans="1:3" x14ac:dyDescent="0.2">
      <c r="A533" s="28">
        <v>44973.42083333333</v>
      </c>
      <c r="B533" s="29">
        <v>1.6479400749128337</v>
      </c>
      <c r="C533" s="29"/>
    </row>
    <row r="534" spans="1:3" x14ac:dyDescent="0.2">
      <c r="A534" s="28">
        <v>44974.376388888886</v>
      </c>
      <c r="B534" s="29">
        <v>1.6133720930221638</v>
      </c>
      <c r="C534" s="29"/>
    </row>
    <row r="535" spans="1:3" x14ac:dyDescent="0.2">
      <c r="A535" s="28">
        <v>44975.342361111114</v>
      </c>
      <c r="B535" s="29">
        <v>1.3803019410417492</v>
      </c>
      <c r="C535" s="29"/>
    </row>
    <row r="536" spans="1:3" x14ac:dyDescent="0.2">
      <c r="A536" s="28">
        <v>44976.375694444447</v>
      </c>
      <c r="B536" s="29">
        <v>1.5725806451620286</v>
      </c>
      <c r="C536" s="29"/>
    </row>
    <row r="537" spans="1:3" x14ac:dyDescent="0.2">
      <c r="A537" s="28">
        <v>44977.34097222222</v>
      </c>
      <c r="B537" s="29">
        <v>1.9856115107996819</v>
      </c>
      <c r="C537" s="29"/>
    </row>
    <row r="538" spans="1:3" x14ac:dyDescent="0.2">
      <c r="A538" s="28">
        <v>44978.339583333334</v>
      </c>
      <c r="B538" s="29">
        <v>1.7524339360174295</v>
      </c>
      <c r="C538" s="29"/>
    </row>
    <row r="539" spans="1:3" x14ac:dyDescent="0.2">
      <c r="A539" s="28">
        <v>44979.334722222222</v>
      </c>
      <c r="B539" s="29">
        <v>1.3398464759263753</v>
      </c>
      <c r="C539" s="29"/>
    </row>
    <row r="540" spans="1:3" x14ac:dyDescent="0.2">
      <c r="A540" s="28">
        <v>44980.322916666664</v>
      </c>
      <c r="B540" s="29">
        <v>1.9395643007771404</v>
      </c>
      <c r="C540" s="29"/>
    </row>
    <row r="541" spans="1:3" x14ac:dyDescent="0.2">
      <c r="A541" s="28">
        <v>44981.324999999997</v>
      </c>
      <c r="B541" s="29">
        <v>2.2037422037432703</v>
      </c>
      <c r="C541" s="29"/>
    </row>
    <row r="542" spans="1:3" x14ac:dyDescent="0.2">
      <c r="A542" s="28">
        <v>44982.300694444442</v>
      </c>
      <c r="B542" s="29">
        <v>2.2206405693931779</v>
      </c>
      <c r="C542" s="29"/>
    </row>
    <row r="543" spans="1:3" x14ac:dyDescent="0.2">
      <c r="A543" s="28">
        <v>44983.401388888888</v>
      </c>
      <c r="B543" s="29">
        <v>2.5741324921116742</v>
      </c>
      <c r="C543" s="29"/>
    </row>
    <row r="544" spans="1:3" x14ac:dyDescent="0.2">
      <c r="A544" s="28">
        <v>44984.334722222222</v>
      </c>
      <c r="B544" s="29">
        <v>2.9464285714255087</v>
      </c>
      <c r="C544" s="29"/>
    </row>
    <row r="545" spans="1:3" x14ac:dyDescent="0.2">
      <c r="A545" s="28">
        <v>44985.313194444447</v>
      </c>
      <c r="B545" s="29">
        <v>3.1085876508079626</v>
      </c>
      <c r="C545" s="29"/>
    </row>
    <row r="546" spans="1:3" x14ac:dyDescent="0.2">
      <c r="A546" s="28">
        <v>44986.343055555553</v>
      </c>
      <c r="B546" s="29">
        <v>2.9534726905052291</v>
      </c>
      <c r="C546" s="29"/>
    </row>
    <row r="547" spans="1:3" x14ac:dyDescent="0.2">
      <c r="A547" s="28">
        <v>44987.344444444447</v>
      </c>
      <c r="B547" s="29">
        <v>2.8294036060898438</v>
      </c>
      <c r="C547" s="29"/>
    </row>
    <row r="548" spans="1:3" x14ac:dyDescent="0.2">
      <c r="A548" s="28">
        <v>44988.355555555558</v>
      </c>
      <c r="B548" s="29">
        <v>2.6373626373630592</v>
      </c>
      <c r="C548" s="29"/>
    </row>
    <row r="549" spans="1:3" x14ac:dyDescent="0.2">
      <c r="A549" s="28">
        <v>44989.372916666667</v>
      </c>
      <c r="B549" s="29">
        <v>2.6621160409598623</v>
      </c>
      <c r="C549" s="29"/>
    </row>
    <row r="550" spans="1:3" x14ac:dyDescent="0.2">
      <c r="A550" s="28">
        <v>44990.393750000003</v>
      </c>
      <c r="B550" s="29">
        <v>2.7346938775445233</v>
      </c>
      <c r="C550" s="29"/>
    </row>
    <row r="551" spans="1:3" x14ac:dyDescent="0.2">
      <c r="A551" s="28">
        <v>44991.320833333331</v>
      </c>
      <c r="B551" s="29">
        <v>2.4269662921475299</v>
      </c>
      <c r="C551" s="29"/>
    </row>
    <row r="552" spans="1:3" x14ac:dyDescent="0.2">
      <c r="A552" s="28">
        <v>44992.306944444441</v>
      </c>
      <c r="B552" s="29">
        <v>2.4084507042293013</v>
      </c>
      <c r="C552" s="29"/>
    </row>
    <row r="553" spans="1:3" x14ac:dyDescent="0.2">
      <c r="A553" s="28">
        <v>44993.34652777778</v>
      </c>
      <c r="B553" s="29">
        <v>2.2845691382648274</v>
      </c>
      <c r="C553" s="29"/>
    </row>
    <row r="554" spans="1:3" x14ac:dyDescent="0.2">
      <c r="A554" s="28">
        <v>44994.368750000001</v>
      </c>
      <c r="B554" s="29">
        <v>1.6711956521744418</v>
      </c>
      <c r="C554" s="29"/>
    </row>
    <row r="555" spans="1:3" x14ac:dyDescent="0.2">
      <c r="A555" s="28">
        <v>44995.347916666666</v>
      </c>
      <c r="B555" s="29">
        <v>1.7021276595786841</v>
      </c>
      <c r="C555" s="29"/>
    </row>
    <row r="556" spans="1:3" x14ac:dyDescent="0.2">
      <c r="A556" s="28">
        <v>44996.296527777777</v>
      </c>
      <c r="B556" s="29">
        <v>2.0204978038070793</v>
      </c>
      <c r="C556" s="29"/>
    </row>
    <row r="557" spans="1:3" x14ac:dyDescent="0.2">
      <c r="A557" s="28">
        <v>44997.402083333334</v>
      </c>
      <c r="B557" s="29">
        <v>1.5075376884393448</v>
      </c>
      <c r="C557" s="29"/>
    </row>
    <row r="558" spans="1:3" x14ac:dyDescent="0.2">
      <c r="A558" s="28">
        <v>44998.313888888886</v>
      </c>
      <c r="B558" s="29">
        <v>1.3709063214069621</v>
      </c>
      <c r="C558" s="29"/>
    </row>
    <row r="559" spans="1:3" x14ac:dyDescent="0.2">
      <c r="A559" s="28">
        <v>44999.320138888892</v>
      </c>
      <c r="B559" s="29">
        <v>1.863354037256302</v>
      </c>
      <c r="C559" s="29"/>
    </row>
    <row r="560" spans="1:3" x14ac:dyDescent="0.2">
      <c r="A560" s="28">
        <v>45000.332638888889</v>
      </c>
      <c r="B560" s="29">
        <v>1.9753086419809867</v>
      </c>
      <c r="C560" s="29"/>
    </row>
    <row r="561" spans="1:3" x14ac:dyDescent="0.2">
      <c r="A561" s="28">
        <v>45001.308333333334</v>
      </c>
      <c r="B561" s="29">
        <v>1.6227758007103992</v>
      </c>
      <c r="C561" s="29"/>
    </row>
    <row r="562" spans="1:3" x14ac:dyDescent="0.2">
      <c r="A562" s="28">
        <v>45002.343055555553</v>
      </c>
      <c r="B562" s="29">
        <v>0.68456375839140116</v>
      </c>
      <c r="C562" s="29"/>
    </row>
    <row r="563" spans="1:3" x14ac:dyDescent="0.2">
      <c r="A563" s="28">
        <v>45003.309027777781</v>
      </c>
      <c r="B563" s="29">
        <v>1.5959741193295225</v>
      </c>
      <c r="C563" s="29"/>
    </row>
    <row r="564" spans="1:3" x14ac:dyDescent="0.2">
      <c r="A564" s="28">
        <v>45004.407638888886</v>
      </c>
      <c r="B564" s="29">
        <v>1.7825537294660911</v>
      </c>
      <c r="C564" s="29"/>
    </row>
    <row r="565" spans="1:3" x14ac:dyDescent="0.2">
      <c r="A565" s="28">
        <v>45005.320138888892</v>
      </c>
      <c r="B565" s="29">
        <v>1.7351598173405298</v>
      </c>
      <c r="C565" s="29"/>
    </row>
    <row r="566" spans="1:3" x14ac:dyDescent="0.2">
      <c r="A566" s="28">
        <v>45006.311111111114</v>
      </c>
      <c r="B566" s="29">
        <v>1.4716187806592049</v>
      </c>
      <c r="C566" s="29"/>
    </row>
    <row r="567" spans="1:3" x14ac:dyDescent="0.2">
      <c r="A567" s="28">
        <v>45007.395833333336</v>
      </c>
      <c r="B567" s="29">
        <v>1.1907810499363345</v>
      </c>
      <c r="C567" s="29"/>
    </row>
    <row r="568" spans="1:3" x14ac:dyDescent="0.2">
      <c r="A568" s="28">
        <v>45008.327777777777</v>
      </c>
      <c r="B568" s="29">
        <v>1.52011922504306</v>
      </c>
      <c r="C568" s="29"/>
    </row>
    <row r="569" spans="1:3" x14ac:dyDescent="0.2">
      <c r="A569" s="28">
        <v>45009.348611111112</v>
      </c>
      <c r="B569" s="29">
        <v>1.3877551020375192</v>
      </c>
      <c r="C569" s="29"/>
    </row>
    <row r="570" spans="1:3" x14ac:dyDescent="0.2">
      <c r="A570" s="28">
        <v>45010.462500000001</v>
      </c>
      <c r="B570" s="29">
        <v>1.5336658354112487</v>
      </c>
      <c r="C570" s="29"/>
    </row>
    <row r="571" spans="1:3" x14ac:dyDescent="0.2">
      <c r="A571" s="28">
        <v>45011.392361111109</v>
      </c>
      <c r="B571" s="29">
        <v>1.6579536967941257</v>
      </c>
      <c r="C571" s="29"/>
    </row>
    <row r="572" spans="1:3" x14ac:dyDescent="0.2">
      <c r="A572" s="28">
        <v>45012.320833333331</v>
      </c>
      <c r="B572" s="29">
        <v>1.8399401645481352</v>
      </c>
      <c r="C572" s="29"/>
    </row>
    <row r="573" spans="1:3" x14ac:dyDescent="0.2">
      <c r="A573" s="28">
        <v>45013.374305555553</v>
      </c>
      <c r="B573" s="29">
        <v>1.6611733684909515</v>
      </c>
      <c r="C573" s="29"/>
    </row>
    <row r="574" spans="1:3" x14ac:dyDescent="0.2">
      <c r="A574" s="28">
        <v>45014.367361111108</v>
      </c>
      <c r="B574" s="29">
        <v>1.3846153846165119</v>
      </c>
      <c r="C574" s="29"/>
    </row>
    <row r="575" spans="1:3" x14ac:dyDescent="0.2">
      <c r="A575" s="28">
        <v>45015.330555555556</v>
      </c>
      <c r="B575" s="29">
        <v>0.69214131218189867</v>
      </c>
      <c r="C575" s="29"/>
    </row>
    <row r="576" spans="1:3" x14ac:dyDescent="0.2">
      <c r="A576" s="28">
        <v>45017.319444444445</v>
      </c>
      <c r="B576" s="29">
        <v>1.3407821229049188</v>
      </c>
      <c r="C576" s="29"/>
    </row>
    <row r="577" spans="1:3" x14ac:dyDescent="0.2">
      <c r="A577" s="28">
        <v>45018.392361111109</v>
      </c>
      <c r="B577" s="29">
        <v>1.8640776699071264</v>
      </c>
      <c r="C577" s="29"/>
    </row>
    <row r="578" spans="1:3" x14ac:dyDescent="0.2">
      <c r="A578" s="28">
        <v>45019.330555555556</v>
      </c>
      <c r="B578" s="29">
        <v>1.9096965210908772</v>
      </c>
      <c r="C578" s="29"/>
    </row>
    <row r="579" spans="1:3" x14ac:dyDescent="0.2">
      <c r="A579" s="28">
        <v>45020.318749999999</v>
      </c>
      <c r="B579" s="29">
        <v>2.2347153900258356</v>
      </c>
      <c r="C579" s="29"/>
    </row>
    <row r="580" spans="1:3" x14ac:dyDescent="0.2">
      <c r="A580" s="28">
        <v>45021.370833333334</v>
      </c>
      <c r="B580" s="29">
        <v>1.5049504950460357</v>
      </c>
      <c r="C580" s="29"/>
    </row>
    <row r="581" spans="1:3" x14ac:dyDescent="0.2">
      <c r="A581" s="28">
        <v>45022.338888888888</v>
      </c>
      <c r="B581" s="29">
        <v>1.5064562410365212</v>
      </c>
      <c r="C581" s="29"/>
    </row>
    <row r="582" spans="1:3" x14ac:dyDescent="0.2">
      <c r="A582" s="28">
        <v>45023.336111111108</v>
      </c>
      <c r="B582" s="29">
        <v>1.211699164347565</v>
      </c>
      <c r="C582" s="29"/>
    </row>
    <row r="583" spans="1:3" x14ac:dyDescent="0.2">
      <c r="A583" s="28">
        <v>45024.552777777775</v>
      </c>
      <c r="B583" s="29">
        <v>1.3356164383556319</v>
      </c>
      <c r="C583" s="29"/>
    </row>
    <row r="584" spans="1:3" x14ac:dyDescent="0.2">
      <c r="A584" s="28">
        <v>45026.377083333333</v>
      </c>
      <c r="B584" s="29">
        <v>0.70803197563679365</v>
      </c>
      <c r="C584" s="29"/>
    </row>
    <row r="585" spans="1:3" x14ac:dyDescent="0.2">
      <c r="A585" s="28">
        <v>45027.325694444444</v>
      </c>
      <c r="B585" s="29">
        <v>1.4055636896049248</v>
      </c>
      <c r="C585" s="29"/>
    </row>
    <row r="586" spans="1:3" x14ac:dyDescent="0.2">
      <c r="A586" s="28">
        <v>45028.390277777777</v>
      </c>
      <c r="B586" s="29">
        <v>1.4090019569478045</v>
      </c>
      <c r="C586" s="29"/>
    </row>
    <row r="587" spans="1:3" x14ac:dyDescent="0.2">
      <c r="A587" s="28">
        <v>45029.321527777778</v>
      </c>
      <c r="B587" s="29">
        <v>1.8344519015631289</v>
      </c>
      <c r="C587" s="29"/>
    </row>
    <row r="588" spans="1:3" x14ac:dyDescent="0.2">
      <c r="A588" s="28">
        <v>45030.347916666666</v>
      </c>
      <c r="B588" s="29">
        <v>1.826792963466443</v>
      </c>
      <c r="C588" s="29"/>
    </row>
    <row r="589" spans="1:3" x14ac:dyDescent="0.2">
      <c r="A589" s="28">
        <v>45031.34375</v>
      </c>
      <c r="B589" s="29">
        <v>1.7573221757305055</v>
      </c>
      <c r="C589" s="29"/>
    </row>
    <row r="590" spans="1:3" x14ac:dyDescent="0.2">
      <c r="A590" s="28">
        <v>45032.367361111108</v>
      </c>
      <c r="B590" s="29">
        <v>1.5061058344685636</v>
      </c>
      <c r="C590" s="29"/>
    </row>
    <row r="591" spans="1:3" x14ac:dyDescent="0.2">
      <c r="A591" s="28">
        <v>45033.330555555556</v>
      </c>
      <c r="B591" s="29">
        <v>0.82191780821600469</v>
      </c>
      <c r="C591" s="29"/>
    </row>
    <row r="592" spans="1:3" x14ac:dyDescent="0.2">
      <c r="A592" s="28">
        <v>45034.314583333333</v>
      </c>
      <c r="B592" s="29">
        <v>1.3126323218081435</v>
      </c>
      <c r="C592" s="29"/>
    </row>
    <row r="593" spans="1:3" x14ac:dyDescent="0.2">
      <c r="A593" s="28">
        <v>45035.322916666664</v>
      </c>
      <c r="B593" s="29">
        <v>1.0330578512416573</v>
      </c>
      <c r="C593" s="29"/>
    </row>
    <row r="594" spans="1:3" x14ac:dyDescent="0.2">
      <c r="A594" s="28">
        <v>45036.35833333333</v>
      </c>
      <c r="B594" s="29">
        <v>0.72434607645943117</v>
      </c>
      <c r="C594" s="29"/>
    </row>
    <row r="595" spans="1:3" x14ac:dyDescent="0.2">
      <c r="A595" s="28">
        <v>45037.352083333331</v>
      </c>
      <c r="B595" s="29">
        <v>0.71278825995702755</v>
      </c>
      <c r="C595" s="29"/>
    </row>
    <row r="596" spans="1:3" x14ac:dyDescent="0.2">
      <c r="A596" s="28">
        <v>45038.341666666667</v>
      </c>
      <c r="B596" s="29">
        <v>1.1368421052603717</v>
      </c>
      <c r="C596" s="29"/>
    </row>
    <row r="597" spans="1:3" x14ac:dyDescent="0.2">
      <c r="A597" s="28">
        <v>45039.663888888892</v>
      </c>
      <c r="B597" s="29">
        <v>0.69327731092301326</v>
      </c>
      <c r="C597" s="29"/>
    </row>
    <row r="598" spans="1:3" x14ac:dyDescent="0.2">
      <c r="A598" s="28">
        <v>45040.384722222225</v>
      </c>
      <c r="B598" s="29">
        <v>0.69364161849757655</v>
      </c>
      <c r="C598" s="29"/>
    </row>
    <row r="599" spans="1:3" x14ac:dyDescent="0.2">
      <c r="A599" s="28">
        <v>45041.34097222222</v>
      </c>
      <c r="B599" s="29">
        <v>1.6557734204868619</v>
      </c>
      <c r="C599" s="29"/>
    </row>
    <row r="600" spans="1:3" x14ac:dyDescent="0.2">
      <c r="A600" s="28">
        <v>45042.334027777775</v>
      </c>
      <c r="B600" s="29">
        <v>1.3846153846165119</v>
      </c>
      <c r="C600" s="29"/>
    </row>
    <row r="601" spans="1:3" x14ac:dyDescent="0.2">
      <c r="A601" s="28">
        <v>45043.385416666664</v>
      </c>
      <c r="B601" s="29">
        <v>0.79260237780701148</v>
      </c>
      <c r="C601" s="29"/>
    </row>
    <row r="602" spans="1:3" x14ac:dyDescent="0.2">
      <c r="A602" s="28">
        <v>45044.308333333334</v>
      </c>
      <c r="B602" s="29">
        <v>0.63205417606990943</v>
      </c>
      <c r="C602" s="29"/>
    </row>
    <row r="603" spans="1:3" x14ac:dyDescent="0.2">
      <c r="A603" s="28">
        <v>45045.330555555556</v>
      </c>
      <c r="B603" s="29">
        <v>0.32608695652184227</v>
      </c>
      <c r="C603" s="29"/>
    </row>
    <row r="604" spans="1:3" x14ac:dyDescent="0.2">
      <c r="A604" s="28">
        <v>45046.46875</v>
      </c>
      <c r="B604" s="29">
        <v>0.4392922513730379</v>
      </c>
      <c r="C604" s="29"/>
    </row>
    <row r="605" spans="1:3" x14ac:dyDescent="0.2">
      <c r="A605" s="28">
        <v>45047.34652777778</v>
      </c>
      <c r="B605" s="29">
        <v>0.47468354430283566</v>
      </c>
      <c r="C605" s="29"/>
    </row>
    <row r="606" spans="1:3" x14ac:dyDescent="0.2">
      <c r="A606" s="28">
        <v>45048.324305555558</v>
      </c>
      <c r="B606" s="29">
        <v>0.59659090909071177</v>
      </c>
      <c r="C606" s="29"/>
    </row>
    <row r="607" spans="1:3" x14ac:dyDescent="0.2">
      <c r="A607" s="28">
        <v>45049.349305555559</v>
      </c>
      <c r="B607" s="29">
        <v>0.28455284552805132</v>
      </c>
      <c r="C607" s="29"/>
    </row>
    <row r="608" spans="1:3" x14ac:dyDescent="0.2">
      <c r="A608" s="28">
        <v>45050.322916666664</v>
      </c>
      <c r="B608" s="29">
        <v>0.55634807418316179</v>
      </c>
      <c r="C608" s="29"/>
    </row>
    <row r="609" spans="1:3" x14ac:dyDescent="0.2">
      <c r="A609" s="28">
        <v>45051.361805555556</v>
      </c>
      <c r="B609" s="29">
        <v>0.20053475935769577</v>
      </c>
      <c r="C609" s="29"/>
    </row>
    <row r="610" spans="1:3" x14ac:dyDescent="0.2">
      <c r="A610" s="28">
        <v>45052.357638888891</v>
      </c>
      <c r="B610" s="29">
        <v>0.33472803347247726</v>
      </c>
      <c r="C610" s="29"/>
    </row>
    <row r="611" spans="1:3" x14ac:dyDescent="0.2">
      <c r="A611" s="28">
        <v>45053.340277777781</v>
      </c>
      <c r="B611" s="29">
        <v>0.50883392226064683</v>
      </c>
      <c r="C611" s="29"/>
    </row>
    <row r="612" spans="1:3" x14ac:dyDescent="0.2">
      <c r="A612" s="28">
        <v>45054.328472222223</v>
      </c>
      <c r="B612" s="29">
        <v>0.3794799718911796</v>
      </c>
      <c r="C612" s="29"/>
    </row>
    <row r="613" spans="1:3" x14ac:dyDescent="0.2">
      <c r="A613" s="28">
        <v>45055.321527777778</v>
      </c>
      <c r="B613" s="29">
        <v>0.37762237762268502</v>
      </c>
      <c r="C613" s="29"/>
    </row>
    <row r="614" spans="1:3" x14ac:dyDescent="0.2">
      <c r="A614" s="28">
        <v>45056.37222222222</v>
      </c>
      <c r="B614" s="29">
        <v>0.55518836748293487</v>
      </c>
      <c r="C614" s="29"/>
    </row>
    <row r="615" spans="1:3" x14ac:dyDescent="0.2">
      <c r="A615" s="28">
        <v>45057.31527777778</v>
      </c>
      <c r="B615" s="29">
        <v>1.1487481590531043</v>
      </c>
      <c r="C615" s="29"/>
    </row>
    <row r="616" spans="1:3" x14ac:dyDescent="0.2">
      <c r="A616" s="28">
        <v>45058.313888888886</v>
      </c>
      <c r="B616" s="29">
        <v>0.58414464534339927</v>
      </c>
      <c r="C616" s="29"/>
    </row>
    <row r="617" spans="1:3" x14ac:dyDescent="0.2">
      <c r="A617" s="28">
        <v>45059.331250000003</v>
      </c>
      <c r="B617" s="29">
        <v>0.73720136518361268</v>
      </c>
      <c r="C617" s="29"/>
    </row>
    <row r="618" spans="1:3" x14ac:dyDescent="0.2">
      <c r="A618" s="28">
        <v>45060.347916666666</v>
      </c>
      <c r="B618" s="29">
        <v>0.69672131147806915</v>
      </c>
      <c r="C618" s="29"/>
    </row>
    <row r="619" spans="1:3" x14ac:dyDescent="0.2">
      <c r="A619" s="28">
        <v>45061.320833333331</v>
      </c>
      <c r="B619" s="29">
        <v>0.55674518201340306</v>
      </c>
      <c r="C619" s="29"/>
    </row>
    <row r="620" spans="1:3" x14ac:dyDescent="0.2">
      <c r="A620" s="28">
        <v>45062.322222222225</v>
      </c>
      <c r="B620" s="29">
        <v>0.54091539528188182</v>
      </c>
      <c r="C620" s="29"/>
    </row>
    <row r="621" spans="1:3" x14ac:dyDescent="0.2">
      <c r="A621" s="28">
        <v>45063.378472222219</v>
      </c>
      <c r="B621" s="29">
        <v>0.67061143984590466</v>
      </c>
      <c r="C621" s="29"/>
    </row>
    <row r="622" spans="1:3" x14ac:dyDescent="0.2">
      <c r="A622" s="28">
        <v>45064.423611111109</v>
      </c>
      <c r="B622" s="29">
        <v>0.47840531561387784</v>
      </c>
      <c r="C622" s="29"/>
    </row>
    <row r="623" spans="1:3" x14ac:dyDescent="0.2">
      <c r="A623" s="28">
        <v>45065.32708333333</v>
      </c>
      <c r="B623" s="29">
        <v>0.64565718678067152</v>
      </c>
      <c r="C623" s="29"/>
    </row>
    <row r="624" spans="1:3" x14ac:dyDescent="0.2">
      <c r="A624" s="28">
        <v>45066.351388888892</v>
      </c>
      <c r="B624" s="29">
        <v>0.32542372881150455</v>
      </c>
      <c r="C624" s="29"/>
    </row>
    <row r="625" spans="1:3" x14ac:dyDescent="0.2">
      <c r="A625" s="28">
        <v>45067.336111111108</v>
      </c>
      <c r="B625" s="29">
        <v>0.42313117066554562</v>
      </c>
      <c r="C625" s="29"/>
    </row>
    <row r="626" spans="1:3" x14ac:dyDescent="0.2">
      <c r="A626" s="28">
        <v>45068.326388888891</v>
      </c>
      <c r="B626" s="29">
        <v>0.46283309957705115</v>
      </c>
      <c r="C626" s="29"/>
    </row>
    <row r="627" spans="1:3" x14ac:dyDescent="0.2">
      <c r="A627" s="28">
        <v>45069.309027777781</v>
      </c>
      <c r="B627" s="29">
        <v>0.3392226148404312</v>
      </c>
      <c r="C627" s="29"/>
    </row>
    <row r="628" spans="1:3" x14ac:dyDescent="0.2">
      <c r="A628" s="28">
        <v>45070.355555555558</v>
      </c>
      <c r="B628" s="29">
        <v>0.3185136031854805</v>
      </c>
      <c r="C628" s="29"/>
    </row>
    <row r="629" spans="1:3" x14ac:dyDescent="0.2">
      <c r="A629" s="28">
        <v>45071.323611111111</v>
      </c>
      <c r="B629" s="29">
        <v>0.47345767575433523</v>
      </c>
      <c r="C629" s="29"/>
    </row>
    <row r="630" spans="1:3" x14ac:dyDescent="0.2">
      <c r="A630" s="28">
        <v>45072.349305555559</v>
      </c>
      <c r="B630" s="29">
        <v>0.2843601895724287</v>
      </c>
      <c r="C630" s="29"/>
    </row>
    <row r="631" spans="1:3" x14ac:dyDescent="0.2">
      <c r="A631" s="28">
        <v>45073.304166666669</v>
      </c>
      <c r="B631" s="29">
        <v>0.39272727272793773</v>
      </c>
      <c r="C631" s="29"/>
    </row>
    <row r="632" spans="1:3" x14ac:dyDescent="0.2">
      <c r="A632" s="28">
        <v>45074.361805555556</v>
      </c>
      <c r="B632" s="29">
        <v>0.43335521996113407</v>
      </c>
      <c r="C632" s="29"/>
    </row>
    <row r="633" spans="1:3" x14ac:dyDescent="0.2">
      <c r="A633" s="28">
        <v>45075.333333333336</v>
      </c>
      <c r="B633" s="29">
        <v>0.25732666190088704</v>
      </c>
      <c r="C633" s="29"/>
    </row>
    <row r="634" spans="1:3" x14ac:dyDescent="0.2">
      <c r="A634" s="28">
        <v>45076.322222222225</v>
      </c>
      <c r="B634" s="29">
        <v>0.42134831460667266</v>
      </c>
      <c r="C634" s="29"/>
    </row>
    <row r="635" spans="1:3" x14ac:dyDescent="0.2">
      <c r="A635" s="28">
        <v>45077.393750000003</v>
      </c>
      <c r="B635" s="29">
        <v>0.31108230719368446</v>
      </c>
      <c r="C635" s="29"/>
    </row>
    <row r="636" spans="1:3" x14ac:dyDescent="0.2">
      <c r="A636" s="28">
        <v>45078.322222222225</v>
      </c>
      <c r="B636" s="29">
        <v>0.4038893044130053</v>
      </c>
      <c r="C636" s="29"/>
    </row>
    <row r="637" spans="1:3" x14ac:dyDescent="0.2">
      <c r="A637" s="28">
        <v>45079.311111111114</v>
      </c>
      <c r="B637" s="29">
        <v>0.21067415730333633</v>
      </c>
      <c r="C637" s="29"/>
    </row>
    <row r="638" spans="1:3" x14ac:dyDescent="0.2">
      <c r="A638" s="28">
        <v>45080.3125</v>
      </c>
      <c r="B638" s="29">
        <v>0.20804438280223542</v>
      </c>
      <c r="C638" s="29"/>
    </row>
    <row r="639" spans="1:3" x14ac:dyDescent="0.2">
      <c r="A639" s="28">
        <v>45081.324999999997</v>
      </c>
      <c r="B639" s="29">
        <v>0.5761316872444544</v>
      </c>
      <c r="C639" s="29"/>
    </row>
    <row r="640" spans="1:3" x14ac:dyDescent="0.2">
      <c r="A640" s="28">
        <v>45082.320833333331</v>
      </c>
      <c r="B640" s="29">
        <v>0.41841004184059655</v>
      </c>
      <c r="C640" s="29"/>
    </row>
    <row r="641" spans="1:3" x14ac:dyDescent="0.2">
      <c r="A641" s="28">
        <v>45083.314583333333</v>
      </c>
      <c r="B641" s="29">
        <v>0.25157232704365678</v>
      </c>
      <c r="C641" s="29"/>
    </row>
    <row r="642" spans="1:3" x14ac:dyDescent="0.2">
      <c r="A642" s="28">
        <v>45084.361805555556</v>
      </c>
      <c r="B642" s="29">
        <v>0.31830238726756049</v>
      </c>
      <c r="C642" s="29"/>
    </row>
    <row r="643" spans="1:3" x14ac:dyDescent="0.2">
      <c r="A643" s="28">
        <v>45085.355555555558</v>
      </c>
      <c r="B643" s="29">
        <v>0.29350104821759954</v>
      </c>
      <c r="C643" s="29"/>
    </row>
    <row r="644" spans="1:3" x14ac:dyDescent="0.2">
      <c r="A644" s="28">
        <v>45086.355555555558</v>
      </c>
      <c r="B644" s="29">
        <v>0.29166666666666669</v>
      </c>
      <c r="C644" s="29"/>
    </row>
    <row r="645" spans="1:3" x14ac:dyDescent="0.2">
      <c r="A645" s="28">
        <v>45087.315972222219</v>
      </c>
      <c r="B645" s="29">
        <v>0.30368763557652451</v>
      </c>
      <c r="C645" s="29"/>
    </row>
    <row r="646" spans="1:3" x14ac:dyDescent="0.2">
      <c r="A646" s="28">
        <v>45088.431944444441</v>
      </c>
      <c r="B646" s="29">
        <v>0.29869321717494651</v>
      </c>
      <c r="C646" s="29"/>
    </row>
    <row r="647" spans="1:3" x14ac:dyDescent="0.2">
      <c r="A647" s="28">
        <v>45089.319444444445</v>
      </c>
      <c r="B647" s="29">
        <v>0.234741784036404</v>
      </c>
      <c r="C647" s="29"/>
    </row>
    <row r="648" spans="1:3" x14ac:dyDescent="0.2">
      <c r="A648" s="28">
        <v>45090.314583333333</v>
      </c>
      <c r="B648" s="29">
        <v>0.29309141660889459</v>
      </c>
      <c r="C648" s="29"/>
    </row>
    <row r="649" spans="1:3" x14ac:dyDescent="0.2">
      <c r="A649" s="28">
        <v>45091.330555555556</v>
      </c>
      <c r="B649" s="29">
        <v>0.24606971975365616</v>
      </c>
      <c r="C649" s="29"/>
    </row>
    <row r="650" spans="1:3" x14ac:dyDescent="0.2">
      <c r="A650" s="28">
        <v>45092.324999999997</v>
      </c>
      <c r="B650" s="29">
        <v>0.41899441340931998</v>
      </c>
      <c r="C650" s="29"/>
    </row>
    <row r="651" spans="1:3" x14ac:dyDescent="0.2">
      <c r="A651" s="28">
        <v>45093.313888888886</v>
      </c>
      <c r="B651" s="29">
        <v>0.29494382022467086</v>
      </c>
      <c r="C651" s="29"/>
    </row>
    <row r="652" spans="1:3" x14ac:dyDescent="0.2">
      <c r="A652" s="28">
        <v>45094.336805555555</v>
      </c>
      <c r="B652" s="29">
        <v>0.28513238289151621</v>
      </c>
      <c r="C652" s="29"/>
    </row>
    <row r="653" spans="1:3" x14ac:dyDescent="0.2">
      <c r="A653" s="28">
        <v>45096.323611111111</v>
      </c>
      <c r="B653" s="29">
        <v>0.2936036350925294</v>
      </c>
      <c r="C653" s="29"/>
    </row>
    <row r="654" spans="1:3" x14ac:dyDescent="0.2">
      <c r="A654" s="28">
        <v>45097.320833333331</v>
      </c>
      <c r="B654" s="29">
        <v>0.20891364902544224</v>
      </c>
      <c r="C654" s="29"/>
    </row>
    <row r="655" spans="1:3" x14ac:dyDescent="0.2">
      <c r="A655" s="28">
        <v>45098.526388888888</v>
      </c>
      <c r="B655" s="29">
        <v>0.3110599078339345</v>
      </c>
      <c r="C655" s="29"/>
    </row>
    <row r="656" spans="1:3" x14ac:dyDescent="0.2">
      <c r="A656" s="28">
        <v>45099.324305555558</v>
      </c>
      <c r="B656" s="29">
        <v>0.31331592689161714</v>
      </c>
      <c r="C656" s="29"/>
    </row>
    <row r="657" spans="1:3" x14ac:dyDescent="0.2">
      <c r="A657" s="28">
        <v>45100.335416666669</v>
      </c>
      <c r="B657" s="29">
        <v>0.28846153846158457</v>
      </c>
      <c r="C657" s="29"/>
    </row>
    <row r="658" spans="1:3" x14ac:dyDescent="0.2">
      <c r="A658" s="28">
        <v>45101.365277777775</v>
      </c>
      <c r="B658" s="29">
        <v>0.3641267700622885</v>
      </c>
      <c r="C658" s="29"/>
    </row>
    <row r="659" spans="1:3" x14ac:dyDescent="0.2">
      <c r="A659" s="28">
        <v>45102.376388888886</v>
      </c>
      <c r="B659" s="29">
        <v>0.3296703296703824</v>
      </c>
      <c r="C659" s="29"/>
    </row>
    <row r="660" spans="1:3" x14ac:dyDescent="0.2">
      <c r="A660" s="28">
        <v>45103.318055555559</v>
      </c>
      <c r="B660" s="29">
        <v>0.39823008849290847</v>
      </c>
      <c r="C660" s="29"/>
    </row>
    <row r="661" spans="1:3" x14ac:dyDescent="0.2">
      <c r="A661" s="28">
        <v>45104.311111111114</v>
      </c>
      <c r="B661" s="29">
        <v>0.25174825174845672</v>
      </c>
      <c r="C661" s="29"/>
    </row>
    <row r="662" spans="1:3" x14ac:dyDescent="0.2">
      <c r="A662" s="28">
        <v>45105.315972222219</v>
      </c>
      <c r="B662" s="29">
        <v>0.29025570145300655</v>
      </c>
      <c r="C662" s="29"/>
    </row>
    <row r="663" spans="1:3" x14ac:dyDescent="0.2">
      <c r="A663" s="28">
        <v>45106.342361111114</v>
      </c>
      <c r="B663" s="29">
        <v>0.36535859269069859</v>
      </c>
      <c r="C663" s="29"/>
    </row>
    <row r="664" spans="1:3" x14ac:dyDescent="0.2">
      <c r="A664" s="28">
        <v>45107.288194444445</v>
      </c>
      <c r="B664" s="29">
        <v>0.308370044053496</v>
      </c>
      <c r="C664" s="29"/>
    </row>
    <row r="665" spans="1:3" x14ac:dyDescent="0.2">
      <c r="A665" s="28">
        <v>45108.3125</v>
      </c>
      <c r="B665" s="29">
        <v>0.24406779661036213</v>
      </c>
      <c r="C665" s="29"/>
    </row>
    <row r="666" spans="1:3" x14ac:dyDescent="0.2">
      <c r="A666" s="28">
        <v>45110.324305555558</v>
      </c>
      <c r="B666" s="29">
        <v>0.26924404556409565</v>
      </c>
      <c r="C666" s="29"/>
    </row>
    <row r="667" spans="1:3" x14ac:dyDescent="0.2">
      <c r="A667" s="28">
        <v>45111.316666666666</v>
      </c>
      <c r="B667" s="29">
        <v>0.29391182645297426</v>
      </c>
      <c r="C667" s="29"/>
    </row>
    <row r="668" spans="1:3" x14ac:dyDescent="0.2">
      <c r="A668" s="28">
        <v>45112.369444444441</v>
      </c>
      <c r="B668" s="29">
        <v>0.31662269129365406</v>
      </c>
      <c r="C668" s="29"/>
    </row>
    <row r="669" spans="1:3" x14ac:dyDescent="0.2">
      <c r="A669" s="28">
        <v>45113.327777777777</v>
      </c>
      <c r="B669" s="29">
        <v>0.39130434782509665</v>
      </c>
      <c r="C669" s="29"/>
    </row>
    <row r="670" spans="1:3" x14ac:dyDescent="0.2">
      <c r="A670" s="28">
        <v>45114.34375</v>
      </c>
      <c r="B670" s="29">
        <v>0.32809295967154156</v>
      </c>
      <c r="C670" s="29"/>
    </row>
    <row r="671" spans="1:3" x14ac:dyDescent="0.2">
      <c r="A671" s="28">
        <v>45115.51666666667</v>
      </c>
      <c r="B671" s="29">
        <v>0.42628774422611942</v>
      </c>
      <c r="C671" s="29"/>
    </row>
    <row r="672" spans="1:3" x14ac:dyDescent="0.2">
      <c r="A672" s="28">
        <v>45116.40625</v>
      </c>
      <c r="B672" s="29">
        <v>0.37470725995459181</v>
      </c>
      <c r="C672" s="29"/>
    </row>
    <row r="673" spans="1:3" x14ac:dyDescent="0.2">
      <c r="A673" s="28">
        <v>45117.324305555558</v>
      </c>
      <c r="B673" s="29">
        <v>0.27231467473462612</v>
      </c>
      <c r="C673" s="29"/>
    </row>
    <row r="674" spans="1:3" x14ac:dyDescent="0.2">
      <c r="A674" s="28">
        <v>45118.306944444441</v>
      </c>
      <c r="B674" s="29">
        <v>0.42402826855367876</v>
      </c>
      <c r="C674" s="29"/>
    </row>
    <row r="675" spans="1:3" x14ac:dyDescent="0.2">
      <c r="A675" s="28">
        <v>45119.378472222219</v>
      </c>
      <c r="B675" s="29">
        <v>0.27219701879447389</v>
      </c>
      <c r="C675" s="29"/>
    </row>
    <row r="676" spans="1:3" x14ac:dyDescent="0.2">
      <c r="A676" s="28">
        <v>45120.318055555559</v>
      </c>
      <c r="B676" s="29">
        <v>0.26607538802468444</v>
      </c>
      <c r="C676" s="29"/>
    </row>
    <row r="677" spans="1:3" x14ac:dyDescent="0.2">
      <c r="A677" s="28">
        <v>45121.327777777777</v>
      </c>
      <c r="B677" s="29">
        <v>0.3713892709783409</v>
      </c>
      <c r="C677" s="29"/>
    </row>
    <row r="678" spans="1:3" x14ac:dyDescent="0.2">
      <c r="A678" s="28">
        <v>45122.50277777778</v>
      </c>
      <c r="B678" s="29">
        <v>0.39007092198484944</v>
      </c>
      <c r="C678" s="29"/>
    </row>
    <row r="679" spans="1:3" x14ac:dyDescent="0.2">
      <c r="A679" s="28">
        <v>45123.373611111114</v>
      </c>
      <c r="B679" s="29">
        <v>0.28708133971259886</v>
      </c>
      <c r="C679" s="29"/>
    </row>
    <row r="680" spans="1:3" x14ac:dyDescent="0.2">
      <c r="A680" s="28">
        <v>45124.323611111111</v>
      </c>
      <c r="B680" s="29">
        <v>0.35087719298353109</v>
      </c>
      <c r="C680" s="29"/>
    </row>
    <row r="681" spans="1:3" x14ac:dyDescent="0.2">
      <c r="A681" s="28">
        <v>45125.395833333336</v>
      </c>
      <c r="B681" s="29">
        <v>0.42746113989534168</v>
      </c>
      <c r="C681" s="29"/>
    </row>
    <row r="682" spans="1:3" x14ac:dyDescent="0.2">
      <c r="A682" s="28">
        <v>45140.51666666667</v>
      </c>
      <c r="B682" s="29">
        <v>0.19564618352161875</v>
      </c>
      <c r="C682" s="29"/>
    </row>
    <row r="683" spans="1:3" x14ac:dyDescent="0.2">
      <c r="A683" s="28">
        <v>45141.416666666664</v>
      </c>
      <c r="B683" s="29">
        <v>0.41666666666936147</v>
      </c>
      <c r="C683" s="29"/>
    </row>
    <row r="684" spans="1:3" x14ac:dyDescent="0.2">
      <c r="A684" s="28">
        <v>45142.436111111114</v>
      </c>
      <c r="B684" s="29">
        <v>0.32697547683757755</v>
      </c>
      <c r="C684" s="29"/>
    </row>
    <row r="685" spans="1:3" x14ac:dyDescent="0.2">
      <c r="A685" s="28">
        <v>45143.461805555555</v>
      </c>
      <c r="B685" s="29">
        <v>0.40622884224920841</v>
      </c>
      <c r="C685" s="29"/>
    </row>
    <row r="686" spans="1:3" x14ac:dyDescent="0.2">
      <c r="A686" s="28">
        <v>45145.32708333333</v>
      </c>
      <c r="B686" s="29">
        <v>0.33507073715608648</v>
      </c>
      <c r="C686" s="29"/>
    </row>
    <row r="687" spans="1:3" x14ac:dyDescent="0.2">
      <c r="A687" s="28">
        <v>45146.316666666666</v>
      </c>
      <c r="B687" s="29">
        <v>0.33684210526233233</v>
      </c>
      <c r="C687" s="29"/>
    </row>
    <row r="688" spans="1:3" x14ac:dyDescent="0.2">
      <c r="A688" s="28">
        <v>45147.34652777778</v>
      </c>
      <c r="B688" s="29">
        <v>0.32366824005308081</v>
      </c>
      <c r="C688" s="29"/>
    </row>
    <row r="689" spans="1:3" x14ac:dyDescent="0.2">
      <c r="A689" s="28">
        <v>45148.316666666666</v>
      </c>
      <c r="B689" s="29">
        <v>0.38654259126809593</v>
      </c>
      <c r="C689" s="29"/>
    </row>
    <row r="690" spans="1:3" x14ac:dyDescent="0.2">
      <c r="A690" s="28">
        <v>45149.5625</v>
      </c>
      <c r="B690" s="29">
        <v>0.3344481605348566</v>
      </c>
      <c r="C690" s="29"/>
    </row>
    <row r="691" spans="1:3" x14ac:dyDescent="0.2">
      <c r="A691" s="28">
        <v>45150.349305555559</v>
      </c>
      <c r="B691" s="29">
        <v>0.31774051191383268</v>
      </c>
      <c r="C691" s="29"/>
    </row>
    <row r="692" spans="1:3" x14ac:dyDescent="0.2">
      <c r="A692" s="28">
        <v>45151.379166666666</v>
      </c>
      <c r="B692" s="29">
        <v>0.44504383007613041</v>
      </c>
      <c r="C692" s="29"/>
    </row>
    <row r="693" spans="1:3" x14ac:dyDescent="0.2">
      <c r="A693" s="28">
        <v>45152.388888888891</v>
      </c>
      <c r="B693" s="29">
        <v>0.24759284731710979</v>
      </c>
      <c r="C693" s="29"/>
    </row>
    <row r="694" spans="1:3" x14ac:dyDescent="0.2">
      <c r="A694" s="28">
        <v>45153.343055555553</v>
      </c>
      <c r="B694" s="29">
        <v>0.3493449781673596</v>
      </c>
      <c r="C694" s="29"/>
    </row>
    <row r="695" spans="1:3" x14ac:dyDescent="0.2">
      <c r="A695" s="28">
        <v>45154.322222222225</v>
      </c>
      <c r="B695" s="29">
        <v>0.25531914893490543</v>
      </c>
      <c r="C695" s="29"/>
    </row>
    <row r="696" spans="1:3" x14ac:dyDescent="0.2">
      <c r="A696" s="28">
        <v>45155.322222222225</v>
      </c>
      <c r="B696" s="29">
        <v>0.45833333333333331</v>
      </c>
      <c r="C696" s="29"/>
    </row>
    <row r="697" spans="1:3" x14ac:dyDescent="0.2">
      <c r="A697" s="28">
        <v>45156.351388888892</v>
      </c>
      <c r="B697" s="29">
        <v>0.24291497975697052</v>
      </c>
      <c r="C697" s="29"/>
    </row>
    <row r="698" spans="1:3" x14ac:dyDescent="0.2">
      <c r="A698" s="28">
        <v>45157.393055555556</v>
      </c>
      <c r="B698" s="29">
        <v>0.36000000000083821</v>
      </c>
      <c r="C698" s="29"/>
    </row>
    <row r="699" spans="1:3" x14ac:dyDescent="0.2">
      <c r="A699" s="28">
        <v>45158.372916666667</v>
      </c>
      <c r="B699" s="29">
        <v>0.382707299787448</v>
      </c>
      <c r="C699" s="29"/>
    </row>
    <row r="700" spans="1:3" x14ac:dyDescent="0.2">
      <c r="A700" s="28">
        <v>45159.327777777777</v>
      </c>
      <c r="B700" s="29">
        <v>0.26181818181862515</v>
      </c>
      <c r="C700" s="29"/>
    </row>
    <row r="701" spans="1:3" x14ac:dyDescent="0.2">
      <c r="A701" s="28">
        <v>45160.317361111112</v>
      </c>
      <c r="B701" s="29">
        <v>0.29473684210454082</v>
      </c>
      <c r="C701" s="29"/>
    </row>
    <row r="702" spans="1:3" x14ac:dyDescent="0.2">
      <c r="A702" s="28">
        <v>45161.35</v>
      </c>
      <c r="B702" s="29">
        <v>0.32279757901901657</v>
      </c>
      <c r="C702" s="29"/>
    </row>
    <row r="703" spans="1:3" x14ac:dyDescent="0.2">
      <c r="A703" s="28">
        <v>45162.340277777781</v>
      </c>
      <c r="B703" s="29">
        <v>0.42075736325186464</v>
      </c>
      <c r="C703" s="29"/>
    </row>
    <row r="704" spans="1:3" x14ac:dyDescent="0.2">
      <c r="A704" s="28">
        <v>45163.339583333334</v>
      </c>
      <c r="B704" s="29">
        <v>0.29186935371852074</v>
      </c>
      <c r="C704" s="29"/>
    </row>
    <row r="705" spans="1:3" x14ac:dyDescent="0.2">
      <c r="A705" s="28">
        <v>45164.326388888891</v>
      </c>
      <c r="B705" s="29">
        <v>0.33779028852898341</v>
      </c>
      <c r="C705" s="29"/>
    </row>
    <row r="706" spans="1:3" x14ac:dyDescent="0.2">
      <c r="A706" s="28">
        <v>45166.322916666664</v>
      </c>
      <c r="B706" s="29">
        <v>0.22956521739176913</v>
      </c>
      <c r="C706" s="29"/>
    </row>
    <row r="707" spans="1:3" x14ac:dyDescent="0.2">
      <c r="A707" s="28">
        <v>45167.318055555559</v>
      </c>
      <c r="B707" s="29">
        <v>0.29309141660675164</v>
      </c>
      <c r="C707" s="29"/>
    </row>
    <row r="708" spans="1:3" x14ac:dyDescent="0.2">
      <c r="A708" s="28">
        <v>45168.397222222222</v>
      </c>
      <c r="B708" s="29">
        <v>0.30888030888141954</v>
      </c>
      <c r="C708" s="29"/>
    </row>
    <row r="709" spans="1:3" x14ac:dyDescent="0.2">
      <c r="A709" s="28">
        <v>45169.364583333336</v>
      </c>
      <c r="B709" s="29">
        <v>0.30150753768758548</v>
      </c>
      <c r="C709" s="29"/>
    </row>
    <row r="710" spans="1:3" x14ac:dyDescent="0.2">
      <c r="A710" s="28">
        <v>45170.324999999997</v>
      </c>
      <c r="B710" s="29">
        <v>0.260303687637021</v>
      </c>
      <c r="C710" s="29"/>
    </row>
    <row r="711" spans="1:3" x14ac:dyDescent="0.2">
      <c r="A711" s="28">
        <v>45171.439583333333</v>
      </c>
      <c r="B711" s="29">
        <v>0.59813084112019377</v>
      </c>
      <c r="C711" s="29"/>
    </row>
    <row r="712" spans="1:3" x14ac:dyDescent="0.2">
      <c r="A712" s="28">
        <v>45172.44027777778</v>
      </c>
      <c r="B712" s="29">
        <v>0.37473976405189346</v>
      </c>
      <c r="C712" s="29"/>
    </row>
    <row r="713" spans="1:3" x14ac:dyDescent="0.2">
      <c r="A713" s="28">
        <v>45173.442361111112</v>
      </c>
      <c r="B713" s="29">
        <v>0.33264033264049364</v>
      </c>
      <c r="C713" s="29"/>
    </row>
    <row r="714" spans="1:3" x14ac:dyDescent="0.2">
      <c r="A714" s="28">
        <v>45174.317361111112</v>
      </c>
      <c r="B714" s="29">
        <v>0.33333333333333331</v>
      </c>
      <c r="C714" s="29"/>
    </row>
    <row r="715" spans="1:3" x14ac:dyDescent="0.2">
      <c r="A715" s="28">
        <v>45175.354166666664</v>
      </c>
      <c r="B715" s="29">
        <v>0.24112525117300151</v>
      </c>
      <c r="C715" s="29"/>
    </row>
    <row r="716" spans="1:3" x14ac:dyDescent="0.2">
      <c r="A716" s="28">
        <v>45176.339583333334</v>
      </c>
      <c r="B716" s="29">
        <v>0.46511627906816477</v>
      </c>
      <c r="C716" s="29"/>
    </row>
    <row r="717" spans="1:3" x14ac:dyDescent="0.2">
      <c r="A717" s="28">
        <v>45177.308333333334</v>
      </c>
      <c r="B717" s="29">
        <v>0.25806451612903225</v>
      </c>
      <c r="C717" s="29"/>
    </row>
    <row r="718" spans="1:3" x14ac:dyDescent="0.2">
      <c r="A718" s="28">
        <v>45178.319444444445</v>
      </c>
      <c r="B718" s="29">
        <v>0.28846153846158457</v>
      </c>
      <c r="C718" s="29"/>
    </row>
    <row r="719" spans="1:3" x14ac:dyDescent="0.2">
      <c r="A719" s="28">
        <v>45179.311111111114</v>
      </c>
      <c r="B719" s="29">
        <v>0.37815126050346182</v>
      </c>
      <c r="C719" s="29"/>
    </row>
    <row r="720" spans="1:3" x14ac:dyDescent="0.2">
      <c r="A720" s="28">
        <v>45180.315972222219</v>
      </c>
      <c r="B720" s="29">
        <v>0.41465100207572364</v>
      </c>
      <c r="C720" s="29"/>
    </row>
    <row r="721" spans="1:3" x14ac:dyDescent="0.2">
      <c r="A721" s="28" t="s">
        <v>48</v>
      </c>
      <c r="B721" s="29" t="e">
        <v>#VALUE!</v>
      </c>
      <c r="C721" s="29">
        <v>1588.8999999999992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7" sqref="B7"/>
    </sheetView>
  </sheetViews>
  <sheetFormatPr baseColWidth="10" defaultRowHeight="11.25" x14ac:dyDescent="0.2"/>
  <cols>
    <col min="1" max="1" width="16.28515625" style="53" bestFit="1" customWidth="1"/>
    <col min="2" max="2" width="23.28515625" style="53" bestFit="1" customWidth="1"/>
    <col min="3" max="3" width="15.85546875" style="53" bestFit="1" customWidth="1"/>
    <col min="4" max="16384" width="11.42578125" style="53"/>
  </cols>
  <sheetData>
    <row r="1" spans="1:3" x14ac:dyDescent="0.2">
      <c r="A1" s="132" t="s">
        <v>47</v>
      </c>
      <c r="B1" s="133" t="s">
        <v>52</v>
      </c>
      <c r="C1" s="133" t="s">
        <v>54</v>
      </c>
    </row>
    <row r="2" spans="1:3" x14ac:dyDescent="0.2">
      <c r="A2" s="134">
        <v>1</v>
      </c>
      <c r="B2" s="135">
        <v>61.143024767091816</v>
      </c>
      <c r="C2" s="135">
        <v>5.2085714285714282</v>
      </c>
    </row>
    <row r="3" spans="1:3" x14ac:dyDescent="0.2">
      <c r="A3" s="134">
        <v>2</v>
      </c>
      <c r="B3" s="135">
        <v>57.269788750006981</v>
      </c>
      <c r="C3" s="135">
        <v>6.9255813953488401</v>
      </c>
    </row>
    <row r="4" spans="1:3" x14ac:dyDescent="0.2">
      <c r="A4" s="134">
        <v>3</v>
      </c>
      <c r="B4" s="135">
        <v>45.340797319896105</v>
      </c>
      <c r="C4" s="135">
        <v>7.5661290322580639</v>
      </c>
    </row>
    <row r="5" spans="1:3" x14ac:dyDescent="0.2">
      <c r="A5" s="134">
        <v>4</v>
      </c>
      <c r="B5" s="135">
        <v>30.787217379065545</v>
      </c>
      <c r="C5" s="135">
        <v>7.2749999999999995</v>
      </c>
    </row>
    <row r="6" spans="1:3" x14ac:dyDescent="0.2">
      <c r="A6" s="134">
        <v>5</v>
      </c>
      <c r="B6" s="135">
        <v>11.912154210472307</v>
      </c>
      <c r="C6" s="135">
        <v>9.8666666666666671</v>
      </c>
    </row>
    <row r="7" spans="1:3" x14ac:dyDescent="0.2">
      <c r="A7" s="134">
        <v>6</v>
      </c>
      <c r="B7" s="135">
        <v>9.215919289485381</v>
      </c>
      <c r="C7" s="135">
        <v>15.4</v>
      </c>
    </row>
    <row r="8" spans="1:3" x14ac:dyDescent="0.2">
      <c r="A8" s="134">
        <v>7</v>
      </c>
      <c r="B8" s="135">
        <v>8.7995769259791707</v>
      </c>
      <c r="C8" s="135">
        <v>22.3</v>
      </c>
    </row>
    <row r="9" spans="1:3" x14ac:dyDescent="0.2">
      <c r="A9" s="134">
        <v>8</v>
      </c>
      <c r="B9" s="135">
        <v>8.5476705655652054</v>
      </c>
      <c r="C9" s="135"/>
    </row>
    <row r="10" spans="1:3" x14ac:dyDescent="0.2">
      <c r="A10" s="134">
        <v>9</v>
      </c>
      <c r="B10" s="135">
        <v>9.2687705889153928</v>
      </c>
      <c r="C10" s="135">
        <v>14.6</v>
      </c>
    </row>
    <row r="11" spans="1:3" x14ac:dyDescent="0.2">
      <c r="A11" s="134">
        <v>10</v>
      </c>
      <c r="B11" s="135">
        <v>11.7441593414501</v>
      </c>
      <c r="C11" s="135"/>
    </row>
    <row r="12" spans="1:3" x14ac:dyDescent="0.2">
      <c r="A12" s="134">
        <v>11</v>
      </c>
      <c r="B12" s="135">
        <v>32.243132143866951</v>
      </c>
      <c r="C12" s="135">
        <v>7.3000000000000007</v>
      </c>
    </row>
    <row r="13" spans="1:3" x14ac:dyDescent="0.2">
      <c r="A13" s="134">
        <v>12</v>
      </c>
      <c r="B13" s="135" t="e">
        <v>#DIV/0!</v>
      </c>
      <c r="C13" s="135">
        <v>5.9428571428571431</v>
      </c>
    </row>
    <row r="14" spans="1:3" x14ac:dyDescent="0.2">
      <c r="A14" s="134" t="s">
        <v>48</v>
      </c>
      <c r="B14" s="135" t="e">
        <v>#DIV/0!</v>
      </c>
      <c r="C14" s="135">
        <v>7.0617777777777784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A2" sqref="A2"/>
    </sheetView>
  </sheetViews>
  <sheetFormatPr baseColWidth="10" defaultRowHeight="11.25" x14ac:dyDescent="0.2"/>
  <cols>
    <col min="1" max="1" width="16.28515625" style="53" bestFit="1" customWidth="1"/>
    <col min="2" max="2" width="23.28515625" style="53" bestFit="1" customWidth="1"/>
    <col min="3" max="3" width="15.85546875" style="53" customWidth="1"/>
    <col min="4" max="16384" width="11.42578125" style="53"/>
  </cols>
  <sheetData>
    <row r="1" spans="1:3" x14ac:dyDescent="0.2">
      <c r="A1" s="132" t="s">
        <v>47</v>
      </c>
      <c r="B1" s="133" t="s">
        <v>52</v>
      </c>
      <c r="C1" s="133" t="s">
        <v>54</v>
      </c>
    </row>
    <row r="2" spans="1:3" x14ac:dyDescent="0.2">
      <c r="A2" s="134">
        <v>1</v>
      </c>
      <c r="B2" s="135">
        <v>61.143024767091816</v>
      </c>
      <c r="C2" s="135">
        <v>5.2085714285714282</v>
      </c>
    </row>
    <row r="3" spans="1:3" x14ac:dyDescent="0.2">
      <c r="A3" s="137">
        <v>2023</v>
      </c>
      <c r="B3" s="135">
        <v>55.476885789100493</v>
      </c>
      <c r="C3" s="135"/>
    </row>
    <row r="4" spans="1:3" x14ac:dyDescent="0.2">
      <c r="A4" s="137">
        <v>2021</v>
      </c>
      <c r="B4" s="135">
        <v>63.519665211454971</v>
      </c>
      <c r="C4" s="135">
        <v>7.2952380952380951</v>
      </c>
    </row>
    <row r="5" spans="1:3" x14ac:dyDescent="0.2">
      <c r="A5" s="137">
        <v>2022</v>
      </c>
      <c r="B5" s="135">
        <v>69.719790481957048</v>
      </c>
      <c r="C5" s="135">
        <v>2.0785714285714287</v>
      </c>
    </row>
    <row r="6" spans="1:3" x14ac:dyDescent="0.2">
      <c r="A6" s="134">
        <v>2</v>
      </c>
      <c r="B6" s="135">
        <v>57.269788750006981</v>
      </c>
      <c r="C6" s="135">
        <v>6.9255813953488401</v>
      </c>
    </row>
    <row r="7" spans="1:3" x14ac:dyDescent="0.2">
      <c r="A7" s="137">
        <v>2023</v>
      </c>
      <c r="B7" s="135">
        <v>52.812682376648141</v>
      </c>
      <c r="C7" s="135"/>
    </row>
    <row r="8" spans="1:3" x14ac:dyDescent="0.2">
      <c r="A8" s="137">
        <v>2022</v>
      </c>
      <c r="B8" s="135">
        <v>53.558839866332931</v>
      </c>
      <c r="C8" s="135">
        <v>4.9454545454545462</v>
      </c>
    </row>
    <row r="9" spans="1:3" x14ac:dyDescent="0.2">
      <c r="A9" s="137">
        <v>2021</v>
      </c>
      <c r="B9" s="135">
        <v>60.495411467114451</v>
      </c>
      <c r="C9" s="135">
        <v>7.6062500000000002</v>
      </c>
    </row>
    <row r="10" spans="1:3" x14ac:dyDescent="0.2">
      <c r="A10" s="134">
        <v>3</v>
      </c>
      <c r="B10" s="135">
        <v>45.340797319896105</v>
      </c>
      <c r="C10" s="135">
        <v>7.5661290322580639</v>
      </c>
    </row>
    <row r="11" spans="1:3" x14ac:dyDescent="0.2">
      <c r="A11" s="137">
        <v>2022</v>
      </c>
      <c r="B11" s="135">
        <v>38.985231386694394</v>
      </c>
      <c r="C11" s="135">
        <v>6.5363636363636353</v>
      </c>
    </row>
    <row r="12" spans="1:3" x14ac:dyDescent="0.2">
      <c r="A12" s="137">
        <v>2023</v>
      </c>
      <c r="B12" s="135">
        <v>43.847003149363921</v>
      </c>
      <c r="C12" s="135"/>
    </row>
    <row r="13" spans="1:3" x14ac:dyDescent="0.2">
      <c r="A13" s="137">
        <v>2021</v>
      </c>
      <c r="B13" s="135">
        <v>49.958067969151358</v>
      </c>
      <c r="C13" s="135">
        <v>7.788235294117646</v>
      </c>
    </row>
    <row r="14" spans="1:3" x14ac:dyDescent="0.2">
      <c r="A14" s="134">
        <v>4</v>
      </c>
      <c r="B14" s="135">
        <v>30.787217379065545</v>
      </c>
      <c r="C14" s="135">
        <v>7.2749999999999995</v>
      </c>
    </row>
    <row r="15" spans="1:3" x14ac:dyDescent="0.2">
      <c r="A15" s="137">
        <v>2022</v>
      </c>
      <c r="B15" s="135">
        <v>29.28136531313756</v>
      </c>
      <c r="C15" s="135"/>
    </row>
    <row r="16" spans="1:3" x14ac:dyDescent="0.2">
      <c r="A16" s="137">
        <v>2023</v>
      </c>
      <c r="B16" s="135">
        <v>29.556573069824331</v>
      </c>
      <c r="C16" s="135"/>
    </row>
    <row r="17" spans="1:3" x14ac:dyDescent="0.2">
      <c r="A17" s="137">
        <v>2021</v>
      </c>
      <c r="B17" s="135">
        <v>33.968329493567609</v>
      </c>
      <c r="C17" s="135">
        <v>7.2749999999999995</v>
      </c>
    </row>
    <row r="18" spans="1:3" x14ac:dyDescent="0.2">
      <c r="A18" s="134">
        <v>5</v>
      </c>
      <c r="B18" s="135">
        <v>11.912154210472307</v>
      </c>
      <c r="C18" s="135">
        <v>9.8666666666666671</v>
      </c>
    </row>
    <row r="19" spans="1:3" x14ac:dyDescent="0.2">
      <c r="A19" s="137">
        <v>2022</v>
      </c>
      <c r="B19" s="135">
        <v>10.518526920832626</v>
      </c>
      <c r="C19" s="135"/>
    </row>
    <row r="20" spans="1:3" x14ac:dyDescent="0.2">
      <c r="A20" s="137">
        <v>2023</v>
      </c>
      <c r="B20" s="135">
        <v>11.435221675806504</v>
      </c>
      <c r="C20" s="135"/>
    </row>
    <row r="21" spans="1:3" x14ac:dyDescent="0.2">
      <c r="A21" s="137">
        <v>2021</v>
      </c>
      <c r="B21" s="135">
        <v>30.776729965082399</v>
      </c>
      <c r="C21" s="135">
        <v>9.8666666666666671</v>
      </c>
    </row>
    <row r="22" spans="1:3" x14ac:dyDescent="0.2">
      <c r="A22" s="134">
        <v>6</v>
      </c>
      <c r="B22" s="135">
        <v>9.215919289485381</v>
      </c>
      <c r="C22" s="135">
        <v>15.4</v>
      </c>
    </row>
    <row r="23" spans="1:3" x14ac:dyDescent="0.2">
      <c r="A23" s="137">
        <v>2023</v>
      </c>
      <c r="B23" s="135">
        <v>7.5067537886494264</v>
      </c>
      <c r="C23" s="135"/>
    </row>
    <row r="24" spans="1:3" x14ac:dyDescent="0.2">
      <c r="A24" s="137">
        <v>2022</v>
      </c>
      <c r="B24" s="135">
        <v>10.614761095252231</v>
      </c>
      <c r="C24" s="135"/>
    </row>
    <row r="25" spans="1:3" x14ac:dyDescent="0.2">
      <c r="A25" s="137">
        <v>2021</v>
      </c>
      <c r="B25" s="135">
        <v>18.215306446489603</v>
      </c>
      <c r="C25" s="135">
        <v>15.4</v>
      </c>
    </row>
    <row r="26" spans="1:3" x14ac:dyDescent="0.2">
      <c r="A26" s="134">
        <v>7</v>
      </c>
      <c r="B26" s="135">
        <v>8.7995769259791707</v>
      </c>
      <c r="C26" s="135">
        <v>22.3</v>
      </c>
    </row>
    <row r="27" spans="1:3" x14ac:dyDescent="0.2">
      <c r="A27" s="137">
        <v>2023</v>
      </c>
      <c r="B27" s="135">
        <v>8.0551537231913795</v>
      </c>
      <c r="C27" s="135"/>
    </row>
    <row r="28" spans="1:3" x14ac:dyDescent="0.2">
      <c r="A28" s="137">
        <v>2022</v>
      </c>
      <c r="B28" s="135">
        <v>9.2437875703509516</v>
      </c>
      <c r="C28" s="135"/>
    </row>
    <row r="29" spans="1:3" x14ac:dyDescent="0.2">
      <c r="A29" s="137">
        <v>2021</v>
      </c>
      <c r="B29" s="135">
        <v>11.682137197192358</v>
      </c>
      <c r="C29" s="135">
        <v>22.3</v>
      </c>
    </row>
    <row r="30" spans="1:3" x14ac:dyDescent="0.2">
      <c r="A30" s="134">
        <v>8</v>
      </c>
      <c r="B30" s="135">
        <v>8.5476705655652054</v>
      </c>
      <c r="C30" s="135"/>
    </row>
    <row r="31" spans="1:3" x14ac:dyDescent="0.2">
      <c r="A31" s="137">
        <v>2023</v>
      </c>
      <c r="B31" s="135">
        <v>7.8719143044421926</v>
      </c>
      <c r="C31" s="135"/>
    </row>
    <row r="32" spans="1:3" x14ac:dyDescent="0.2">
      <c r="A32" s="137">
        <v>2022</v>
      </c>
      <c r="B32" s="135">
        <v>9.4077239888126751</v>
      </c>
      <c r="C32" s="135"/>
    </row>
    <row r="33" spans="1:3" x14ac:dyDescent="0.2">
      <c r="A33" s="134">
        <v>9</v>
      </c>
      <c r="B33" s="135">
        <v>9.2687705889153928</v>
      </c>
      <c r="C33" s="135">
        <v>14.6</v>
      </c>
    </row>
    <row r="34" spans="1:3" x14ac:dyDescent="0.2">
      <c r="A34" s="137">
        <v>2023</v>
      </c>
      <c r="B34" s="135">
        <v>8.6066570316957911</v>
      </c>
      <c r="C34" s="135"/>
    </row>
    <row r="35" spans="1:3" x14ac:dyDescent="0.2">
      <c r="A35" s="137">
        <v>2022</v>
      </c>
      <c r="B35" s="135">
        <v>9.3472642258272849</v>
      </c>
      <c r="C35" s="135"/>
    </row>
    <row r="36" spans="1:3" x14ac:dyDescent="0.2">
      <c r="A36" s="137">
        <v>2021</v>
      </c>
      <c r="B36" s="135">
        <v>11.811484236856675</v>
      </c>
      <c r="C36" s="135">
        <v>14.6</v>
      </c>
    </row>
    <row r="37" spans="1:3" x14ac:dyDescent="0.2">
      <c r="A37" s="134">
        <v>10</v>
      </c>
      <c r="B37" s="135">
        <v>11.7441593414501</v>
      </c>
      <c r="C37" s="135"/>
    </row>
    <row r="38" spans="1:3" x14ac:dyDescent="0.2">
      <c r="A38" s="137">
        <v>2022</v>
      </c>
      <c r="B38" s="135">
        <v>11.458707669488845</v>
      </c>
      <c r="C38" s="135"/>
    </row>
    <row r="39" spans="1:3" x14ac:dyDescent="0.2">
      <c r="A39" s="137">
        <v>2021</v>
      </c>
      <c r="B39" s="135">
        <v>19.736806156365176</v>
      </c>
      <c r="C39" s="135"/>
    </row>
    <row r="40" spans="1:3" x14ac:dyDescent="0.2">
      <c r="A40" s="134">
        <v>11</v>
      </c>
      <c r="B40" s="135">
        <v>32.243132143866951</v>
      </c>
      <c r="C40" s="135">
        <v>7.3000000000000007</v>
      </c>
    </row>
    <row r="41" spans="1:3" x14ac:dyDescent="0.2">
      <c r="A41" s="137">
        <v>2022</v>
      </c>
      <c r="B41" s="135">
        <v>31.102677860564391</v>
      </c>
      <c r="C41" s="135"/>
    </row>
    <row r="42" spans="1:3" x14ac:dyDescent="0.2">
      <c r="A42" s="137">
        <v>2021</v>
      </c>
      <c r="B42" s="135">
        <v>40.511425697810509</v>
      </c>
      <c r="C42" s="135">
        <v>7.3000000000000007</v>
      </c>
    </row>
    <row r="43" spans="1:3" x14ac:dyDescent="0.2">
      <c r="A43" s="134">
        <v>12</v>
      </c>
      <c r="B43" s="135" t="e">
        <v>#DIV/0!</v>
      </c>
      <c r="C43" s="135">
        <v>5.9428571428571431</v>
      </c>
    </row>
    <row r="44" spans="1:3" x14ac:dyDescent="0.2">
      <c r="A44" s="137">
        <v>2021</v>
      </c>
      <c r="B44" s="135">
        <v>61.225258852545842</v>
      </c>
      <c r="C44" s="135">
        <v>5.2166666666666677</v>
      </c>
    </row>
    <row r="45" spans="1:3" x14ac:dyDescent="0.2">
      <c r="A45" s="137">
        <v>2020</v>
      </c>
      <c r="B45" s="135" t="e">
        <v>#DIV/0!</v>
      </c>
      <c r="C45" s="135">
        <v>10.3</v>
      </c>
    </row>
    <row r="46" spans="1:3" x14ac:dyDescent="0.2">
      <c r="A46" s="137">
        <v>2022</v>
      </c>
      <c r="B46" s="135" t="e">
        <v>#DIV/0!</v>
      </c>
      <c r="C46" s="135"/>
    </row>
    <row r="47" spans="1:3" x14ac:dyDescent="0.2">
      <c r="A47" s="134" t="s">
        <v>48</v>
      </c>
      <c r="B47" s="135" t="e">
        <v>#DIV/0!</v>
      </c>
      <c r="C47" s="135">
        <v>7.0617777777777784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opLeftCell="A10" workbookViewId="0">
      <selection activeCell="B52" sqref="B52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E21"/>
  <sheetViews>
    <sheetView tabSelected="1" zoomScaleNormal="100" workbookViewId="0">
      <pane xSplit="23" ySplit="3" topLeftCell="X4" activePane="bottomRight" state="frozen"/>
      <selection pane="topRight" activeCell="T1" sqref="T1"/>
      <selection pane="bottomLeft" activeCell="A4" sqref="A4"/>
      <selection pane="bottomRight" activeCell="A4" sqref="A4:N21"/>
    </sheetView>
  </sheetViews>
  <sheetFormatPr baseColWidth="10" defaultColWidth="11.5703125" defaultRowHeight="11.25" x14ac:dyDescent="0.2"/>
  <cols>
    <col min="1" max="1" width="11.7109375" style="56" bestFit="1" customWidth="1"/>
    <col min="2" max="2" width="10" style="59" hidden="1" customWidth="1"/>
    <col min="3" max="3" width="12.5703125" style="59" hidden="1" customWidth="1"/>
    <col min="4" max="4" width="8.85546875" style="85" hidden="1" customWidth="1"/>
    <col min="5" max="5" width="8.42578125" style="85" hidden="1" customWidth="1"/>
    <col min="6" max="6" width="12.5703125" style="85" hidden="1" customWidth="1"/>
    <col min="7" max="7" width="13.5703125" style="85" hidden="1" customWidth="1"/>
    <col min="8" max="8" width="12" style="85" hidden="1" customWidth="1"/>
    <col min="9" max="9" width="14.28515625" style="59" hidden="1" customWidth="1"/>
    <col min="10" max="10" width="12.5703125" style="59" hidden="1" customWidth="1"/>
    <col min="11" max="11" width="12.140625" style="59" hidden="1" customWidth="1"/>
    <col min="12" max="12" width="10.85546875" style="59" hidden="1" customWidth="1"/>
    <col min="13" max="13" width="8.28515625" style="56" bestFit="1" customWidth="1"/>
    <col min="14" max="14" width="8.42578125" style="56" bestFit="1" customWidth="1"/>
    <col min="15" max="15" width="11.5703125" style="59" hidden="1" customWidth="1"/>
    <col min="16" max="16" width="11.42578125" style="57" bestFit="1" customWidth="1"/>
    <col min="17" max="18" width="14.28515625" style="59" bestFit="1" customWidth="1"/>
    <col min="19" max="19" width="10" style="59" bestFit="1" customWidth="1"/>
    <col min="20" max="20" width="11.42578125" style="57" bestFit="1" customWidth="1"/>
    <col min="21" max="22" width="14.28515625" style="59" bestFit="1" customWidth="1"/>
    <col min="23" max="23" width="10" style="59" bestFit="1" customWidth="1"/>
    <col min="24" max="24" width="13.42578125" style="59" bestFit="1" customWidth="1"/>
    <col min="25" max="25" width="10.5703125" style="59" bestFit="1" customWidth="1"/>
    <col min="26" max="26" width="16.140625" style="59" bestFit="1" customWidth="1"/>
    <col min="27" max="27" width="18.85546875" style="59" bestFit="1" customWidth="1"/>
    <col min="28" max="28" width="17.7109375" style="59" bestFit="1" customWidth="1"/>
    <col min="29" max="29" width="16.140625" style="59" bestFit="1" customWidth="1"/>
    <col min="30" max="30" width="18.85546875" style="59" bestFit="1" customWidth="1"/>
    <col min="31" max="31" width="17.7109375" style="59" bestFit="1" customWidth="1"/>
    <col min="32" max="16384" width="11.5703125" style="72"/>
  </cols>
  <sheetData>
    <row r="1" spans="1:31" ht="11.25" customHeight="1" x14ac:dyDescent="0.2">
      <c r="A1" s="146" t="s">
        <v>63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58"/>
      <c r="AA1" s="59">
        <f>PERCENTILE(tabSuiviConso[Conso HP + HC / jour_x000D_
Instantané],0.9)</f>
        <v>0</v>
      </c>
      <c r="AB1" s="59">
        <f>QUARTILE(tabSuiviConso[Conso HP + HC / jour_x000D_
Instantané],1)</f>
        <v>0</v>
      </c>
      <c r="AC1" s="59">
        <f>QUARTILE(tabSuiviConso[Conso HP + HC / jour_x000D_
Instantané],2)</f>
        <v>0</v>
      </c>
      <c r="AD1" s="59">
        <f>QUARTILE(tabSuiviConso[Conso HP + HC / jour_x000D_
Instantané],3)</f>
        <v>0</v>
      </c>
      <c r="AE1" s="59">
        <f>QUARTILE(tabSuiviConso[Conso HP + HC / jour_x000D_
Instantané],4)</f>
        <v>231.00453332383717</v>
      </c>
    </row>
    <row r="2" spans="1:31" x14ac:dyDescent="0.2">
      <c r="S2" s="142">
        <f>LOOKUP(9^9,S:S)/Y2</f>
        <v>0.60081686949139512</v>
      </c>
      <c r="W2" s="142">
        <f>LOOKUP(9^9,W:W)/Y2</f>
        <v>0.39918313050860488</v>
      </c>
      <c r="Y2" s="141">
        <f>LOOKUP(9^9,Y:Y)</f>
        <v>-299191</v>
      </c>
    </row>
    <row r="3" spans="1:31" s="73" customFormat="1" ht="22.5" x14ac:dyDescent="0.2">
      <c r="A3" s="110" t="s">
        <v>0</v>
      </c>
      <c r="B3" s="60" t="s">
        <v>53</v>
      </c>
      <c r="C3" s="60" t="s">
        <v>98</v>
      </c>
      <c r="D3" s="84" t="s">
        <v>51</v>
      </c>
      <c r="E3" s="84" t="s">
        <v>120</v>
      </c>
      <c r="F3" s="84" t="s">
        <v>132</v>
      </c>
      <c r="G3" s="84" t="s">
        <v>150</v>
      </c>
      <c r="H3" s="84" t="s">
        <v>125</v>
      </c>
      <c r="I3" s="60" t="s">
        <v>57</v>
      </c>
      <c r="J3" s="60" t="s">
        <v>19</v>
      </c>
      <c r="K3" s="60" t="s">
        <v>20</v>
      </c>
      <c r="L3" s="60" t="s">
        <v>21</v>
      </c>
      <c r="M3" s="110" t="s">
        <v>55</v>
      </c>
      <c r="N3" s="110" t="s">
        <v>56</v>
      </c>
      <c r="O3" s="60" t="s">
        <v>62</v>
      </c>
      <c r="P3" s="109" t="s">
        <v>1</v>
      </c>
      <c r="Q3" s="61" t="s">
        <v>58</v>
      </c>
      <c r="R3" s="108" t="s">
        <v>70</v>
      </c>
      <c r="S3" s="112" t="s">
        <v>59</v>
      </c>
      <c r="T3" s="109" t="s">
        <v>6</v>
      </c>
      <c r="U3" s="61" t="s">
        <v>60</v>
      </c>
      <c r="V3" s="108" t="s">
        <v>71</v>
      </c>
      <c r="W3" s="112" t="s">
        <v>61</v>
      </c>
      <c r="X3" s="108" t="s">
        <v>64</v>
      </c>
      <c r="Y3" s="107" t="s">
        <v>65</v>
      </c>
      <c r="Z3" s="108" t="s">
        <v>66</v>
      </c>
      <c r="AA3" s="108" t="s">
        <v>14</v>
      </c>
      <c r="AB3" s="108" t="s">
        <v>15</v>
      </c>
      <c r="AC3" s="107" t="s">
        <v>67</v>
      </c>
      <c r="AD3" s="107" t="s">
        <v>68</v>
      </c>
      <c r="AE3" s="107" t="s">
        <v>69</v>
      </c>
    </row>
    <row r="4" spans="1:31" s="73" customFormat="1" x14ac:dyDescent="0.2">
      <c r="A4" s="55">
        <v>45525.339583333334</v>
      </c>
      <c r="B4" s="66">
        <f>YEAR([1]!tabSuiviConso[[#This Row],[Date]])</f>
        <v>2020</v>
      </c>
      <c r="C4" s="66">
        <f>IF(B5&lt;&gt;[1]!tabSuiviConso[[#This Row],[Année]],[1]!tabSuiviConso[[#This Row],[Année]],"")</f>
        <v>2020</v>
      </c>
      <c r="D4" s="66">
        <f>MONTH([1]!tabSuiviConso[[#This Row],[Date]])</f>
        <v>12</v>
      </c>
      <c r="E4" s="66">
        <f>DAY([1]!tabSuiviConso[[#This Row],[Date]])</f>
        <v>17</v>
      </c>
      <c r="F4" s="66" t="str">
        <f>TEXT([1]!tabSuiviConso[[#This Row],[Date]]-1,"jjjj")</f>
        <v>mercredi</v>
      </c>
      <c r="G4" s="66" t="str">
        <f>[1]!tabSuiviConso[[#This Row],[Mois]]&amp;"/"&amp;[1]!tabSuiviConso[[#This Row],[Année]]</f>
        <v>12/2020</v>
      </c>
      <c r="H4" s="67" t="str">
        <f>[1]!tabSuiviConso[[#This Row],[Jour]]&amp;"/"&amp;[1]!tabSuiviConso[[#This Row],[Mois]]&amp;"/"&amp;[1]!tabSuiviConso[[#This Row],[Année]]</f>
        <v>17/12/2020</v>
      </c>
      <c r="I4" s="62" t="str">
        <f>IF(ISERROR([1]!tabSuiviConso[[#This Row],[Date]]-A3),"",[1]!tabSuiviConso[[#This Row],[Date]]-A3)</f>
        <v/>
      </c>
      <c r="J4" s="63" t="str">
        <f>IF(ISERROR([1]!tabSuiviConso[[#This Row],[Date]]-A3),"",[1]!tabSuiviConso[[#This Row],[Date]]-A3)</f>
        <v/>
      </c>
      <c r="K4" s="62">
        <f>[1]!tabSuiviConso[[#This Row],[Date]]-$A$4</f>
        <v>-1342.6312499999985</v>
      </c>
      <c r="L4" s="63">
        <f>[1]!tabSuiviConso[[#This Row],[Date]]-$A$4</f>
        <v>-1342.6312499999985</v>
      </c>
      <c r="M4" s="143">
        <v>8.6</v>
      </c>
      <c r="N4" s="143">
        <v>23.3</v>
      </c>
      <c r="O4" s="68">
        <f>tabSuiviConso[[#This Row],[Max]]-tabSuiviConso[[#This Row],[Min]]</f>
        <v>14.700000000000001</v>
      </c>
      <c r="P4" s="70">
        <v>179759</v>
      </c>
      <c r="Q4" s="68" t="str">
        <f>IF(ISERROR(tabSuiviConso[[#This Row],[Index HP
kWh]]-P3),"",tabSuiviConso[[#This Row],[Index HP
kWh]]-P3)</f>
        <v/>
      </c>
      <c r="R4" s="69" t="e">
        <f>IF(ISERROR(tabSuiviConso[[#This Row],[Date]]-A4),"",tabSuiviConso[[#This Row],[Diff HP
instantannée]]/tabSuiviConso[[#This Row],[Diff jour
Instantané]])</f>
        <v>#VALUE!</v>
      </c>
      <c r="S4" s="64">
        <f>SUM($Q$4:Q4)</f>
        <v>0</v>
      </c>
      <c r="T4" s="70">
        <v>119432</v>
      </c>
      <c r="U4" s="68" t="str">
        <f>IF(ISERROR(tabSuiviConso[[#This Row],[Index HC_x000D_
kWh]]-T3),"",tabSuiviConso[[#This Row],[Index HC_x000D_
kWh]]-T3)</f>
        <v/>
      </c>
      <c r="V4" s="69" t="e">
        <f>IF(ISERROR(tabSuiviConso[[#This Row],[Date]]-A4),"",tabSuiviConso[[#This Row],[Diff HC
instantannée]]/tabSuiviConso[[#This Row],[Diff jour
Instantané]])</f>
        <v>#VALUE!</v>
      </c>
      <c r="W4" s="64">
        <f>SUM($U$4:U4)</f>
        <v>0</v>
      </c>
      <c r="X4" s="68" t="e">
        <f>tabSuiviConso[[#This Row],[Diff HP
instantannée]]+tabSuiviConso[[#This Row],[Diff HC
instantannée]]</f>
        <v>#VALUE!</v>
      </c>
      <c r="Y4" s="68">
        <f>tabSuiviConso[[#This Row],[Diff HP
cumul]]+tabSuiviConso[[#This Row],[Diff HC
cumul]]</f>
        <v>0</v>
      </c>
      <c r="Z4" s="68"/>
      <c r="AA4" s="68"/>
      <c r="AB4" s="68">
        <f>tabSuiviConso[[#This Row],[Conso HP + HC / jour_x000D_
Instantané]]*365</f>
        <v>0</v>
      </c>
      <c r="AC4" s="68">
        <f>tabSuiviConso[[#This Row],[HP + HC
cumul]]/(tabSuiviConso[[#This Row],[Diff jour_x000D_
Cumul]]*24)</f>
        <v>0</v>
      </c>
      <c r="AD4" s="68">
        <f>tabSuiviConso[[#This Row],[HP + HC
cumul]]/tabSuiviConso[[#This Row],[Diff jour_x000D_
Cumul]]</f>
        <v>0</v>
      </c>
      <c r="AE4" s="68">
        <f>tabSuiviConso[[#This Row],[Conso HP + HC / jour_x000D_
cumul]]*365</f>
        <v>0</v>
      </c>
    </row>
    <row r="5" spans="1:31" s="73" customFormat="1" x14ac:dyDescent="0.2">
      <c r="A5" s="55">
        <v>45526.324999999997</v>
      </c>
      <c r="B5" s="66">
        <f>YEAR([1]!tabSuiviConso[[#This Row],[Date]])</f>
        <v>2021</v>
      </c>
      <c r="C5" s="66" t="str">
        <f>IF(B6&lt;&gt;[1]!tabSuiviConso[[#This Row],[Année]],[1]!tabSuiviConso[[#This Row],[Année]],"")</f>
        <v/>
      </c>
      <c r="D5" s="66">
        <f>MONTH([1]!tabSuiviConso[[#This Row],[Date]])</f>
        <v>1</v>
      </c>
      <c r="E5" s="66">
        <f>DAY([1]!tabSuiviConso[[#This Row],[Date]])</f>
        <v>24</v>
      </c>
      <c r="F5" s="66" t="str">
        <f>TEXT([1]!tabSuiviConso[[#This Row],[Date]]-1,"jjjj")</f>
        <v>samedi</v>
      </c>
      <c r="G5" s="66" t="str">
        <f>[1]!tabSuiviConso[[#This Row],[Mois]]&amp;"/"&amp;[1]!tabSuiviConso[[#This Row],[Année]]</f>
        <v>1/2021</v>
      </c>
      <c r="H5" s="67" t="str">
        <f>[1]!tabSuiviConso[[#This Row],[Jour]]&amp;"/"&amp;[1]!tabSuiviConso[[#This Row],[Mois]]&amp;"/"&amp;[1]!tabSuiviConso[[#This Row],[Année]]</f>
        <v>24/1/2021</v>
      </c>
      <c r="I5" s="62">
        <f>IF(ISERROR([1]!tabSuiviConso[[#This Row],[Date]]-A4),"",[1]!tabSuiviConso[[#This Row],[Date]]-A4)</f>
        <v>-1304.5479166666701</v>
      </c>
      <c r="J5" s="63">
        <f>IF(ISERROR([1]!tabSuiviConso[[#This Row],[Date]]-A4),"",[1]!tabSuiviConso[[#This Row],[Date]]-A4)</f>
        <v>-1304.5479166666701</v>
      </c>
      <c r="K5" s="62">
        <f>[1]!tabSuiviConso[[#This Row],[Date]]-$A$4</f>
        <v>-1304.5479166666701</v>
      </c>
      <c r="L5" s="63">
        <f>[1]!tabSuiviConso[[#This Row],[Date]]-$A$4</f>
        <v>-1304.5479166666701</v>
      </c>
      <c r="M5" s="143">
        <v>9.3000000000000007</v>
      </c>
      <c r="N5" s="143">
        <v>23.8</v>
      </c>
      <c r="O5" s="59">
        <f>tabSuiviConso[[#This Row],[Max]]-tabSuiviConso[[#This Row],[Min]]</f>
        <v>14.5</v>
      </c>
      <c r="P5" s="71">
        <v>181489</v>
      </c>
      <c r="Q5" s="59">
        <f>IF(ISERROR(tabSuiviConso[[#This Row],[Index HP
kWh]]-P4),"",tabSuiviConso[[#This Row],[Index HP
kWh]]-P4)</f>
        <v>1730</v>
      </c>
      <c r="R5" s="59">
        <f>IF(ISERROR(tabSuiviConso[[#This Row],[Date]]-A5),"",tabSuiviConso[[#This Row],[Diff HP
instantannée]]/tabSuiviConso[[#This Row],[Diff jour
Instantané]])</f>
        <v>-1.3261299013227728</v>
      </c>
      <c r="S5" s="64">
        <f>SUM($Q$4:Q5)</f>
        <v>1730</v>
      </c>
      <c r="T5" s="71">
        <v>120273</v>
      </c>
      <c r="U5" s="59">
        <f>IF(ISERROR(tabSuiviConso[[#This Row],[Index HC_x000D_
kWh]]-T4),"",tabSuiviConso[[#This Row],[Index HC_x000D_
kWh]]-T4)</f>
        <v>841</v>
      </c>
      <c r="V5" s="59">
        <f>IF(ISERROR(tabSuiviConso[[#This Row],[Date]]-A5),"",tabSuiviConso[[#This Row],[Diff HC
instantannée]]/tabSuiviConso[[#This Row],[Diff jour
Instantané]])</f>
        <v>-0.64466777283956755</v>
      </c>
      <c r="W5" s="64">
        <f>SUM($U$4:U5)</f>
        <v>841</v>
      </c>
      <c r="X5" s="59">
        <f>tabSuiviConso[[#This Row],[Diff HP
instantannée]]+tabSuiviConso[[#This Row],[Diff HC
instantannée]]</f>
        <v>2571</v>
      </c>
      <c r="Y5" s="65">
        <f>tabSuiviConso[[#This Row],[Diff HP
cumul]]+tabSuiviConso[[#This Row],[Diff HC
cumul]]</f>
        <v>2571</v>
      </c>
      <c r="Z5" s="65">
        <f>tabSuiviConso[[#This Row],[HP + HC
instantanné]]/(tabSuiviConso[[#This Row],[Diff jour
Instantané]]*24)</f>
        <v>-8.2116569756764179E-2</v>
      </c>
      <c r="AA5" s="65">
        <f>IF(ISERROR(tabSuiviConso[[#This Row],[Date]]-A5),"",tabSuiviConso[[#This Row],[HP + HC
instantanné]]/tabSuiviConso[[#This Row],[Diff jour
Instantané]])</f>
        <v>-1.9707976741623403</v>
      </c>
      <c r="AB5" s="65">
        <f>tabSuiviConso[[#This Row],[Conso HP + HC / jour_x000D_
Instantané]]*365</f>
        <v>-719.34115106925424</v>
      </c>
      <c r="AC5" s="65">
        <f>tabSuiviConso[[#This Row],[HP + HC
cumul]]/(tabSuiviConso[[#This Row],[Diff jour_x000D_
Cumul]]*24)</f>
        <v>-8.2116569756764179E-2</v>
      </c>
      <c r="AD5" s="65">
        <f>tabSuiviConso[[#This Row],[HP + HC
cumul]]/tabSuiviConso[[#This Row],[Diff jour_x000D_
Cumul]]</f>
        <v>-1.9707976741623403</v>
      </c>
      <c r="AE5" s="65">
        <f>tabSuiviConso[[#This Row],[Conso HP + HC / jour_x000D_
cumul]]*365</f>
        <v>-719.34115106925424</v>
      </c>
    </row>
    <row r="6" spans="1:31" s="73" customFormat="1" x14ac:dyDescent="0.2">
      <c r="A6" s="55">
        <v>45527.315972222219</v>
      </c>
      <c r="B6" s="66">
        <f>YEAR([1]!tabSuiviConso[[#This Row],[Date]])</f>
        <v>2021</v>
      </c>
      <c r="C6" s="66" t="str">
        <f>IF(B7&lt;&gt;[1]!tabSuiviConso[[#This Row],[Année]],[1]!tabSuiviConso[[#This Row],[Année]],"")</f>
        <v/>
      </c>
      <c r="D6" s="66">
        <f>MONTH([1]!tabSuiviConso[[#This Row],[Date]])</f>
        <v>1</v>
      </c>
      <c r="E6" s="66">
        <f>DAY([1]!tabSuiviConso[[#This Row],[Date]])</f>
        <v>25</v>
      </c>
      <c r="F6" s="66" t="str">
        <f>TEXT([1]!tabSuiviConso[[#This Row],[Date]]-1,"jjjj")</f>
        <v>dimanche</v>
      </c>
      <c r="G6" s="66" t="str">
        <f>[1]!tabSuiviConso[[#This Row],[Mois]]&amp;"/"&amp;[1]!tabSuiviConso[[#This Row],[Année]]</f>
        <v>1/2021</v>
      </c>
      <c r="H6" s="67" t="str">
        <f>[1]!tabSuiviConso[[#This Row],[Jour]]&amp;"/"&amp;[1]!tabSuiviConso[[#This Row],[Mois]]&amp;"/"&amp;[1]!tabSuiviConso[[#This Row],[Année]]</f>
        <v>25/1/2021</v>
      </c>
      <c r="I6" s="62">
        <f>IF(ISERROR([1]!tabSuiviConso[[#This Row],[Date]]-A5),"",[1]!tabSuiviConso[[#This Row],[Date]]-A5)</f>
        <v>-1304.975694444438</v>
      </c>
      <c r="J6" s="63">
        <f>IF(ISERROR([1]!tabSuiviConso[[#This Row],[Date]]-A5),"",[1]!tabSuiviConso[[#This Row],[Date]]-A5)</f>
        <v>-1304.975694444438</v>
      </c>
      <c r="K6" s="62">
        <f>[1]!tabSuiviConso[[#This Row],[Date]]-$A$4</f>
        <v>-1303.9902777777752</v>
      </c>
      <c r="L6" s="63">
        <f>[1]!tabSuiviConso[[#This Row],[Date]]-$A$4</f>
        <v>-1303.9902777777752</v>
      </c>
      <c r="M6" s="143">
        <v>10.4</v>
      </c>
      <c r="N6" s="143">
        <v>24.8</v>
      </c>
      <c r="O6" s="59">
        <f>tabSuiviConso[[#This Row],[Max]]-tabSuiviConso[[#This Row],[Min]]</f>
        <v>14.4</v>
      </c>
      <c r="P6" s="71">
        <v>181504</v>
      </c>
      <c r="Q6" s="59">
        <f>IF(ISERROR(tabSuiviConso[[#This Row],[Index HP
kWh]]-P5),"",tabSuiviConso[[#This Row],[Index HP
kWh]]-P5)</f>
        <v>15</v>
      </c>
      <c r="R6" s="59">
        <f>IF(ISERROR(tabSuiviConso[[#This Row],[Date]]-A6),"",tabSuiviConso[[#This Row],[Diff HP
instantannée]]/tabSuiviConso[[#This Row],[Diff jour
Instantané]])</f>
        <v>-1.1494466957398688E-2</v>
      </c>
      <c r="S6" s="64">
        <f>SUM($Q$4:Q6)</f>
        <v>1745</v>
      </c>
      <c r="T6" s="71">
        <v>120295</v>
      </c>
      <c r="U6" s="59">
        <f>IF(ISERROR(tabSuiviConso[[#This Row],[Index HC_x000D_
kWh]]-T5),"",tabSuiviConso[[#This Row],[Index HC_x000D_
kWh]]-T5)</f>
        <v>22</v>
      </c>
      <c r="V6" s="59">
        <f>IF(ISERROR(tabSuiviConso[[#This Row],[Date]]-A6),"",tabSuiviConso[[#This Row],[Diff HC
instantannée]]/tabSuiviConso[[#This Row],[Diff jour
Instantané]])</f>
        <v>-1.6858551537518078E-2</v>
      </c>
      <c r="W6" s="64">
        <f>SUM($U$4:U6)</f>
        <v>863</v>
      </c>
      <c r="X6" s="59">
        <f>tabSuiviConso[[#This Row],[Diff HP
instantannée]]+tabSuiviConso[[#This Row],[Diff HC
instantannée]]</f>
        <v>37</v>
      </c>
      <c r="Y6" s="65">
        <f>tabSuiviConso[[#This Row],[Diff HP
cumul]]+tabSuiviConso[[#This Row],[Diff HC
cumul]]</f>
        <v>2608</v>
      </c>
      <c r="Z6" s="65">
        <f>tabSuiviConso[[#This Row],[HP + HC
instantanné]]/(tabSuiviConso[[#This Row],[Diff jour
Instantané]]*24)</f>
        <v>-1.181375770621532E-3</v>
      </c>
      <c r="AA6" s="65">
        <f>IF(ISERROR(tabSuiviConso[[#This Row],[Date]]-A6),"",tabSuiviConso[[#This Row],[HP + HC
instantanné]]/tabSuiviConso[[#This Row],[Diff jour
Instantané]])</f>
        <v>-2.8353018494916764E-2</v>
      </c>
      <c r="AB6" s="65">
        <f>tabSuiviConso[[#This Row],[Conso HP + HC / jour_x000D_
Instantané]]*365</f>
        <v>-10.348851750644618</v>
      </c>
      <c r="AC6" s="65">
        <f>tabSuiviConso[[#This Row],[HP + HC
cumul]]/(tabSuiviConso[[#This Row],[Diff jour_x000D_
Cumul]]*24)</f>
        <v>-8.3333954645623168E-2</v>
      </c>
      <c r="AD6" s="65">
        <f>tabSuiviConso[[#This Row],[HP + HC
cumul]]/tabSuiviConso[[#This Row],[Diff jour_x000D_
Cumul]]</f>
        <v>-2.0000149114949557</v>
      </c>
      <c r="AE6" s="65">
        <f>tabSuiviConso[[#This Row],[Conso HP + HC / jour_x000D_
cumul]]*365</f>
        <v>-730.00544269565887</v>
      </c>
    </row>
    <row r="7" spans="1:31" s="73" customFormat="1" x14ac:dyDescent="0.2">
      <c r="A7" s="55">
        <v>45528.334027777775</v>
      </c>
      <c r="B7" s="66">
        <f>YEAR([1]!tabSuiviConso[[#This Row],[Date]])</f>
        <v>2021</v>
      </c>
      <c r="C7" s="66" t="str">
        <f>IF(B8&lt;&gt;[1]!tabSuiviConso[[#This Row],[Année]],[1]!tabSuiviConso[[#This Row],[Année]],"")</f>
        <v/>
      </c>
      <c r="D7" s="66">
        <f>MONTH([1]!tabSuiviConso[[#This Row],[Date]])</f>
        <v>1</v>
      </c>
      <c r="E7" s="66">
        <f>DAY([1]!tabSuiviConso[[#This Row],[Date]])</f>
        <v>25</v>
      </c>
      <c r="F7" s="66" t="str">
        <f>TEXT([1]!tabSuiviConso[[#This Row],[Date]]-1,"jjjj")</f>
        <v>dimanche</v>
      </c>
      <c r="G7" s="66" t="str">
        <f>[1]!tabSuiviConso[[#This Row],[Mois]]&amp;"/"&amp;[1]!tabSuiviConso[[#This Row],[Année]]</f>
        <v>1/2021</v>
      </c>
      <c r="H7" s="67" t="str">
        <f>[1]!tabSuiviConso[[#This Row],[Jour]]&amp;"/"&amp;[1]!tabSuiviConso[[#This Row],[Mois]]&amp;"/"&amp;[1]!tabSuiviConso[[#This Row],[Année]]</f>
        <v>25/1/2021</v>
      </c>
      <c r="I7" s="62">
        <f>IF(ISERROR([1]!tabSuiviConso[[#This Row],[Date]]-A6),"",[1]!tabSuiviConso[[#This Row],[Date]]-A6)</f>
        <v>-1305.7604166666642</v>
      </c>
      <c r="J7" s="63">
        <f>IF(ISERROR([1]!tabSuiviConso[[#This Row],[Date]]-A6),"",[1]!tabSuiviConso[[#This Row],[Date]]-A6)</f>
        <v>-1305.7604166666642</v>
      </c>
      <c r="K7" s="62">
        <f>[1]!tabSuiviConso[[#This Row],[Date]]-$A$4</f>
        <v>-1303.7840277777796</v>
      </c>
      <c r="L7" s="63">
        <f>[1]!tabSuiviConso[[#This Row],[Date]]-$A$4</f>
        <v>-1303.7840277777796</v>
      </c>
      <c r="M7" s="143">
        <v>17.5</v>
      </c>
      <c r="N7" s="143">
        <v>24.7</v>
      </c>
      <c r="O7" s="59">
        <f>tabSuiviConso[[#This Row],[Max]]-tabSuiviConso[[#This Row],[Min]]</f>
        <v>7.1999999999999993</v>
      </c>
      <c r="P7" s="71">
        <v>181519</v>
      </c>
      <c r="Q7" s="59">
        <f>IF(ISERROR(tabSuiviConso[[#This Row],[Index HP
kWh]]-P6),"",tabSuiviConso[[#This Row],[Index HP
kWh]]-P6)</f>
        <v>15</v>
      </c>
      <c r="R7" s="59">
        <f>IF(ISERROR(tabSuiviConso[[#This Row],[Date]]-A7),"",tabSuiviConso[[#This Row],[Diff HP
instantannée]]/tabSuiviConso[[#This Row],[Diff jour
Instantané]])</f>
        <v>-1.1487559133008406E-2</v>
      </c>
      <c r="S7" s="147">
        <f>SUM($Q$4:Q21)</f>
        <v>-179759</v>
      </c>
      <c r="T7" s="71">
        <v>120295</v>
      </c>
      <c r="U7" s="59">
        <f>IF(ISERROR(tabSuiviConso[[#This Row],[Index HC_x000D_
kWh]]-T6),"",tabSuiviConso[[#This Row],[Index HC_x000D_
kWh]]-T6)</f>
        <v>0</v>
      </c>
      <c r="V7" s="59">
        <f>IF(ISERROR(tabSuiviConso[[#This Row],[Date]]-A7),"",tabSuiviConso[[#This Row],[Diff HC
instantannée]]/tabSuiviConso[[#This Row],[Diff jour
Instantané]])</f>
        <v>0</v>
      </c>
      <c r="W7" s="147">
        <f>SUM($U$4:U21)</f>
        <v>-119432</v>
      </c>
      <c r="X7" s="59">
        <f>tabSuiviConso[[#This Row],[Diff HP
instantannée]]+tabSuiviConso[[#This Row],[Diff HC
instantannée]]</f>
        <v>15</v>
      </c>
      <c r="Y7" s="65">
        <f>tabSuiviConso[[#This Row],[Diff HP
cumul]]+tabSuiviConso[[#This Row],[Diff HC
cumul]]</f>
        <v>-299191</v>
      </c>
      <c r="Z7" s="65">
        <f>tabSuiviConso[[#This Row],[HP + HC
instantanné]]/(tabSuiviConso[[#This Row],[Diff jour
Instantané]]*24)</f>
        <v>-4.7864829720868358E-4</v>
      </c>
      <c r="AA7" s="65">
        <f>IF(ISERROR(tabSuiviConso[[#This Row],[Date]]-A7),"",tabSuiviConso[[#This Row],[HP + HC
instantanné]]/tabSuiviConso[[#This Row],[Diff jour
Instantané]])</f>
        <v>-1.1487559133008406E-2</v>
      </c>
      <c r="AB7" s="65">
        <f>tabSuiviConso[[#This Row],[Conso HP + HC / jour_x000D_
Instantané]]*365</f>
        <v>-4.1929590835480681</v>
      </c>
      <c r="AC7" s="65">
        <f>tabSuiviConso[[#This Row],[HP + HC
cumul]]/(tabSuiviConso[[#This Row],[Diff jour_x000D_
Cumul]]*24)</f>
        <v>9.5616232451587102</v>
      </c>
      <c r="AD7" s="65">
        <f>tabSuiviConso[[#This Row],[HP + HC
cumul]]/tabSuiviConso[[#This Row],[Diff jour_x000D_
Cumul]]</f>
        <v>229.47895788380904</v>
      </c>
      <c r="AE7" s="65">
        <f>tabSuiviConso[[#This Row],[Conso HP + HC / jour_x000D_
cumul]]*365</f>
        <v>83759.819627590303</v>
      </c>
    </row>
    <row r="8" spans="1:31" x14ac:dyDescent="0.2">
      <c r="A8" s="55">
        <v>45529.354861111111</v>
      </c>
      <c r="B8" s="66">
        <f>YEAR([1]!tabSuiviConso[[#This Row],[Date]])</f>
        <v>2021</v>
      </c>
      <c r="C8" s="66" t="str">
        <f>IF(B9&lt;&gt;[1]!tabSuiviConso[[#This Row],[Année]],[1]!tabSuiviConso[[#This Row],[Année]],"")</f>
        <v/>
      </c>
      <c r="D8" s="66">
        <f>MONTH([1]!tabSuiviConso[[#This Row],[Date]])</f>
        <v>1</v>
      </c>
      <c r="E8" s="66">
        <f>DAY([1]!tabSuiviConso[[#This Row],[Date]])</f>
        <v>25</v>
      </c>
      <c r="F8" s="66" t="str">
        <f>TEXT([1]!tabSuiviConso[[#This Row],[Date]]-1,"jjjj")</f>
        <v>dimanche</v>
      </c>
      <c r="G8" s="66" t="str">
        <f>[1]!tabSuiviConso[[#This Row],[Mois]]&amp;"/"&amp;[1]!tabSuiviConso[[#This Row],[Année]]</f>
        <v>1/2021</v>
      </c>
      <c r="H8" s="67" t="str">
        <f>[1]!tabSuiviConso[[#This Row],[Jour]]&amp;"/"&amp;[1]!tabSuiviConso[[#This Row],[Mois]]&amp;"/"&amp;[1]!tabSuiviConso[[#This Row],[Année]]</f>
        <v>25/1/2021</v>
      </c>
      <c r="I8" s="62">
        <f>IF(ISERROR([1]!tabSuiviConso[[#This Row],[Date]]-A7),"",[1]!tabSuiviConso[[#This Row],[Date]]-A7)</f>
        <v>-1306.5284722222204</v>
      </c>
      <c r="J8" s="63">
        <f>IF(ISERROR([1]!tabSuiviConso[[#This Row],[Date]]-A7),"",[1]!tabSuiviConso[[#This Row],[Date]]-A7)</f>
        <v>-1306.5284722222204</v>
      </c>
      <c r="K8" s="62">
        <f>[1]!tabSuiviConso[[#This Row],[Date]]-$A$4</f>
        <v>-1303.5340277777796</v>
      </c>
      <c r="L8" s="63">
        <f>[1]!tabSuiviConso[[#This Row],[Date]]-$A$4</f>
        <v>-1303.5340277777796</v>
      </c>
      <c r="M8" s="143"/>
      <c r="N8" s="143"/>
      <c r="O8" s="59">
        <f>tabSuiviConso[[#This Row],[Max]]-tabSuiviConso[[#This Row],[Min]]</f>
        <v>0</v>
      </c>
      <c r="P8" s="71"/>
      <c r="Q8" s="59">
        <f>IF(ISERROR(tabSuiviConso[[#This Row],[Index HP
kWh]]-P7),"",tabSuiviConso[[#This Row],[Index HP
kWh]]-P7)</f>
        <v>-181519</v>
      </c>
      <c r="R8" s="59">
        <f>IF(ISERROR(tabSuiviConso[[#This Row],[Date]]-A8),"",tabSuiviConso[[#This Row],[Diff HP
instantannée]]/tabSuiviConso[[#This Row],[Diff jour
Instantané]])</f>
        <v>138.93229566689948</v>
      </c>
      <c r="S8" s="64">
        <f>SUM($Q$4:Q8)</f>
        <v>-179759</v>
      </c>
      <c r="T8" s="71"/>
      <c r="U8" s="59">
        <f>IF(ISERROR(tabSuiviConso[[#This Row],[Index HC_x000D_
kWh]]-T7),"",tabSuiviConso[[#This Row],[Index HC_x000D_
kWh]]-T7)</f>
        <v>-120295</v>
      </c>
      <c r="V8" s="59">
        <f>IF(ISERROR(tabSuiviConso[[#This Row],[Date]]-A8),"",tabSuiviConso[[#This Row],[Diff HC
instantannée]]/tabSuiviConso[[#This Row],[Diff jour
Instantané]])</f>
        <v>92.072237656937688</v>
      </c>
      <c r="W8" s="64">
        <f>SUM($U$4:U8)</f>
        <v>-119432</v>
      </c>
      <c r="X8" s="59">
        <f>tabSuiviConso[[#This Row],[Diff HP
instantannée]]+tabSuiviConso[[#This Row],[Diff HC
instantannée]]</f>
        <v>-301814</v>
      </c>
      <c r="Y8" s="59">
        <f>tabSuiviConso[[#This Row],[Diff HP
cumul]]+tabSuiviConso[[#This Row],[Diff HC
cumul]]</f>
        <v>-299191</v>
      </c>
      <c r="Z8" s="59">
        <f>tabSuiviConso[[#This Row],[HP + HC
instantanné]]/(tabSuiviConso[[#This Row],[Diff jour
Instantané]]*24)</f>
        <v>9.6251888884932164</v>
      </c>
      <c r="AA8" s="59">
        <f>IF(ISERROR(tabSuiviConso[[#This Row],[Date]]-A8),"",tabSuiviConso[[#This Row],[HP + HC
instantanné]]/tabSuiviConso[[#This Row],[Diff jour
Instantané]])</f>
        <v>231.00453332383717</v>
      </c>
      <c r="AB8" s="59">
        <f>tabSuiviConso[[#This Row],[Conso HP + HC / jour_x000D_
Instantané]]*365</f>
        <v>84316.654663200563</v>
      </c>
      <c r="AC8" s="59">
        <f>tabSuiviConso[[#This Row],[HP + HC
cumul]]/(tabSuiviConso[[#This Row],[Diff jour_x000D_
Cumul]]*24)</f>
        <v>9.5634570337367997</v>
      </c>
      <c r="AD8" s="59">
        <f>tabSuiviConso[[#This Row],[HP + HC
cumul]]/tabSuiviConso[[#This Row],[Diff jour_x000D_
Cumul]]</f>
        <v>229.52296880968319</v>
      </c>
      <c r="AE8" s="59">
        <f>tabSuiviConso[[#This Row],[Conso HP + HC / jour_x000D_
cumul]]*365</f>
        <v>83775.88361553436</v>
      </c>
    </row>
    <row r="9" spans="1:31" x14ac:dyDescent="0.2">
      <c r="A9" s="55">
        <v>45530.327777777777</v>
      </c>
      <c r="B9" s="66">
        <f>YEAR([1]!tabSuiviConso[[#This Row],[Date]])</f>
        <v>2021</v>
      </c>
      <c r="C9" s="66" t="str">
        <f>IF(B10&lt;&gt;[1]!tabSuiviConso[[#This Row],[Année]],[1]!tabSuiviConso[[#This Row],[Année]],"")</f>
        <v/>
      </c>
      <c r="D9" s="66">
        <f>MONTH([1]!tabSuiviConso[[#This Row],[Date]])</f>
        <v>1</v>
      </c>
      <c r="E9" s="66">
        <f>DAY([1]!tabSuiviConso[[#This Row],[Date]])</f>
        <v>26</v>
      </c>
      <c r="F9" s="66" t="str">
        <f>TEXT([1]!tabSuiviConso[[#This Row],[Date]]-1,"jjjj")</f>
        <v>lundi</v>
      </c>
      <c r="G9" s="66" t="str">
        <f>[1]!tabSuiviConso[[#This Row],[Mois]]&amp;"/"&amp;[1]!tabSuiviConso[[#This Row],[Année]]</f>
        <v>1/2021</v>
      </c>
      <c r="H9" s="67" t="str">
        <f>[1]!tabSuiviConso[[#This Row],[Jour]]&amp;"/"&amp;[1]!tabSuiviConso[[#This Row],[Mois]]&amp;"/"&amp;[1]!tabSuiviConso[[#This Row],[Année]]</f>
        <v>26/1/2021</v>
      </c>
      <c r="I9" s="62">
        <f>IF(ISERROR([1]!tabSuiviConso[[#This Row],[Date]]-A8),"",[1]!tabSuiviConso[[#This Row],[Date]]-A8)</f>
        <v>-1307.0743055555577</v>
      </c>
      <c r="J9" s="63">
        <f>IF(ISERROR([1]!tabSuiviConso[[#This Row],[Date]]-A8),"",[1]!tabSuiviConso[[#This Row],[Date]]-A8)</f>
        <v>-1307.0743055555577</v>
      </c>
      <c r="K9" s="62">
        <f>[1]!tabSuiviConso[[#This Row],[Date]]-$A$4</f>
        <v>-1303.059027777781</v>
      </c>
      <c r="L9" s="63">
        <f>[1]!tabSuiviConso[[#This Row],[Date]]-$A$4</f>
        <v>-1303.059027777781</v>
      </c>
      <c r="M9" s="143"/>
      <c r="N9" s="143"/>
      <c r="O9" s="59">
        <f>tabSuiviConso[[#This Row],[Max]]-tabSuiviConso[[#This Row],[Min]]</f>
        <v>0</v>
      </c>
      <c r="P9" s="71"/>
      <c r="Q9" s="59">
        <f>IF(ISERROR(tabSuiviConso[[#This Row],[Index HP
kWh]]-P8),"",tabSuiviConso[[#This Row],[Index HP
kWh]]-P8)</f>
        <v>0</v>
      </c>
      <c r="R9" s="59">
        <f>IF(ISERROR(tabSuiviConso[[#This Row],[Date]]-A9),"",tabSuiviConso[[#This Row],[Diff HP
instantannée]]/tabSuiviConso[[#This Row],[Diff jour
Instantané]])</f>
        <v>0</v>
      </c>
      <c r="S9" s="64">
        <f>SUM($Q$4:Q9)</f>
        <v>-179759</v>
      </c>
      <c r="T9" s="71"/>
      <c r="U9" s="59">
        <f>IF(ISERROR(tabSuiviConso[[#This Row],[Index HC_x000D_
kWh]]-T8),"",tabSuiviConso[[#This Row],[Index HC_x000D_
kWh]]-T8)</f>
        <v>0</v>
      </c>
      <c r="V9" s="59">
        <f>IF(ISERROR(tabSuiviConso[[#This Row],[Date]]-A9),"",tabSuiviConso[[#This Row],[Diff HC
instantannée]]/tabSuiviConso[[#This Row],[Diff jour
Instantané]])</f>
        <v>0</v>
      </c>
      <c r="W9" s="64">
        <f>SUM($U$4:U9)</f>
        <v>-119432</v>
      </c>
      <c r="X9" s="59">
        <f>tabSuiviConso[[#This Row],[Diff HP
instantannée]]+tabSuiviConso[[#This Row],[Diff HC
instantannée]]</f>
        <v>0</v>
      </c>
      <c r="Y9" s="59">
        <f>tabSuiviConso[[#This Row],[Diff HP
cumul]]+tabSuiviConso[[#This Row],[Diff HC
cumul]]</f>
        <v>-299191</v>
      </c>
      <c r="Z9" s="59">
        <f>tabSuiviConso[[#This Row],[HP + HC
instantanné]]/(tabSuiviConso[[#This Row],[Diff jour
Instantané]]*24)</f>
        <v>0</v>
      </c>
      <c r="AA9" s="59">
        <f>IF(ISERROR(tabSuiviConso[[#This Row],[Date]]-A9),"",tabSuiviConso[[#This Row],[HP + HC
instantanné]]/tabSuiviConso[[#This Row],[Diff jour
Instantané]])</f>
        <v>0</v>
      </c>
      <c r="AB9" s="59">
        <f>tabSuiviConso[[#This Row],[Conso HP + HC / jour_x000D_
Instantané]]*365</f>
        <v>0</v>
      </c>
      <c r="AC9" s="59">
        <f>tabSuiviConso[[#This Row],[HP + HC
cumul]]/(tabSuiviConso[[#This Row],[Diff jour_x000D_
Cumul]]*24)</f>
        <v>9.5669431705841514</v>
      </c>
      <c r="AD9" s="59">
        <f>tabSuiviConso[[#This Row],[HP + HC
cumul]]/tabSuiviConso[[#This Row],[Diff jour_x000D_
Cumul]]</f>
        <v>229.60663609401965</v>
      </c>
      <c r="AE9" s="59">
        <f>tabSuiviConso[[#This Row],[Conso HP + HC / jour_x000D_
cumul]]*365</f>
        <v>83806.422174317166</v>
      </c>
    </row>
    <row r="10" spans="1:31" x14ac:dyDescent="0.2">
      <c r="A10" s="55">
        <v>45531.324305555558</v>
      </c>
      <c r="B10" s="66">
        <f>YEAR([1]!tabSuiviConso[[#This Row],[Date]])</f>
        <v>2021</v>
      </c>
      <c r="C10" s="66" t="str">
        <f>IF(B11&lt;&gt;[1]!tabSuiviConso[[#This Row],[Année]],[1]!tabSuiviConso[[#This Row],[Année]],"")</f>
        <v/>
      </c>
      <c r="D10" s="66">
        <f>MONTH([1]!tabSuiviConso[[#This Row],[Date]])</f>
        <v>1</v>
      </c>
      <c r="E10" s="66">
        <f>DAY([1]!tabSuiviConso[[#This Row],[Date]])</f>
        <v>26</v>
      </c>
      <c r="F10" s="66" t="str">
        <f>TEXT([1]!tabSuiviConso[[#This Row],[Date]]-1,"jjjj")</f>
        <v>lundi</v>
      </c>
      <c r="G10" s="66" t="str">
        <f>[1]!tabSuiviConso[[#This Row],[Mois]]&amp;"/"&amp;[1]!tabSuiviConso[[#This Row],[Année]]</f>
        <v>1/2021</v>
      </c>
      <c r="H10" s="67" t="str">
        <f>[1]!tabSuiviConso[[#This Row],[Jour]]&amp;"/"&amp;[1]!tabSuiviConso[[#This Row],[Mois]]&amp;"/"&amp;[1]!tabSuiviConso[[#This Row],[Année]]</f>
        <v>26/1/2021</v>
      </c>
      <c r="I10" s="62">
        <f>IF(ISERROR([1]!tabSuiviConso[[#This Row],[Date]]-A9),"",[1]!tabSuiviConso[[#This Row],[Date]]-A9)</f>
        <v>-1307.7659722222234</v>
      </c>
      <c r="J10" s="63">
        <f>IF(ISERROR([1]!tabSuiviConso[[#This Row],[Date]]-A9),"",[1]!tabSuiviConso[[#This Row],[Date]]-A9)</f>
        <v>-1307.7659722222234</v>
      </c>
      <c r="K10" s="62">
        <f>[1]!tabSuiviConso[[#This Row],[Date]]-$A$4</f>
        <v>-1302.777777777781</v>
      </c>
      <c r="L10" s="63">
        <f>[1]!tabSuiviConso[[#This Row],[Date]]-$A$4</f>
        <v>-1302.777777777781</v>
      </c>
      <c r="M10" s="143"/>
      <c r="N10" s="143"/>
      <c r="O10" s="59">
        <f>tabSuiviConso[[#This Row],[Max]]-tabSuiviConso[[#This Row],[Min]]</f>
        <v>0</v>
      </c>
      <c r="P10" s="71"/>
      <c r="Q10" s="59">
        <f>IF(ISERROR(tabSuiviConso[[#This Row],[Index HP
kWh]]-P9),"",tabSuiviConso[[#This Row],[Index HP
kWh]]-P9)</f>
        <v>0</v>
      </c>
      <c r="R10" s="59">
        <f>IF(ISERROR(tabSuiviConso[[#This Row],[Date]]-A10),"",tabSuiviConso[[#This Row],[Diff HP
instantannée]]/tabSuiviConso[[#This Row],[Diff jour
Instantané]])</f>
        <v>0</v>
      </c>
      <c r="S10" s="64">
        <f>SUM($Q$4:Q10)</f>
        <v>-179759</v>
      </c>
      <c r="T10" s="71"/>
      <c r="U10" s="59">
        <f>IF(ISERROR(tabSuiviConso[[#This Row],[Index HC_x000D_
kWh]]-T9),"",tabSuiviConso[[#This Row],[Index HC_x000D_
kWh]]-T9)</f>
        <v>0</v>
      </c>
      <c r="V10" s="59">
        <f>IF(ISERROR(tabSuiviConso[[#This Row],[Date]]-A10),"",tabSuiviConso[[#This Row],[Diff HC
instantannée]]/tabSuiviConso[[#This Row],[Diff jour
Instantané]])</f>
        <v>0</v>
      </c>
      <c r="W10" s="64">
        <f>SUM($U$4:U10)</f>
        <v>-119432</v>
      </c>
      <c r="X10" s="59">
        <f>tabSuiviConso[[#This Row],[Diff HP
instantannée]]+tabSuiviConso[[#This Row],[Diff HC
instantannée]]</f>
        <v>0</v>
      </c>
      <c r="Y10" s="59">
        <f>tabSuiviConso[[#This Row],[Diff HP
cumul]]+tabSuiviConso[[#This Row],[Diff HC
cumul]]</f>
        <v>-299191</v>
      </c>
      <c r="Z10" s="59">
        <f>tabSuiviConso[[#This Row],[HP + HC
instantanné]]/(tabSuiviConso[[#This Row],[Diff jour
Instantané]]*24)</f>
        <v>0</v>
      </c>
      <c r="AA10" s="59">
        <f>IF(ISERROR(tabSuiviConso[[#This Row],[Date]]-A10),"",tabSuiviConso[[#This Row],[HP + HC
instantanné]]/tabSuiviConso[[#This Row],[Diff jour
Instantané]])</f>
        <v>0</v>
      </c>
      <c r="AB10" s="59">
        <f>tabSuiviConso[[#This Row],[Conso HP + HC / jour_x000D_
Instantané]]*365</f>
        <v>0</v>
      </c>
      <c r="AC10" s="59">
        <f>tabSuiviConso[[#This Row],[HP + HC
cumul]]/(tabSuiviConso[[#This Row],[Diff jour_x000D_
Cumul]]*24)</f>
        <v>9.5690085287846252</v>
      </c>
      <c r="AD10" s="59">
        <f>tabSuiviConso[[#This Row],[HP + HC
cumul]]/tabSuiviConso[[#This Row],[Diff jour_x000D_
Cumul]]</f>
        <v>229.65620469083098</v>
      </c>
      <c r="AE10" s="59">
        <f>tabSuiviConso[[#This Row],[Conso HP + HC / jour_x000D_
cumul]]*365</f>
        <v>83824.514712153308</v>
      </c>
    </row>
    <row r="11" spans="1:31" x14ac:dyDescent="0.2">
      <c r="A11" s="55">
        <v>45532.34097222222</v>
      </c>
      <c r="B11" s="66">
        <f>YEAR([1]!tabSuiviConso[[#This Row],[Date]])</f>
        <v>2021</v>
      </c>
      <c r="C11" s="66" t="str">
        <f>IF(B12&lt;&gt;[1]!tabSuiviConso[[#This Row],[Année]],[1]!tabSuiviConso[[#This Row],[Année]],"")</f>
        <v/>
      </c>
      <c r="D11" s="66">
        <f>MONTH([1]!tabSuiviConso[[#This Row],[Date]])</f>
        <v>1</v>
      </c>
      <c r="E11" s="66">
        <f>DAY([1]!tabSuiviConso[[#This Row],[Date]])</f>
        <v>26</v>
      </c>
      <c r="F11" s="66" t="str">
        <f>TEXT([1]!tabSuiviConso[[#This Row],[Date]]-1,"jjjj")</f>
        <v>lundi</v>
      </c>
      <c r="G11" s="66" t="str">
        <f>[1]!tabSuiviConso[[#This Row],[Mois]]&amp;"/"&amp;[1]!tabSuiviConso[[#This Row],[Année]]</f>
        <v>1/2021</v>
      </c>
      <c r="H11" s="67" t="str">
        <f>[1]!tabSuiviConso[[#This Row],[Jour]]&amp;"/"&amp;[1]!tabSuiviConso[[#This Row],[Mois]]&amp;"/"&amp;[1]!tabSuiviConso[[#This Row],[Année]]</f>
        <v>26/1/2021</v>
      </c>
      <c r="I11" s="62">
        <f>IF(ISERROR([1]!tabSuiviConso[[#This Row],[Date]]-A10),"",[1]!tabSuiviConso[[#This Row],[Date]]-A10)</f>
        <v>-1308.507638888892</v>
      </c>
      <c r="J11" s="63">
        <f>IF(ISERROR([1]!tabSuiviConso[[#This Row],[Date]]-A10),"",[1]!tabSuiviConso[[#This Row],[Date]]-A10)</f>
        <v>-1308.507638888892</v>
      </c>
      <c r="K11" s="62">
        <f>[1]!tabSuiviConso[[#This Row],[Date]]-$A$4</f>
        <v>-1302.5229166666686</v>
      </c>
      <c r="L11" s="63">
        <f>[1]!tabSuiviConso[[#This Row],[Date]]-$A$4</f>
        <v>-1302.5229166666686</v>
      </c>
      <c r="M11" s="143"/>
      <c r="N11" s="143"/>
      <c r="O11" s="59">
        <f>tabSuiviConso[[#This Row],[Max]]-tabSuiviConso[[#This Row],[Min]]</f>
        <v>0</v>
      </c>
      <c r="P11" s="71"/>
      <c r="Q11" s="59">
        <f>IF(ISERROR(tabSuiviConso[[#This Row],[Index HP
kWh]]-P10),"",tabSuiviConso[[#This Row],[Index HP
kWh]]-P10)</f>
        <v>0</v>
      </c>
      <c r="R11" s="59">
        <f>IF(ISERROR(tabSuiviConso[[#This Row],[Date]]-A11),"",tabSuiviConso[[#This Row],[Diff HP
instantannée]]/tabSuiviConso[[#This Row],[Diff jour
Instantané]])</f>
        <v>0</v>
      </c>
      <c r="S11" s="64">
        <f>SUM($Q$4:Q11)</f>
        <v>-179759</v>
      </c>
      <c r="T11" s="71"/>
      <c r="U11" s="59">
        <f>IF(ISERROR(tabSuiviConso[[#This Row],[Index HC_x000D_
kWh]]-T10),"",tabSuiviConso[[#This Row],[Index HC_x000D_
kWh]]-T10)</f>
        <v>0</v>
      </c>
      <c r="V11" s="59">
        <f>IF(ISERROR(tabSuiviConso[[#This Row],[Date]]-A11),"",tabSuiviConso[[#This Row],[Diff HC
instantannée]]/tabSuiviConso[[#This Row],[Diff jour
Instantané]])</f>
        <v>0</v>
      </c>
      <c r="W11" s="64">
        <f>SUM($U$4:U11)</f>
        <v>-119432</v>
      </c>
      <c r="X11" s="59">
        <f>tabSuiviConso[[#This Row],[Diff HP
instantannée]]+tabSuiviConso[[#This Row],[Diff HC
instantannée]]</f>
        <v>0</v>
      </c>
      <c r="Y11" s="59">
        <f>tabSuiviConso[[#This Row],[Diff HP
cumul]]+tabSuiviConso[[#This Row],[Diff HC
cumul]]</f>
        <v>-299191</v>
      </c>
      <c r="Z11" s="59">
        <f>tabSuiviConso[[#This Row],[HP + HC
instantanné]]/(tabSuiviConso[[#This Row],[Diff jour
Instantané]]*24)</f>
        <v>0</v>
      </c>
      <c r="AA11" s="59">
        <f>IF(ISERROR(tabSuiviConso[[#This Row],[Date]]-A11),"",tabSuiviConso[[#This Row],[HP + HC
instantanné]]/tabSuiviConso[[#This Row],[Diff jour
Instantané]])</f>
        <v>0</v>
      </c>
      <c r="AB11" s="59">
        <f>tabSuiviConso[[#This Row],[Conso HP + HC / jour_x000D_
Instantané]]*365</f>
        <v>0</v>
      </c>
      <c r="AC11" s="59">
        <f>tabSuiviConso[[#This Row],[HP + HC
cumul]]/(tabSuiviConso[[#This Row],[Diff jour_x000D_
Cumul]]*24)</f>
        <v>9.5708808706180655</v>
      </c>
      <c r="AD11" s="59">
        <f>tabSuiviConso[[#This Row],[HP + HC
cumul]]/tabSuiviConso[[#This Row],[Diff jour_x000D_
Cumul]]</f>
        <v>229.70114089483357</v>
      </c>
      <c r="AE11" s="59">
        <f>tabSuiviConso[[#This Row],[Conso HP + HC / jour_x000D_
cumul]]*365</f>
        <v>83840.916426614247</v>
      </c>
    </row>
    <row r="12" spans="1:31" x14ac:dyDescent="0.2">
      <c r="A12" s="55">
        <v>45533.351388888892</v>
      </c>
      <c r="B12" s="66">
        <f>YEAR([1]!tabSuiviConso[[#This Row],[Date]])</f>
        <v>2021</v>
      </c>
      <c r="C12" s="66" t="str">
        <f>IF(B13&lt;&gt;[1]!tabSuiviConso[[#This Row],[Année]],[1]!tabSuiviConso[[#This Row],[Année]],"")</f>
        <v/>
      </c>
      <c r="D12" s="66">
        <f>MONTH([1]!tabSuiviConso[[#This Row],[Date]])</f>
        <v>1</v>
      </c>
      <c r="E12" s="66">
        <f>DAY([1]!tabSuiviConso[[#This Row],[Date]])</f>
        <v>27</v>
      </c>
      <c r="F12" s="66" t="str">
        <f>TEXT([1]!tabSuiviConso[[#This Row],[Date]]-1,"jjjj")</f>
        <v>mardi</v>
      </c>
      <c r="G12" s="66" t="str">
        <f>[1]!tabSuiviConso[[#This Row],[Mois]]&amp;"/"&amp;[1]!tabSuiviConso[[#This Row],[Année]]</f>
        <v>1/2021</v>
      </c>
      <c r="H12" s="67" t="str">
        <f>[1]!tabSuiviConso[[#This Row],[Jour]]&amp;"/"&amp;[1]!tabSuiviConso[[#This Row],[Mois]]&amp;"/"&amp;[1]!tabSuiviConso[[#This Row],[Année]]</f>
        <v>27/1/2021</v>
      </c>
      <c r="I12" s="62">
        <f>IF(ISERROR([1]!tabSuiviConso[[#This Row],[Date]]-A11),"",[1]!tabSuiviConso[[#This Row],[Date]]-A11)</f>
        <v>-1309.0701388888847</v>
      </c>
      <c r="J12" s="63">
        <f>IF(ISERROR([1]!tabSuiviConso[[#This Row],[Date]]-A11),"",[1]!tabSuiviConso[[#This Row],[Date]]-A11)</f>
        <v>-1309.0701388888847</v>
      </c>
      <c r="K12" s="62">
        <f>[1]!tabSuiviConso[[#This Row],[Date]]-$A$4</f>
        <v>-1302.0687499999985</v>
      </c>
      <c r="L12" s="63">
        <f>[1]!tabSuiviConso[[#This Row],[Date]]-$A$4</f>
        <v>-1302.0687499999985</v>
      </c>
      <c r="M12" s="143"/>
      <c r="N12" s="143"/>
      <c r="O12" s="59">
        <f>tabSuiviConso[[#This Row],[Max]]-tabSuiviConso[[#This Row],[Min]]</f>
        <v>0</v>
      </c>
      <c r="P12" s="71"/>
      <c r="Q12" s="59">
        <f>IF(ISERROR(tabSuiviConso[[#This Row],[Index HP
kWh]]-P11),"",tabSuiviConso[[#This Row],[Index HP
kWh]]-P11)</f>
        <v>0</v>
      </c>
      <c r="R12" s="59">
        <f>IF(ISERROR(tabSuiviConso[[#This Row],[Date]]-A12),"",tabSuiviConso[[#This Row],[Diff HP
instantannée]]/tabSuiviConso[[#This Row],[Diff jour
Instantané]])</f>
        <v>0</v>
      </c>
      <c r="S12" s="64">
        <f>SUM($Q$4:Q12)</f>
        <v>-179759</v>
      </c>
      <c r="T12" s="71"/>
      <c r="U12" s="59">
        <f>IF(ISERROR(tabSuiviConso[[#This Row],[Index HC_x000D_
kWh]]-T11),"",tabSuiviConso[[#This Row],[Index HC_x000D_
kWh]]-T11)</f>
        <v>0</v>
      </c>
      <c r="V12" s="59">
        <f>IF(ISERROR(tabSuiviConso[[#This Row],[Date]]-A12),"",tabSuiviConso[[#This Row],[Diff HC
instantannée]]/tabSuiviConso[[#This Row],[Diff jour
Instantané]])</f>
        <v>0</v>
      </c>
      <c r="W12" s="64">
        <f>SUM($U$4:U12)</f>
        <v>-119432</v>
      </c>
      <c r="X12" s="59">
        <f>tabSuiviConso[[#This Row],[Diff HP
instantannée]]+tabSuiviConso[[#This Row],[Diff HC
instantannée]]</f>
        <v>0</v>
      </c>
      <c r="Y12" s="59">
        <f>tabSuiviConso[[#This Row],[Diff HP
cumul]]+tabSuiviConso[[#This Row],[Diff HC
cumul]]</f>
        <v>-299191</v>
      </c>
      <c r="Z12" s="59">
        <f>tabSuiviConso[[#This Row],[HP + HC
instantanné]]/(tabSuiviConso[[#This Row],[Diff jour
Instantané]]*24)</f>
        <v>0</v>
      </c>
      <c r="AA12" s="59">
        <f>IF(ISERROR(tabSuiviConso[[#This Row],[Date]]-A12),"",tabSuiviConso[[#This Row],[HP + HC
instantanné]]/tabSuiviConso[[#This Row],[Diff jour
Instantané]])</f>
        <v>0</v>
      </c>
      <c r="AB12" s="59">
        <f>tabSuiviConso[[#This Row],[Conso HP + HC / jour_x000D_
Instantané]]*365</f>
        <v>0</v>
      </c>
      <c r="AC12" s="59">
        <f>tabSuiviConso[[#This Row],[HP + HC
cumul]]/(tabSuiviConso[[#This Row],[Diff jour_x000D_
Cumul]]*24)</f>
        <v>9.5742192312554</v>
      </c>
      <c r="AD12" s="59">
        <f>tabSuiviConso[[#This Row],[HP + HC
cumul]]/tabSuiviConso[[#This Row],[Diff jour_x000D_
Cumul]]</f>
        <v>229.78126155012961</v>
      </c>
      <c r="AE12" s="59">
        <f>tabSuiviConso[[#This Row],[Conso HP + HC / jour_x000D_
cumul]]*365</f>
        <v>83870.160465797308</v>
      </c>
    </row>
    <row r="13" spans="1:31" x14ac:dyDescent="0.2">
      <c r="A13" s="55">
        <v>45534.345138888886</v>
      </c>
      <c r="B13" s="66">
        <f>YEAR([1]!tabSuiviConso[[#This Row],[Date]])</f>
        <v>2021</v>
      </c>
      <c r="C13" s="66" t="str">
        <f>IF(B14&lt;&gt;[1]!tabSuiviConso[[#This Row],[Année]],[1]!tabSuiviConso[[#This Row],[Année]],"")</f>
        <v/>
      </c>
      <c r="D13" s="66">
        <f>MONTH([1]!tabSuiviConso[[#This Row],[Date]])</f>
        <v>1</v>
      </c>
      <c r="E13" s="66">
        <f>DAY([1]!tabSuiviConso[[#This Row],[Date]])</f>
        <v>27</v>
      </c>
      <c r="F13" s="66" t="str">
        <f>TEXT([1]!tabSuiviConso[[#This Row],[Date]]-1,"jjjj")</f>
        <v>mardi</v>
      </c>
      <c r="G13" s="66" t="str">
        <f>[1]!tabSuiviConso[[#This Row],[Mois]]&amp;"/"&amp;[1]!tabSuiviConso[[#This Row],[Année]]</f>
        <v>1/2021</v>
      </c>
      <c r="H13" s="67" t="str">
        <f>[1]!tabSuiviConso[[#This Row],[Jour]]&amp;"/"&amp;[1]!tabSuiviConso[[#This Row],[Mois]]&amp;"/"&amp;[1]!tabSuiviConso[[#This Row],[Année]]</f>
        <v>27/1/2021</v>
      </c>
      <c r="I13" s="62">
        <f>IF(ISERROR([1]!tabSuiviConso[[#This Row],[Date]]-A12),"",[1]!tabSuiviConso[[#This Row],[Date]]-A12)</f>
        <v>-1309.8006944444496</v>
      </c>
      <c r="J13" s="63">
        <f>IF(ISERROR([1]!tabSuiviConso[[#This Row],[Date]]-A12),"",[1]!tabSuiviConso[[#This Row],[Date]]-A12)</f>
        <v>-1309.8006944444496</v>
      </c>
      <c r="K13" s="62">
        <f>[1]!tabSuiviConso[[#This Row],[Date]]-$A$4</f>
        <v>-1301.788888888892</v>
      </c>
      <c r="L13" s="63">
        <f>[1]!tabSuiviConso[[#This Row],[Date]]-$A$4</f>
        <v>-1301.788888888892</v>
      </c>
      <c r="M13" s="143"/>
      <c r="N13" s="143"/>
      <c r="O13" s="59">
        <f>tabSuiviConso[[#This Row],[Max]]-tabSuiviConso[[#This Row],[Min]]</f>
        <v>0</v>
      </c>
      <c r="P13" s="71"/>
      <c r="Q13" s="59">
        <f>IF(ISERROR(tabSuiviConso[[#This Row],[Index HP
kWh]]-P12),"",tabSuiviConso[[#This Row],[Index HP
kWh]]-P12)</f>
        <v>0</v>
      </c>
      <c r="R13" s="59">
        <f>IF(ISERROR(tabSuiviConso[[#This Row],[Date]]-A13),"",tabSuiviConso[[#This Row],[Diff HP
instantannée]]/tabSuiviConso[[#This Row],[Diff jour
Instantané]])</f>
        <v>0</v>
      </c>
      <c r="S13" s="64">
        <f>SUM($Q$4:Q13)</f>
        <v>-179759</v>
      </c>
      <c r="T13" s="71"/>
      <c r="U13" s="59">
        <f>IF(ISERROR(tabSuiviConso[[#This Row],[Index HC_x000D_
kWh]]-T12),"",tabSuiviConso[[#This Row],[Index HC_x000D_
kWh]]-T12)</f>
        <v>0</v>
      </c>
      <c r="V13" s="59">
        <f>IF(ISERROR(tabSuiviConso[[#This Row],[Date]]-A13),"",tabSuiviConso[[#This Row],[Diff HC
instantannée]]/tabSuiviConso[[#This Row],[Diff jour
Instantané]])</f>
        <v>0</v>
      </c>
      <c r="W13" s="64">
        <f>SUM($U$4:U13)</f>
        <v>-119432</v>
      </c>
      <c r="X13" s="59">
        <f>tabSuiviConso[[#This Row],[Diff HP
instantannée]]+tabSuiviConso[[#This Row],[Diff HC
instantannée]]</f>
        <v>0</v>
      </c>
      <c r="Y13" s="59">
        <f>tabSuiviConso[[#This Row],[Diff HP
cumul]]+tabSuiviConso[[#This Row],[Diff HC
cumul]]</f>
        <v>-299191</v>
      </c>
      <c r="Z13" s="59">
        <f>tabSuiviConso[[#This Row],[HP + HC
instantanné]]/(tabSuiviConso[[#This Row],[Diff jour
Instantané]]*24)</f>
        <v>0</v>
      </c>
      <c r="AA13" s="59">
        <f>IF(ISERROR(tabSuiviConso[[#This Row],[Date]]-A13),"",tabSuiviConso[[#This Row],[HP + HC
instantanné]]/tabSuiviConso[[#This Row],[Diff jour
Instantané]])</f>
        <v>0</v>
      </c>
      <c r="AB13" s="59">
        <f>tabSuiviConso[[#This Row],[Conso HP + HC / jour_x000D_
Instantané]]*365</f>
        <v>0</v>
      </c>
      <c r="AC13" s="59">
        <f>tabSuiviConso[[#This Row],[HP + HC
cumul]]/(tabSuiviConso[[#This Row],[Diff jour_x000D_
Cumul]]*24)</f>
        <v>9.5762775155554944</v>
      </c>
      <c r="AD13" s="59">
        <f>tabSuiviConso[[#This Row],[HP + HC
cumul]]/tabSuiviConso[[#This Row],[Diff jour_x000D_
Cumul]]</f>
        <v>229.83066037333188</v>
      </c>
      <c r="AE13" s="59">
        <f>tabSuiviConso[[#This Row],[Conso HP + HC / jour_x000D_
cumul]]*365</f>
        <v>83888.191036266144</v>
      </c>
    </row>
    <row r="14" spans="1:31" x14ac:dyDescent="0.2">
      <c r="A14" s="55">
        <v>45535.324305555558</v>
      </c>
      <c r="B14" s="66">
        <f>YEAR([1]!tabSuiviConso[[#This Row],[Date]])</f>
        <v>2021</v>
      </c>
      <c r="C14" s="66" t="str">
        <f>IF(B15&lt;&gt;[1]!tabSuiviConso[[#This Row],[Année]],[1]!tabSuiviConso[[#This Row],[Année]],"")</f>
        <v/>
      </c>
      <c r="D14" s="66">
        <f>MONTH([1]!tabSuiviConso[[#This Row],[Date]])</f>
        <v>1</v>
      </c>
      <c r="E14" s="66">
        <f>DAY([1]!tabSuiviConso[[#This Row],[Date]])</f>
        <v>27</v>
      </c>
      <c r="F14" s="66" t="str">
        <f>TEXT([1]!tabSuiviConso[[#This Row],[Date]]-1,"jjjj")</f>
        <v>mardi</v>
      </c>
      <c r="G14" s="66" t="str">
        <f>[1]!tabSuiviConso[[#This Row],[Mois]]&amp;"/"&amp;[1]!tabSuiviConso[[#This Row],[Année]]</f>
        <v>1/2021</v>
      </c>
      <c r="H14" s="67" t="str">
        <f>[1]!tabSuiviConso[[#This Row],[Jour]]&amp;"/"&amp;[1]!tabSuiviConso[[#This Row],[Mois]]&amp;"/"&amp;[1]!tabSuiviConso[[#This Row],[Année]]</f>
        <v>27/1/2021</v>
      </c>
      <c r="I14" s="62">
        <f>IF(ISERROR([1]!tabSuiviConso[[#This Row],[Date]]-A13),"",[1]!tabSuiviConso[[#This Row],[Date]]-A13)</f>
        <v>-1310.5111111111109</v>
      </c>
      <c r="J14" s="63">
        <f>IF(ISERROR([1]!tabSuiviConso[[#This Row],[Date]]-A13),"",[1]!tabSuiviConso[[#This Row],[Date]]-A13)</f>
        <v>-1310.5111111111109</v>
      </c>
      <c r="K14" s="62">
        <f>[1]!tabSuiviConso[[#This Row],[Date]]-$A$4</f>
        <v>-1301.5055555555591</v>
      </c>
      <c r="L14" s="63">
        <f>[1]!tabSuiviConso[[#This Row],[Date]]-$A$4</f>
        <v>-1301.5055555555591</v>
      </c>
      <c r="M14" s="143"/>
      <c r="N14" s="143"/>
      <c r="O14" s="59">
        <f>tabSuiviConso[[#This Row],[Max]]-tabSuiviConso[[#This Row],[Min]]</f>
        <v>0</v>
      </c>
      <c r="P14" s="71"/>
      <c r="Q14" s="59">
        <f>IF(ISERROR(tabSuiviConso[[#This Row],[Index HP
kWh]]-P13),"",tabSuiviConso[[#This Row],[Index HP
kWh]]-P13)</f>
        <v>0</v>
      </c>
      <c r="R14" s="59">
        <f>IF(ISERROR(tabSuiviConso[[#This Row],[Date]]-A14),"",tabSuiviConso[[#This Row],[Diff HP
instantannée]]/tabSuiviConso[[#This Row],[Diff jour
Instantané]])</f>
        <v>0</v>
      </c>
      <c r="S14" s="64">
        <f>SUM($Q$4:Q14)</f>
        <v>-179759</v>
      </c>
      <c r="T14" s="71"/>
      <c r="U14" s="59">
        <f>IF(ISERROR(tabSuiviConso[[#This Row],[Index HC_x000D_
kWh]]-T13),"",tabSuiviConso[[#This Row],[Index HC_x000D_
kWh]]-T13)</f>
        <v>0</v>
      </c>
      <c r="V14" s="59">
        <f>IF(ISERROR(tabSuiviConso[[#This Row],[Date]]-A14),"",tabSuiviConso[[#This Row],[Diff HC
instantannée]]/tabSuiviConso[[#This Row],[Diff jour
Instantané]])</f>
        <v>0</v>
      </c>
      <c r="W14" s="64">
        <f>SUM($U$4:U14)</f>
        <v>-119432</v>
      </c>
      <c r="X14" s="59">
        <f>tabSuiviConso[[#This Row],[Diff HP
instantannée]]+tabSuiviConso[[#This Row],[Diff HC
instantannée]]</f>
        <v>0</v>
      </c>
      <c r="Y14" s="59">
        <f>tabSuiviConso[[#This Row],[Diff HP
cumul]]+tabSuiviConso[[#This Row],[Diff HC
cumul]]</f>
        <v>-299191</v>
      </c>
      <c r="Z14" s="59">
        <f>tabSuiviConso[[#This Row],[HP + HC
instantanné]]/(tabSuiviConso[[#This Row],[Diff jour
Instantané]]*24)</f>
        <v>0</v>
      </c>
      <c r="AA14" s="59">
        <f>IF(ISERROR(tabSuiviConso[[#This Row],[Date]]-A14),"",tabSuiviConso[[#This Row],[HP + HC
instantanné]]/tabSuiviConso[[#This Row],[Diff jour
Instantané]])</f>
        <v>0</v>
      </c>
      <c r="AB14" s="59">
        <f>tabSuiviConso[[#This Row],[Conso HP + HC / jour_x000D_
Instantané]]*365</f>
        <v>0</v>
      </c>
      <c r="AC14" s="59">
        <f>tabSuiviConso[[#This Row],[HP + HC
cumul]]/(tabSuiviConso[[#This Row],[Diff jour_x000D_
Cumul]]*24)</f>
        <v>9.5783622386039831</v>
      </c>
      <c r="AD14" s="59">
        <f>tabSuiviConso[[#This Row],[HP + HC
cumul]]/tabSuiviConso[[#This Row],[Diff jour_x000D_
Cumul]]</f>
        <v>229.88069372649562</v>
      </c>
      <c r="AE14" s="59">
        <f>tabSuiviConso[[#This Row],[Conso HP + HC / jour_x000D_
cumul]]*365</f>
        <v>83906.453210170905</v>
      </c>
    </row>
    <row r="15" spans="1:31" x14ac:dyDescent="0.2">
      <c r="A15" s="55">
        <v>45536.739583333336</v>
      </c>
      <c r="B15" s="66">
        <f>YEAR([1]!tabSuiviConso[[#This Row],[Date]])</f>
        <v>2021</v>
      </c>
      <c r="C15" s="66" t="str">
        <f>IF(B16&lt;&gt;[1]!tabSuiviConso[[#This Row],[Année]],[1]!tabSuiviConso[[#This Row],[Année]],"")</f>
        <v/>
      </c>
      <c r="D15" s="66">
        <f>MONTH([1]!tabSuiviConso[[#This Row],[Date]])</f>
        <v>1</v>
      </c>
      <c r="E15" s="66">
        <f>DAY([1]!tabSuiviConso[[#This Row],[Date]])</f>
        <v>28</v>
      </c>
      <c r="F15" s="66" t="str">
        <f>TEXT([1]!tabSuiviConso[[#This Row],[Date]]-1,"jjjj")</f>
        <v>mercredi</v>
      </c>
      <c r="G15" s="66" t="str">
        <f>[1]!tabSuiviConso[[#This Row],[Mois]]&amp;"/"&amp;[1]!tabSuiviConso[[#This Row],[Année]]</f>
        <v>1/2021</v>
      </c>
      <c r="H15" s="67" t="str">
        <f>[1]!tabSuiviConso[[#This Row],[Jour]]&amp;"/"&amp;[1]!tabSuiviConso[[#This Row],[Mois]]&amp;"/"&amp;[1]!tabSuiviConso[[#This Row],[Année]]</f>
        <v>28/1/2021</v>
      </c>
      <c r="I15" s="62">
        <f>IF(ISERROR([1]!tabSuiviConso[[#This Row],[Date]]-A14),"",[1]!tabSuiviConso[[#This Row],[Date]]-A14)</f>
        <v>-1311.0374999999985</v>
      </c>
      <c r="J15" s="63">
        <f>IF(ISERROR([1]!tabSuiviConso[[#This Row],[Date]]-A14),"",[1]!tabSuiviConso[[#This Row],[Date]]-A14)</f>
        <v>-1311.0374999999985</v>
      </c>
      <c r="K15" s="62">
        <f>[1]!tabSuiviConso[[#This Row],[Date]]-$A$4</f>
        <v>-1301.0527777777752</v>
      </c>
      <c r="L15" s="63">
        <f>[1]!tabSuiviConso[[#This Row],[Date]]-$A$4</f>
        <v>-1301.0527777777752</v>
      </c>
      <c r="M15" s="143"/>
      <c r="N15" s="143"/>
      <c r="O15" s="59">
        <f>tabSuiviConso[[#This Row],[Max]]-tabSuiviConso[[#This Row],[Min]]</f>
        <v>0</v>
      </c>
      <c r="P15" s="71"/>
      <c r="Q15" s="59">
        <f>IF(ISERROR(tabSuiviConso[[#This Row],[Index HP
kWh]]-P14),"",tabSuiviConso[[#This Row],[Index HP
kWh]]-P14)</f>
        <v>0</v>
      </c>
      <c r="R15" s="59">
        <f>IF(ISERROR(tabSuiviConso[[#This Row],[Date]]-A15),"",tabSuiviConso[[#This Row],[Diff HP
instantannée]]/tabSuiviConso[[#This Row],[Diff jour
Instantané]])</f>
        <v>0</v>
      </c>
      <c r="S15" s="64">
        <f>SUM($Q$4:Q15)</f>
        <v>-179759</v>
      </c>
      <c r="T15" s="71"/>
      <c r="U15" s="59">
        <f>IF(ISERROR(tabSuiviConso[[#This Row],[Index HC_x000D_
kWh]]-T14),"",tabSuiviConso[[#This Row],[Index HC_x000D_
kWh]]-T14)</f>
        <v>0</v>
      </c>
      <c r="V15" s="59">
        <f>IF(ISERROR(tabSuiviConso[[#This Row],[Date]]-A15),"",tabSuiviConso[[#This Row],[Diff HC
instantannée]]/tabSuiviConso[[#This Row],[Diff jour
Instantané]])</f>
        <v>0</v>
      </c>
      <c r="W15" s="64">
        <f>SUM($U$4:U15)</f>
        <v>-119432</v>
      </c>
      <c r="X15" s="59">
        <f>tabSuiviConso[[#This Row],[Diff HP
instantannée]]+tabSuiviConso[[#This Row],[Diff HC
instantannée]]</f>
        <v>0</v>
      </c>
      <c r="Y15" s="59">
        <f>tabSuiviConso[[#This Row],[Diff HP
cumul]]+tabSuiviConso[[#This Row],[Diff HC
cumul]]</f>
        <v>-299191</v>
      </c>
      <c r="Z15" s="59">
        <f>tabSuiviConso[[#This Row],[HP + HC
instantanné]]/(tabSuiviConso[[#This Row],[Diff jour
Instantané]]*24)</f>
        <v>0</v>
      </c>
      <c r="AA15" s="59">
        <f>IF(ISERROR(tabSuiviConso[[#This Row],[Date]]-A15),"",tabSuiviConso[[#This Row],[HP + HC
instantanné]]/tabSuiviConso[[#This Row],[Diff jour
Instantané]])</f>
        <v>0</v>
      </c>
      <c r="AB15" s="59">
        <f>tabSuiviConso[[#This Row],[Conso HP + HC / jour_x000D_
Instantané]]*365</f>
        <v>0</v>
      </c>
      <c r="AC15" s="59">
        <f>tabSuiviConso[[#This Row],[HP + HC
cumul]]/(tabSuiviConso[[#This Row],[Diff jour_x000D_
Cumul]]*24)</f>
        <v>9.5816955926717657</v>
      </c>
      <c r="AD15" s="59">
        <f>tabSuiviConso[[#This Row],[HP + HC
cumul]]/tabSuiviConso[[#This Row],[Diff jour_x000D_
Cumul]]</f>
        <v>229.96069422412236</v>
      </c>
      <c r="AE15" s="59">
        <f>tabSuiviConso[[#This Row],[Conso HP + HC / jour_x000D_
cumul]]*365</f>
        <v>83935.653391804663</v>
      </c>
    </row>
    <row r="16" spans="1:31" x14ac:dyDescent="0.2">
      <c r="A16" s="55">
        <v>45537.320833333331</v>
      </c>
      <c r="B16" s="66">
        <f>YEAR([1]!tabSuiviConso[[#This Row],[Date]])</f>
        <v>2021</v>
      </c>
      <c r="C16" s="66" t="str">
        <f>IF(B17&lt;&gt;[1]!tabSuiviConso[[#This Row],[Année]],[1]!tabSuiviConso[[#This Row],[Année]],"")</f>
        <v/>
      </c>
      <c r="D16" s="66">
        <f>MONTH([1]!tabSuiviConso[[#This Row],[Date]])</f>
        <v>1</v>
      </c>
      <c r="E16" s="66">
        <f>DAY([1]!tabSuiviConso[[#This Row],[Date]])</f>
        <v>28</v>
      </c>
      <c r="F16" s="66" t="str">
        <f>TEXT([1]!tabSuiviConso[[#This Row],[Date]]-1,"jjjj")</f>
        <v>mercredi</v>
      </c>
      <c r="G16" s="66" t="str">
        <f>[1]!tabSuiviConso[[#This Row],[Mois]]&amp;"/"&amp;[1]!tabSuiviConso[[#This Row],[Année]]</f>
        <v>1/2021</v>
      </c>
      <c r="H16" s="67" t="str">
        <f>[1]!tabSuiviConso[[#This Row],[Jour]]&amp;"/"&amp;[1]!tabSuiviConso[[#This Row],[Mois]]&amp;"/"&amp;[1]!tabSuiviConso[[#This Row],[Année]]</f>
        <v>28/1/2021</v>
      </c>
      <c r="I16" s="62">
        <f>IF(ISERROR([1]!tabSuiviConso[[#This Row],[Date]]-A15),"",[1]!tabSuiviConso[[#This Row],[Date]]-A15)</f>
        <v>-1312.1805555555547</v>
      </c>
      <c r="J16" s="63">
        <f>IF(ISERROR([1]!tabSuiviConso[[#This Row],[Date]]-A15),"",[1]!tabSuiviConso[[#This Row],[Date]]-A15)</f>
        <v>-1312.1805555555547</v>
      </c>
      <c r="K16" s="62">
        <f>[1]!tabSuiviConso[[#This Row],[Date]]-$A$4</f>
        <v>-1300.7805555555533</v>
      </c>
      <c r="L16" s="63">
        <f>[1]!tabSuiviConso[[#This Row],[Date]]-$A$4</f>
        <v>-1300.7805555555533</v>
      </c>
      <c r="M16" s="143"/>
      <c r="N16" s="143"/>
      <c r="O16" s="59">
        <f>tabSuiviConso[[#This Row],[Max]]-tabSuiviConso[[#This Row],[Min]]</f>
        <v>0</v>
      </c>
      <c r="P16" s="71"/>
      <c r="Q16" s="59">
        <f>IF(ISERROR(tabSuiviConso[[#This Row],[Index HP
kWh]]-P15),"",tabSuiviConso[[#This Row],[Index HP
kWh]]-P15)</f>
        <v>0</v>
      </c>
      <c r="R16" s="59">
        <f>IF(ISERROR(tabSuiviConso[[#This Row],[Date]]-A16),"",tabSuiviConso[[#This Row],[Diff HP
instantannée]]/tabSuiviConso[[#This Row],[Diff jour
Instantané]])</f>
        <v>0</v>
      </c>
      <c r="S16" s="64">
        <f>SUM($Q$4:Q16)</f>
        <v>-179759</v>
      </c>
      <c r="T16" s="71"/>
      <c r="U16" s="59">
        <f>IF(ISERROR(tabSuiviConso[[#This Row],[Index HC_x000D_
kWh]]-T15),"",tabSuiviConso[[#This Row],[Index HC_x000D_
kWh]]-T15)</f>
        <v>0</v>
      </c>
      <c r="V16" s="59">
        <f>IF(ISERROR(tabSuiviConso[[#This Row],[Date]]-A16),"",tabSuiviConso[[#This Row],[Diff HC
instantannée]]/tabSuiviConso[[#This Row],[Diff jour
Instantané]])</f>
        <v>0</v>
      </c>
      <c r="W16" s="64">
        <f>SUM($U$4:U16)</f>
        <v>-119432</v>
      </c>
      <c r="X16" s="59">
        <f>tabSuiviConso[[#This Row],[Diff HP
instantannée]]+tabSuiviConso[[#This Row],[Diff HC
instantannée]]</f>
        <v>0</v>
      </c>
      <c r="Y16" s="59">
        <f>tabSuiviConso[[#This Row],[Diff HP
cumul]]+tabSuiviConso[[#This Row],[Diff HC
cumul]]</f>
        <v>-299191</v>
      </c>
      <c r="Z16" s="59">
        <f>tabSuiviConso[[#This Row],[HP + HC
instantanné]]/(tabSuiviConso[[#This Row],[Diff jour
Instantané]]*24)</f>
        <v>0</v>
      </c>
      <c r="AA16" s="59">
        <f>IF(ISERROR(tabSuiviConso[[#This Row],[Date]]-A16),"",tabSuiviConso[[#This Row],[HP + HC
instantanné]]/tabSuiviConso[[#This Row],[Diff jour
Instantané]])</f>
        <v>0</v>
      </c>
      <c r="AB16" s="59">
        <f>tabSuiviConso[[#This Row],[Conso HP + HC / jour_x000D_
Instantané]]*365</f>
        <v>0</v>
      </c>
      <c r="AC16" s="59">
        <f>tabSuiviConso[[#This Row],[HP + HC
cumul]]/(tabSuiviConso[[#This Row],[Diff jour_x000D_
Cumul]]*24)</f>
        <v>9.5837008121192362</v>
      </c>
      <c r="AD16" s="59">
        <f>tabSuiviConso[[#This Row],[HP + HC
cumul]]/tabSuiviConso[[#This Row],[Diff jour_x000D_
Cumul]]</f>
        <v>230.00881949086167</v>
      </c>
      <c r="AE16" s="59">
        <f>tabSuiviConso[[#This Row],[Conso HP + HC / jour_x000D_
cumul]]*365</f>
        <v>83953.219114164516</v>
      </c>
    </row>
    <row r="17" spans="1:31" x14ac:dyDescent="0.2">
      <c r="A17" s="55">
        <v>45538.3</v>
      </c>
      <c r="B17" s="66">
        <f>YEAR([1]!tabSuiviConso[[#This Row],[Date]])</f>
        <v>2021</v>
      </c>
      <c r="C17" s="66" t="str">
        <f>IF(B18&lt;&gt;[1]!tabSuiviConso[[#This Row],[Année]],[1]!tabSuiviConso[[#This Row],[Année]],"")</f>
        <v/>
      </c>
      <c r="D17" s="66">
        <f>MONTH([1]!tabSuiviConso[[#This Row],[Date]])</f>
        <v>1</v>
      </c>
      <c r="E17" s="66">
        <f>DAY([1]!tabSuiviConso[[#This Row],[Date]])</f>
        <v>28</v>
      </c>
      <c r="F17" s="66" t="str">
        <f>TEXT([1]!tabSuiviConso[[#This Row],[Date]]-1,"jjjj")</f>
        <v>mercredi</v>
      </c>
      <c r="G17" s="66" t="str">
        <f>[1]!tabSuiviConso[[#This Row],[Mois]]&amp;"/"&amp;[1]!tabSuiviConso[[#This Row],[Année]]</f>
        <v>1/2021</v>
      </c>
      <c r="H17" s="67" t="str">
        <f>[1]!tabSuiviConso[[#This Row],[Jour]]&amp;"/"&amp;[1]!tabSuiviConso[[#This Row],[Mois]]&amp;"/"&amp;[1]!tabSuiviConso[[#This Row],[Année]]</f>
        <v>28/1/2021</v>
      </c>
      <c r="I17" s="62">
        <f>IF(ISERROR([1]!tabSuiviConso[[#This Row],[Date]]-A16),"",[1]!tabSuiviConso[[#This Row],[Date]]-A16)</f>
        <v>-1312.5208333333285</v>
      </c>
      <c r="J17" s="63">
        <f>IF(ISERROR([1]!tabSuiviConso[[#This Row],[Date]]-A16),"",[1]!tabSuiviConso[[#This Row],[Date]]-A16)</f>
        <v>-1312.5208333333285</v>
      </c>
      <c r="K17" s="62">
        <f>[1]!tabSuiviConso[[#This Row],[Date]]-$A$4</f>
        <v>-1300.5395833333314</v>
      </c>
      <c r="L17" s="63">
        <f>[1]!tabSuiviConso[[#This Row],[Date]]-$A$4</f>
        <v>-1300.5395833333314</v>
      </c>
      <c r="M17" s="143"/>
      <c r="N17" s="143"/>
      <c r="O17" s="59">
        <f>tabSuiviConso[[#This Row],[Max]]-tabSuiviConso[[#This Row],[Min]]</f>
        <v>0</v>
      </c>
      <c r="P17" s="71"/>
      <c r="Q17" s="59">
        <f>IF(ISERROR(tabSuiviConso[[#This Row],[Index HP
kWh]]-P16),"",tabSuiviConso[[#This Row],[Index HP
kWh]]-P16)</f>
        <v>0</v>
      </c>
      <c r="R17" s="59">
        <f>IF(ISERROR(tabSuiviConso[[#This Row],[Date]]-A17),"",tabSuiviConso[[#This Row],[Diff HP
instantannée]]/tabSuiviConso[[#This Row],[Diff jour
Instantané]])</f>
        <v>0</v>
      </c>
      <c r="S17" s="64">
        <f>SUM($Q$4:Q17)</f>
        <v>-179759</v>
      </c>
      <c r="T17" s="71"/>
      <c r="U17" s="59">
        <f>IF(ISERROR(tabSuiviConso[[#This Row],[Index HC_x000D_
kWh]]-T16),"",tabSuiviConso[[#This Row],[Index HC_x000D_
kWh]]-T16)</f>
        <v>0</v>
      </c>
      <c r="V17" s="59">
        <f>IF(ISERROR(tabSuiviConso[[#This Row],[Date]]-A17),"",tabSuiviConso[[#This Row],[Diff HC
instantannée]]/tabSuiviConso[[#This Row],[Diff jour
Instantané]])</f>
        <v>0</v>
      </c>
      <c r="W17" s="64">
        <f>SUM($U$4:U17)</f>
        <v>-119432</v>
      </c>
      <c r="X17" s="59">
        <f>tabSuiviConso[[#This Row],[Diff HP
instantannée]]+tabSuiviConso[[#This Row],[Diff HC
instantannée]]</f>
        <v>0</v>
      </c>
      <c r="Y17" s="59">
        <f>tabSuiviConso[[#This Row],[Diff HP
cumul]]+tabSuiviConso[[#This Row],[Diff HC
cumul]]</f>
        <v>-299191</v>
      </c>
      <c r="Z17" s="59">
        <f>tabSuiviConso[[#This Row],[HP + HC
instantanné]]/(tabSuiviConso[[#This Row],[Diff jour
Instantané]]*24)</f>
        <v>0</v>
      </c>
      <c r="AA17" s="59">
        <f>IF(ISERROR(tabSuiviConso[[#This Row],[Date]]-A17),"",tabSuiviConso[[#This Row],[HP + HC
instantanné]]/tabSuiviConso[[#This Row],[Diff jour
Instantané]])</f>
        <v>0</v>
      </c>
      <c r="AB17" s="59">
        <f>tabSuiviConso[[#This Row],[Conso HP + HC / jour_x000D_
Instantané]]*365</f>
        <v>0</v>
      </c>
      <c r="AC17" s="59">
        <f>tabSuiviConso[[#This Row],[HP + HC
cumul]]/(tabSuiviConso[[#This Row],[Diff jour_x000D_
Cumul]]*24)</f>
        <v>9.585476540987008</v>
      </c>
      <c r="AD17" s="59">
        <f>tabSuiviConso[[#This Row],[HP + HC
cumul]]/tabSuiviConso[[#This Row],[Diff jour_x000D_
Cumul]]</f>
        <v>230.05143698368821</v>
      </c>
      <c r="AE17" s="59">
        <f>tabSuiviConso[[#This Row],[Conso HP + HC / jour_x000D_
cumul]]*365</f>
        <v>83968.774499046194</v>
      </c>
    </row>
    <row r="18" spans="1:31" x14ac:dyDescent="0.2">
      <c r="A18" s="55">
        <v>45539.338194444441</v>
      </c>
      <c r="B18" s="66">
        <f>YEAR([1]!tabSuiviConso[[#This Row],[Date]])</f>
        <v>2021</v>
      </c>
      <c r="C18" s="66" t="str">
        <f>IF(B19&lt;&gt;[1]!tabSuiviConso[[#This Row],[Année]],[1]!tabSuiviConso[[#This Row],[Année]],"")</f>
        <v/>
      </c>
      <c r="D18" s="66">
        <f>MONTH([1]!tabSuiviConso[[#This Row],[Date]])</f>
        <v>1</v>
      </c>
      <c r="E18" s="66">
        <f>DAY([1]!tabSuiviConso[[#This Row],[Date]])</f>
        <v>29</v>
      </c>
      <c r="F18" s="66" t="str">
        <f>TEXT([1]!tabSuiviConso[[#This Row],[Date]]-1,"jjjj")</f>
        <v>jeudi</v>
      </c>
      <c r="G18" s="66" t="str">
        <f>[1]!tabSuiviConso[[#This Row],[Mois]]&amp;"/"&amp;[1]!tabSuiviConso[[#This Row],[Année]]</f>
        <v>1/2021</v>
      </c>
      <c r="H18" s="67" t="str">
        <f>[1]!tabSuiviConso[[#This Row],[Jour]]&amp;"/"&amp;[1]!tabSuiviConso[[#This Row],[Mois]]&amp;"/"&amp;[1]!tabSuiviConso[[#This Row],[Année]]</f>
        <v>29/1/2021</v>
      </c>
      <c r="I18" s="62">
        <f>IF(ISERROR([1]!tabSuiviConso[[#This Row],[Date]]-A17),"",[1]!tabSuiviConso[[#This Row],[Date]]-A17)</f>
        <v>-1313.0138888888905</v>
      </c>
      <c r="J18" s="63">
        <f>IF(ISERROR([1]!tabSuiviConso[[#This Row],[Date]]-A17),"",[1]!tabSuiviConso[[#This Row],[Date]]-A17)</f>
        <v>-1313.0138888888905</v>
      </c>
      <c r="K18" s="62">
        <f>[1]!tabSuiviConso[[#This Row],[Date]]-$A$4</f>
        <v>-1300.0534722222219</v>
      </c>
      <c r="L18" s="63">
        <f>[1]!tabSuiviConso[[#This Row],[Date]]-$A$4</f>
        <v>-1300.0534722222219</v>
      </c>
      <c r="M18" s="143"/>
      <c r="N18" s="143"/>
      <c r="O18" s="59">
        <f>tabSuiviConso[[#This Row],[Max]]-tabSuiviConso[[#This Row],[Min]]</f>
        <v>0</v>
      </c>
      <c r="P18" s="71"/>
      <c r="Q18" s="59">
        <f>IF(ISERROR(tabSuiviConso[[#This Row],[Index HP
kWh]]-P17),"",tabSuiviConso[[#This Row],[Index HP
kWh]]-P17)</f>
        <v>0</v>
      </c>
      <c r="R18" s="59">
        <f>IF(ISERROR(tabSuiviConso[[#This Row],[Date]]-A18),"",tabSuiviConso[[#This Row],[Diff HP
instantannée]]/tabSuiviConso[[#This Row],[Diff jour
Instantané]])</f>
        <v>0</v>
      </c>
      <c r="S18" s="64">
        <f>SUM($Q$4:Q18)</f>
        <v>-179759</v>
      </c>
      <c r="T18" s="71"/>
      <c r="U18" s="59">
        <f>IF(ISERROR(tabSuiviConso[[#This Row],[Index HC_x000D_
kWh]]-T17),"",tabSuiviConso[[#This Row],[Index HC_x000D_
kWh]]-T17)</f>
        <v>0</v>
      </c>
      <c r="V18" s="59">
        <f>IF(ISERROR(tabSuiviConso[[#This Row],[Date]]-A18),"",tabSuiviConso[[#This Row],[Diff HC
instantannée]]/tabSuiviConso[[#This Row],[Diff jour
Instantané]])</f>
        <v>0</v>
      </c>
      <c r="W18" s="64">
        <f>SUM($U$4:U18)</f>
        <v>-119432</v>
      </c>
      <c r="X18" s="59">
        <f>tabSuiviConso[[#This Row],[Diff HP
instantannée]]+tabSuiviConso[[#This Row],[Diff HC
instantannée]]</f>
        <v>0</v>
      </c>
      <c r="Y18" s="59">
        <f>tabSuiviConso[[#This Row],[Diff HP
cumul]]+tabSuiviConso[[#This Row],[Diff HC
cumul]]</f>
        <v>-299191</v>
      </c>
      <c r="Z18" s="59">
        <f>tabSuiviConso[[#This Row],[HP + HC
instantanné]]/(tabSuiviConso[[#This Row],[Diff jour
Instantané]]*24)</f>
        <v>0</v>
      </c>
      <c r="AA18" s="59">
        <f>IF(ISERROR(tabSuiviConso[[#This Row],[Date]]-A18),"",tabSuiviConso[[#This Row],[HP + HC
instantanné]]/tabSuiviConso[[#This Row],[Diff jour
Instantané]])</f>
        <v>0</v>
      </c>
      <c r="AB18" s="59">
        <f>tabSuiviConso[[#This Row],[Conso HP + HC / jour_x000D_
Instantané]]*365</f>
        <v>0</v>
      </c>
      <c r="AC18" s="59">
        <f>tabSuiviConso[[#This Row],[HP + HC
cumul]]/(tabSuiviConso[[#This Row],[Diff jour_x000D_
Cumul]]*24)</f>
        <v>9.5890607063705211</v>
      </c>
      <c r="AD18" s="59">
        <f>tabSuiviConso[[#This Row],[HP + HC
cumul]]/tabSuiviConso[[#This Row],[Diff jour_x000D_
Cumul]]</f>
        <v>230.13745695289248</v>
      </c>
      <c r="AE18" s="59">
        <f>tabSuiviConso[[#This Row],[Conso HP + HC / jour_x000D_
cumul]]*365</f>
        <v>84000.171787805753</v>
      </c>
    </row>
    <row r="19" spans="1:31" x14ac:dyDescent="0.2">
      <c r="A19" s="55">
        <v>45540.332638888889</v>
      </c>
      <c r="B19" s="66">
        <f>YEAR([1]!tabSuiviConso[[#This Row],[Date]])</f>
        <v>2021</v>
      </c>
      <c r="C19" s="66" t="str">
        <f>IF(B20&lt;&gt;[1]!tabSuiviConso[[#This Row],[Année]],[1]!tabSuiviConso[[#This Row],[Année]],"")</f>
        <v/>
      </c>
      <c r="D19" s="66">
        <f>MONTH([1]!tabSuiviConso[[#This Row],[Date]])</f>
        <v>1</v>
      </c>
      <c r="E19" s="66">
        <f>DAY([1]!tabSuiviConso[[#This Row],[Date]])</f>
        <v>29</v>
      </c>
      <c r="F19" s="66" t="str">
        <f>TEXT([1]!tabSuiviConso[[#This Row],[Date]]-1,"jjjj")</f>
        <v>jeudi</v>
      </c>
      <c r="G19" s="66" t="str">
        <f>[1]!tabSuiviConso[[#This Row],[Mois]]&amp;"/"&amp;[1]!tabSuiviConso[[#This Row],[Année]]</f>
        <v>1/2021</v>
      </c>
      <c r="H19" s="67" t="str">
        <f>[1]!tabSuiviConso[[#This Row],[Jour]]&amp;"/"&amp;[1]!tabSuiviConso[[#This Row],[Mois]]&amp;"/"&amp;[1]!tabSuiviConso[[#This Row],[Année]]</f>
        <v>29/1/2021</v>
      </c>
      <c r="I19" s="62">
        <f>IF(ISERROR([1]!tabSuiviConso[[#This Row],[Date]]-A18),"",[1]!tabSuiviConso[[#This Row],[Date]]-A18)</f>
        <v>-1313.773611111108</v>
      </c>
      <c r="J19" s="63">
        <f>IF(ISERROR([1]!tabSuiviConso[[#This Row],[Date]]-A18),"",[1]!tabSuiviConso[[#This Row],[Date]]-A18)</f>
        <v>-1313.773611111108</v>
      </c>
      <c r="K19" s="62">
        <f>[1]!tabSuiviConso[[#This Row],[Date]]-$A$4</f>
        <v>-1299.7750000000015</v>
      </c>
      <c r="L19" s="63">
        <f>[1]!tabSuiviConso[[#This Row],[Date]]-$A$4</f>
        <v>-1299.7750000000015</v>
      </c>
      <c r="M19" s="143"/>
      <c r="N19" s="143"/>
      <c r="O19" s="59">
        <f>tabSuiviConso[[#This Row],[Max]]-tabSuiviConso[[#This Row],[Min]]</f>
        <v>0</v>
      </c>
      <c r="P19" s="71"/>
      <c r="Q19" s="59">
        <f>IF(ISERROR(tabSuiviConso[[#This Row],[Index HP
kWh]]-P18),"",tabSuiviConso[[#This Row],[Index HP
kWh]]-P18)</f>
        <v>0</v>
      </c>
      <c r="R19" s="59">
        <f>IF(ISERROR(tabSuiviConso[[#This Row],[Date]]-A19),"",tabSuiviConso[[#This Row],[Diff HP
instantannée]]/tabSuiviConso[[#This Row],[Diff jour
Instantané]])</f>
        <v>0</v>
      </c>
      <c r="S19" s="64">
        <f>SUM($Q$4:Q19)</f>
        <v>-179759</v>
      </c>
      <c r="T19" s="71"/>
      <c r="U19" s="59">
        <f>IF(ISERROR(tabSuiviConso[[#This Row],[Index HC_x000D_
kWh]]-T18),"",tabSuiviConso[[#This Row],[Index HC_x000D_
kWh]]-T18)</f>
        <v>0</v>
      </c>
      <c r="V19" s="59">
        <f>IF(ISERROR(tabSuiviConso[[#This Row],[Date]]-A19),"",tabSuiviConso[[#This Row],[Diff HC
instantannée]]/tabSuiviConso[[#This Row],[Diff jour
Instantané]])</f>
        <v>0</v>
      </c>
      <c r="W19" s="64">
        <f>SUM($U$4:U19)</f>
        <v>-119432</v>
      </c>
      <c r="X19" s="59">
        <f>tabSuiviConso[[#This Row],[Diff HP
instantannée]]+tabSuiviConso[[#This Row],[Diff HC
instantannée]]</f>
        <v>0</v>
      </c>
      <c r="Y19" s="59">
        <f>tabSuiviConso[[#This Row],[Diff HP
cumul]]+tabSuiviConso[[#This Row],[Diff HC
cumul]]</f>
        <v>-299191</v>
      </c>
      <c r="Z19" s="59">
        <f>tabSuiviConso[[#This Row],[HP + HC
instantanné]]/(tabSuiviConso[[#This Row],[Diff jour
Instantané]]*24)</f>
        <v>0</v>
      </c>
      <c r="AA19" s="59">
        <f>IF(ISERROR(tabSuiviConso[[#This Row],[Date]]-A19),"",tabSuiviConso[[#This Row],[HP + HC
instantanné]]/tabSuiviConso[[#This Row],[Diff jour
Instantané]])</f>
        <v>0</v>
      </c>
      <c r="AB19" s="59">
        <f>tabSuiviConso[[#This Row],[Conso HP + HC / jour_x000D_
Instantané]]*365</f>
        <v>0</v>
      </c>
      <c r="AC19" s="59">
        <f>tabSuiviConso[[#This Row],[HP + HC
cumul]]/(tabSuiviConso[[#This Row],[Diff jour_x000D_
Cumul]]*24)</f>
        <v>9.5911151289005048</v>
      </c>
      <c r="AD19" s="59">
        <f>tabSuiviConso[[#This Row],[HP + HC
cumul]]/tabSuiviConso[[#This Row],[Diff jour_x000D_
Cumul]]</f>
        <v>230.18676309361209</v>
      </c>
      <c r="AE19" s="59">
        <f>tabSuiviConso[[#This Row],[Conso HP + HC / jour_x000D_
cumul]]*365</f>
        <v>84018.168529168412</v>
      </c>
    </row>
    <row r="20" spans="1:31" x14ac:dyDescent="0.2">
      <c r="A20" s="55">
        <v>45541.302777777775</v>
      </c>
      <c r="B20" s="66">
        <f>YEAR([1]!tabSuiviConso[[#This Row],[Date]])</f>
        <v>2021</v>
      </c>
      <c r="C20" s="66" t="str">
        <f>IF(B21&lt;&gt;[1]!tabSuiviConso[[#This Row],[Année]],[1]!tabSuiviConso[[#This Row],[Année]],"")</f>
        <v/>
      </c>
      <c r="D20" s="66">
        <f>MONTH([1]!tabSuiviConso[[#This Row],[Date]])</f>
        <v>1</v>
      </c>
      <c r="E20" s="66">
        <f>DAY([1]!tabSuiviConso[[#This Row],[Date]])</f>
        <v>29</v>
      </c>
      <c r="F20" s="66" t="str">
        <f>TEXT([1]!tabSuiviConso[[#This Row],[Date]]-1,"jjjj")</f>
        <v>jeudi</v>
      </c>
      <c r="G20" s="66" t="str">
        <f>[1]!tabSuiviConso[[#This Row],[Mois]]&amp;"/"&amp;[1]!tabSuiviConso[[#This Row],[Année]]</f>
        <v>1/2021</v>
      </c>
      <c r="H20" s="67" t="str">
        <f>[1]!tabSuiviConso[[#This Row],[Jour]]&amp;"/"&amp;[1]!tabSuiviConso[[#This Row],[Mois]]&amp;"/"&amp;[1]!tabSuiviConso[[#This Row],[Année]]</f>
        <v>29/1/2021</v>
      </c>
      <c r="I20" s="62">
        <f>IF(ISERROR([1]!tabSuiviConso[[#This Row],[Date]]-A19),"",[1]!tabSuiviConso[[#This Row],[Date]]-A19)</f>
        <v>-1314.4527777777766</v>
      </c>
      <c r="J20" s="63">
        <f>IF(ISERROR([1]!tabSuiviConso[[#This Row],[Date]]-A19),"",[1]!tabSuiviConso[[#This Row],[Date]]-A19)</f>
        <v>-1314.4527777777766</v>
      </c>
      <c r="K20" s="62">
        <f>[1]!tabSuiviConso[[#This Row],[Date]]-$A$4</f>
        <v>-1299.4597222222219</v>
      </c>
      <c r="L20" s="63">
        <f>[1]!tabSuiviConso[[#This Row],[Date]]-$A$4</f>
        <v>-1299.4597222222219</v>
      </c>
      <c r="M20" s="143"/>
      <c r="N20" s="143"/>
      <c r="O20" s="59">
        <f>tabSuiviConso[[#This Row],[Max]]-tabSuiviConso[[#This Row],[Min]]</f>
        <v>0</v>
      </c>
      <c r="P20" s="71"/>
      <c r="Q20" s="59">
        <f>IF(ISERROR(tabSuiviConso[[#This Row],[Index HP
kWh]]-P19),"",tabSuiviConso[[#This Row],[Index HP
kWh]]-P19)</f>
        <v>0</v>
      </c>
      <c r="R20" s="59">
        <f>IF(ISERROR(tabSuiviConso[[#This Row],[Date]]-A20),"",tabSuiviConso[[#This Row],[Diff HP
instantannée]]/tabSuiviConso[[#This Row],[Diff jour
Instantané]])</f>
        <v>0</v>
      </c>
      <c r="S20" s="64">
        <f>SUM($Q$4:Q20)</f>
        <v>-179759</v>
      </c>
      <c r="T20" s="71"/>
      <c r="U20" s="59">
        <f>IF(ISERROR(tabSuiviConso[[#This Row],[Index HC_x000D_
kWh]]-T19),"",tabSuiviConso[[#This Row],[Index HC_x000D_
kWh]]-T19)</f>
        <v>0</v>
      </c>
      <c r="V20" s="59">
        <f>IF(ISERROR(tabSuiviConso[[#This Row],[Date]]-A20),"",tabSuiviConso[[#This Row],[Diff HC
instantannée]]/tabSuiviConso[[#This Row],[Diff jour
Instantané]])</f>
        <v>0</v>
      </c>
      <c r="W20" s="64">
        <f>SUM($U$4:U20)</f>
        <v>-119432</v>
      </c>
      <c r="X20" s="59">
        <f>tabSuiviConso[[#This Row],[Diff HP
instantannée]]+tabSuiviConso[[#This Row],[Diff HC
instantannée]]</f>
        <v>0</v>
      </c>
      <c r="Y20" s="59">
        <f>tabSuiviConso[[#This Row],[Diff HP
cumul]]+tabSuiviConso[[#This Row],[Diff HC
cumul]]</f>
        <v>-299191</v>
      </c>
      <c r="Z20" s="59">
        <f>tabSuiviConso[[#This Row],[HP + HC
instantanné]]/(tabSuiviConso[[#This Row],[Diff jour
Instantané]]*24)</f>
        <v>0</v>
      </c>
      <c r="AA20" s="59">
        <f>IF(ISERROR(tabSuiviConso[[#This Row],[Date]]-A20),"",tabSuiviConso[[#This Row],[HP + HC
instantanné]]/tabSuiviConso[[#This Row],[Diff jour
Instantané]])</f>
        <v>0</v>
      </c>
      <c r="AB20" s="59">
        <f>tabSuiviConso[[#This Row],[Conso HP + HC / jour_x000D_
Instantané]]*365</f>
        <v>0</v>
      </c>
      <c r="AC20" s="59">
        <f>tabSuiviConso[[#This Row],[HP + HC
cumul]]/(tabSuiviConso[[#This Row],[Diff jour_x000D_
Cumul]]*24)</f>
        <v>9.5934421463621131</v>
      </c>
      <c r="AD20" s="59">
        <f>tabSuiviConso[[#This Row],[HP + HC
cumul]]/tabSuiviConso[[#This Row],[Diff jour_x000D_
Cumul]]</f>
        <v>230.2426115126907</v>
      </c>
      <c r="AE20" s="59">
        <f>tabSuiviConso[[#This Row],[Conso HP + HC / jour_x000D_
cumul]]*365</f>
        <v>84038.553202132112</v>
      </c>
    </row>
    <row r="21" spans="1:31" x14ac:dyDescent="0.2">
      <c r="A21" s="55">
        <v>45542.332638888889</v>
      </c>
      <c r="B21" s="66">
        <f>YEAR([1]!tabSuiviConso[[#This Row],[Date]])</f>
        <v>2021</v>
      </c>
      <c r="C21" s="66">
        <f>IF(B22&lt;&gt;[1]!tabSuiviConso[[#This Row],[Année]],[1]!tabSuiviConso[[#This Row],[Année]],"")</f>
        <v>2021</v>
      </c>
      <c r="D21" s="66">
        <f>MONTH([1]!tabSuiviConso[[#This Row],[Date]])</f>
        <v>1</v>
      </c>
      <c r="E21" s="66">
        <f>DAY([1]!tabSuiviConso[[#This Row],[Date]])</f>
        <v>30</v>
      </c>
      <c r="F21" s="66" t="str">
        <f>TEXT([1]!tabSuiviConso[[#This Row],[Date]]-1,"jjjj")</f>
        <v>vendredi</v>
      </c>
      <c r="G21" s="66" t="str">
        <f>[1]!tabSuiviConso[[#This Row],[Mois]]&amp;"/"&amp;[1]!tabSuiviConso[[#This Row],[Année]]</f>
        <v>1/2021</v>
      </c>
      <c r="H21" s="67" t="str">
        <f>[1]!tabSuiviConso[[#This Row],[Jour]]&amp;"/"&amp;[1]!tabSuiviConso[[#This Row],[Mois]]&amp;"/"&amp;[1]!tabSuiviConso[[#This Row],[Année]]</f>
        <v>30/1/2021</v>
      </c>
      <c r="I21" s="62">
        <f>IF(ISERROR([1]!tabSuiviConso[[#This Row],[Date]]-A20),"",[1]!tabSuiviConso[[#This Row],[Date]]-A20)</f>
        <v>-1315.0284722222204</v>
      </c>
      <c r="J21" s="63">
        <f>IF(ISERROR([1]!tabSuiviConso[[#This Row],[Date]]-A20),"",[1]!tabSuiviConso[[#This Row],[Date]]-A20)</f>
        <v>-1315.0284722222204</v>
      </c>
      <c r="K21" s="62">
        <f>[1]!tabSuiviConso[[#This Row],[Date]]-$A$4</f>
        <v>-1299.0652777777796</v>
      </c>
      <c r="L21" s="63">
        <f>[1]!tabSuiviConso[[#This Row],[Date]]-$A$4</f>
        <v>-1299.0652777777796</v>
      </c>
      <c r="M21" s="143"/>
      <c r="N21" s="143"/>
      <c r="O21" s="59">
        <f>tabSuiviConso[[#This Row],[Max]]-tabSuiviConso[[#This Row],[Min]]</f>
        <v>0</v>
      </c>
      <c r="P21" s="71"/>
      <c r="Q21" s="59">
        <f>IF(ISERROR(tabSuiviConso[[#This Row],[Index HP
kWh]]-P20),"",tabSuiviConso[[#This Row],[Index HP
kWh]]-P20)</f>
        <v>0</v>
      </c>
      <c r="R21" s="59">
        <f>IF(ISERROR(tabSuiviConso[[#This Row],[Date]]-A21),"",tabSuiviConso[[#This Row],[Diff HP
instantannée]]/tabSuiviConso[[#This Row],[Diff jour
Instantané]])</f>
        <v>0</v>
      </c>
      <c r="S21" s="64">
        <f>SUM($Q$4:Q21)</f>
        <v>-179759</v>
      </c>
      <c r="T21" s="71"/>
      <c r="U21" s="59">
        <f>IF(ISERROR(tabSuiviConso[[#This Row],[Index HC_x000D_
kWh]]-T20),"",tabSuiviConso[[#This Row],[Index HC_x000D_
kWh]]-T20)</f>
        <v>0</v>
      </c>
      <c r="V21" s="59">
        <f>IF(ISERROR(tabSuiviConso[[#This Row],[Date]]-A21),"",tabSuiviConso[[#This Row],[Diff HC
instantannée]]/tabSuiviConso[[#This Row],[Diff jour
Instantané]])</f>
        <v>0</v>
      </c>
      <c r="W21" s="64">
        <f>SUM($U$4:U21)</f>
        <v>-119432</v>
      </c>
      <c r="X21" s="59">
        <f>tabSuiviConso[[#This Row],[Diff HP
instantannée]]+tabSuiviConso[[#This Row],[Diff HC
instantannée]]</f>
        <v>0</v>
      </c>
      <c r="Y21" s="59">
        <f>tabSuiviConso[[#This Row],[Diff HP
cumul]]+tabSuiviConso[[#This Row],[Diff HC
cumul]]</f>
        <v>-299191</v>
      </c>
      <c r="Z21" s="59">
        <f>tabSuiviConso[[#This Row],[HP + HC
instantanné]]/(tabSuiviConso[[#This Row],[Diff jour
Instantané]]*24)</f>
        <v>0</v>
      </c>
      <c r="AA21" s="59">
        <f>IF(ISERROR(tabSuiviConso[[#This Row],[Date]]-A21),"",tabSuiviConso[[#This Row],[HP + HC
instantanné]]/tabSuiviConso[[#This Row],[Diff jour
Instantané]])</f>
        <v>0</v>
      </c>
      <c r="AB21" s="59">
        <f>tabSuiviConso[[#This Row],[Conso HP + HC / jour_x000D_
Instantané]]*365</f>
        <v>0</v>
      </c>
      <c r="AC21" s="59">
        <f>tabSuiviConso[[#This Row],[HP + HC
cumul]]/(tabSuiviConso[[#This Row],[Diff jour_x000D_
Cumul]]*24)</f>
        <v>9.5963550715418116</v>
      </c>
      <c r="AD21" s="59">
        <f>tabSuiviConso[[#This Row],[HP + HC
cumul]]/tabSuiviConso[[#This Row],[Diff jour_x000D_
Cumul]]</f>
        <v>230.31252171700348</v>
      </c>
      <c r="AE21" s="59">
        <f>tabSuiviConso[[#This Row],[Conso HP + HC / jour_x000D_
cumul]]*365</f>
        <v>84064.070426706268</v>
      </c>
    </row>
  </sheetData>
  <sheetProtection autoFilter="0"/>
  <mergeCells count="1">
    <mergeCell ref="A1:V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showGridLines="0" showRowColHeaders="0" workbookViewId="0">
      <selection activeCell="G51" sqref="G51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showGridLines="0" showRowColHeaders="0" topLeftCell="A4" workbookViewId="0">
      <selection activeCell="O50" sqref="O5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368"/>
  <sheetViews>
    <sheetView showGridLines="0" showRowColHeaders="0" topLeftCell="C1" workbookViewId="0">
      <pane xSplit="2" ySplit="1" topLeftCell="E197" activePane="bottomRight" state="frozen"/>
      <selection activeCell="C1" sqref="C1"/>
      <selection pane="topRight" activeCell="E1" sqref="E1"/>
      <selection pane="bottomLeft" activeCell="C2" sqref="C2"/>
      <selection pane="bottomRight" activeCell="U238" sqref="U238"/>
    </sheetView>
  </sheetViews>
  <sheetFormatPr baseColWidth="10" defaultRowHeight="11.25" x14ac:dyDescent="0.2"/>
  <cols>
    <col min="1" max="1" width="8.85546875" style="86" hidden="1" customWidth="1"/>
    <col min="2" max="2" width="8.42578125" style="86" hidden="1" customWidth="1"/>
    <col min="3" max="3" width="12.5703125" style="86" bestFit="1" customWidth="1"/>
    <col min="4" max="4" width="14.7109375" style="86" hidden="1" customWidth="1"/>
    <col min="5" max="5" width="9" style="86" bestFit="1" customWidth="1"/>
    <col min="6" max="6" width="13.5703125" style="123" bestFit="1" customWidth="1"/>
    <col min="7" max="7" width="14.7109375" style="86" hidden="1" customWidth="1"/>
    <col min="8" max="8" width="9" style="86" bestFit="1" customWidth="1"/>
    <col min="9" max="9" width="13.5703125" style="123" bestFit="1" customWidth="1"/>
    <col min="10" max="10" width="14.7109375" style="86" hidden="1" customWidth="1"/>
    <col min="11" max="11" width="16.28515625" style="86" bestFit="1" customWidth="1"/>
    <col min="12" max="12" width="12.7109375" style="86" bestFit="1" customWidth="1"/>
    <col min="13" max="13" width="9" style="86" customWidth="1"/>
    <col min="14" max="14" width="13.5703125" style="123" bestFit="1" customWidth="1"/>
    <col min="15" max="15" width="16.28515625" style="86" bestFit="1" customWidth="1"/>
    <col min="16" max="16" width="12.7109375" style="86" bestFit="1" customWidth="1"/>
    <col min="17" max="17" width="14.7109375" style="86" hidden="1" customWidth="1"/>
    <col min="18" max="18" width="9" style="86" bestFit="1" customWidth="1"/>
    <col min="19" max="19" width="13.5703125" style="123" bestFit="1" customWidth="1"/>
    <col min="20" max="20" width="16.28515625" style="86" bestFit="1" customWidth="1"/>
    <col min="21" max="21" width="12.7109375" style="86" bestFit="1" customWidth="1"/>
    <col min="22" max="16384" width="11.42578125" style="86"/>
  </cols>
  <sheetData>
    <row r="1" spans="1:21" ht="22.5" x14ac:dyDescent="0.2">
      <c r="A1" s="118" t="s">
        <v>51</v>
      </c>
      <c r="B1" s="118" t="s">
        <v>120</v>
      </c>
      <c r="C1" s="86" t="s">
        <v>121</v>
      </c>
      <c r="D1" s="118" t="s">
        <v>127</v>
      </c>
      <c r="E1" s="125" t="s">
        <v>122</v>
      </c>
      <c r="F1" s="123" t="s">
        <v>129</v>
      </c>
      <c r="G1" s="118" t="s">
        <v>126</v>
      </c>
      <c r="H1" s="125" t="s">
        <v>123</v>
      </c>
      <c r="I1" s="123" t="s">
        <v>130</v>
      </c>
      <c r="J1" s="118" t="s">
        <v>128</v>
      </c>
      <c r="K1" s="86" t="s">
        <v>140</v>
      </c>
      <c r="L1" s="111" t="s">
        <v>147</v>
      </c>
      <c r="M1" s="125" t="s">
        <v>124</v>
      </c>
      <c r="N1" s="123" t="s">
        <v>131</v>
      </c>
      <c r="O1" s="102" t="s">
        <v>141</v>
      </c>
      <c r="P1" s="111" t="s">
        <v>146</v>
      </c>
      <c r="Q1" s="119" t="s">
        <v>145</v>
      </c>
      <c r="R1" s="125" t="s">
        <v>142</v>
      </c>
      <c r="S1" s="123" t="s">
        <v>143</v>
      </c>
      <c r="T1" s="102" t="s">
        <v>144</v>
      </c>
      <c r="U1" s="111" t="s">
        <v>148</v>
      </c>
    </row>
    <row r="2" spans="1:21" x14ac:dyDescent="0.2">
      <c r="A2" s="102">
        <v>1</v>
      </c>
      <c r="B2" s="102">
        <v>0</v>
      </c>
      <c r="C2" s="102" t="str">
        <f>Tableau6[Jour]&amp;"/"&amp;Tableau6[Mois]</f>
        <v>0/1</v>
      </c>
      <c r="D2" s="102">
        <f>MATCH(2020,tabSuiviConso[Année last],0)</f>
        <v>1</v>
      </c>
      <c r="E2" s="102">
        <f>IF(ISNA(Tableau6[[#This Row],[Position 2021]]),"",INDEX(tabSuiviConso[HP + HC
cumul],Tableau6[[#This Row],[Position 2021]],1))</f>
        <v>0</v>
      </c>
      <c r="F2" s="123">
        <f>IF(ISNA(Tableau6[[#This Row],[Position 2021]]),Tableau6[[#This Row],[Position 2021]],Tableau6[[#This Row],[2021]]-E$2)</f>
        <v>0</v>
      </c>
      <c r="G2" s="102">
        <f>MATCH(2021,tabSuiviConso[Année last],0)</f>
        <v>18</v>
      </c>
      <c r="H2" s="102">
        <f>IF(ISNA(Tableau6[[#This Row],[Position 2022]]),"",INDEX(tabSuiviConso[HP + HC
cumul],Tableau6[[#This Row],[Position 2022]],1))</f>
        <v>-299191</v>
      </c>
      <c r="I2" s="123">
        <f>IF(ISNA(Tableau6[[#This Row],[Position 2022]]),Tableau6[[#This Row],[Position 2022]],Tableau6[[#This Row],[2022]]-H$2)</f>
        <v>0</v>
      </c>
      <c r="J2" s="102" t="e">
        <f>MATCH(2022,tabSuiviConso[Année last],0)</f>
        <v>#N/A</v>
      </c>
      <c r="K2" s="102">
        <f>Tableau6[[#This Row],[Cumul 2022]]-Tableau6[[#This Row],[Cumul 2021]]</f>
        <v>0</v>
      </c>
      <c r="L2" s="104" t="e">
        <f>Tableau6[[#This Row],[Ecart 2021 2022]]/Tableau6[[#This Row],[Cumul 2021]]</f>
        <v>#DIV/0!</v>
      </c>
      <c r="M2" s="102" t="str">
        <f>IF(ISNA(Tableau6[[#This Row],[Position 2023]]),"",INDEX(tabSuiviConso[HP + HC
cumul],Tableau6[[#This Row],[Position 2023]],1))</f>
        <v/>
      </c>
      <c r="N2" s="123" t="e">
        <f>IF(ISNA(Tableau6[[#This Row],[Position 2023]]),Tableau6[[#This Row],[Position 2023]],Tableau6[[#This Row],[2023]]-M$2)</f>
        <v>#N/A</v>
      </c>
      <c r="O2" s="102" t="e">
        <f>Tableau6[[#This Row],[Cumul 2023]]-Tableau6[[#This Row],[Cumul 2022]]</f>
        <v>#N/A</v>
      </c>
      <c r="P2" s="104" t="e">
        <f>Tableau6[[#This Row],[Ecart 2022 2023]]/Tableau6[[#This Row],[Cumul 2022]]</f>
        <v>#N/A</v>
      </c>
      <c r="Q2" s="102" t="e">
        <f>MATCH(2023,tabSuiviConso[Année last],0)</f>
        <v>#N/A</v>
      </c>
      <c r="R2" s="102" t="str">
        <f>IF(ISNA(Tableau6[[#This Row],[Position 2024]]),"",INDEX(tabSuiviConso[HP + HC
cumul],Tableau6[[#This Row],[Position 2024]],1))</f>
        <v/>
      </c>
      <c r="S2" s="123" t="e">
        <f>IF(ISNA(Tableau6[[#This Row],[Position 2024]]),Tableau6[[#This Row],[Position 2024]],Tableau6[[#This Row],[2024]]-R$2)</f>
        <v>#N/A</v>
      </c>
      <c r="T2" s="102" t="e">
        <f>Tableau6[[#This Row],[Cumul 2024]]-Tableau6[[#This Row],[Cumul 2023]]</f>
        <v>#N/A</v>
      </c>
      <c r="U2" s="103" t="e">
        <f>Tableau6[[#This Row],[Ecart 2023 2024]]/Tableau6[[#This Row],[Cumul 2023]]</f>
        <v>#N/A</v>
      </c>
    </row>
    <row r="3" spans="1:21" x14ac:dyDescent="0.2">
      <c r="A3" s="86">
        <v>1</v>
      </c>
      <c r="B3" s="86">
        <v>1</v>
      </c>
      <c r="C3" s="86" t="str">
        <f>Tableau6[Jour]&amp;"/"&amp;Tableau6[Mois]</f>
        <v>1/1</v>
      </c>
      <c r="D3" s="86" t="e">
        <f>MATCH(Tableau6[Jours Mois]&amp;"/"&amp;Tableau6[[#Headers],[2021]],tabSuiviConso[Jour Mois Année],0)</f>
        <v>#N/A</v>
      </c>
      <c r="E3" s="86" t="str">
        <f>IF(ISNA(Tableau6[[#This Row],[Position 2021]]),"",INDEX(tabSuiviConso[HP + HC
cumul],Tableau6[[#This Row],[Position 2021]],1))</f>
        <v/>
      </c>
      <c r="F3" s="123" t="e">
        <f>IF(ISNA(Tableau6[[#This Row],[Position 2021]]),Tableau6[[#This Row],[Position 2021]],Tableau6[[#This Row],[2021]]-E$2)</f>
        <v>#N/A</v>
      </c>
      <c r="G3" s="86" t="e">
        <f>MATCH(Tableau6[Jours Mois]&amp;"/"&amp;Tableau6[[#Headers],[2022]],tabSuiviConso[Jour Mois Année],0)</f>
        <v>#N/A</v>
      </c>
      <c r="H3" s="86" t="str">
        <f>IF(ISNA(Tableau6[[#This Row],[Position 2022]]),"",INDEX(tabSuiviConso[HP + HC
cumul],Tableau6[[#This Row],[Position 2022]],1))</f>
        <v/>
      </c>
      <c r="I3" s="123" t="e">
        <f>IF(ISNA(Tableau6[[#This Row],[Position 2022]]),Tableau6[[#This Row],[Position 2022]],Tableau6[[#This Row],[2022]]-H$2)</f>
        <v>#N/A</v>
      </c>
      <c r="J3" s="86" t="e">
        <f>MATCH(Tableau6[Jours Mois]&amp;"/"&amp;Tableau6[[#Headers],[2023]],tabSuiviConso[Jour Mois Année],0)</f>
        <v>#N/A</v>
      </c>
      <c r="K3" s="102" t="e">
        <f>Tableau6[[#This Row],[Cumul 2022]]-Tableau6[[#This Row],[Cumul 2021]]</f>
        <v>#N/A</v>
      </c>
      <c r="L3" s="104" t="e">
        <f>Tableau6[[#This Row],[Ecart 2021 2022]]/Tableau6[[#This Row],[Cumul 2021]]</f>
        <v>#N/A</v>
      </c>
      <c r="M3" s="86" t="str">
        <f>IF(ISNA(Tableau6[[#This Row],[Position 2023]]),"",INDEX(tabSuiviConso[HP + HC
cumul],Tableau6[[#This Row],[Position 2023]],1))</f>
        <v/>
      </c>
      <c r="N3" s="123" t="e">
        <f>IF(ISNA(Tableau6[[#This Row],[Position 2023]]),Tableau6[[#This Row],[Position 2023]],Tableau6[[#This Row],[2023]]-M$2)</f>
        <v>#N/A</v>
      </c>
      <c r="O3" s="102" t="e">
        <f>Tableau6[[#This Row],[Cumul 2023]]-Tableau6[[#This Row],[Cumul 2022]]</f>
        <v>#N/A</v>
      </c>
      <c r="P3" s="104" t="e">
        <f>Tableau6[[#This Row],[Ecart 2022 2023]]/Tableau6[[#This Row],[Cumul 2022]]</f>
        <v>#N/A</v>
      </c>
      <c r="Q3" s="102" t="e">
        <f>MATCH(Tableau6[Jours Mois]&amp;"/"&amp;Tableau6[[#Headers],[2024]],tabSuiviConso[Jour Mois Année],0)</f>
        <v>#N/A</v>
      </c>
      <c r="R3" s="102" t="str">
        <f>IF(ISNA(Tableau6[[#This Row],[Position 2024]]),"",INDEX(tabSuiviConso[HP + HC
cumul],Tableau6[[#This Row],[Position 2024]],1))</f>
        <v/>
      </c>
      <c r="S3" s="123" t="e">
        <f>IF(ISNA(Tableau6[[#This Row],[Position 2024]]),Tableau6[[#This Row],[Position 2024]],Tableau6[[#This Row],[2024]]-R$2)</f>
        <v>#N/A</v>
      </c>
      <c r="T3" s="102" t="e">
        <f>Tableau6[[#This Row],[Cumul 2024]]-Tableau6[[#This Row],[Cumul 2023]]</f>
        <v>#N/A</v>
      </c>
      <c r="U3" s="103" t="e">
        <f>Tableau6[[#This Row],[Ecart 2023 2024]]/Tableau6[[#This Row],[Cumul 2023]]</f>
        <v>#N/A</v>
      </c>
    </row>
    <row r="4" spans="1:21" x14ac:dyDescent="0.2">
      <c r="A4" s="102">
        <v>1</v>
      </c>
      <c r="B4" s="102">
        <v>2</v>
      </c>
      <c r="C4" s="102" t="str">
        <f>Tableau6[Jour]&amp;"/"&amp;Tableau6[Mois]</f>
        <v>2/1</v>
      </c>
      <c r="D4" s="102" t="e">
        <f>MATCH(Tableau6[Jours Mois]&amp;"/"&amp;Tableau6[[#Headers],[2021]],tabSuiviConso[Jour Mois Année],0)</f>
        <v>#N/A</v>
      </c>
      <c r="E4" s="86" t="str">
        <f>IF(ISNA(Tableau6[[#This Row],[Position 2021]]),"",INDEX(tabSuiviConso[HP + HC
cumul],Tableau6[[#This Row],[Position 2021]],1))</f>
        <v/>
      </c>
      <c r="F4" s="123" t="e">
        <f>IF(ISNA(Tableau6[[#This Row],[Position 2021]]),Tableau6[[#This Row],[Position 2021]],Tableau6[[#This Row],[2021]]-E$2)</f>
        <v>#N/A</v>
      </c>
      <c r="G4" s="102" t="e">
        <f>MATCH(Tableau6[Jours Mois]&amp;"/"&amp;Tableau6[[#Headers],[2022]],tabSuiviConso[Jour Mois Année],0)</f>
        <v>#N/A</v>
      </c>
      <c r="H4" s="86" t="str">
        <f>IF(ISNA(Tableau6[[#This Row],[Position 2022]]),"",INDEX(tabSuiviConso[HP + HC
cumul],Tableau6[[#This Row],[Position 2022]],1))</f>
        <v/>
      </c>
      <c r="I4" s="123" t="e">
        <f>IF(ISNA(Tableau6[[#This Row],[Position 2022]]),Tableau6[[#This Row],[Position 2022]],Tableau6[[#This Row],[2022]]-H$2)</f>
        <v>#N/A</v>
      </c>
      <c r="J4" s="102" t="e">
        <f>MATCH(Tableau6[Jours Mois]&amp;"/"&amp;Tableau6[[#Headers],[2023]],tabSuiviConso[Jour Mois Année],0)</f>
        <v>#N/A</v>
      </c>
      <c r="K4" s="102" t="e">
        <f>Tableau6[[#This Row],[Cumul 2022]]-Tableau6[[#This Row],[Cumul 2021]]</f>
        <v>#N/A</v>
      </c>
      <c r="L4" s="104" t="e">
        <f>Tableau6[[#This Row],[Ecart 2021 2022]]/Tableau6[[#This Row],[Cumul 2021]]</f>
        <v>#N/A</v>
      </c>
      <c r="M4" s="86" t="str">
        <f>IF(ISNA(Tableau6[[#This Row],[Position 2023]]),"",INDEX(tabSuiviConso[HP + HC
cumul],Tableau6[[#This Row],[Position 2023]],1))</f>
        <v/>
      </c>
      <c r="N4" s="123" t="e">
        <f>IF(ISNA(Tableau6[[#This Row],[Position 2023]]),Tableau6[[#This Row],[Position 2023]],Tableau6[[#This Row],[2023]]-M$2)</f>
        <v>#N/A</v>
      </c>
      <c r="O4" s="102" t="e">
        <f>Tableau6[[#This Row],[Cumul 2023]]-Tableau6[[#This Row],[Cumul 2022]]</f>
        <v>#N/A</v>
      </c>
      <c r="P4" s="104" t="e">
        <f>Tableau6[[#This Row],[Ecart 2022 2023]]/Tableau6[[#This Row],[Cumul 2022]]</f>
        <v>#N/A</v>
      </c>
      <c r="Q4" s="102" t="e">
        <f>MATCH(Tableau6[Jours Mois]&amp;"/"&amp;Tableau6[[#Headers],[2024]],tabSuiviConso[Jour Mois Année],0)</f>
        <v>#N/A</v>
      </c>
      <c r="R4" s="102" t="str">
        <f>IF(ISNA(Tableau6[[#This Row],[Position 2024]]),"",INDEX(tabSuiviConso[HP + HC
cumul],Tableau6[[#This Row],[Position 2024]],1))</f>
        <v/>
      </c>
      <c r="S4" s="123" t="e">
        <f>IF(ISNA(Tableau6[[#This Row],[Position 2024]]),Tableau6[[#This Row],[Position 2024]],Tableau6[[#This Row],[2024]]-R$2)</f>
        <v>#N/A</v>
      </c>
      <c r="T4" s="102" t="e">
        <f>Tableau6[[#This Row],[Cumul 2024]]-Tableau6[[#This Row],[Cumul 2023]]</f>
        <v>#N/A</v>
      </c>
      <c r="U4" s="103" t="e">
        <f>Tableau6[[#This Row],[Ecart 2023 2024]]/Tableau6[[#This Row],[Cumul 2023]]</f>
        <v>#N/A</v>
      </c>
    </row>
    <row r="5" spans="1:21" x14ac:dyDescent="0.2">
      <c r="A5" s="102">
        <v>1</v>
      </c>
      <c r="B5" s="102">
        <v>3</v>
      </c>
      <c r="C5" s="102" t="str">
        <f>Tableau6[Jour]&amp;"/"&amp;Tableau6[Mois]</f>
        <v>3/1</v>
      </c>
      <c r="D5" s="102" t="e">
        <f>MATCH(Tableau6[Jours Mois]&amp;"/"&amp;Tableau6[[#Headers],[2021]],tabSuiviConso[Jour Mois Année],0)</f>
        <v>#N/A</v>
      </c>
      <c r="E5" s="86" t="str">
        <f>IF(ISNA(Tableau6[[#This Row],[Position 2021]]),"",INDEX(tabSuiviConso[HP + HC
cumul],Tableau6[[#This Row],[Position 2021]],1))</f>
        <v/>
      </c>
      <c r="F5" s="123" t="e">
        <f>IF(ISNA(Tableau6[[#This Row],[Position 2021]]),Tableau6[[#This Row],[Position 2021]],Tableau6[[#This Row],[2021]]-E$2)</f>
        <v>#N/A</v>
      </c>
      <c r="G5" s="102" t="e">
        <f>MATCH(Tableau6[Jours Mois]&amp;"/"&amp;Tableau6[[#Headers],[2022]],tabSuiviConso[Jour Mois Année],0)</f>
        <v>#N/A</v>
      </c>
      <c r="H5" s="86" t="str">
        <f>IF(ISNA(Tableau6[[#This Row],[Position 2022]]),"",INDEX(tabSuiviConso[HP + HC
cumul],Tableau6[[#This Row],[Position 2022]],1))</f>
        <v/>
      </c>
      <c r="I5" s="123" t="e">
        <f>IF(ISNA(Tableau6[[#This Row],[Position 2022]]),Tableau6[[#This Row],[Position 2022]],Tableau6[[#This Row],[2022]]-H$2)</f>
        <v>#N/A</v>
      </c>
      <c r="J5" s="102" t="e">
        <f>MATCH(Tableau6[Jours Mois]&amp;"/"&amp;Tableau6[[#Headers],[2023]],tabSuiviConso[Jour Mois Année],0)</f>
        <v>#N/A</v>
      </c>
      <c r="K5" s="102" t="e">
        <f>Tableau6[[#This Row],[Cumul 2022]]-Tableau6[[#This Row],[Cumul 2021]]</f>
        <v>#N/A</v>
      </c>
      <c r="L5" s="104" t="e">
        <f>Tableau6[[#This Row],[Ecart 2021 2022]]/Tableau6[[#This Row],[Cumul 2021]]</f>
        <v>#N/A</v>
      </c>
      <c r="M5" s="86" t="str">
        <f>IF(ISNA(Tableau6[[#This Row],[Position 2023]]),"",INDEX(tabSuiviConso[HP + HC
cumul],Tableau6[[#This Row],[Position 2023]],1))</f>
        <v/>
      </c>
      <c r="N5" s="123" t="e">
        <f>IF(ISNA(Tableau6[[#This Row],[Position 2023]]),Tableau6[[#This Row],[Position 2023]],Tableau6[[#This Row],[2023]]-M$2)</f>
        <v>#N/A</v>
      </c>
      <c r="O5" s="102" t="e">
        <f>Tableau6[[#This Row],[Cumul 2023]]-Tableau6[[#This Row],[Cumul 2022]]</f>
        <v>#N/A</v>
      </c>
      <c r="P5" s="104" t="e">
        <f>Tableau6[[#This Row],[Ecart 2022 2023]]/Tableau6[[#This Row],[Cumul 2022]]</f>
        <v>#N/A</v>
      </c>
      <c r="Q5" s="102" t="e">
        <f>MATCH(Tableau6[Jours Mois]&amp;"/"&amp;Tableau6[[#Headers],[2024]],tabSuiviConso[Jour Mois Année],0)</f>
        <v>#N/A</v>
      </c>
      <c r="R5" s="102" t="str">
        <f>IF(ISNA(Tableau6[[#This Row],[Position 2024]]),"",INDEX(tabSuiviConso[HP + HC
cumul],Tableau6[[#This Row],[Position 2024]],1))</f>
        <v/>
      </c>
      <c r="S5" s="123" t="e">
        <f>IF(ISNA(Tableau6[[#This Row],[Position 2024]]),Tableau6[[#This Row],[Position 2024]],Tableau6[[#This Row],[2024]]-R$2)</f>
        <v>#N/A</v>
      </c>
      <c r="T5" s="102" t="e">
        <f>Tableau6[[#This Row],[Cumul 2024]]-Tableau6[[#This Row],[Cumul 2023]]</f>
        <v>#N/A</v>
      </c>
      <c r="U5" s="103" t="e">
        <f>Tableau6[[#This Row],[Ecart 2023 2024]]/Tableau6[[#This Row],[Cumul 2023]]</f>
        <v>#N/A</v>
      </c>
    </row>
    <row r="6" spans="1:21" x14ac:dyDescent="0.2">
      <c r="A6" s="102">
        <v>1</v>
      </c>
      <c r="B6" s="102">
        <v>4</v>
      </c>
      <c r="C6" s="102" t="str">
        <f>Tableau6[Jour]&amp;"/"&amp;Tableau6[Mois]</f>
        <v>4/1</v>
      </c>
      <c r="D6" s="102" t="e">
        <f>MATCH(Tableau6[Jours Mois]&amp;"/"&amp;Tableau6[[#Headers],[2021]],tabSuiviConso[Jour Mois Année],0)</f>
        <v>#N/A</v>
      </c>
      <c r="E6" s="86" t="str">
        <f>IF(ISNA(Tableau6[[#This Row],[Position 2021]]),"",INDEX(tabSuiviConso[HP + HC
cumul],Tableau6[[#This Row],[Position 2021]],1))</f>
        <v/>
      </c>
      <c r="F6" s="123" t="e">
        <f>IF(ISNA(Tableau6[[#This Row],[Position 2021]]),Tableau6[[#This Row],[Position 2021]],Tableau6[[#This Row],[2021]]-E$2)</f>
        <v>#N/A</v>
      </c>
      <c r="G6" s="102" t="e">
        <f>MATCH(Tableau6[Jours Mois]&amp;"/"&amp;Tableau6[[#Headers],[2022]],tabSuiviConso[Jour Mois Année],0)</f>
        <v>#N/A</v>
      </c>
      <c r="H6" s="86" t="str">
        <f>IF(ISNA(Tableau6[[#This Row],[Position 2022]]),"",INDEX(tabSuiviConso[HP + HC
cumul],Tableau6[[#This Row],[Position 2022]],1))</f>
        <v/>
      </c>
      <c r="I6" s="123" t="e">
        <f>IF(ISNA(Tableau6[[#This Row],[Position 2022]]),Tableau6[[#This Row],[Position 2022]],Tableau6[[#This Row],[2022]]-H$2)</f>
        <v>#N/A</v>
      </c>
      <c r="J6" s="102" t="e">
        <f>MATCH(Tableau6[Jours Mois]&amp;"/"&amp;Tableau6[[#Headers],[2023]],tabSuiviConso[Jour Mois Année],0)</f>
        <v>#N/A</v>
      </c>
      <c r="K6" s="102" t="e">
        <f>Tableau6[[#This Row],[Cumul 2022]]-Tableau6[[#This Row],[Cumul 2021]]</f>
        <v>#N/A</v>
      </c>
      <c r="L6" s="104" t="e">
        <f>Tableau6[[#This Row],[Ecart 2021 2022]]/Tableau6[[#This Row],[Cumul 2021]]</f>
        <v>#N/A</v>
      </c>
      <c r="M6" s="86" t="str">
        <f>IF(ISNA(Tableau6[[#This Row],[Position 2023]]),"",INDEX(tabSuiviConso[HP + HC
cumul],Tableau6[[#This Row],[Position 2023]],1))</f>
        <v/>
      </c>
      <c r="N6" s="123" t="e">
        <f>IF(ISNA(Tableau6[[#This Row],[Position 2023]]),Tableau6[[#This Row],[Position 2023]],Tableau6[[#This Row],[2023]]-M$2)</f>
        <v>#N/A</v>
      </c>
      <c r="O6" s="102" t="e">
        <f>Tableau6[[#This Row],[Cumul 2023]]-Tableau6[[#This Row],[Cumul 2022]]</f>
        <v>#N/A</v>
      </c>
      <c r="P6" s="104" t="e">
        <f>Tableau6[[#This Row],[Ecart 2022 2023]]/Tableau6[[#This Row],[Cumul 2022]]</f>
        <v>#N/A</v>
      </c>
      <c r="Q6" s="102" t="e">
        <f>MATCH(Tableau6[Jours Mois]&amp;"/"&amp;Tableau6[[#Headers],[2024]],tabSuiviConso[Jour Mois Année],0)</f>
        <v>#N/A</v>
      </c>
      <c r="R6" s="102" t="str">
        <f>IF(ISNA(Tableau6[[#This Row],[Position 2024]]),"",INDEX(tabSuiviConso[HP + HC
cumul],Tableau6[[#This Row],[Position 2024]],1))</f>
        <v/>
      </c>
      <c r="S6" s="123" t="e">
        <f>IF(ISNA(Tableau6[[#This Row],[Position 2024]]),Tableau6[[#This Row],[Position 2024]],Tableau6[[#This Row],[2024]]-R$2)</f>
        <v>#N/A</v>
      </c>
      <c r="T6" s="102" t="e">
        <f>Tableau6[[#This Row],[Cumul 2024]]-Tableau6[[#This Row],[Cumul 2023]]</f>
        <v>#N/A</v>
      </c>
      <c r="U6" s="103" t="e">
        <f>Tableau6[[#This Row],[Ecart 2023 2024]]/Tableau6[[#This Row],[Cumul 2023]]</f>
        <v>#N/A</v>
      </c>
    </row>
    <row r="7" spans="1:21" x14ac:dyDescent="0.2">
      <c r="A7" s="102">
        <v>1</v>
      </c>
      <c r="B7" s="102">
        <v>5</v>
      </c>
      <c r="C7" s="102" t="str">
        <f>Tableau6[Jour]&amp;"/"&amp;Tableau6[Mois]</f>
        <v>5/1</v>
      </c>
      <c r="D7" s="102" t="e">
        <f>MATCH(Tableau6[Jours Mois]&amp;"/"&amp;Tableau6[[#Headers],[2021]],tabSuiviConso[Jour Mois Année],0)</f>
        <v>#N/A</v>
      </c>
      <c r="E7" s="86" t="str">
        <f>IF(ISNA(Tableau6[[#This Row],[Position 2021]]),"",INDEX(tabSuiviConso[HP + HC
cumul],Tableau6[[#This Row],[Position 2021]],1))</f>
        <v/>
      </c>
      <c r="F7" s="123" t="e">
        <f>IF(ISNA(Tableau6[[#This Row],[Position 2021]]),Tableau6[[#This Row],[Position 2021]],Tableau6[[#This Row],[2021]]-E$2)</f>
        <v>#N/A</v>
      </c>
      <c r="G7" s="102" t="e">
        <f>MATCH(Tableau6[Jours Mois]&amp;"/"&amp;Tableau6[[#Headers],[2022]],tabSuiviConso[Jour Mois Année],0)</f>
        <v>#N/A</v>
      </c>
      <c r="H7" s="86" t="str">
        <f>IF(ISNA(Tableau6[[#This Row],[Position 2022]]),"",INDEX(tabSuiviConso[HP + HC
cumul],Tableau6[[#This Row],[Position 2022]],1))</f>
        <v/>
      </c>
      <c r="I7" s="123" t="e">
        <f>IF(ISNA(Tableau6[[#This Row],[Position 2022]]),Tableau6[[#This Row],[Position 2022]],Tableau6[[#This Row],[2022]]-H$2)</f>
        <v>#N/A</v>
      </c>
      <c r="J7" s="102" t="e">
        <f>MATCH(Tableau6[Jours Mois]&amp;"/"&amp;Tableau6[[#Headers],[2023]],tabSuiviConso[Jour Mois Année],0)</f>
        <v>#N/A</v>
      </c>
      <c r="K7" s="102" t="e">
        <f>Tableau6[[#This Row],[Cumul 2022]]-Tableau6[[#This Row],[Cumul 2021]]</f>
        <v>#N/A</v>
      </c>
      <c r="L7" s="104" t="e">
        <f>Tableau6[[#This Row],[Ecart 2021 2022]]/Tableau6[[#This Row],[Cumul 2021]]</f>
        <v>#N/A</v>
      </c>
      <c r="M7" s="86" t="str">
        <f>IF(ISNA(Tableau6[[#This Row],[Position 2023]]),"",INDEX(tabSuiviConso[HP + HC
cumul],Tableau6[[#This Row],[Position 2023]],1))</f>
        <v/>
      </c>
      <c r="N7" s="123" t="e">
        <f>IF(ISNA(Tableau6[[#This Row],[Position 2023]]),Tableau6[[#This Row],[Position 2023]],Tableau6[[#This Row],[2023]]-M$2)</f>
        <v>#N/A</v>
      </c>
      <c r="O7" s="102" t="e">
        <f>Tableau6[[#This Row],[Cumul 2023]]-Tableau6[[#This Row],[Cumul 2022]]</f>
        <v>#N/A</v>
      </c>
      <c r="P7" s="104" t="e">
        <f>Tableau6[[#This Row],[Ecart 2022 2023]]/Tableau6[[#This Row],[Cumul 2022]]</f>
        <v>#N/A</v>
      </c>
      <c r="Q7" s="102" t="e">
        <f>MATCH(Tableau6[Jours Mois]&amp;"/"&amp;Tableau6[[#Headers],[2024]],tabSuiviConso[Jour Mois Année],0)</f>
        <v>#N/A</v>
      </c>
      <c r="R7" s="102" t="str">
        <f>IF(ISNA(Tableau6[[#This Row],[Position 2024]]),"",INDEX(tabSuiviConso[HP + HC
cumul],Tableau6[[#This Row],[Position 2024]],1))</f>
        <v/>
      </c>
      <c r="S7" s="123" t="e">
        <f>IF(ISNA(Tableau6[[#This Row],[Position 2024]]),Tableau6[[#This Row],[Position 2024]],Tableau6[[#This Row],[2024]]-R$2)</f>
        <v>#N/A</v>
      </c>
      <c r="T7" s="102" t="e">
        <f>Tableau6[[#This Row],[Cumul 2024]]-Tableau6[[#This Row],[Cumul 2023]]</f>
        <v>#N/A</v>
      </c>
      <c r="U7" s="103" t="e">
        <f>Tableau6[[#This Row],[Ecart 2023 2024]]/Tableau6[[#This Row],[Cumul 2023]]</f>
        <v>#N/A</v>
      </c>
    </row>
    <row r="8" spans="1:21" x14ac:dyDescent="0.2">
      <c r="A8" s="102">
        <v>1</v>
      </c>
      <c r="B8" s="102">
        <v>6</v>
      </c>
      <c r="C8" s="102" t="str">
        <f>Tableau6[Jour]&amp;"/"&amp;Tableau6[Mois]</f>
        <v>6/1</v>
      </c>
      <c r="D8" s="102" t="e">
        <f>MATCH(Tableau6[Jours Mois]&amp;"/"&amp;Tableau6[[#Headers],[2021]],tabSuiviConso[Jour Mois Année],0)</f>
        <v>#N/A</v>
      </c>
      <c r="E8" s="86" t="str">
        <f>IF(ISNA(Tableau6[[#This Row],[Position 2021]]),"",INDEX(tabSuiviConso[HP + HC
cumul],Tableau6[[#This Row],[Position 2021]],1))</f>
        <v/>
      </c>
      <c r="F8" s="123" t="e">
        <f>IF(ISNA(Tableau6[[#This Row],[Position 2021]]),Tableau6[[#This Row],[Position 2021]],Tableau6[[#This Row],[2021]]-E$2)</f>
        <v>#N/A</v>
      </c>
      <c r="G8" s="102" t="e">
        <f>MATCH(Tableau6[Jours Mois]&amp;"/"&amp;Tableau6[[#Headers],[2022]],tabSuiviConso[Jour Mois Année],0)</f>
        <v>#N/A</v>
      </c>
      <c r="H8" s="86" t="str">
        <f>IF(ISNA(Tableau6[[#This Row],[Position 2022]]),"",INDEX(tabSuiviConso[HP + HC
cumul],Tableau6[[#This Row],[Position 2022]],1))</f>
        <v/>
      </c>
      <c r="I8" s="123" t="e">
        <f>IF(ISNA(Tableau6[[#This Row],[Position 2022]]),Tableau6[[#This Row],[Position 2022]],Tableau6[[#This Row],[2022]]-H$2)</f>
        <v>#N/A</v>
      </c>
      <c r="J8" s="102" t="e">
        <f>MATCH(Tableau6[Jours Mois]&amp;"/"&amp;Tableau6[[#Headers],[2023]],tabSuiviConso[Jour Mois Année],0)</f>
        <v>#N/A</v>
      </c>
      <c r="K8" s="102" t="e">
        <f>Tableau6[[#This Row],[Cumul 2022]]-Tableau6[[#This Row],[Cumul 2021]]</f>
        <v>#N/A</v>
      </c>
      <c r="L8" s="104" t="e">
        <f>Tableau6[[#This Row],[Ecart 2021 2022]]/Tableau6[[#This Row],[Cumul 2021]]</f>
        <v>#N/A</v>
      </c>
      <c r="M8" s="86" t="str">
        <f>IF(ISNA(Tableau6[[#This Row],[Position 2023]]),"",INDEX(tabSuiviConso[HP + HC
cumul],Tableau6[[#This Row],[Position 2023]],1))</f>
        <v/>
      </c>
      <c r="N8" s="123" t="e">
        <f>IF(ISNA(Tableau6[[#This Row],[Position 2023]]),Tableau6[[#This Row],[Position 2023]],Tableau6[[#This Row],[2023]]-M$2)</f>
        <v>#N/A</v>
      </c>
      <c r="O8" s="102" t="e">
        <f>Tableau6[[#This Row],[Cumul 2023]]-Tableau6[[#This Row],[Cumul 2022]]</f>
        <v>#N/A</v>
      </c>
      <c r="P8" s="104" t="e">
        <f>Tableau6[[#This Row],[Ecart 2022 2023]]/Tableau6[[#This Row],[Cumul 2022]]</f>
        <v>#N/A</v>
      </c>
      <c r="Q8" s="102" t="e">
        <f>MATCH(Tableau6[Jours Mois]&amp;"/"&amp;Tableau6[[#Headers],[2024]],tabSuiviConso[Jour Mois Année],0)</f>
        <v>#N/A</v>
      </c>
      <c r="R8" s="102" t="str">
        <f>IF(ISNA(Tableau6[[#This Row],[Position 2024]]),"",INDEX(tabSuiviConso[HP + HC
cumul],Tableau6[[#This Row],[Position 2024]],1))</f>
        <v/>
      </c>
      <c r="S8" s="123" t="e">
        <f>IF(ISNA(Tableau6[[#This Row],[Position 2024]]),Tableau6[[#This Row],[Position 2024]],Tableau6[[#This Row],[2024]]-R$2)</f>
        <v>#N/A</v>
      </c>
      <c r="T8" s="102" t="e">
        <f>Tableau6[[#This Row],[Cumul 2024]]-Tableau6[[#This Row],[Cumul 2023]]</f>
        <v>#N/A</v>
      </c>
      <c r="U8" s="103" t="e">
        <f>Tableau6[[#This Row],[Ecart 2023 2024]]/Tableau6[[#This Row],[Cumul 2023]]</f>
        <v>#N/A</v>
      </c>
    </row>
    <row r="9" spans="1:21" x14ac:dyDescent="0.2">
      <c r="A9" s="102">
        <v>1</v>
      </c>
      <c r="B9" s="102">
        <v>7</v>
      </c>
      <c r="C9" s="102" t="str">
        <f>Tableau6[Jour]&amp;"/"&amp;Tableau6[Mois]</f>
        <v>7/1</v>
      </c>
      <c r="D9" s="102" t="e">
        <f>MATCH(Tableau6[Jours Mois]&amp;"/"&amp;Tableau6[[#Headers],[2021]],tabSuiviConso[Jour Mois Année],0)</f>
        <v>#N/A</v>
      </c>
      <c r="E9" s="86" t="str">
        <f>IF(ISNA(Tableau6[[#This Row],[Position 2021]]),"",INDEX(tabSuiviConso[HP + HC
cumul],Tableau6[[#This Row],[Position 2021]],1))</f>
        <v/>
      </c>
      <c r="F9" s="123" t="e">
        <f>IF(ISNA(Tableau6[[#This Row],[Position 2021]]),Tableau6[[#This Row],[Position 2021]],Tableau6[[#This Row],[2021]]-E$2)</f>
        <v>#N/A</v>
      </c>
      <c r="G9" s="102" t="e">
        <f>MATCH(Tableau6[Jours Mois]&amp;"/"&amp;Tableau6[[#Headers],[2022]],tabSuiviConso[Jour Mois Année],0)</f>
        <v>#N/A</v>
      </c>
      <c r="H9" s="86" t="str">
        <f>IF(ISNA(Tableau6[[#This Row],[Position 2022]]),"",INDEX(tabSuiviConso[HP + HC
cumul],Tableau6[[#This Row],[Position 2022]],1))</f>
        <v/>
      </c>
      <c r="I9" s="123" t="e">
        <f>IF(ISNA(Tableau6[[#This Row],[Position 2022]]),Tableau6[[#This Row],[Position 2022]],Tableau6[[#This Row],[2022]]-H$2)</f>
        <v>#N/A</v>
      </c>
      <c r="J9" s="102" t="e">
        <f>MATCH(Tableau6[Jours Mois]&amp;"/"&amp;Tableau6[[#Headers],[2023]],tabSuiviConso[Jour Mois Année],0)</f>
        <v>#N/A</v>
      </c>
      <c r="K9" s="102" t="e">
        <f>Tableau6[[#This Row],[Cumul 2022]]-Tableau6[[#This Row],[Cumul 2021]]</f>
        <v>#N/A</v>
      </c>
      <c r="L9" s="104" t="e">
        <f>Tableau6[[#This Row],[Ecart 2021 2022]]/Tableau6[[#This Row],[Cumul 2021]]</f>
        <v>#N/A</v>
      </c>
      <c r="M9" s="86" t="str">
        <f>IF(ISNA(Tableau6[[#This Row],[Position 2023]]),"",INDEX(tabSuiviConso[HP + HC
cumul],Tableau6[[#This Row],[Position 2023]],1))</f>
        <v/>
      </c>
      <c r="N9" s="123" t="e">
        <f>IF(ISNA(Tableau6[[#This Row],[Position 2023]]),Tableau6[[#This Row],[Position 2023]],Tableau6[[#This Row],[2023]]-M$2)</f>
        <v>#N/A</v>
      </c>
      <c r="O9" s="102" t="e">
        <f>Tableau6[[#This Row],[Cumul 2023]]-Tableau6[[#This Row],[Cumul 2022]]</f>
        <v>#N/A</v>
      </c>
      <c r="P9" s="104" t="e">
        <f>Tableau6[[#This Row],[Ecart 2022 2023]]/Tableau6[[#This Row],[Cumul 2022]]</f>
        <v>#N/A</v>
      </c>
      <c r="Q9" s="102" t="e">
        <f>MATCH(Tableau6[Jours Mois]&amp;"/"&amp;Tableau6[[#Headers],[2024]],tabSuiviConso[Jour Mois Année],0)</f>
        <v>#N/A</v>
      </c>
      <c r="R9" s="102" t="str">
        <f>IF(ISNA(Tableau6[[#This Row],[Position 2024]]),"",INDEX(tabSuiviConso[HP + HC
cumul],Tableau6[[#This Row],[Position 2024]],1))</f>
        <v/>
      </c>
      <c r="S9" s="123" t="e">
        <f>IF(ISNA(Tableau6[[#This Row],[Position 2024]]),Tableau6[[#This Row],[Position 2024]],Tableau6[[#This Row],[2024]]-R$2)</f>
        <v>#N/A</v>
      </c>
      <c r="T9" s="102" t="e">
        <f>Tableau6[[#This Row],[Cumul 2024]]-Tableau6[[#This Row],[Cumul 2023]]</f>
        <v>#N/A</v>
      </c>
      <c r="U9" s="103" t="e">
        <f>Tableau6[[#This Row],[Ecart 2023 2024]]/Tableau6[[#This Row],[Cumul 2023]]</f>
        <v>#N/A</v>
      </c>
    </row>
    <row r="10" spans="1:21" x14ac:dyDescent="0.2">
      <c r="A10" s="102">
        <v>1</v>
      </c>
      <c r="B10" s="102">
        <v>8</v>
      </c>
      <c r="C10" s="102" t="str">
        <f>Tableau6[Jour]&amp;"/"&amp;Tableau6[Mois]</f>
        <v>8/1</v>
      </c>
      <c r="D10" s="102" t="e">
        <f>MATCH(Tableau6[Jours Mois]&amp;"/"&amp;Tableau6[[#Headers],[2021]],tabSuiviConso[Jour Mois Année],0)</f>
        <v>#N/A</v>
      </c>
      <c r="E10" s="86" t="str">
        <f>IF(ISNA(Tableau6[[#This Row],[Position 2021]]),"",INDEX(tabSuiviConso[HP + HC
cumul],Tableau6[[#This Row],[Position 2021]],1))</f>
        <v/>
      </c>
      <c r="F10" s="123" t="e">
        <f>IF(ISNA(Tableau6[[#This Row],[Position 2021]]),Tableau6[[#This Row],[Position 2021]],Tableau6[[#This Row],[2021]]-E$2)</f>
        <v>#N/A</v>
      </c>
      <c r="G10" s="102" t="e">
        <f>MATCH(Tableau6[Jours Mois]&amp;"/"&amp;Tableau6[[#Headers],[2022]],tabSuiviConso[Jour Mois Année],0)</f>
        <v>#N/A</v>
      </c>
      <c r="H10" s="86" t="str">
        <f>IF(ISNA(Tableau6[[#This Row],[Position 2022]]),"",INDEX(tabSuiviConso[HP + HC
cumul],Tableau6[[#This Row],[Position 2022]],1))</f>
        <v/>
      </c>
      <c r="I10" s="123" t="e">
        <f>IF(ISNA(Tableau6[[#This Row],[Position 2022]]),Tableau6[[#This Row],[Position 2022]],Tableau6[[#This Row],[2022]]-H$2)</f>
        <v>#N/A</v>
      </c>
      <c r="J10" s="102" t="e">
        <f>MATCH(Tableau6[Jours Mois]&amp;"/"&amp;Tableau6[[#Headers],[2023]],tabSuiviConso[Jour Mois Année],0)</f>
        <v>#N/A</v>
      </c>
      <c r="K10" s="102" t="e">
        <f>Tableau6[[#This Row],[Cumul 2022]]-Tableau6[[#This Row],[Cumul 2021]]</f>
        <v>#N/A</v>
      </c>
      <c r="L10" s="104" t="e">
        <f>Tableau6[[#This Row],[Ecart 2021 2022]]/Tableau6[[#This Row],[Cumul 2021]]</f>
        <v>#N/A</v>
      </c>
      <c r="M10" s="86" t="str">
        <f>IF(ISNA(Tableau6[[#This Row],[Position 2023]]),"",INDEX(tabSuiviConso[HP + HC
cumul],Tableau6[[#This Row],[Position 2023]],1))</f>
        <v/>
      </c>
      <c r="N10" s="123" t="e">
        <f>IF(ISNA(Tableau6[[#This Row],[Position 2023]]),Tableau6[[#This Row],[Position 2023]],Tableau6[[#This Row],[2023]]-M$2)</f>
        <v>#N/A</v>
      </c>
      <c r="O10" s="102" t="e">
        <f>Tableau6[[#This Row],[Cumul 2023]]-Tableau6[[#This Row],[Cumul 2022]]</f>
        <v>#N/A</v>
      </c>
      <c r="P10" s="104" t="e">
        <f>Tableau6[[#This Row],[Ecart 2022 2023]]/Tableau6[[#This Row],[Cumul 2022]]</f>
        <v>#N/A</v>
      </c>
      <c r="Q10" s="102" t="e">
        <f>MATCH(Tableau6[Jours Mois]&amp;"/"&amp;Tableau6[[#Headers],[2024]],tabSuiviConso[Jour Mois Année],0)</f>
        <v>#N/A</v>
      </c>
      <c r="R10" s="102" t="str">
        <f>IF(ISNA(Tableau6[[#This Row],[Position 2024]]),"",INDEX(tabSuiviConso[HP + HC
cumul],Tableau6[[#This Row],[Position 2024]],1))</f>
        <v/>
      </c>
      <c r="S10" s="123" t="e">
        <f>IF(ISNA(Tableau6[[#This Row],[Position 2024]]),Tableau6[[#This Row],[Position 2024]],Tableau6[[#This Row],[2024]]-R$2)</f>
        <v>#N/A</v>
      </c>
      <c r="T10" s="102" t="e">
        <f>Tableau6[[#This Row],[Cumul 2024]]-Tableau6[[#This Row],[Cumul 2023]]</f>
        <v>#N/A</v>
      </c>
      <c r="U10" s="103" t="e">
        <f>Tableau6[[#This Row],[Ecart 2023 2024]]/Tableau6[[#This Row],[Cumul 2023]]</f>
        <v>#N/A</v>
      </c>
    </row>
    <row r="11" spans="1:21" x14ac:dyDescent="0.2">
      <c r="A11" s="102">
        <v>1</v>
      </c>
      <c r="B11" s="102">
        <v>9</v>
      </c>
      <c r="C11" s="102" t="str">
        <f>Tableau6[Jour]&amp;"/"&amp;Tableau6[Mois]</f>
        <v>9/1</v>
      </c>
      <c r="D11" s="102" t="e">
        <f>MATCH(Tableau6[Jours Mois]&amp;"/"&amp;Tableau6[[#Headers],[2021]],tabSuiviConso[Jour Mois Année],0)</f>
        <v>#N/A</v>
      </c>
      <c r="E11" s="86" t="str">
        <f>IF(ISNA(Tableau6[[#This Row],[Position 2021]]),"",INDEX(tabSuiviConso[HP + HC
cumul],Tableau6[[#This Row],[Position 2021]],1))</f>
        <v/>
      </c>
      <c r="F11" s="123" t="e">
        <f>IF(ISNA(Tableau6[[#This Row],[Position 2021]]),Tableau6[[#This Row],[Position 2021]],Tableau6[[#This Row],[2021]]-E$2)</f>
        <v>#N/A</v>
      </c>
      <c r="G11" s="102" t="e">
        <f>MATCH(Tableau6[Jours Mois]&amp;"/"&amp;Tableau6[[#Headers],[2022]],tabSuiviConso[Jour Mois Année],0)</f>
        <v>#N/A</v>
      </c>
      <c r="H11" s="86" t="str">
        <f>IF(ISNA(Tableau6[[#This Row],[Position 2022]]),"",INDEX(tabSuiviConso[HP + HC
cumul],Tableau6[[#This Row],[Position 2022]],1))</f>
        <v/>
      </c>
      <c r="I11" s="123" t="e">
        <f>IF(ISNA(Tableau6[[#This Row],[Position 2022]]),Tableau6[[#This Row],[Position 2022]],Tableau6[[#This Row],[2022]]-H$2)</f>
        <v>#N/A</v>
      </c>
      <c r="J11" s="102" t="e">
        <f>MATCH(Tableau6[Jours Mois]&amp;"/"&amp;Tableau6[[#Headers],[2023]],tabSuiviConso[Jour Mois Année],0)</f>
        <v>#N/A</v>
      </c>
      <c r="K11" s="102" t="e">
        <f>Tableau6[[#This Row],[Cumul 2022]]-Tableau6[[#This Row],[Cumul 2021]]</f>
        <v>#N/A</v>
      </c>
      <c r="L11" s="104" t="e">
        <f>Tableau6[[#This Row],[Ecart 2021 2022]]/Tableau6[[#This Row],[Cumul 2021]]</f>
        <v>#N/A</v>
      </c>
      <c r="M11" s="86" t="str">
        <f>IF(ISNA(Tableau6[[#This Row],[Position 2023]]),"",INDEX(tabSuiviConso[HP + HC
cumul],Tableau6[[#This Row],[Position 2023]],1))</f>
        <v/>
      </c>
      <c r="N11" s="123" t="e">
        <f>IF(ISNA(Tableau6[[#This Row],[Position 2023]]),Tableau6[[#This Row],[Position 2023]],Tableau6[[#This Row],[2023]]-M$2)</f>
        <v>#N/A</v>
      </c>
      <c r="O11" s="102" t="e">
        <f>Tableau6[[#This Row],[Cumul 2023]]-Tableau6[[#This Row],[Cumul 2022]]</f>
        <v>#N/A</v>
      </c>
      <c r="P11" s="104" t="e">
        <f>Tableau6[[#This Row],[Ecart 2022 2023]]/Tableau6[[#This Row],[Cumul 2022]]</f>
        <v>#N/A</v>
      </c>
      <c r="Q11" s="102" t="e">
        <f>MATCH(Tableau6[Jours Mois]&amp;"/"&amp;Tableau6[[#Headers],[2024]],tabSuiviConso[Jour Mois Année],0)</f>
        <v>#N/A</v>
      </c>
      <c r="R11" s="102" t="str">
        <f>IF(ISNA(Tableau6[[#This Row],[Position 2024]]),"",INDEX(tabSuiviConso[HP + HC
cumul],Tableau6[[#This Row],[Position 2024]],1))</f>
        <v/>
      </c>
      <c r="S11" s="123" t="e">
        <f>IF(ISNA(Tableau6[[#This Row],[Position 2024]]),Tableau6[[#This Row],[Position 2024]],Tableau6[[#This Row],[2024]]-R$2)</f>
        <v>#N/A</v>
      </c>
      <c r="T11" s="102" t="e">
        <f>Tableau6[[#This Row],[Cumul 2024]]-Tableau6[[#This Row],[Cumul 2023]]</f>
        <v>#N/A</v>
      </c>
      <c r="U11" s="103" t="e">
        <f>Tableau6[[#This Row],[Ecart 2023 2024]]/Tableau6[[#This Row],[Cumul 2023]]</f>
        <v>#N/A</v>
      </c>
    </row>
    <row r="12" spans="1:21" x14ac:dyDescent="0.2">
      <c r="A12" s="102">
        <v>1</v>
      </c>
      <c r="B12" s="102">
        <v>10</v>
      </c>
      <c r="C12" s="102" t="str">
        <f>Tableau6[Jour]&amp;"/"&amp;Tableau6[Mois]</f>
        <v>10/1</v>
      </c>
      <c r="D12" s="102" t="e">
        <f>MATCH(Tableau6[Jours Mois]&amp;"/"&amp;Tableau6[[#Headers],[2021]],tabSuiviConso[Jour Mois Année],0)</f>
        <v>#N/A</v>
      </c>
      <c r="E12" s="86" t="str">
        <f>IF(ISNA(Tableau6[[#This Row],[Position 2021]]),"",INDEX(tabSuiviConso[HP + HC
cumul],Tableau6[[#This Row],[Position 2021]],1))</f>
        <v/>
      </c>
      <c r="F12" s="123" t="e">
        <f>IF(ISNA(Tableau6[[#This Row],[Position 2021]]),Tableau6[[#This Row],[Position 2021]],Tableau6[[#This Row],[2021]]-E$2)</f>
        <v>#N/A</v>
      </c>
      <c r="G12" s="102" t="e">
        <f>MATCH(Tableau6[Jours Mois]&amp;"/"&amp;Tableau6[[#Headers],[2022]],tabSuiviConso[Jour Mois Année],0)</f>
        <v>#N/A</v>
      </c>
      <c r="H12" s="86" t="str">
        <f>IF(ISNA(Tableau6[[#This Row],[Position 2022]]),"",INDEX(tabSuiviConso[HP + HC
cumul],Tableau6[[#This Row],[Position 2022]],1))</f>
        <v/>
      </c>
      <c r="I12" s="123" t="e">
        <f>IF(ISNA(Tableau6[[#This Row],[Position 2022]]),Tableau6[[#This Row],[Position 2022]],Tableau6[[#This Row],[2022]]-H$2)</f>
        <v>#N/A</v>
      </c>
      <c r="J12" s="102" t="e">
        <f>MATCH(Tableau6[Jours Mois]&amp;"/"&amp;Tableau6[[#Headers],[2023]],tabSuiviConso[Jour Mois Année],0)</f>
        <v>#N/A</v>
      </c>
      <c r="K12" s="102" t="e">
        <f>Tableau6[[#This Row],[Cumul 2022]]-Tableau6[[#This Row],[Cumul 2021]]</f>
        <v>#N/A</v>
      </c>
      <c r="L12" s="104" t="e">
        <f>Tableau6[[#This Row],[Ecart 2021 2022]]/Tableau6[[#This Row],[Cumul 2021]]</f>
        <v>#N/A</v>
      </c>
      <c r="M12" s="86" t="str">
        <f>IF(ISNA(Tableau6[[#This Row],[Position 2023]]),"",INDEX(tabSuiviConso[HP + HC
cumul],Tableau6[[#This Row],[Position 2023]],1))</f>
        <v/>
      </c>
      <c r="N12" s="123" t="e">
        <f>IF(ISNA(Tableau6[[#This Row],[Position 2023]]),Tableau6[[#This Row],[Position 2023]],Tableau6[[#This Row],[2023]]-M$2)</f>
        <v>#N/A</v>
      </c>
      <c r="O12" s="102" t="e">
        <f>Tableau6[[#This Row],[Cumul 2023]]-Tableau6[[#This Row],[Cumul 2022]]</f>
        <v>#N/A</v>
      </c>
      <c r="P12" s="104" t="e">
        <f>Tableau6[[#This Row],[Ecart 2022 2023]]/Tableau6[[#This Row],[Cumul 2022]]</f>
        <v>#N/A</v>
      </c>
      <c r="Q12" s="102" t="e">
        <f>MATCH(Tableau6[Jours Mois]&amp;"/"&amp;Tableau6[[#Headers],[2024]],tabSuiviConso[Jour Mois Année],0)</f>
        <v>#N/A</v>
      </c>
      <c r="R12" s="102" t="str">
        <f>IF(ISNA(Tableau6[[#This Row],[Position 2024]]),"",INDEX(tabSuiviConso[HP + HC
cumul],Tableau6[[#This Row],[Position 2024]],1))</f>
        <v/>
      </c>
      <c r="S12" s="123" t="e">
        <f>IF(ISNA(Tableau6[[#This Row],[Position 2024]]),Tableau6[[#This Row],[Position 2024]],Tableau6[[#This Row],[2024]]-R$2)</f>
        <v>#N/A</v>
      </c>
      <c r="T12" s="102" t="e">
        <f>Tableau6[[#This Row],[Cumul 2024]]-Tableau6[[#This Row],[Cumul 2023]]</f>
        <v>#N/A</v>
      </c>
      <c r="U12" s="103" t="e">
        <f>Tableau6[[#This Row],[Ecart 2023 2024]]/Tableau6[[#This Row],[Cumul 2023]]</f>
        <v>#N/A</v>
      </c>
    </row>
    <row r="13" spans="1:21" x14ac:dyDescent="0.2">
      <c r="A13" s="102">
        <v>1</v>
      </c>
      <c r="B13" s="102">
        <v>11</v>
      </c>
      <c r="C13" s="102" t="str">
        <f>Tableau6[Jour]&amp;"/"&amp;Tableau6[Mois]</f>
        <v>11/1</v>
      </c>
      <c r="D13" s="102" t="e">
        <f>MATCH(Tableau6[Jours Mois]&amp;"/"&amp;Tableau6[[#Headers],[2021]],tabSuiviConso[Jour Mois Année],0)</f>
        <v>#N/A</v>
      </c>
      <c r="E13" s="86" t="str">
        <f>IF(ISNA(Tableau6[[#This Row],[Position 2021]]),"",INDEX(tabSuiviConso[HP + HC
cumul],Tableau6[[#This Row],[Position 2021]],1))</f>
        <v/>
      </c>
      <c r="F13" s="123" t="e">
        <f>IF(ISNA(Tableau6[[#This Row],[Position 2021]]),Tableau6[[#This Row],[Position 2021]],Tableau6[[#This Row],[2021]]-E$2)</f>
        <v>#N/A</v>
      </c>
      <c r="G13" s="102" t="e">
        <f>MATCH(Tableau6[Jours Mois]&amp;"/"&amp;Tableau6[[#Headers],[2022]],tabSuiviConso[Jour Mois Année],0)</f>
        <v>#N/A</v>
      </c>
      <c r="H13" s="86" t="str">
        <f>IF(ISNA(Tableau6[[#This Row],[Position 2022]]),"",INDEX(tabSuiviConso[HP + HC
cumul],Tableau6[[#This Row],[Position 2022]],1))</f>
        <v/>
      </c>
      <c r="I13" s="123" t="e">
        <f>IF(ISNA(Tableau6[[#This Row],[Position 2022]]),Tableau6[[#This Row],[Position 2022]],Tableau6[[#This Row],[2022]]-H$2)</f>
        <v>#N/A</v>
      </c>
      <c r="J13" s="102" t="e">
        <f>MATCH(Tableau6[Jours Mois]&amp;"/"&amp;Tableau6[[#Headers],[2023]],tabSuiviConso[Jour Mois Année],0)</f>
        <v>#N/A</v>
      </c>
      <c r="K13" s="102" t="e">
        <f>Tableau6[[#This Row],[Cumul 2022]]-Tableau6[[#This Row],[Cumul 2021]]</f>
        <v>#N/A</v>
      </c>
      <c r="L13" s="104" t="e">
        <f>Tableau6[[#This Row],[Ecart 2021 2022]]/Tableau6[[#This Row],[Cumul 2021]]</f>
        <v>#N/A</v>
      </c>
      <c r="M13" s="86" t="str">
        <f>IF(ISNA(Tableau6[[#This Row],[Position 2023]]),"",INDEX(tabSuiviConso[HP + HC
cumul],Tableau6[[#This Row],[Position 2023]],1))</f>
        <v/>
      </c>
      <c r="N13" s="123" t="e">
        <f>IF(ISNA(Tableau6[[#This Row],[Position 2023]]),Tableau6[[#This Row],[Position 2023]],Tableau6[[#This Row],[2023]]-M$2)</f>
        <v>#N/A</v>
      </c>
      <c r="O13" s="102" t="e">
        <f>Tableau6[[#This Row],[Cumul 2023]]-Tableau6[[#This Row],[Cumul 2022]]</f>
        <v>#N/A</v>
      </c>
      <c r="P13" s="104" t="e">
        <f>Tableau6[[#This Row],[Ecart 2022 2023]]/Tableau6[[#This Row],[Cumul 2022]]</f>
        <v>#N/A</v>
      </c>
      <c r="Q13" s="102" t="e">
        <f>MATCH(Tableau6[Jours Mois]&amp;"/"&amp;Tableau6[[#Headers],[2024]],tabSuiviConso[Jour Mois Année],0)</f>
        <v>#N/A</v>
      </c>
      <c r="R13" s="102" t="str">
        <f>IF(ISNA(Tableau6[[#This Row],[Position 2024]]),"",INDEX(tabSuiviConso[HP + HC
cumul],Tableau6[[#This Row],[Position 2024]],1))</f>
        <v/>
      </c>
      <c r="S13" s="123" t="e">
        <f>IF(ISNA(Tableau6[[#This Row],[Position 2024]]),Tableau6[[#This Row],[Position 2024]],Tableau6[[#This Row],[2024]]-R$2)</f>
        <v>#N/A</v>
      </c>
      <c r="T13" s="102" t="e">
        <f>Tableau6[[#This Row],[Cumul 2024]]-Tableau6[[#This Row],[Cumul 2023]]</f>
        <v>#N/A</v>
      </c>
      <c r="U13" s="103" t="e">
        <f>Tableau6[[#This Row],[Ecart 2023 2024]]/Tableau6[[#This Row],[Cumul 2023]]</f>
        <v>#N/A</v>
      </c>
    </row>
    <row r="14" spans="1:21" x14ac:dyDescent="0.2">
      <c r="A14" s="102">
        <v>1</v>
      </c>
      <c r="B14" s="102">
        <v>12</v>
      </c>
      <c r="C14" s="102" t="str">
        <f>Tableau6[Jour]&amp;"/"&amp;Tableau6[Mois]</f>
        <v>12/1</v>
      </c>
      <c r="D14" s="102" t="e">
        <f>MATCH(Tableau6[Jours Mois]&amp;"/"&amp;Tableau6[[#Headers],[2021]],tabSuiviConso[Jour Mois Année],0)</f>
        <v>#N/A</v>
      </c>
      <c r="E14" s="86" t="str">
        <f>IF(ISNA(Tableau6[[#This Row],[Position 2021]]),"",INDEX(tabSuiviConso[HP + HC
cumul],Tableau6[[#This Row],[Position 2021]],1))</f>
        <v/>
      </c>
      <c r="F14" s="123" t="e">
        <f>IF(ISNA(Tableau6[[#This Row],[Position 2021]]),Tableau6[[#This Row],[Position 2021]],Tableau6[[#This Row],[2021]]-E$2)</f>
        <v>#N/A</v>
      </c>
      <c r="G14" s="102" t="e">
        <f>MATCH(Tableau6[Jours Mois]&amp;"/"&amp;Tableau6[[#Headers],[2022]],tabSuiviConso[Jour Mois Année],0)</f>
        <v>#N/A</v>
      </c>
      <c r="H14" s="86" t="str">
        <f>IF(ISNA(Tableau6[[#This Row],[Position 2022]]),"",INDEX(tabSuiviConso[HP + HC
cumul],Tableau6[[#This Row],[Position 2022]],1))</f>
        <v/>
      </c>
      <c r="I14" s="123" t="e">
        <f>IF(ISNA(Tableau6[[#This Row],[Position 2022]]),Tableau6[[#This Row],[Position 2022]],Tableau6[[#This Row],[2022]]-H$2)</f>
        <v>#N/A</v>
      </c>
      <c r="J14" s="102" t="e">
        <f>MATCH(Tableau6[Jours Mois]&amp;"/"&amp;Tableau6[[#Headers],[2023]],tabSuiviConso[Jour Mois Année],0)</f>
        <v>#N/A</v>
      </c>
      <c r="K14" s="102" t="e">
        <f>Tableau6[[#This Row],[Cumul 2022]]-Tableau6[[#This Row],[Cumul 2021]]</f>
        <v>#N/A</v>
      </c>
      <c r="L14" s="104" t="e">
        <f>Tableau6[[#This Row],[Ecart 2021 2022]]/Tableau6[[#This Row],[Cumul 2021]]</f>
        <v>#N/A</v>
      </c>
      <c r="M14" s="86" t="str">
        <f>IF(ISNA(Tableau6[[#This Row],[Position 2023]]),"",INDEX(tabSuiviConso[HP + HC
cumul],Tableau6[[#This Row],[Position 2023]],1))</f>
        <v/>
      </c>
      <c r="N14" s="123" t="e">
        <f>IF(ISNA(Tableau6[[#This Row],[Position 2023]]),Tableau6[[#This Row],[Position 2023]],Tableau6[[#This Row],[2023]]-M$2)</f>
        <v>#N/A</v>
      </c>
      <c r="O14" s="102" t="e">
        <f>Tableau6[[#This Row],[Cumul 2023]]-Tableau6[[#This Row],[Cumul 2022]]</f>
        <v>#N/A</v>
      </c>
      <c r="P14" s="104" t="e">
        <f>Tableau6[[#This Row],[Ecart 2022 2023]]/Tableau6[[#This Row],[Cumul 2022]]</f>
        <v>#N/A</v>
      </c>
      <c r="Q14" s="102" t="e">
        <f>MATCH(Tableau6[Jours Mois]&amp;"/"&amp;Tableau6[[#Headers],[2024]],tabSuiviConso[Jour Mois Année],0)</f>
        <v>#N/A</v>
      </c>
      <c r="R14" s="102" t="str">
        <f>IF(ISNA(Tableau6[[#This Row],[Position 2024]]),"",INDEX(tabSuiviConso[HP + HC
cumul],Tableau6[[#This Row],[Position 2024]],1))</f>
        <v/>
      </c>
      <c r="S14" s="123" t="e">
        <f>IF(ISNA(Tableau6[[#This Row],[Position 2024]]),Tableau6[[#This Row],[Position 2024]],Tableau6[[#This Row],[2024]]-R$2)</f>
        <v>#N/A</v>
      </c>
      <c r="T14" s="102" t="e">
        <f>Tableau6[[#This Row],[Cumul 2024]]-Tableau6[[#This Row],[Cumul 2023]]</f>
        <v>#N/A</v>
      </c>
      <c r="U14" s="103" t="e">
        <f>Tableau6[[#This Row],[Ecart 2023 2024]]/Tableau6[[#This Row],[Cumul 2023]]</f>
        <v>#N/A</v>
      </c>
    </row>
    <row r="15" spans="1:21" x14ac:dyDescent="0.2">
      <c r="A15" s="102">
        <v>1</v>
      </c>
      <c r="B15" s="102">
        <v>13</v>
      </c>
      <c r="C15" s="102" t="str">
        <f>Tableau6[Jour]&amp;"/"&amp;Tableau6[Mois]</f>
        <v>13/1</v>
      </c>
      <c r="D15" s="102" t="e">
        <f>MATCH(Tableau6[Jours Mois]&amp;"/"&amp;Tableau6[[#Headers],[2021]],tabSuiviConso[Jour Mois Année],0)</f>
        <v>#N/A</v>
      </c>
      <c r="E15" s="86" t="str">
        <f>IF(ISNA(Tableau6[[#This Row],[Position 2021]]),"",INDEX(tabSuiviConso[HP + HC
cumul],Tableau6[[#This Row],[Position 2021]],1))</f>
        <v/>
      </c>
      <c r="F15" s="123" t="e">
        <f>IF(ISNA(Tableau6[[#This Row],[Position 2021]]),Tableau6[[#This Row],[Position 2021]],Tableau6[[#This Row],[2021]]-E$2)</f>
        <v>#N/A</v>
      </c>
      <c r="G15" s="102" t="e">
        <f>MATCH(Tableau6[Jours Mois]&amp;"/"&amp;Tableau6[[#Headers],[2022]],tabSuiviConso[Jour Mois Année],0)</f>
        <v>#N/A</v>
      </c>
      <c r="H15" s="86" t="str">
        <f>IF(ISNA(Tableau6[[#This Row],[Position 2022]]),"",INDEX(tabSuiviConso[HP + HC
cumul],Tableau6[[#This Row],[Position 2022]],1))</f>
        <v/>
      </c>
      <c r="I15" s="123" t="e">
        <f>IF(ISNA(Tableau6[[#This Row],[Position 2022]]),Tableau6[[#This Row],[Position 2022]],Tableau6[[#This Row],[2022]]-H$2)</f>
        <v>#N/A</v>
      </c>
      <c r="J15" s="102" t="e">
        <f>MATCH(Tableau6[Jours Mois]&amp;"/"&amp;Tableau6[[#Headers],[2023]],tabSuiviConso[Jour Mois Année],0)</f>
        <v>#N/A</v>
      </c>
      <c r="K15" s="102" t="e">
        <f>Tableau6[[#This Row],[Cumul 2022]]-Tableau6[[#This Row],[Cumul 2021]]</f>
        <v>#N/A</v>
      </c>
      <c r="L15" s="104" t="e">
        <f>Tableau6[[#This Row],[Ecart 2021 2022]]/Tableau6[[#This Row],[Cumul 2021]]</f>
        <v>#N/A</v>
      </c>
      <c r="M15" s="86" t="str">
        <f>IF(ISNA(Tableau6[[#This Row],[Position 2023]]),"",INDEX(tabSuiviConso[HP + HC
cumul],Tableau6[[#This Row],[Position 2023]],1))</f>
        <v/>
      </c>
      <c r="N15" s="123" t="e">
        <f>IF(ISNA(Tableau6[[#This Row],[Position 2023]]),Tableau6[[#This Row],[Position 2023]],Tableau6[[#This Row],[2023]]-M$2)</f>
        <v>#N/A</v>
      </c>
      <c r="O15" s="102" t="e">
        <f>Tableau6[[#This Row],[Cumul 2023]]-Tableau6[[#This Row],[Cumul 2022]]</f>
        <v>#N/A</v>
      </c>
      <c r="P15" s="104" t="e">
        <f>Tableau6[[#This Row],[Ecart 2022 2023]]/Tableau6[[#This Row],[Cumul 2022]]</f>
        <v>#N/A</v>
      </c>
      <c r="Q15" s="102" t="e">
        <f>MATCH(Tableau6[Jours Mois]&amp;"/"&amp;Tableau6[[#Headers],[2024]],tabSuiviConso[Jour Mois Année],0)</f>
        <v>#N/A</v>
      </c>
      <c r="R15" s="102" t="str">
        <f>IF(ISNA(Tableau6[[#This Row],[Position 2024]]),"",INDEX(tabSuiviConso[HP + HC
cumul],Tableau6[[#This Row],[Position 2024]],1))</f>
        <v/>
      </c>
      <c r="S15" s="123" t="e">
        <f>IF(ISNA(Tableau6[[#This Row],[Position 2024]]),Tableau6[[#This Row],[Position 2024]],Tableau6[[#This Row],[2024]]-R$2)</f>
        <v>#N/A</v>
      </c>
      <c r="T15" s="102" t="e">
        <f>Tableau6[[#This Row],[Cumul 2024]]-Tableau6[[#This Row],[Cumul 2023]]</f>
        <v>#N/A</v>
      </c>
      <c r="U15" s="103" t="e">
        <f>Tableau6[[#This Row],[Ecart 2023 2024]]/Tableau6[[#This Row],[Cumul 2023]]</f>
        <v>#N/A</v>
      </c>
    </row>
    <row r="16" spans="1:21" x14ac:dyDescent="0.2">
      <c r="A16" s="102">
        <v>1</v>
      </c>
      <c r="B16" s="102">
        <v>14</v>
      </c>
      <c r="C16" s="102" t="str">
        <f>Tableau6[Jour]&amp;"/"&amp;Tableau6[Mois]</f>
        <v>14/1</v>
      </c>
      <c r="D16" s="102" t="e">
        <f>MATCH(Tableau6[Jours Mois]&amp;"/"&amp;Tableau6[[#Headers],[2021]],tabSuiviConso[Jour Mois Année],0)</f>
        <v>#N/A</v>
      </c>
      <c r="E16" s="86" t="str">
        <f>IF(ISNA(Tableau6[[#This Row],[Position 2021]]),"",INDEX(tabSuiviConso[HP + HC
cumul],Tableau6[[#This Row],[Position 2021]],1))</f>
        <v/>
      </c>
      <c r="F16" s="123" t="e">
        <f>IF(ISNA(Tableau6[[#This Row],[Position 2021]]),Tableau6[[#This Row],[Position 2021]],Tableau6[[#This Row],[2021]]-E$2)</f>
        <v>#N/A</v>
      </c>
      <c r="G16" s="102" t="e">
        <f>MATCH(Tableau6[Jours Mois]&amp;"/"&amp;Tableau6[[#Headers],[2022]],tabSuiviConso[Jour Mois Année],0)</f>
        <v>#N/A</v>
      </c>
      <c r="H16" s="86" t="str">
        <f>IF(ISNA(Tableau6[[#This Row],[Position 2022]]),"",INDEX(tabSuiviConso[HP + HC
cumul],Tableau6[[#This Row],[Position 2022]],1))</f>
        <v/>
      </c>
      <c r="I16" s="123" t="e">
        <f>IF(ISNA(Tableau6[[#This Row],[Position 2022]]),Tableau6[[#This Row],[Position 2022]],Tableau6[[#This Row],[2022]]-H$2)</f>
        <v>#N/A</v>
      </c>
      <c r="J16" s="102" t="e">
        <f>MATCH(Tableau6[Jours Mois]&amp;"/"&amp;Tableau6[[#Headers],[2023]],tabSuiviConso[Jour Mois Année],0)</f>
        <v>#N/A</v>
      </c>
      <c r="K16" s="102" t="e">
        <f>Tableau6[[#This Row],[Cumul 2022]]-Tableau6[[#This Row],[Cumul 2021]]</f>
        <v>#N/A</v>
      </c>
      <c r="L16" s="104" t="e">
        <f>Tableau6[[#This Row],[Ecart 2021 2022]]/Tableau6[[#This Row],[Cumul 2021]]</f>
        <v>#N/A</v>
      </c>
      <c r="M16" s="86" t="str">
        <f>IF(ISNA(Tableau6[[#This Row],[Position 2023]]),"",INDEX(tabSuiviConso[HP + HC
cumul],Tableau6[[#This Row],[Position 2023]],1))</f>
        <v/>
      </c>
      <c r="N16" s="123" t="e">
        <f>IF(ISNA(Tableau6[[#This Row],[Position 2023]]),Tableau6[[#This Row],[Position 2023]],Tableau6[[#This Row],[2023]]-M$2)</f>
        <v>#N/A</v>
      </c>
      <c r="O16" s="102" t="e">
        <f>Tableau6[[#This Row],[Cumul 2023]]-Tableau6[[#This Row],[Cumul 2022]]</f>
        <v>#N/A</v>
      </c>
      <c r="P16" s="104" t="e">
        <f>Tableau6[[#This Row],[Ecart 2022 2023]]/Tableau6[[#This Row],[Cumul 2022]]</f>
        <v>#N/A</v>
      </c>
      <c r="Q16" s="102" t="e">
        <f>MATCH(Tableau6[Jours Mois]&amp;"/"&amp;Tableau6[[#Headers],[2024]],tabSuiviConso[Jour Mois Année],0)</f>
        <v>#N/A</v>
      </c>
      <c r="R16" s="102" t="str">
        <f>IF(ISNA(Tableau6[[#This Row],[Position 2024]]),"",INDEX(tabSuiviConso[HP + HC
cumul],Tableau6[[#This Row],[Position 2024]],1))</f>
        <v/>
      </c>
      <c r="S16" s="123" t="e">
        <f>IF(ISNA(Tableau6[[#This Row],[Position 2024]]),Tableau6[[#This Row],[Position 2024]],Tableau6[[#This Row],[2024]]-R$2)</f>
        <v>#N/A</v>
      </c>
      <c r="T16" s="102" t="e">
        <f>Tableau6[[#This Row],[Cumul 2024]]-Tableau6[[#This Row],[Cumul 2023]]</f>
        <v>#N/A</v>
      </c>
      <c r="U16" s="103" t="e">
        <f>Tableau6[[#This Row],[Ecart 2023 2024]]/Tableau6[[#This Row],[Cumul 2023]]</f>
        <v>#N/A</v>
      </c>
    </row>
    <row r="17" spans="1:21" x14ac:dyDescent="0.2">
      <c r="A17" s="102">
        <v>1</v>
      </c>
      <c r="B17" s="102">
        <v>15</v>
      </c>
      <c r="C17" s="102" t="str">
        <f>Tableau6[Jour]&amp;"/"&amp;Tableau6[Mois]</f>
        <v>15/1</v>
      </c>
      <c r="D17" s="102" t="e">
        <f>MATCH(Tableau6[Jours Mois]&amp;"/"&amp;Tableau6[[#Headers],[2021]],tabSuiviConso[Jour Mois Année],0)</f>
        <v>#N/A</v>
      </c>
      <c r="E17" s="86" t="str">
        <f>IF(ISNA(Tableau6[[#This Row],[Position 2021]]),"",INDEX(tabSuiviConso[HP + HC
cumul],Tableau6[[#This Row],[Position 2021]],1))</f>
        <v/>
      </c>
      <c r="F17" s="123" t="e">
        <f>IF(ISNA(Tableau6[[#This Row],[Position 2021]]),Tableau6[[#This Row],[Position 2021]],Tableau6[[#This Row],[2021]]-E$2)</f>
        <v>#N/A</v>
      </c>
      <c r="G17" s="102" t="e">
        <f>MATCH(Tableau6[Jours Mois]&amp;"/"&amp;Tableau6[[#Headers],[2022]],tabSuiviConso[Jour Mois Année],0)</f>
        <v>#N/A</v>
      </c>
      <c r="H17" s="86" t="str">
        <f>IF(ISNA(Tableau6[[#This Row],[Position 2022]]),"",INDEX(tabSuiviConso[HP + HC
cumul],Tableau6[[#This Row],[Position 2022]],1))</f>
        <v/>
      </c>
      <c r="I17" s="123" t="e">
        <f>IF(ISNA(Tableau6[[#This Row],[Position 2022]]),Tableau6[[#This Row],[Position 2022]],Tableau6[[#This Row],[2022]]-H$2)</f>
        <v>#N/A</v>
      </c>
      <c r="J17" s="102" t="e">
        <f>MATCH(Tableau6[Jours Mois]&amp;"/"&amp;Tableau6[[#Headers],[2023]],tabSuiviConso[Jour Mois Année],0)</f>
        <v>#N/A</v>
      </c>
      <c r="K17" s="102" t="e">
        <f>Tableau6[[#This Row],[Cumul 2022]]-Tableau6[[#This Row],[Cumul 2021]]</f>
        <v>#N/A</v>
      </c>
      <c r="L17" s="104" t="e">
        <f>Tableau6[[#This Row],[Ecart 2021 2022]]/Tableau6[[#This Row],[Cumul 2021]]</f>
        <v>#N/A</v>
      </c>
      <c r="M17" s="86" t="str">
        <f>IF(ISNA(Tableau6[[#This Row],[Position 2023]]),"",INDEX(tabSuiviConso[HP + HC
cumul],Tableau6[[#This Row],[Position 2023]],1))</f>
        <v/>
      </c>
      <c r="N17" s="123" t="e">
        <f>IF(ISNA(Tableau6[[#This Row],[Position 2023]]),Tableau6[[#This Row],[Position 2023]],Tableau6[[#This Row],[2023]]-M$2)</f>
        <v>#N/A</v>
      </c>
      <c r="O17" s="102" t="e">
        <f>Tableau6[[#This Row],[Cumul 2023]]-Tableau6[[#This Row],[Cumul 2022]]</f>
        <v>#N/A</v>
      </c>
      <c r="P17" s="104" t="e">
        <f>Tableau6[[#This Row],[Ecart 2022 2023]]/Tableau6[[#This Row],[Cumul 2022]]</f>
        <v>#N/A</v>
      </c>
      <c r="Q17" s="102" t="e">
        <f>MATCH(Tableau6[Jours Mois]&amp;"/"&amp;Tableau6[[#Headers],[2024]],tabSuiviConso[Jour Mois Année],0)</f>
        <v>#N/A</v>
      </c>
      <c r="R17" s="102" t="str">
        <f>IF(ISNA(Tableau6[[#This Row],[Position 2024]]),"",INDEX(tabSuiviConso[HP + HC
cumul],Tableau6[[#This Row],[Position 2024]],1))</f>
        <v/>
      </c>
      <c r="S17" s="123" t="e">
        <f>IF(ISNA(Tableau6[[#This Row],[Position 2024]]),Tableau6[[#This Row],[Position 2024]],Tableau6[[#This Row],[2024]]-R$2)</f>
        <v>#N/A</v>
      </c>
      <c r="T17" s="102" t="e">
        <f>Tableau6[[#This Row],[Cumul 2024]]-Tableau6[[#This Row],[Cumul 2023]]</f>
        <v>#N/A</v>
      </c>
      <c r="U17" s="103" t="e">
        <f>Tableau6[[#This Row],[Ecart 2023 2024]]/Tableau6[[#This Row],[Cumul 2023]]</f>
        <v>#N/A</v>
      </c>
    </row>
    <row r="18" spans="1:21" x14ac:dyDescent="0.2">
      <c r="A18" s="102">
        <v>1</v>
      </c>
      <c r="B18" s="102">
        <v>16</v>
      </c>
      <c r="C18" s="102" t="str">
        <f>Tableau6[Jour]&amp;"/"&amp;Tableau6[Mois]</f>
        <v>16/1</v>
      </c>
      <c r="D18" s="102" t="e">
        <f>MATCH(Tableau6[Jours Mois]&amp;"/"&amp;Tableau6[[#Headers],[2021]],tabSuiviConso[Jour Mois Année],0)</f>
        <v>#N/A</v>
      </c>
      <c r="E18" s="86" t="str">
        <f>IF(ISNA(Tableau6[[#This Row],[Position 2021]]),"",INDEX(tabSuiviConso[HP + HC
cumul],Tableau6[[#This Row],[Position 2021]],1))</f>
        <v/>
      </c>
      <c r="F18" s="123" t="e">
        <f>IF(ISNA(Tableau6[[#This Row],[Position 2021]]),Tableau6[[#This Row],[Position 2021]],Tableau6[[#This Row],[2021]]-E$2)</f>
        <v>#N/A</v>
      </c>
      <c r="G18" s="102" t="e">
        <f>MATCH(Tableau6[Jours Mois]&amp;"/"&amp;Tableau6[[#Headers],[2022]],tabSuiviConso[Jour Mois Année],0)</f>
        <v>#N/A</v>
      </c>
      <c r="H18" s="86" t="str">
        <f>IF(ISNA(Tableau6[[#This Row],[Position 2022]]),"",INDEX(tabSuiviConso[HP + HC
cumul],Tableau6[[#This Row],[Position 2022]],1))</f>
        <v/>
      </c>
      <c r="I18" s="123" t="e">
        <f>IF(ISNA(Tableau6[[#This Row],[Position 2022]]),Tableau6[[#This Row],[Position 2022]],Tableau6[[#This Row],[2022]]-H$2)</f>
        <v>#N/A</v>
      </c>
      <c r="J18" s="102" t="e">
        <f>MATCH(Tableau6[Jours Mois]&amp;"/"&amp;Tableau6[[#Headers],[2023]],tabSuiviConso[Jour Mois Année],0)</f>
        <v>#N/A</v>
      </c>
      <c r="K18" s="102" t="e">
        <f>Tableau6[[#This Row],[Cumul 2022]]-Tableau6[[#This Row],[Cumul 2021]]</f>
        <v>#N/A</v>
      </c>
      <c r="L18" s="104" t="e">
        <f>Tableau6[[#This Row],[Ecart 2021 2022]]/Tableau6[[#This Row],[Cumul 2021]]</f>
        <v>#N/A</v>
      </c>
      <c r="M18" s="86" t="str">
        <f>IF(ISNA(Tableau6[[#This Row],[Position 2023]]),"",INDEX(tabSuiviConso[HP + HC
cumul],Tableau6[[#This Row],[Position 2023]],1))</f>
        <v/>
      </c>
      <c r="N18" s="123" t="e">
        <f>IF(ISNA(Tableau6[[#This Row],[Position 2023]]),Tableau6[[#This Row],[Position 2023]],Tableau6[[#This Row],[2023]]-M$2)</f>
        <v>#N/A</v>
      </c>
      <c r="O18" s="102" t="e">
        <f>Tableau6[[#This Row],[Cumul 2023]]-Tableau6[[#This Row],[Cumul 2022]]</f>
        <v>#N/A</v>
      </c>
      <c r="P18" s="104" t="e">
        <f>Tableau6[[#This Row],[Ecart 2022 2023]]/Tableau6[[#This Row],[Cumul 2022]]</f>
        <v>#N/A</v>
      </c>
      <c r="Q18" s="102" t="e">
        <f>MATCH(Tableau6[Jours Mois]&amp;"/"&amp;Tableau6[[#Headers],[2024]],tabSuiviConso[Jour Mois Année],0)</f>
        <v>#N/A</v>
      </c>
      <c r="R18" s="102" t="str">
        <f>IF(ISNA(Tableau6[[#This Row],[Position 2024]]),"",INDEX(tabSuiviConso[HP + HC
cumul],Tableau6[[#This Row],[Position 2024]],1))</f>
        <v/>
      </c>
      <c r="S18" s="123" t="e">
        <f>IF(ISNA(Tableau6[[#This Row],[Position 2024]]),Tableau6[[#This Row],[Position 2024]],Tableau6[[#This Row],[2024]]-R$2)</f>
        <v>#N/A</v>
      </c>
      <c r="T18" s="102" t="e">
        <f>Tableau6[[#This Row],[Cumul 2024]]-Tableau6[[#This Row],[Cumul 2023]]</f>
        <v>#N/A</v>
      </c>
      <c r="U18" s="103" t="e">
        <f>Tableau6[[#This Row],[Ecart 2023 2024]]/Tableau6[[#This Row],[Cumul 2023]]</f>
        <v>#N/A</v>
      </c>
    </row>
    <row r="19" spans="1:21" x14ac:dyDescent="0.2">
      <c r="A19" s="102">
        <v>1</v>
      </c>
      <c r="B19" s="102">
        <v>17</v>
      </c>
      <c r="C19" s="102" t="str">
        <f>Tableau6[Jour]&amp;"/"&amp;Tableau6[Mois]</f>
        <v>17/1</v>
      </c>
      <c r="D19" s="102" t="e">
        <f>MATCH(Tableau6[Jours Mois]&amp;"/"&amp;Tableau6[[#Headers],[2021]],tabSuiviConso[Jour Mois Année],0)</f>
        <v>#N/A</v>
      </c>
      <c r="E19" s="86" t="str">
        <f>IF(ISNA(Tableau6[[#This Row],[Position 2021]]),"",INDEX(tabSuiviConso[HP + HC
cumul],Tableau6[[#This Row],[Position 2021]],1))</f>
        <v/>
      </c>
      <c r="F19" s="123" t="e">
        <f>IF(ISNA(Tableau6[[#This Row],[Position 2021]]),Tableau6[[#This Row],[Position 2021]],Tableau6[[#This Row],[2021]]-E$2)</f>
        <v>#N/A</v>
      </c>
      <c r="G19" s="102" t="e">
        <f>MATCH(Tableau6[Jours Mois]&amp;"/"&amp;Tableau6[[#Headers],[2022]],tabSuiviConso[Jour Mois Année],0)</f>
        <v>#N/A</v>
      </c>
      <c r="H19" s="86" t="str">
        <f>IF(ISNA(Tableau6[[#This Row],[Position 2022]]),"",INDEX(tabSuiviConso[HP + HC
cumul],Tableau6[[#This Row],[Position 2022]],1))</f>
        <v/>
      </c>
      <c r="I19" s="123" t="e">
        <f>IF(ISNA(Tableau6[[#This Row],[Position 2022]]),Tableau6[[#This Row],[Position 2022]],Tableau6[[#This Row],[2022]]-H$2)</f>
        <v>#N/A</v>
      </c>
      <c r="J19" s="102" t="e">
        <f>MATCH(Tableau6[Jours Mois]&amp;"/"&amp;Tableau6[[#Headers],[2023]],tabSuiviConso[Jour Mois Année],0)</f>
        <v>#N/A</v>
      </c>
      <c r="K19" s="102" t="e">
        <f>Tableau6[[#This Row],[Cumul 2022]]-Tableau6[[#This Row],[Cumul 2021]]</f>
        <v>#N/A</v>
      </c>
      <c r="L19" s="104" t="e">
        <f>Tableau6[[#This Row],[Ecart 2021 2022]]/Tableau6[[#This Row],[Cumul 2021]]</f>
        <v>#N/A</v>
      </c>
      <c r="M19" s="86" t="str">
        <f>IF(ISNA(Tableau6[[#This Row],[Position 2023]]),"",INDEX(tabSuiviConso[HP + HC
cumul],Tableau6[[#This Row],[Position 2023]],1))</f>
        <v/>
      </c>
      <c r="N19" s="123" t="e">
        <f>IF(ISNA(Tableau6[[#This Row],[Position 2023]]),Tableau6[[#This Row],[Position 2023]],Tableau6[[#This Row],[2023]]-M$2)</f>
        <v>#N/A</v>
      </c>
      <c r="O19" s="102" t="e">
        <f>Tableau6[[#This Row],[Cumul 2023]]-Tableau6[[#This Row],[Cumul 2022]]</f>
        <v>#N/A</v>
      </c>
      <c r="P19" s="104" t="e">
        <f>Tableau6[[#This Row],[Ecart 2022 2023]]/Tableau6[[#This Row],[Cumul 2022]]</f>
        <v>#N/A</v>
      </c>
      <c r="Q19" s="102" t="e">
        <f>MATCH(Tableau6[Jours Mois]&amp;"/"&amp;Tableau6[[#Headers],[2024]],tabSuiviConso[Jour Mois Année],0)</f>
        <v>#N/A</v>
      </c>
      <c r="R19" s="102" t="str">
        <f>IF(ISNA(Tableau6[[#This Row],[Position 2024]]),"",INDEX(tabSuiviConso[HP + HC
cumul],Tableau6[[#This Row],[Position 2024]],1))</f>
        <v/>
      </c>
      <c r="S19" s="123" t="e">
        <f>IF(ISNA(Tableau6[[#This Row],[Position 2024]]),Tableau6[[#This Row],[Position 2024]],Tableau6[[#This Row],[2024]]-R$2)</f>
        <v>#N/A</v>
      </c>
      <c r="T19" s="102" t="e">
        <f>Tableau6[[#This Row],[Cumul 2024]]-Tableau6[[#This Row],[Cumul 2023]]</f>
        <v>#N/A</v>
      </c>
      <c r="U19" s="103" t="e">
        <f>Tableau6[[#This Row],[Ecart 2023 2024]]/Tableau6[[#This Row],[Cumul 2023]]</f>
        <v>#N/A</v>
      </c>
    </row>
    <row r="20" spans="1:21" x14ac:dyDescent="0.2">
      <c r="A20" s="102">
        <v>1</v>
      </c>
      <c r="B20" s="102">
        <v>18</v>
      </c>
      <c r="C20" s="102" t="str">
        <f>Tableau6[Jour]&amp;"/"&amp;Tableau6[Mois]</f>
        <v>18/1</v>
      </c>
      <c r="D20" s="102" t="e">
        <f>MATCH(Tableau6[Jours Mois]&amp;"/"&amp;Tableau6[[#Headers],[2021]],tabSuiviConso[Jour Mois Année],0)</f>
        <v>#N/A</v>
      </c>
      <c r="E20" s="86" t="str">
        <f>IF(ISNA(Tableau6[[#This Row],[Position 2021]]),"",INDEX(tabSuiviConso[HP + HC
cumul],Tableau6[[#This Row],[Position 2021]],1))</f>
        <v/>
      </c>
      <c r="F20" s="123" t="e">
        <f>IF(ISNA(Tableau6[[#This Row],[Position 2021]]),Tableau6[[#This Row],[Position 2021]],Tableau6[[#This Row],[2021]]-E$2)</f>
        <v>#N/A</v>
      </c>
      <c r="G20" s="102" t="e">
        <f>MATCH(Tableau6[Jours Mois]&amp;"/"&amp;Tableau6[[#Headers],[2022]],tabSuiviConso[Jour Mois Année],0)</f>
        <v>#N/A</v>
      </c>
      <c r="H20" s="86" t="str">
        <f>IF(ISNA(Tableau6[[#This Row],[Position 2022]]),"",INDEX(tabSuiviConso[HP + HC
cumul],Tableau6[[#This Row],[Position 2022]],1))</f>
        <v/>
      </c>
      <c r="I20" s="123" t="e">
        <f>IF(ISNA(Tableau6[[#This Row],[Position 2022]]),Tableau6[[#This Row],[Position 2022]],Tableau6[[#This Row],[2022]]-H$2)</f>
        <v>#N/A</v>
      </c>
      <c r="J20" s="102" t="e">
        <f>MATCH(Tableau6[Jours Mois]&amp;"/"&amp;Tableau6[[#Headers],[2023]],tabSuiviConso[Jour Mois Année],0)</f>
        <v>#N/A</v>
      </c>
      <c r="K20" s="102" t="e">
        <f>Tableau6[[#This Row],[Cumul 2022]]-Tableau6[[#This Row],[Cumul 2021]]</f>
        <v>#N/A</v>
      </c>
      <c r="L20" s="104" t="e">
        <f>Tableau6[[#This Row],[Ecart 2021 2022]]/Tableau6[[#This Row],[Cumul 2021]]</f>
        <v>#N/A</v>
      </c>
      <c r="M20" s="86" t="str">
        <f>IF(ISNA(Tableau6[[#This Row],[Position 2023]]),"",INDEX(tabSuiviConso[HP + HC
cumul],Tableau6[[#This Row],[Position 2023]],1))</f>
        <v/>
      </c>
      <c r="N20" s="123" t="e">
        <f>IF(ISNA(Tableau6[[#This Row],[Position 2023]]),Tableau6[[#This Row],[Position 2023]],Tableau6[[#This Row],[2023]]-M$2)</f>
        <v>#N/A</v>
      </c>
      <c r="O20" s="102" t="e">
        <f>Tableau6[[#This Row],[Cumul 2023]]-Tableau6[[#This Row],[Cumul 2022]]</f>
        <v>#N/A</v>
      </c>
      <c r="P20" s="104" t="e">
        <f>Tableau6[[#This Row],[Ecart 2022 2023]]/Tableau6[[#This Row],[Cumul 2022]]</f>
        <v>#N/A</v>
      </c>
      <c r="Q20" s="102" t="e">
        <f>MATCH(Tableau6[Jours Mois]&amp;"/"&amp;Tableau6[[#Headers],[2024]],tabSuiviConso[Jour Mois Année],0)</f>
        <v>#N/A</v>
      </c>
      <c r="R20" s="102" t="str">
        <f>IF(ISNA(Tableau6[[#This Row],[Position 2024]]),"",INDEX(tabSuiviConso[HP + HC
cumul],Tableau6[[#This Row],[Position 2024]],1))</f>
        <v/>
      </c>
      <c r="S20" s="123" t="e">
        <f>IF(ISNA(Tableau6[[#This Row],[Position 2024]]),Tableau6[[#This Row],[Position 2024]],Tableau6[[#This Row],[2024]]-R$2)</f>
        <v>#N/A</v>
      </c>
      <c r="T20" s="102" t="e">
        <f>Tableau6[[#This Row],[Cumul 2024]]-Tableau6[[#This Row],[Cumul 2023]]</f>
        <v>#N/A</v>
      </c>
      <c r="U20" s="103" t="e">
        <f>Tableau6[[#This Row],[Ecart 2023 2024]]/Tableau6[[#This Row],[Cumul 2023]]</f>
        <v>#N/A</v>
      </c>
    </row>
    <row r="21" spans="1:21" x14ac:dyDescent="0.2">
      <c r="A21" s="102">
        <v>1</v>
      </c>
      <c r="B21" s="102">
        <v>19</v>
      </c>
      <c r="C21" s="102" t="str">
        <f>Tableau6[Jour]&amp;"/"&amp;Tableau6[Mois]</f>
        <v>19/1</v>
      </c>
      <c r="D21" s="102" t="e">
        <f>MATCH(Tableau6[Jours Mois]&amp;"/"&amp;Tableau6[[#Headers],[2021]],tabSuiviConso[Jour Mois Année],0)</f>
        <v>#N/A</v>
      </c>
      <c r="E21" s="86" t="str">
        <f>IF(ISNA(Tableau6[[#This Row],[Position 2021]]),"",INDEX(tabSuiviConso[HP + HC
cumul],Tableau6[[#This Row],[Position 2021]],1))</f>
        <v/>
      </c>
      <c r="F21" s="123" t="e">
        <f>IF(ISNA(Tableau6[[#This Row],[Position 2021]]),Tableau6[[#This Row],[Position 2021]],Tableau6[[#This Row],[2021]]-E$2)</f>
        <v>#N/A</v>
      </c>
      <c r="G21" s="102" t="e">
        <f>MATCH(Tableau6[Jours Mois]&amp;"/"&amp;Tableau6[[#Headers],[2022]],tabSuiviConso[Jour Mois Année],0)</f>
        <v>#N/A</v>
      </c>
      <c r="H21" s="86" t="str">
        <f>IF(ISNA(Tableau6[[#This Row],[Position 2022]]),"",INDEX(tabSuiviConso[HP + HC
cumul],Tableau6[[#This Row],[Position 2022]],1))</f>
        <v/>
      </c>
      <c r="I21" s="123" t="e">
        <f>IF(ISNA(Tableau6[[#This Row],[Position 2022]]),Tableau6[[#This Row],[Position 2022]],Tableau6[[#This Row],[2022]]-H$2)</f>
        <v>#N/A</v>
      </c>
      <c r="J21" s="102" t="e">
        <f>MATCH(Tableau6[Jours Mois]&amp;"/"&amp;Tableau6[[#Headers],[2023]],tabSuiviConso[Jour Mois Année],0)</f>
        <v>#N/A</v>
      </c>
      <c r="K21" s="102" t="e">
        <f>Tableau6[[#This Row],[Cumul 2022]]-Tableau6[[#This Row],[Cumul 2021]]</f>
        <v>#N/A</v>
      </c>
      <c r="L21" s="104" t="e">
        <f>Tableau6[[#This Row],[Ecart 2021 2022]]/Tableau6[[#This Row],[Cumul 2021]]</f>
        <v>#N/A</v>
      </c>
      <c r="M21" s="86" t="str">
        <f>IF(ISNA(Tableau6[[#This Row],[Position 2023]]),"",INDEX(tabSuiviConso[HP + HC
cumul],Tableau6[[#This Row],[Position 2023]],1))</f>
        <v/>
      </c>
      <c r="N21" s="123" t="e">
        <f>IF(ISNA(Tableau6[[#This Row],[Position 2023]]),Tableau6[[#This Row],[Position 2023]],Tableau6[[#This Row],[2023]]-M$2)</f>
        <v>#N/A</v>
      </c>
      <c r="O21" s="102" t="e">
        <f>Tableau6[[#This Row],[Cumul 2023]]-Tableau6[[#This Row],[Cumul 2022]]</f>
        <v>#N/A</v>
      </c>
      <c r="P21" s="104" t="e">
        <f>Tableau6[[#This Row],[Ecart 2022 2023]]/Tableau6[[#This Row],[Cumul 2022]]</f>
        <v>#N/A</v>
      </c>
      <c r="Q21" s="102" t="e">
        <f>MATCH(Tableau6[Jours Mois]&amp;"/"&amp;Tableau6[[#Headers],[2024]],tabSuiviConso[Jour Mois Année],0)</f>
        <v>#N/A</v>
      </c>
      <c r="R21" s="102" t="str">
        <f>IF(ISNA(Tableau6[[#This Row],[Position 2024]]),"",INDEX(tabSuiviConso[HP + HC
cumul],Tableau6[[#This Row],[Position 2024]],1))</f>
        <v/>
      </c>
      <c r="S21" s="123" t="e">
        <f>IF(ISNA(Tableau6[[#This Row],[Position 2024]]),Tableau6[[#This Row],[Position 2024]],Tableau6[[#This Row],[2024]]-R$2)</f>
        <v>#N/A</v>
      </c>
      <c r="T21" s="102" t="e">
        <f>Tableau6[[#This Row],[Cumul 2024]]-Tableau6[[#This Row],[Cumul 2023]]</f>
        <v>#N/A</v>
      </c>
      <c r="U21" s="103" t="e">
        <f>Tableau6[[#This Row],[Ecart 2023 2024]]/Tableau6[[#This Row],[Cumul 2023]]</f>
        <v>#N/A</v>
      </c>
    </row>
    <row r="22" spans="1:21" x14ac:dyDescent="0.2">
      <c r="A22" s="102">
        <v>1</v>
      </c>
      <c r="B22" s="102">
        <v>20</v>
      </c>
      <c r="C22" s="102" t="str">
        <f>Tableau6[Jour]&amp;"/"&amp;Tableau6[Mois]</f>
        <v>20/1</v>
      </c>
      <c r="D22" s="102" t="e">
        <f>MATCH(Tableau6[Jours Mois]&amp;"/"&amp;Tableau6[[#Headers],[2021]],tabSuiviConso[Jour Mois Année],0)</f>
        <v>#N/A</v>
      </c>
      <c r="E22" s="86" t="str">
        <f>IF(ISNA(Tableau6[[#This Row],[Position 2021]]),"",INDEX(tabSuiviConso[HP + HC
cumul],Tableau6[[#This Row],[Position 2021]],1))</f>
        <v/>
      </c>
      <c r="F22" s="123" t="e">
        <f>IF(ISNA(Tableau6[[#This Row],[Position 2021]]),Tableau6[[#This Row],[Position 2021]],Tableau6[[#This Row],[2021]]-E$2)</f>
        <v>#N/A</v>
      </c>
      <c r="G22" s="102" t="e">
        <f>MATCH(Tableau6[Jours Mois]&amp;"/"&amp;Tableau6[[#Headers],[2022]],tabSuiviConso[Jour Mois Année],0)</f>
        <v>#N/A</v>
      </c>
      <c r="H22" s="86" t="str">
        <f>IF(ISNA(Tableau6[[#This Row],[Position 2022]]),"",INDEX(tabSuiviConso[HP + HC
cumul],Tableau6[[#This Row],[Position 2022]],1))</f>
        <v/>
      </c>
      <c r="I22" s="123" t="e">
        <f>IF(ISNA(Tableau6[[#This Row],[Position 2022]]),Tableau6[[#This Row],[Position 2022]],Tableau6[[#This Row],[2022]]-H$2)</f>
        <v>#N/A</v>
      </c>
      <c r="J22" s="102" t="e">
        <f>MATCH(Tableau6[Jours Mois]&amp;"/"&amp;Tableau6[[#Headers],[2023]],tabSuiviConso[Jour Mois Année],0)</f>
        <v>#N/A</v>
      </c>
      <c r="K22" s="102" t="e">
        <f>Tableau6[[#This Row],[Cumul 2022]]-Tableau6[[#This Row],[Cumul 2021]]</f>
        <v>#N/A</v>
      </c>
      <c r="L22" s="104" t="e">
        <f>Tableau6[[#This Row],[Ecart 2021 2022]]/Tableau6[[#This Row],[Cumul 2021]]</f>
        <v>#N/A</v>
      </c>
      <c r="M22" s="86" t="str">
        <f>IF(ISNA(Tableau6[[#This Row],[Position 2023]]),"",INDEX(tabSuiviConso[HP + HC
cumul],Tableau6[[#This Row],[Position 2023]],1))</f>
        <v/>
      </c>
      <c r="N22" s="123" t="e">
        <f>IF(ISNA(Tableau6[[#This Row],[Position 2023]]),Tableau6[[#This Row],[Position 2023]],Tableau6[[#This Row],[2023]]-M$2)</f>
        <v>#N/A</v>
      </c>
      <c r="O22" s="102" t="e">
        <f>Tableau6[[#This Row],[Cumul 2023]]-Tableau6[[#This Row],[Cumul 2022]]</f>
        <v>#N/A</v>
      </c>
      <c r="P22" s="104" t="e">
        <f>Tableau6[[#This Row],[Ecart 2022 2023]]/Tableau6[[#This Row],[Cumul 2022]]</f>
        <v>#N/A</v>
      </c>
      <c r="Q22" s="102" t="e">
        <f>MATCH(Tableau6[Jours Mois]&amp;"/"&amp;Tableau6[[#Headers],[2024]],tabSuiviConso[Jour Mois Année],0)</f>
        <v>#N/A</v>
      </c>
      <c r="R22" s="102" t="str">
        <f>IF(ISNA(Tableau6[[#This Row],[Position 2024]]),"",INDEX(tabSuiviConso[HP + HC
cumul],Tableau6[[#This Row],[Position 2024]],1))</f>
        <v/>
      </c>
      <c r="S22" s="123" t="e">
        <f>IF(ISNA(Tableau6[[#This Row],[Position 2024]]),Tableau6[[#This Row],[Position 2024]],Tableau6[[#This Row],[2024]]-R$2)</f>
        <v>#N/A</v>
      </c>
      <c r="T22" s="102" t="e">
        <f>Tableau6[[#This Row],[Cumul 2024]]-Tableau6[[#This Row],[Cumul 2023]]</f>
        <v>#N/A</v>
      </c>
      <c r="U22" s="103" t="e">
        <f>Tableau6[[#This Row],[Ecart 2023 2024]]/Tableau6[[#This Row],[Cumul 2023]]</f>
        <v>#N/A</v>
      </c>
    </row>
    <row r="23" spans="1:21" x14ac:dyDescent="0.2">
      <c r="A23" s="102">
        <v>1</v>
      </c>
      <c r="B23" s="102">
        <v>21</v>
      </c>
      <c r="C23" s="102" t="str">
        <f>Tableau6[Jour]&amp;"/"&amp;Tableau6[Mois]</f>
        <v>21/1</v>
      </c>
      <c r="D23" s="102" t="e">
        <f>MATCH(Tableau6[Jours Mois]&amp;"/"&amp;Tableau6[[#Headers],[2021]],tabSuiviConso[Jour Mois Année],0)</f>
        <v>#N/A</v>
      </c>
      <c r="E23" s="86" t="str">
        <f>IF(ISNA(Tableau6[[#This Row],[Position 2021]]),"",INDEX(tabSuiviConso[HP + HC
cumul],Tableau6[[#This Row],[Position 2021]],1))</f>
        <v/>
      </c>
      <c r="F23" s="123" t="e">
        <f>IF(ISNA(Tableau6[[#This Row],[Position 2021]]),Tableau6[[#This Row],[Position 2021]],Tableau6[[#This Row],[2021]]-E$2)</f>
        <v>#N/A</v>
      </c>
      <c r="G23" s="102" t="e">
        <f>MATCH(Tableau6[Jours Mois]&amp;"/"&amp;Tableau6[[#Headers],[2022]],tabSuiviConso[Jour Mois Année],0)</f>
        <v>#N/A</v>
      </c>
      <c r="H23" s="86" t="str">
        <f>IF(ISNA(Tableau6[[#This Row],[Position 2022]]),"",INDEX(tabSuiviConso[HP + HC
cumul],Tableau6[[#This Row],[Position 2022]],1))</f>
        <v/>
      </c>
      <c r="I23" s="123" t="e">
        <f>IF(ISNA(Tableau6[[#This Row],[Position 2022]]),Tableau6[[#This Row],[Position 2022]],Tableau6[[#This Row],[2022]]-H$2)</f>
        <v>#N/A</v>
      </c>
      <c r="J23" s="102" t="e">
        <f>MATCH(Tableau6[Jours Mois]&amp;"/"&amp;Tableau6[[#Headers],[2023]],tabSuiviConso[Jour Mois Année],0)</f>
        <v>#N/A</v>
      </c>
      <c r="K23" s="102" t="e">
        <f>Tableau6[[#This Row],[Cumul 2022]]-Tableau6[[#This Row],[Cumul 2021]]</f>
        <v>#N/A</v>
      </c>
      <c r="L23" s="104" t="e">
        <f>Tableau6[[#This Row],[Ecart 2021 2022]]/Tableau6[[#This Row],[Cumul 2021]]</f>
        <v>#N/A</v>
      </c>
      <c r="M23" s="86" t="str">
        <f>IF(ISNA(Tableau6[[#This Row],[Position 2023]]),"",INDEX(tabSuiviConso[HP + HC
cumul],Tableau6[[#This Row],[Position 2023]],1))</f>
        <v/>
      </c>
      <c r="N23" s="123" t="e">
        <f>IF(ISNA(Tableau6[[#This Row],[Position 2023]]),Tableau6[[#This Row],[Position 2023]],Tableau6[[#This Row],[2023]]-M$2)</f>
        <v>#N/A</v>
      </c>
      <c r="O23" s="102" t="e">
        <f>Tableau6[[#This Row],[Cumul 2023]]-Tableau6[[#This Row],[Cumul 2022]]</f>
        <v>#N/A</v>
      </c>
      <c r="P23" s="104" t="e">
        <f>Tableau6[[#This Row],[Ecart 2022 2023]]/Tableau6[[#This Row],[Cumul 2022]]</f>
        <v>#N/A</v>
      </c>
      <c r="Q23" s="102" t="e">
        <f>MATCH(Tableau6[Jours Mois]&amp;"/"&amp;Tableau6[[#Headers],[2024]],tabSuiviConso[Jour Mois Année],0)</f>
        <v>#N/A</v>
      </c>
      <c r="R23" s="102" t="str">
        <f>IF(ISNA(Tableau6[[#This Row],[Position 2024]]),"",INDEX(tabSuiviConso[HP + HC
cumul],Tableau6[[#This Row],[Position 2024]],1))</f>
        <v/>
      </c>
      <c r="S23" s="123" t="e">
        <f>IF(ISNA(Tableau6[[#This Row],[Position 2024]]),Tableau6[[#This Row],[Position 2024]],Tableau6[[#This Row],[2024]]-R$2)</f>
        <v>#N/A</v>
      </c>
      <c r="T23" s="102" t="e">
        <f>Tableau6[[#This Row],[Cumul 2024]]-Tableau6[[#This Row],[Cumul 2023]]</f>
        <v>#N/A</v>
      </c>
      <c r="U23" s="103" t="e">
        <f>Tableau6[[#This Row],[Ecart 2023 2024]]/Tableau6[[#This Row],[Cumul 2023]]</f>
        <v>#N/A</v>
      </c>
    </row>
    <row r="24" spans="1:21" x14ac:dyDescent="0.2">
      <c r="A24" s="102">
        <v>1</v>
      </c>
      <c r="B24" s="102">
        <v>22</v>
      </c>
      <c r="C24" s="102" t="str">
        <f>Tableau6[Jour]&amp;"/"&amp;Tableau6[Mois]</f>
        <v>22/1</v>
      </c>
      <c r="D24" s="102" t="e">
        <f>MATCH(Tableau6[Jours Mois]&amp;"/"&amp;Tableau6[[#Headers],[2021]],tabSuiviConso[Jour Mois Année],0)</f>
        <v>#N/A</v>
      </c>
      <c r="E24" s="86" t="str">
        <f>IF(ISNA(Tableau6[[#This Row],[Position 2021]]),"",INDEX(tabSuiviConso[HP + HC
cumul],Tableau6[[#This Row],[Position 2021]],1))</f>
        <v/>
      </c>
      <c r="F24" s="123" t="e">
        <f>IF(ISNA(Tableau6[[#This Row],[Position 2021]]),Tableau6[[#This Row],[Position 2021]],Tableau6[[#This Row],[2021]]-E$2)</f>
        <v>#N/A</v>
      </c>
      <c r="G24" s="102" t="e">
        <f>MATCH(Tableau6[Jours Mois]&amp;"/"&amp;Tableau6[[#Headers],[2022]],tabSuiviConso[Jour Mois Année],0)</f>
        <v>#N/A</v>
      </c>
      <c r="H24" s="86" t="str">
        <f>IF(ISNA(Tableau6[[#This Row],[Position 2022]]),"",INDEX(tabSuiviConso[HP + HC
cumul],Tableau6[[#This Row],[Position 2022]],1))</f>
        <v/>
      </c>
      <c r="I24" s="123" t="e">
        <f>IF(ISNA(Tableau6[[#This Row],[Position 2022]]),Tableau6[[#This Row],[Position 2022]],Tableau6[[#This Row],[2022]]-H$2)</f>
        <v>#N/A</v>
      </c>
      <c r="J24" s="102" t="e">
        <f>MATCH(Tableau6[Jours Mois]&amp;"/"&amp;Tableau6[[#Headers],[2023]],tabSuiviConso[Jour Mois Année],0)</f>
        <v>#N/A</v>
      </c>
      <c r="K24" s="102" t="e">
        <f>Tableau6[[#This Row],[Cumul 2022]]-Tableau6[[#This Row],[Cumul 2021]]</f>
        <v>#N/A</v>
      </c>
      <c r="L24" s="104" t="e">
        <f>Tableau6[[#This Row],[Ecart 2021 2022]]/Tableau6[[#This Row],[Cumul 2021]]</f>
        <v>#N/A</v>
      </c>
      <c r="M24" s="86" t="str">
        <f>IF(ISNA(Tableau6[[#This Row],[Position 2023]]),"",INDEX(tabSuiviConso[HP + HC
cumul],Tableau6[[#This Row],[Position 2023]],1))</f>
        <v/>
      </c>
      <c r="N24" s="123" t="e">
        <f>IF(ISNA(Tableau6[[#This Row],[Position 2023]]),Tableau6[[#This Row],[Position 2023]],Tableau6[[#This Row],[2023]]-M$2)</f>
        <v>#N/A</v>
      </c>
      <c r="O24" s="102" t="e">
        <f>Tableau6[[#This Row],[Cumul 2023]]-Tableau6[[#This Row],[Cumul 2022]]</f>
        <v>#N/A</v>
      </c>
      <c r="P24" s="104" t="e">
        <f>Tableau6[[#This Row],[Ecart 2022 2023]]/Tableau6[[#This Row],[Cumul 2022]]</f>
        <v>#N/A</v>
      </c>
      <c r="Q24" s="102" t="e">
        <f>MATCH(Tableau6[Jours Mois]&amp;"/"&amp;Tableau6[[#Headers],[2024]],tabSuiviConso[Jour Mois Année],0)</f>
        <v>#N/A</v>
      </c>
      <c r="R24" s="102" t="str">
        <f>IF(ISNA(Tableau6[[#This Row],[Position 2024]]),"",INDEX(tabSuiviConso[HP + HC
cumul],Tableau6[[#This Row],[Position 2024]],1))</f>
        <v/>
      </c>
      <c r="S24" s="123" t="e">
        <f>IF(ISNA(Tableau6[[#This Row],[Position 2024]]),Tableau6[[#This Row],[Position 2024]],Tableau6[[#This Row],[2024]]-R$2)</f>
        <v>#N/A</v>
      </c>
      <c r="T24" s="102" t="e">
        <f>Tableau6[[#This Row],[Cumul 2024]]-Tableau6[[#This Row],[Cumul 2023]]</f>
        <v>#N/A</v>
      </c>
      <c r="U24" s="103" t="e">
        <f>Tableau6[[#This Row],[Ecart 2023 2024]]/Tableau6[[#This Row],[Cumul 2023]]</f>
        <v>#N/A</v>
      </c>
    </row>
    <row r="25" spans="1:21" x14ac:dyDescent="0.2">
      <c r="A25" s="102">
        <v>1</v>
      </c>
      <c r="B25" s="102">
        <v>23</v>
      </c>
      <c r="C25" s="102" t="str">
        <f>Tableau6[Jour]&amp;"/"&amp;Tableau6[Mois]</f>
        <v>23/1</v>
      </c>
      <c r="D25" s="102" t="e">
        <f>MATCH(Tableau6[Jours Mois]&amp;"/"&amp;Tableau6[[#Headers],[2021]],tabSuiviConso[Jour Mois Année],0)</f>
        <v>#N/A</v>
      </c>
      <c r="E25" s="86" t="str">
        <f>IF(ISNA(Tableau6[[#This Row],[Position 2021]]),"",INDEX(tabSuiviConso[HP + HC
cumul],Tableau6[[#This Row],[Position 2021]],1))</f>
        <v/>
      </c>
      <c r="F25" s="123" t="e">
        <f>IF(ISNA(Tableau6[[#This Row],[Position 2021]]),Tableau6[[#This Row],[Position 2021]],Tableau6[[#This Row],[2021]]-E$2)</f>
        <v>#N/A</v>
      </c>
      <c r="G25" s="102" t="e">
        <f>MATCH(Tableau6[Jours Mois]&amp;"/"&amp;Tableau6[[#Headers],[2022]],tabSuiviConso[Jour Mois Année],0)</f>
        <v>#N/A</v>
      </c>
      <c r="H25" s="86" t="str">
        <f>IF(ISNA(Tableau6[[#This Row],[Position 2022]]),"",INDEX(tabSuiviConso[HP + HC
cumul],Tableau6[[#This Row],[Position 2022]],1))</f>
        <v/>
      </c>
      <c r="I25" s="123" t="e">
        <f>IF(ISNA(Tableau6[[#This Row],[Position 2022]]),Tableau6[[#This Row],[Position 2022]],Tableau6[[#This Row],[2022]]-H$2)</f>
        <v>#N/A</v>
      </c>
      <c r="J25" s="102" t="e">
        <f>MATCH(Tableau6[Jours Mois]&amp;"/"&amp;Tableau6[[#Headers],[2023]],tabSuiviConso[Jour Mois Année],0)</f>
        <v>#N/A</v>
      </c>
      <c r="K25" s="102" t="e">
        <f>Tableau6[[#This Row],[Cumul 2022]]-Tableau6[[#This Row],[Cumul 2021]]</f>
        <v>#N/A</v>
      </c>
      <c r="L25" s="104" t="e">
        <f>Tableau6[[#This Row],[Ecart 2021 2022]]/Tableau6[[#This Row],[Cumul 2021]]</f>
        <v>#N/A</v>
      </c>
      <c r="M25" s="86" t="str">
        <f>IF(ISNA(Tableau6[[#This Row],[Position 2023]]),"",INDEX(tabSuiviConso[HP + HC
cumul],Tableau6[[#This Row],[Position 2023]],1))</f>
        <v/>
      </c>
      <c r="N25" s="123" t="e">
        <f>IF(ISNA(Tableau6[[#This Row],[Position 2023]]),Tableau6[[#This Row],[Position 2023]],Tableau6[[#This Row],[2023]]-M$2)</f>
        <v>#N/A</v>
      </c>
      <c r="O25" s="102" t="e">
        <f>Tableau6[[#This Row],[Cumul 2023]]-Tableau6[[#This Row],[Cumul 2022]]</f>
        <v>#N/A</v>
      </c>
      <c r="P25" s="104" t="e">
        <f>Tableau6[[#This Row],[Ecart 2022 2023]]/Tableau6[[#This Row],[Cumul 2022]]</f>
        <v>#N/A</v>
      </c>
      <c r="Q25" s="102" t="e">
        <f>MATCH(Tableau6[Jours Mois]&amp;"/"&amp;Tableau6[[#Headers],[2024]],tabSuiviConso[Jour Mois Année],0)</f>
        <v>#N/A</v>
      </c>
      <c r="R25" s="102" t="str">
        <f>IF(ISNA(Tableau6[[#This Row],[Position 2024]]),"",INDEX(tabSuiviConso[HP + HC
cumul],Tableau6[[#This Row],[Position 2024]],1))</f>
        <v/>
      </c>
      <c r="S25" s="123" t="e">
        <f>IF(ISNA(Tableau6[[#This Row],[Position 2024]]),Tableau6[[#This Row],[Position 2024]],Tableau6[[#This Row],[2024]]-R$2)</f>
        <v>#N/A</v>
      </c>
      <c r="T25" s="102" t="e">
        <f>Tableau6[[#This Row],[Cumul 2024]]-Tableau6[[#This Row],[Cumul 2023]]</f>
        <v>#N/A</v>
      </c>
      <c r="U25" s="103" t="e">
        <f>Tableau6[[#This Row],[Ecart 2023 2024]]/Tableau6[[#This Row],[Cumul 2023]]</f>
        <v>#N/A</v>
      </c>
    </row>
    <row r="26" spans="1:21" x14ac:dyDescent="0.2">
      <c r="A26" s="102">
        <v>1</v>
      </c>
      <c r="B26" s="102">
        <v>24</v>
      </c>
      <c r="C26" s="102" t="str">
        <f>Tableau6[Jour]&amp;"/"&amp;Tableau6[Mois]</f>
        <v>24/1</v>
      </c>
      <c r="D26" s="102">
        <f>MATCH(Tableau6[Jours Mois]&amp;"/"&amp;Tableau6[[#Headers],[2021]],tabSuiviConso[Jour Mois Année],0)</f>
        <v>2</v>
      </c>
      <c r="E26" s="86">
        <f>IF(ISNA(Tableau6[[#This Row],[Position 2021]]),"",INDEX(tabSuiviConso[HP + HC
cumul],Tableau6[[#This Row],[Position 2021]],1))</f>
        <v>2571</v>
      </c>
      <c r="F26" s="123">
        <f>IF(ISNA(Tableau6[[#This Row],[Position 2021]]),Tableau6[[#This Row],[Position 2021]],Tableau6[[#This Row],[2021]]-E$2)</f>
        <v>2571</v>
      </c>
      <c r="G26" s="102" t="e">
        <f>MATCH(Tableau6[Jours Mois]&amp;"/"&amp;Tableau6[[#Headers],[2022]],tabSuiviConso[Jour Mois Année],0)</f>
        <v>#N/A</v>
      </c>
      <c r="H26" s="86" t="str">
        <f>IF(ISNA(Tableau6[[#This Row],[Position 2022]]),"",INDEX(tabSuiviConso[HP + HC
cumul],Tableau6[[#This Row],[Position 2022]],1))</f>
        <v/>
      </c>
      <c r="I26" s="123" t="e">
        <f>IF(ISNA(Tableau6[[#This Row],[Position 2022]]),Tableau6[[#This Row],[Position 2022]],Tableau6[[#This Row],[2022]]-H$2)</f>
        <v>#N/A</v>
      </c>
      <c r="J26" s="102" t="e">
        <f>MATCH(Tableau6[Jours Mois]&amp;"/"&amp;Tableau6[[#Headers],[2023]],tabSuiviConso[Jour Mois Année],0)</f>
        <v>#N/A</v>
      </c>
      <c r="K26" s="102" t="e">
        <f>Tableau6[[#This Row],[Cumul 2022]]-Tableau6[[#This Row],[Cumul 2021]]</f>
        <v>#N/A</v>
      </c>
      <c r="L26" s="104" t="e">
        <f>Tableau6[[#This Row],[Ecart 2021 2022]]/Tableau6[[#This Row],[Cumul 2021]]</f>
        <v>#N/A</v>
      </c>
      <c r="M26" s="86" t="str">
        <f>IF(ISNA(Tableau6[[#This Row],[Position 2023]]),"",INDEX(tabSuiviConso[HP + HC
cumul],Tableau6[[#This Row],[Position 2023]],1))</f>
        <v/>
      </c>
      <c r="N26" s="123" t="e">
        <f>IF(ISNA(Tableau6[[#This Row],[Position 2023]]),Tableau6[[#This Row],[Position 2023]],Tableau6[[#This Row],[2023]]-M$2)</f>
        <v>#N/A</v>
      </c>
      <c r="O26" s="102" t="e">
        <f>Tableau6[[#This Row],[Cumul 2023]]-Tableau6[[#This Row],[Cumul 2022]]</f>
        <v>#N/A</v>
      </c>
      <c r="P26" s="104" t="e">
        <f>Tableau6[[#This Row],[Ecart 2022 2023]]/Tableau6[[#This Row],[Cumul 2022]]</f>
        <v>#N/A</v>
      </c>
      <c r="Q26" s="102" t="e">
        <f>MATCH(Tableau6[Jours Mois]&amp;"/"&amp;Tableau6[[#Headers],[2024]],tabSuiviConso[Jour Mois Année],0)</f>
        <v>#N/A</v>
      </c>
      <c r="R26" s="102" t="str">
        <f>IF(ISNA(Tableau6[[#This Row],[Position 2024]]),"",INDEX(tabSuiviConso[HP + HC
cumul],Tableau6[[#This Row],[Position 2024]],1))</f>
        <v/>
      </c>
      <c r="S26" s="123" t="e">
        <f>IF(ISNA(Tableau6[[#This Row],[Position 2024]]),Tableau6[[#This Row],[Position 2024]],Tableau6[[#This Row],[2024]]-R$2)</f>
        <v>#N/A</v>
      </c>
      <c r="T26" s="102" t="e">
        <f>Tableau6[[#This Row],[Cumul 2024]]-Tableau6[[#This Row],[Cumul 2023]]</f>
        <v>#N/A</v>
      </c>
      <c r="U26" s="103" t="e">
        <f>Tableau6[[#This Row],[Ecart 2023 2024]]/Tableau6[[#This Row],[Cumul 2023]]</f>
        <v>#N/A</v>
      </c>
    </row>
    <row r="27" spans="1:21" x14ac:dyDescent="0.2">
      <c r="A27" s="102">
        <v>1</v>
      </c>
      <c r="B27" s="102">
        <v>25</v>
      </c>
      <c r="C27" s="102" t="str">
        <f>Tableau6[Jour]&amp;"/"&amp;Tableau6[Mois]</f>
        <v>25/1</v>
      </c>
      <c r="D27" s="102">
        <f>MATCH(Tableau6[Jours Mois]&amp;"/"&amp;Tableau6[[#Headers],[2021]],tabSuiviConso[Jour Mois Année],0)</f>
        <v>3</v>
      </c>
      <c r="E27" s="86">
        <f>IF(ISNA(Tableau6[[#This Row],[Position 2021]]),"",INDEX(tabSuiviConso[HP + HC
cumul],Tableau6[[#This Row],[Position 2021]],1))</f>
        <v>2608</v>
      </c>
      <c r="F27" s="123">
        <f>IF(ISNA(Tableau6[[#This Row],[Position 2021]]),Tableau6[[#This Row],[Position 2021]],Tableau6[[#This Row],[2021]]-E$2)</f>
        <v>2608</v>
      </c>
      <c r="G27" s="102" t="e">
        <f>MATCH(Tableau6[Jours Mois]&amp;"/"&amp;Tableau6[[#Headers],[2022]],tabSuiviConso[Jour Mois Année],0)</f>
        <v>#N/A</v>
      </c>
      <c r="H27" s="86" t="str">
        <f>IF(ISNA(Tableau6[[#This Row],[Position 2022]]),"",INDEX(tabSuiviConso[HP + HC
cumul],Tableau6[[#This Row],[Position 2022]],1))</f>
        <v/>
      </c>
      <c r="I27" s="123" t="e">
        <f>IF(ISNA(Tableau6[[#This Row],[Position 2022]]),Tableau6[[#This Row],[Position 2022]],Tableau6[[#This Row],[2022]]-H$2)</f>
        <v>#N/A</v>
      </c>
      <c r="J27" s="102" t="e">
        <f>MATCH(Tableau6[Jours Mois]&amp;"/"&amp;Tableau6[[#Headers],[2023]],tabSuiviConso[Jour Mois Année],0)</f>
        <v>#N/A</v>
      </c>
      <c r="K27" s="102" t="e">
        <f>Tableau6[[#This Row],[Cumul 2022]]-Tableau6[[#This Row],[Cumul 2021]]</f>
        <v>#N/A</v>
      </c>
      <c r="L27" s="104" t="e">
        <f>Tableau6[[#This Row],[Ecart 2021 2022]]/Tableau6[[#This Row],[Cumul 2021]]</f>
        <v>#N/A</v>
      </c>
      <c r="M27" s="86" t="str">
        <f>IF(ISNA(Tableau6[[#This Row],[Position 2023]]),"",INDEX(tabSuiviConso[HP + HC
cumul],Tableau6[[#This Row],[Position 2023]],1))</f>
        <v/>
      </c>
      <c r="N27" s="123" t="e">
        <f>IF(ISNA(Tableau6[[#This Row],[Position 2023]]),Tableau6[[#This Row],[Position 2023]],Tableau6[[#This Row],[2023]]-M$2)</f>
        <v>#N/A</v>
      </c>
      <c r="O27" s="102" t="e">
        <f>Tableau6[[#This Row],[Cumul 2023]]-Tableau6[[#This Row],[Cumul 2022]]</f>
        <v>#N/A</v>
      </c>
      <c r="P27" s="104" t="e">
        <f>Tableau6[[#This Row],[Ecart 2022 2023]]/Tableau6[[#This Row],[Cumul 2022]]</f>
        <v>#N/A</v>
      </c>
      <c r="Q27" s="102" t="e">
        <f>MATCH(Tableau6[Jours Mois]&amp;"/"&amp;Tableau6[[#Headers],[2024]],tabSuiviConso[Jour Mois Année],0)</f>
        <v>#N/A</v>
      </c>
      <c r="R27" s="102" t="str">
        <f>IF(ISNA(Tableau6[[#This Row],[Position 2024]]),"",INDEX(tabSuiviConso[HP + HC
cumul],Tableau6[[#This Row],[Position 2024]],1))</f>
        <v/>
      </c>
      <c r="S27" s="123" t="e">
        <f>IF(ISNA(Tableau6[[#This Row],[Position 2024]]),Tableau6[[#This Row],[Position 2024]],Tableau6[[#This Row],[2024]]-R$2)</f>
        <v>#N/A</v>
      </c>
      <c r="T27" s="102" t="e">
        <f>Tableau6[[#This Row],[Cumul 2024]]-Tableau6[[#This Row],[Cumul 2023]]</f>
        <v>#N/A</v>
      </c>
      <c r="U27" s="103" t="e">
        <f>Tableau6[[#This Row],[Ecart 2023 2024]]/Tableau6[[#This Row],[Cumul 2023]]</f>
        <v>#N/A</v>
      </c>
    </row>
    <row r="28" spans="1:21" x14ac:dyDescent="0.2">
      <c r="A28" s="102">
        <v>1</v>
      </c>
      <c r="B28" s="102">
        <v>26</v>
      </c>
      <c r="C28" s="102" t="str">
        <f>Tableau6[Jour]&amp;"/"&amp;Tableau6[Mois]</f>
        <v>26/1</v>
      </c>
      <c r="D28" s="102">
        <f>MATCH(Tableau6[Jours Mois]&amp;"/"&amp;Tableau6[[#Headers],[2021]],tabSuiviConso[Jour Mois Année],0)</f>
        <v>6</v>
      </c>
      <c r="E28" s="86">
        <f>IF(ISNA(Tableau6[[#This Row],[Position 2021]]),"",INDEX(tabSuiviConso[HP + HC
cumul],Tableau6[[#This Row],[Position 2021]],1))</f>
        <v>-299191</v>
      </c>
      <c r="F28" s="123">
        <f>IF(ISNA(Tableau6[[#This Row],[Position 2021]]),Tableau6[[#This Row],[Position 2021]],Tableau6[[#This Row],[2021]]-E$2)</f>
        <v>-299191</v>
      </c>
      <c r="G28" s="102" t="e">
        <f>MATCH(Tableau6[Jours Mois]&amp;"/"&amp;Tableau6[[#Headers],[2022]],tabSuiviConso[Jour Mois Année],0)</f>
        <v>#N/A</v>
      </c>
      <c r="H28" s="86" t="str">
        <f>IF(ISNA(Tableau6[[#This Row],[Position 2022]]),"",INDEX(tabSuiviConso[HP + HC
cumul],Tableau6[[#This Row],[Position 2022]],1))</f>
        <v/>
      </c>
      <c r="I28" s="123" t="e">
        <f>IF(ISNA(Tableau6[[#This Row],[Position 2022]]),Tableau6[[#This Row],[Position 2022]],Tableau6[[#This Row],[2022]]-H$2)</f>
        <v>#N/A</v>
      </c>
      <c r="J28" s="102" t="e">
        <f>MATCH(Tableau6[Jours Mois]&amp;"/"&amp;Tableau6[[#Headers],[2023]],tabSuiviConso[Jour Mois Année],0)</f>
        <v>#N/A</v>
      </c>
      <c r="K28" s="102" t="e">
        <f>Tableau6[[#This Row],[Cumul 2022]]-Tableau6[[#This Row],[Cumul 2021]]</f>
        <v>#N/A</v>
      </c>
      <c r="L28" s="104" t="e">
        <f>Tableau6[[#This Row],[Ecart 2021 2022]]/Tableau6[[#This Row],[Cumul 2021]]</f>
        <v>#N/A</v>
      </c>
      <c r="M28" s="86" t="str">
        <f>IF(ISNA(Tableau6[[#This Row],[Position 2023]]),"",INDEX(tabSuiviConso[HP + HC
cumul],Tableau6[[#This Row],[Position 2023]],1))</f>
        <v/>
      </c>
      <c r="N28" s="123" t="e">
        <f>IF(ISNA(Tableau6[[#This Row],[Position 2023]]),Tableau6[[#This Row],[Position 2023]],Tableau6[[#This Row],[2023]]-M$2)</f>
        <v>#N/A</v>
      </c>
      <c r="O28" s="102" t="e">
        <f>Tableau6[[#This Row],[Cumul 2023]]-Tableau6[[#This Row],[Cumul 2022]]</f>
        <v>#N/A</v>
      </c>
      <c r="P28" s="104" t="e">
        <f>Tableau6[[#This Row],[Ecart 2022 2023]]/Tableau6[[#This Row],[Cumul 2022]]</f>
        <v>#N/A</v>
      </c>
      <c r="Q28" s="102" t="e">
        <f>MATCH(Tableau6[Jours Mois]&amp;"/"&amp;Tableau6[[#Headers],[2024]],tabSuiviConso[Jour Mois Année],0)</f>
        <v>#N/A</v>
      </c>
      <c r="R28" s="102" t="str">
        <f>IF(ISNA(Tableau6[[#This Row],[Position 2024]]),"",INDEX(tabSuiviConso[HP + HC
cumul],Tableau6[[#This Row],[Position 2024]],1))</f>
        <v/>
      </c>
      <c r="S28" s="123" t="e">
        <f>IF(ISNA(Tableau6[[#This Row],[Position 2024]]),Tableau6[[#This Row],[Position 2024]],Tableau6[[#This Row],[2024]]-R$2)</f>
        <v>#N/A</v>
      </c>
      <c r="T28" s="102" t="e">
        <f>Tableau6[[#This Row],[Cumul 2024]]-Tableau6[[#This Row],[Cumul 2023]]</f>
        <v>#N/A</v>
      </c>
      <c r="U28" s="103" t="e">
        <f>Tableau6[[#This Row],[Ecart 2023 2024]]/Tableau6[[#This Row],[Cumul 2023]]</f>
        <v>#N/A</v>
      </c>
    </row>
    <row r="29" spans="1:21" x14ac:dyDescent="0.2">
      <c r="A29" s="102">
        <v>1</v>
      </c>
      <c r="B29" s="102">
        <v>27</v>
      </c>
      <c r="C29" s="102" t="str">
        <f>Tableau6[Jour]&amp;"/"&amp;Tableau6[Mois]</f>
        <v>27/1</v>
      </c>
      <c r="D29" s="102">
        <f>MATCH(Tableau6[Jours Mois]&amp;"/"&amp;Tableau6[[#Headers],[2021]],tabSuiviConso[Jour Mois Année],0)</f>
        <v>9</v>
      </c>
      <c r="E29" s="86">
        <f>IF(ISNA(Tableau6[[#This Row],[Position 2021]]),"",INDEX(tabSuiviConso[HP + HC
cumul],Tableau6[[#This Row],[Position 2021]],1))</f>
        <v>-299191</v>
      </c>
      <c r="F29" s="123">
        <f>IF(ISNA(Tableau6[[#This Row],[Position 2021]]),Tableau6[[#This Row],[Position 2021]],Tableau6[[#This Row],[2021]]-E$2)</f>
        <v>-299191</v>
      </c>
      <c r="G29" s="102" t="e">
        <f>MATCH(Tableau6[Jours Mois]&amp;"/"&amp;Tableau6[[#Headers],[2022]],tabSuiviConso[Jour Mois Année],0)</f>
        <v>#N/A</v>
      </c>
      <c r="H29" s="86" t="str">
        <f>IF(ISNA(Tableau6[[#This Row],[Position 2022]]),"",INDEX(tabSuiviConso[HP + HC
cumul],Tableau6[[#This Row],[Position 2022]],1))</f>
        <v/>
      </c>
      <c r="I29" s="123" t="e">
        <f>IF(ISNA(Tableau6[[#This Row],[Position 2022]]),Tableau6[[#This Row],[Position 2022]],Tableau6[[#This Row],[2022]]-H$2)</f>
        <v>#N/A</v>
      </c>
      <c r="J29" s="102" t="e">
        <f>MATCH(Tableau6[Jours Mois]&amp;"/"&amp;Tableau6[[#Headers],[2023]],tabSuiviConso[Jour Mois Année],0)</f>
        <v>#N/A</v>
      </c>
      <c r="K29" s="102" t="e">
        <f>Tableau6[[#This Row],[Cumul 2022]]-Tableau6[[#This Row],[Cumul 2021]]</f>
        <v>#N/A</v>
      </c>
      <c r="L29" s="104" t="e">
        <f>Tableau6[[#This Row],[Ecart 2021 2022]]/Tableau6[[#This Row],[Cumul 2021]]</f>
        <v>#N/A</v>
      </c>
      <c r="M29" s="86" t="str">
        <f>IF(ISNA(Tableau6[[#This Row],[Position 2023]]),"",INDEX(tabSuiviConso[HP + HC
cumul],Tableau6[[#This Row],[Position 2023]],1))</f>
        <v/>
      </c>
      <c r="N29" s="123" t="e">
        <f>IF(ISNA(Tableau6[[#This Row],[Position 2023]]),Tableau6[[#This Row],[Position 2023]],Tableau6[[#This Row],[2023]]-M$2)</f>
        <v>#N/A</v>
      </c>
      <c r="O29" s="102" t="e">
        <f>Tableau6[[#This Row],[Cumul 2023]]-Tableau6[[#This Row],[Cumul 2022]]</f>
        <v>#N/A</v>
      </c>
      <c r="P29" s="104" t="e">
        <f>Tableau6[[#This Row],[Ecart 2022 2023]]/Tableau6[[#This Row],[Cumul 2022]]</f>
        <v>#N/A</v>
      </c>
      <c r="Q29" s="102" t="e">
        <f>MATCH(Tableau6[Jours Mois]&amp;"/"&amp;Tableau6[[#Headers],[2024]],tabSuiviConso[Jour Mois Année],0)</f>
        <v>#N/A</v>
      </c>
      <c r="R29" s="102" t="str">
        <f>IF(ISNA(Tableau6[[#This Row],[Position 2024]]),"",INDEX(tabSuiviConso[HP + HC
cumul],Tableau6[[#This Row],[Position 2024]],1))</f>
        <v/>
      </c>
      <c r="S29" s="123" t="e">
        <f>IF(ISNA(Tableau6[[#This Row],[Position 2024]]),Tableau6[[#This Row],[Position 2024]],Tableau6[[#This Row],[2024]]-R$2)</f>
        <v>#N/A</v>
      </c>
      <c r="T29" s="102" t="e">
        <f>Tableau6[[#This Row],[Cumul 2024]]-Tableau6[[#This Row],[Cumul 2023]]</f>
        <v>#N/A</v>
      </c>
      <c r="U29" s="103" t="e">
        <f>Tableau6[[#This Row],[Ecart 2023 2024]]/Tableau6[[#This Row],[Cumul 2023]]</f>
        <v>#N/A</v>
      </c>
    </row>
    <row r="30" spans="1:21" x14ac:dyDescent="0.2">
      <c r="A30" s="102">
        <v>1</v>
      </c>
      <c r="B30" s="102">
        <v>28</v>
      </c>
      <c r="C30" s="102" t="str">
        <f>Tableau6[Jour]&amp;"/"&amp;Tableau6[Mois]</f>
        <v>28/1</v>
      </c>
      <c r="D30" s="102">
        <f>MATCH(Tableau6[Jours Mois]&amp;"/"&amp;Tableau6[[#Headers],[2021]],tabSuiviConso[Jour Mois Année],0)</f>
        <v>12</v>
      </c>
      <c r="E30" s="86">
        <f>IF(ISNA(Tableau6[[#This Row],[Position 2021]]),"",INDEX(tabSuiviConso[HP + HC
cumul],Tableau6[[#This Row],[Position 2021]],1))</f>
        <v>-299191</v>
      </c>
      <c r="F30" s="123">
        <f>IF(ISNA(Tableau6[[#This Row],[Position 2021]]),Tableau6[[#This Row],[Position 2021]],Tableau6[[#This Row],[2021]]-E$2)</f>
        <v>-299191</v>
      </c>
      <c r="G30" s="102" t="e">
        <f>MATCH(Tableau6[Jours Mois]&amp;"/"&amp;Tableau6[[#Headers],[2022]],tabSuiviConso[Jour Mois Année],0)</f>
        <v>#N/A</v>
      </c>
      <c r="H30" s="86" t="str">
        <f>IF(ISNA(Tableau6[[#This Row],[Position 2022]]),"",INDEX(tabSuiviConso[HP + HC
cumul],Tableau6[[#This Row],[Position 2022]],1))</f>
        <v/>
      </c>
      <c r="I30" s="123" t="e">
        <f>IF(ISNA(Tableau6[[#This Row],[Position 2022]]),Tableau6[[#This Row],[Position 2022]],Tableau6[[#This Row],[2022]]-H$2)</f>
        <v>#N/A</v>
      </c>
      <c r="J30" s="102" t="e">
        <f>MATCH(Tableau6[Jours Mois]&amp;"/"&amp;Tableau6[[#Headers],[2023]],tabSuiviConso[Jour Mois Année],0)</f>
        <v>#N/A</v>
      </c>
      <c r="K30" s="102" t="e">
        <f>Tableau6[[#This Row],[Cumul 2022]]-Tableau6[[#This Row],[Cumul 2021]]</f>
        <v>#N/A</v>
      </c>
      <c r="L30" s="104" t="e">
        <f>Tableau6[[#This Row],[Ecart 2021 2022]]/Tableau6[[#This Row],[Cumul 2021]]</f>
        <v>#N/A</v>
      </c>
      <c r="M30" s="86" t="str">
        <f>IF(ISNA(Tableau6[[#This Row],[Position 2023]]),"",INDEX(tabSuiviConso[HP + HC
cumul],Tableau6[[#This Row],[Position 2023]],1))</f>
        <v/>
      </c>
      <c r="N30" s="123" t="e">
        <f>IF(ISNA(Tableau6[[#This Row],[Position 2023]]),Tableau6[[#This Row],[Position 2023]],Tableau6[[#This Row],[2023]]-M$2)</f>
        <v>#N/A</v>
      </c>
      <c r="O30" s="102" t="e">
        <f>Tableau6[[#This Row],[Cumul 2023]]-Tableau6[[#This Row],[Cumul 2022]]</f>
        <v>#N/A</v>
      </c>
      <c r="P30" s="104" t="e">
        <f>Tableau6[[#This Row],[Ecart 2022 2023]]/Tableau6[[#This Row],[Cumul 2022]]</f>
        <v>#N/A</v>
      </c>
      <c r="Q30" s="102" t="e">
        <f>MATCH(Tableau6[Jours Mois]&amp;"/"&amp;Tableau6[[#Headers],[2024]],tabSuiviConso[Jour Mois Année],0)</f>
        <v>#N/A</v>
      </c>
      <c r="R30" s="102" t="str">
        <f>IF(ISNA(Tableau6[[#This Row],[Position 2024]]),"",INDEX(tabSuiviConso[HP + HC
cumul],Tableau6[[#This Row],[Position 2024]],1))</f>
        <v/>
      </c>
      <c r="S30" s="123" t="e">
        <f>IF(ISNA(Tableau6[[#This Row],[Position 2024]]),Tableau6[[#This Row],[Position 2024]],Tableau6[[#This Row],[2024]]-R$2)</f>
        <v>#N/A</v>
      </c>
      <c r="T30" s="102" t="e">
        <f>Tableau6[[#This Row],[Cumul 2024]]-Tableau6[[#This Row],[Cumul 2023]]</f>
        <v>#N/A</v>
      </c>
      <c r="U30" s="103" t="e">
        <f>Tableau6[[#This Row],[Ecart 2023 2024]]/Tableau6[[#This Row],[Cumul 2023]]</f>
        <v>#N/A</v>
      </c>
    </row>
    <row r="31" spans="1:21" x14ac:dyDescent="0.2">
      <c r="A31" s="102">
        <v>1</v>
      </c>
      <c r="B31" s="102">
        <v>29</v>
      </c>
      <c r="C31" s="102" t="str">
        <f>Tableau6[Jour]&amp;"/"&amp;Tableau6[Mois]</f>
        <v>29/1</v>
      </c>
      <c r="D31" s="102">
        <f>MATCH(Tableau6[Jours Mois]&amp;"/"&amp;Tableau6[[#Headers],[2021]],tabSuiviConso[Jour Mois Année],0)</f>
        <v>15</v>
      </c>
      <c r="E31" s="86">
        <f>IF(ISNA(Tableau6[[#This Row],[Position 2021]]),"",INDEX(tabSuiviConso[HP + HC
cumul],Tableau6[[#This Row],[Position 2021]],1))</f>
        <v>-299191</v>
      </c>
      <c r="F31" s="123">
        <f>IF(ISNA(Tableau6[[#This Row],[Position 2021]]),Tableau6[[#This Row],[Position 2021]],Tableau6[[#This Row],[2021]]-E$2)</f>
        <v>-299191</v>
      </c>
      <c r="G31" s="102" t="e">
        <f>MATCH(Tableau6[Jours Mois]&amp;"/"&amp;Tableau6[[#Headers],[2022]],tabSuiviConso[Jour Mois Année],0)</f>
        <v>#N/A</v>
      </c>
      <c r="H31" s="86" t="str">
        <f>IF(ISNA(Tableau6[[#This Row],[Position 2022]]),"",INDEX(tabSuiviConso[HP + HC
cumul],Tableau6[[#This Row],[Position 2022]],1))</f>
        <v/>
      </c>
      <c r="I31" s="123" t="e">
        <f>IF(ISNA(Tableau6[[#This Row],[Position 2022]]),Tableau6[[#This Row],[Position 2022]],Tableau6[[#This Row],[2022]]-H$2)</f>
        <v>#N/A</v>
      </c>
      <c r="J31" s="102" t="e">
        <f>MATCH(Tableau6[Jours Mois]&amp;"/"&amp;Tableau6[[#Headers],[2023]],tabSuiviConso[Jour Mois Année],0)</f>
        <v>#N/A</v>
      </c>
      <c r="K31" s="102" t="e">
        <f>Tableau6[[#This Row],[Cumul 2022]]-Tableau6[[#This Row],[Cumul 2021]]</f>
        <v>#N/A</v>
      </c>
      <c r="L31" s="104" t="e">
        <f>Tableau6[[#This Row],[Ecart 2021 2022]]/Tableau6[[#This Row],[Cumul 2021]]</f>
        <v>#N/A</v>
      </c>
      <c r="M31" s="86" t="str">
        <f>IF(ISNA(Tableau6[[#This Row],[Position 2023]]),"",INDEX(tabSuiviConso[HP + HC
cumul],Tableau6[[#This Row],[Position 2023]],1))</f>
        <v/>
      </c>
      <c r="N31" s="123" t="e">
        <f>IF(ISNA(Tableau6[[#This Row],[Position 2023]]),Tableau6[[#This Row],[Position 2023]],Tableau6[[#This Row],[2023]]-M$2)</f>
        <v>#N/A</v>
      </c>
      <c r="O31" s="102" t="e">
        <f>Tableau6[[#This Row],[Cumul 2023]]-Tableau6[[#This Row],[Cumul 2022]]</f>
        <v>#N/A</v>
      </c>
      <c r="P31" s="104" t="e">
        <f>Tableau6[[#This Row],[Ecart 2022 2023]]/Tableau6[[#This Row],[Cumul 2022]]</f>
        <v>#N/A</v>
      </c>
      <c r="Q31" s="102" t="e">
        <f>MATCH(Tableau6[Jours Mois]&amp;"/"&amp;Tableau6[[#Headers],[2024]],tabSuiviConso[Jour Mois Année],0)</f>
        <v>#N/A</v>
      </c>
      <c r="R31" s="102" t="str">
        <f>IF(ISNA(Tableau6[[#This Row],[Position 2024]]),"",INDEX(tabSuiviConso[HP + HC
cumul],Tableau6[[#This Row],[Position 2024]],1))</f>
        <v/>
      </c>
      <c r="S31" s="123" t="e">
        <f>IF(ISNA(Tableau6[[#This Row],[Position 2024]]),Tableau6[[#This Row],[Position 2024]],Tableau6[[#This Row],[2024]]-R$2)</f>
        <v>#N/A</v>
      </c>
      <c r="T31" s="102" t="e">
        <f>Tableau6[[#This Row],[Cumul 2024]]-Tableau6[[#This Row],[Cumul 2023]]</f>
        <v>#N/A</v>
      </c>
      <c r="U31" s="103" t="e">
        <f>Tableau6[[#This Row],[Ecart 2023 2024]]/Tableau6[[#This Row],[Cumul 2023]]</f>
        <v>#N/A</v>
      </c>
    </row>
    <row r="32" spans="1:21" x14ac:dyDescent="0.2">
      <c r="A32" s="102">
        <v>1</v>
      </c>
      <c r="B32" s="102">
        <v>30</v>
      </c>
      <c r="C32" s="102" t="str">
        <f>Tableau6[Jour]&amp;"/"&amp;Tableau6[Mois]</f>
        <v>30/1</v>
      </c>
      <c r="D32" s="102">
        <f>MATCH(Tableau6[Jours Mois]&amp;"/"&amp;Tableau6[[#Headers],[2021]],tabSuiviConso[Jour Mois Année],0)</f>
        <v>18</v>
      </c>
      <c r="E32" s="86">
        <f>IF(ISNA(Tableau6[[#This Row],[Position 2021]]),"",INDEX(tabSuiviConso[HP + HC
cumul],Tableau6[[#This Row],[Position 2021]],1))</f>
        <v>-299191</v>
      </c>
      <c r="F32" s="123">
        <f>IF(ISNA(Tableau6[[#This Row],[Position 2021]]),Tableau6[[#This Row],[Position 2021]],Tableau6[[#This Row],[2021]]-E$2)</f>
        <v>-299191</v>
      </c>
      <c r="G32" s="102" t="e">
        <f>MATCH(Tableau6[Jours Mois]&amp;"/"&amp;Tableau6[[#Headers],[2022]],tabSuiviConso[Jour Mois Année],0)</f>
        <v>#N/A</v>
      </c>
      <c r="H32" s="86" t="str">
        <f>IF(ISNA(Tableau6[[#This Row],[Position 2022]]),"",INDEX(tabSuiviConso[HP + HC
cumul],Tableau6[[#This Row],[Position 2022]],1))</f>
        <v/>
      </c>
      <c r="I32" s="123" t="e">
        <f>IF(ISNA(Tableau6[[#This Row],[Position 2022]]),Tableau6[[#This Row],[Position 2022]],Tableau6[[#This Row],[2022]]-H$2)</f>
        <v>#N/A</v>
      </c>
      <c r="J32" s="102" t="e">
        <f>MATCH(Tableau6[Jours Mois]&amp;"/"&amp;Tableau6[[#Headers],[2023]],tabSuiviConso[Jour Mois Année],0)</f>
        <v>#N/A</v>
      </c>
      <c r="K32" s="102" t="e">
        <f>Tableau6[[#This Row],[Cumul 2022]]-Tableau6[[#This Row],[Cumul 2021]]</f>
        <v>#N/A</v>
      </c>
      <c r="L32" s="104" t="e">
        <f>Tableau6[[#This Row],[Ecart 2021 2022]]/Tableau6[[#This Row],[Cumul 2021]]</f>
        <v>#N/A</v>
      </c>
      <c r="M32" s="86" t="str">
        <f>IF(ISNA(Tableau6[[#This Row],[Position 2023]]),"",INDEX(tabSuiviConso[HP + HC
cumul],Tableau6[[#This Row],[Position 2023]],1))</f>
        <v/>
      </c>
      <c r="N32" s="123" t="e">
        <f>IF(ISNA(Tableau6[[#This Row],[Position 2023]]),Tableau6[[#This Row],[Position 2023]],Tableau6[[#This Row],[2023]]-M$2)</f>
        <v>#N/A</v>
      </c>
      <c r="O32" s="102" t="e">
        <f>Tableau6[[#This Row],[Cumul 2023]]-Tableau6[[#This Row],[Cumul 2022]]</f>
        <v>#N/A</v>
      </c>
      <c r="P32" s="104" t="e">
        <f>Tableau6[[#This Row],[Ecart 2022 2023]]/Tableau6[[#This Row],[Cumul 2022]]</f>
        <v>#N/A</v>
      </c>
      <c r="Q32" s="102" t="e">
        <f>MATCH(Tableau6[Jours Mois]&amp;"/"&amp;Tableau6[[#Headers],[2024]],tabSuiviConso[Jour Mois Année],0)</f>
        <v>#N/A</v>
      </c>
      <c r="R32" s="102" t="str">
        <f>IF(ISNA(Tableau6[[#This Row],[Position 2024]]),"",INDEX(tabSuiviConso[HP + HC
cumul],Tableau6[[#This Row],[Position 2024]],1))</f>
        <v/>
      </c>
      <c r="S32" s="123" t="e">
        <f>IF(ISNA(Tableau6[[#This Row],[Position 2024]]),Tableau6[[#This Row],[Position 2024]],Tableau6[[#This Row],[2024]]-R$2)</f>
        <v>#N/A</v>
      </c>
      <c r="T32" s="102" t="e">
        <f>Tableau6[[#This Row],[Cumul 2024]]-Tableau6[[#This Row],[Cumul 2023]]</f>
        <v>#N/A</v>
      </c>
      <c r="U32" s="103" t="e">
        <f>Tableau6[[#This Row],[Ecart 2023 2024]]/Tableau6[[#This Row],[Cumul 2023]]</f>
        <v>#N/A</v>
      </c>
    </row>
    <row r="33" spans="1:21" x14ac:dyDescent="0.2">
      <c r="A33" s="102">
        <v>1</v>
      </c>
      <c r="B33" s="102">
        <v>31</v>
      </c>
      <c r="C33" s="102" t="str">
        <f>Tableau6[Jour]&amp;"/"&amp;Tableau6[Mois]</f>
        <v>31/1</v>
      </c>
      <c r="D33" s="102" t="e">
        <f>MATCH(Tableau6[Jours Mois]&amp;"/"&amp;Tableau6[[#Headers],[2021]],tabSuiviConso[Jour Mois Année],0)</f>
        <v>#N/A</v>
      </c>
      <c r="E33" s="86" t="str">
        <f>IF(ISNA(Tableau6[[#This Row],[Position 2021]]),"",INDEX(tabSuiviConso[HP + HC
cumul],Tableau6[[#This Row],[Position 2021]],1))</f>
        <v/>
      </c>
      <c r="F33" s="123" t="e">
        <f>IF(ISNA(Tableau6[[#This Row],[Position 2021]]),Tableau6[[#This Row],[Position 2021]],Tableau6[[#This Row],[2021]]-E$2)</f>
        <v>#N/A</v>
      </c>
      <c r="G33" s="102" t="e">
        <f>MATCH(Tableau6[Jours Mois]&amp;"/"&amp;Tableau6[[#Headers],[2022]],tabSuiviConso[Jour Mois Année],0)</f>
        <v>#N/A</v>
      </c>
      <c r="H33" s="86" t="str">
        <f>IF(ISNA(Tableau6[[#This Row],[Position 2022]]),"",INDEX(tabSuiviConso[HP + HC
cumul],Tableau6[[#This Row],[Position 2022]],1))</f>
        <v/>
      </c>
      <c r="I33" s="123" t="e">
        <f>IF(ISNA(Tableau6[[#This Row],[Position 2022]]),Tableau6[[#This Row],[Position 2022]],Tableau6[[#This Row],[2022]]-H$2)</f>
        <v>#N/A</v>
      </c>
      <c r="J33" s="102" t="e">
        <f>MATCH(Tableau6[Jours Mois]&amp;"/"&amp;Tableau6[[#Headers],[2023]],tabSuiviConso[Jour Mois Année],0)</f>
        <v>#N/A</v>
      </c>
      <c r="K33" s="102" t="e">
        <f>Tableau6[[#This Row],[Cumul 2022]]-Tableau6[[#This Row],[Cumul 2021]]</f>
        <v>#N/A</v>
      </c>
      <c r="L33" s="104" t="e">
        <f>Tableau6[[#This Row],[Ecart 2021 2022]]/Tableau6[[#This Row],[Cumul 2021]]</f>
        <v>#N/A</v>
      </c>
      <c r="M33" s="86" t="str">
        <f>IF(ISNA(Tableau6[[#This Row],[Position 2023]]),"",INDEX(tabSuiviConso[HP + HC
cumul],Tableau6[[#This Row],[Position 2023]],1))</f>
        <v/>
      </c>
      <c r="N33" s="123" t="e">
        <f>IF(ISNA(Tableau6[[#This Row],[Position 2023]]),Tableau6[[#This Row],[Position 2023]],Tableau6[[#This Row],[2023]]-M$2)</f>
        <v>#N/A</v>
      </c>
      <c r="O33" s="102" t="e">
        <f>Tableau6[[#This Row],[Cumul 2023]]-Tableau6[[#This Row],[Cumul 2022]]</f>
        <v>#N/A</v>
      </c>
      <c r="P33" s="104" t="e">
        <f>Tableau6[[#This Row],[Ecart 2022 2023]]/Tableau6[[#This Row],[Cumul 2022]]</f>
        <v>#N/A</v>
      </c>
      <c r="Q33" s="102" t="e">
        <f>MATCH(Tableau6[Jours Mois]&amp;"/"&amp;Tableau6[[#Headers],[2024]],tabSuiviConso[Jour Mois Année],0)</f>
        <v>#N/A</v>
      </c>
      <c r="R33" s="102" t="str">
        <f>IF(ISNA(Tableau6[[#This Row],[Position 2024]]),"",INDEX(tabSuiviConso[HP + HC
cumul],Tableau6[[#This Row],[Position 2024]],1))</f>
        <v/>
      </c>
      <c r="S33" s="123" t="e">
        <f>IF(ISNA(Tableau6[[#This Row],[Position 2024]]),Tableau6[[#This Row],[Position 2024]],Tableau6[[#This Row],[2024]]-R$2)</f>
        <v>#N/A</v>
      </c>
      <c r="T33" s="102" t="e">
        <f>Tableau6[[#This Row],[Cumul 2024]]-Tableau6[[#This Row],[Cumul 2023]]</f>
        <v>#N/A</v>
      </c>
      <c r="U33" s="103" t="e">
        <f>Tableau6[[#This Row],[Ecart 2023 2024]]/Tableau6[[#This Row],[Cumul 2023]]</f>
        <v>#N/A</v>
      </c>
    </row>
    <row r="34" spans="1:21" x14ac:dyDescent="0.2">
      <c r="A34" s="102">
        <v>2</v>
      </c>
      <c r="B34" s="102">
        <v>1</v>
      </c>
      <c r="C34" s="102" t="str">
        <f>Tableau6[Jour]&amp;"/"&amp;Tableau6[Mois]</f>
        <v>1/2</v>
      </c>
      <c r="D34" s="102" t="e">
        <f>MATCH(Tableau6[Jours Mois]&amp;"/"&amp;Tableau6[[#Headers],[2021]],tabSuiviConso[Jour Mois Année],0)</f>
        <v>#N/A</v>
      </c>
      <c r="E34" s="102" t="str">
        <f>IF(ISNA(Tableau6[[#This Row],[Position 2021]]),"",INDEX(tabSuiviConso[HP + HC
cumul],Tableau6[[#This Row],[Position 2021]],1))</f>
        <v/>
      </c>
      <c r="F34" s="123" t="e">
        <f>IF(ISNA(Tableau6[[#This Row],[Position 2021]]),Tableau6[[#This Row],[Position 2021]],Tableau6[[#This Row],[2021]]-E$2)</f>
        <v>#N/A</v>
      </c>
      <c r="G34" s="102" t="e">
        <f>MATCH(Tableau6[Jours Mois]&amp;"/"&amp;Tableau6[[#Headers],[2022]],tabSuiviConso[Jour Mois Année],0)</f>
        <v>#N/A</v>
      </c>
      <c r="H34" s="102" t="str">
        <f>IF(ISNA(Tableau6[[#This Row],[Position 2022]]),"",INDEX(tabSuiviConso[HP + HC
cumul],Tableau6[[#This Row],[Position 2022]],1))</f>
        <v/>
      </c>
      <c r="I34" s="123" t="e">
        <f>IF(ISNA(Tableau6[[#This Row],[Position 2022]]),Tableau6[[#This Row],[Position 2022]],Tableau6[[#This Row],[2022]]-H$2)</f>
        <v>#N/A</v>
      </c>
      <c r="J34" s="102" t="e">
        <f>MATCH(Tableau6[Jours Mois]&amp;"/"&amp;Tableau6[[#Headers],[2023]],tabSuiviConso[Jour Mois Année],0)</f>
        <v>#N/A</v>
      </c>
      <c r="K34" s="102" t="e">
        <f>Tableau6[[#This Row],[Cumul 2022]]-Tableau6[[#This Row],[Cumul 2021]]</f>
        <v>#N/A</v>
      </c>
      <c r="L34" s="104" t="e">
        <f>Tableau6[[#This Row],[Ecart 2021 2022]]/Tableau6[[#This Row],[Cumul 2021]]</f>
        <v>#N/A</v>
      </c>
      <c r="M34" s="102" t="str">
        <f>IF(ISNA(Tableau6[[#This Row],[Position 2023]]),"",INDEX(tabSuiviConso[HP + HC
cumul],Tableau6[[#This Row],[Position 2023]],1))</f>
        <v/>
      </c>
      <c r="N34" s="123" t="e">
        <f>IF(ISNA(Tableau6[[#This Row],[Position 2023]]),Tableau6[[#This Row],[Position 2023]],Tableau6[[#This Row],[2023]]-M$2)</f>
        <v>#N/A</v>
      </c>
      <c r="O34" s="102" t="e">
        <f>Tableau6[[#This Row],[Cumul 2023]]-Tableau6[[#This Row],[Cumul 2022]]</f>
        <v>#N/A</v>
      </c>
      <c r="P34" s="104" t="e">
        <f>Tableau6[[#This Row],[Ecart 2022 2023]]/Tableau6[[#This Row],[Cumul 2022]]</f>
        <v>#N/A</v>
      </c>
      <c r="Q34" s="102" t="e">
        <f>MATCH(Tableau6[Jours Mois]&amp;"/"&amp;Tableau6[[#Headers],[2024]],tabSuiviConso[Jour Mois Année],0)</f>
        <v>#N/A</v>
      </c>
      <c r="R34" s="102" t="str">
        <f>IF(ISNA(Tableau6[[#This Row],[Position 2024]]),"",INDEX(tabSuiviConso[HP + HC
cumul],Tableau6[[#This Row],[Position 2024]],1))</f>
        <v/>
      </c>
      <c r="S34" s="123" t="e">
        <f>IF(ISNA(Tableau6[[#This Row],[Position 2024]]),Tableau6[[#This Row],[Position 2024]],Tableau6[[#This Row],[2024]]-R$2)</f>
        <v>#N/A</v>
      </c>
      <c r="T34" s="102" t="e">
        <f>Tableau6[[#This Row],[Cumul 2024]]-Tableau6[[#This Row],[Cumul 2023]]</f>
        <v>#N/A</v>
      </c>
      <c r="U34" s="103" t="e">
        <f>Tableau6[[#This Row],[Ecart 2023 2024]]/Tableau6[[#This Row],[Cumul 2023]]</f>
        <v>#N/A</v>
      </c>
    </row>
    <row r="35" spans="1:21" x14ac:dyDescent="0.2">
      <c r="A35" s="102">
        <v>2</v>
      </c>
      <c r="B35" s="102">
        <v>2</v>
      </c>
      <c r="C35" s="102" t="str">
        <f>Tableau6[Jour]&amp;"/"&amp;Tableau6[Mois]</f>
        <v>2/2</v>
      </c>
      <c r="D35" s="102" t="e">
        <f>MATCH(Tableau6[Jours Mois]&amp;"/"&amp;Tableau6[[#Headers],[2021]],tabSuiviConso[Jour Mois Année],0)</f>
        <v>#N/A</v>
      </c>
      <c r="E35" s="102" t="str">
        <f>IF(ISNA(Tableau6[[#This Row],[Position 2021]]),"",INDEX(tabSuiviConso[HP + HC
cumul],Tableau6[[#This Row],[Position 2021]],1))</f>
        <v/>
      </c>
      <c r="F35" s="123" t="e">
        <f>IF(ISNA(Tableau6[[#This Row],[Position 2021]]),Tableau6[[#This Row],[Position 2021]],Tableau6[[#This Row],[2021]]-E$2)</f>
        <v>#N/A</v>
      </c>
      <c r="G35" s="102" t="e">
        <f>MATCH(Tableau6[Jours Mois]&amp;"/"&amp;Tableau6[[#Headers],[2022]],tabSuiviConso[Jour Mois Année],0)</f>
        <v>#N/A</v>
      </c>
      <c r="H35" s="102" t="str">
        <f>IF(ISNA(Tableau6[[#This Row],[Position 2022]]),"",INDEX(tabSuiviConso[HP + HC
cumul],Tableau6[[#This Row],[Position 2022]],1))</f>
        <v/>
      </c>
      <c r="I35" s="123" t="e">
        <f>IF(ISNA(Tableau6[[#This Row],[Position 2022]]),Tableau6[[#This Row],[Position 2022]],Tableau6[[#This Row],[2022]]-H$2)</f>
        <v>#N/A</v>
      </c>
      <c r="J35" s="102" t="e">
        <f>MATCH(Tableau6[Jours Mois]&amp;"/"&amp;Tableau6[[#Headers],[2023]],tabSuiviConso[Jour Mois Année],0)</f>
        <v>#N/A</v>
      </c>
      <c r="K35" s="102" t="e">
        <f>Tableau6[[#This Row],[Cumul 2022]]-Tableau6[[#This Row],[Cumul 2021]]</f>
        <v>#N/A</v>
      </c>
      <c r="L35" s="104" t="e">
        <f>Tableau6[[#This Row],[Ecart 2021 2022]]/Tableau6[[#This Row],[Cumul 2021]]</f>
        <v>#N/A</v>
      </c>
      <c r="M35" s="102" t="str">
        <f>IF(ISNA(Tableau6[[#This Row],[Position 2023]]),"",INDEX(tabSuiviConso[HP + HC
cumul],Tableau6[[#This Row],[Position 2023]],1))</f>
        <v/>
      </c>
      <c r="N35" s="123" t="e">
        <f>IF(ISNA(Tableau6[[#This Row],[Position 2023]]),Tableau6[[#This Row],[Position 2023]],Tableau6[[#This Row],[2023]]-M$2)</f>
        <v>#N/A</v>
      </c>
      <c r="O35" s="102" t="e">
        <f>Tableau6[[#This Row],[Cumul 2023]]-Tableau6[[#This Row],[Cumul 2022]]</f>
        <v>#N/A</v>
      </c>
      <c r="P35" s="104" t="e">
        <f>Tableau6[[#This Row],[Ecart 2022 2023]]/Tableau6[[#This Row],[Cumul 2022]]</f>
        <v>#N/A</v>
      </c>
      <c r="Q35" s="102" t="e">
        <f>MATCH(Tableau6[Jours Mois]&amp;"/"&amp;Tableau6[[#Headers],[2024]],tabSuiviConso[Jour Mois Année],0)</f>
        <v>#N/A</v>
      </c>
      <c r="R35" s="102" t="str">
        <f>IF(ISNA(Tableau6[[#This Row],[Position 2024]]),"",INDEX(tabSuiviConso[HP + HC
cumul],Tableau6[[#This Row],[Position 2024]],1))</f>
        <v/>
      </c>
      <c r="S35" s="123" t="e">
        <f>IF(ISNA(Tableau6[[#This Row],[Position 2024]]),Tableau6[[#This Row],[Position 2024]],Tableau6[[#This Row],[2024]]-R$2)</f>
        <v>#N/A</v>
      </c>
      <c r="T35" s="102" t="e">
        <f>Tableau6[[#This Row],[Cumul 2024]]-Tableau6[[#This Row],[Cumul 2023]]</f>
        <v>#N/A</v>
      </c>
      <c r="U35" s="103" t="e">
        <f>Tableau6[[#This Row],[Ecart 2023 2024]]/Tableau6[[#This Row],[Cumul 2023]]</f>
        <v>#N/A</v>
      </c>
    </row>
    <row r="36" spans="1:21" x14ac:dyDescent="0.2">
      <c r="A36" s="102">
        <v>2</v>
      </c>
      <c r="B36" s="102">
        <v>3</v>
      </c>
      <c r="C36" s="102" t="str">
        <f>Tableau6[Jour]&amp;"/"&amp;Tableau6[Mois]</f>
        <v>3/2</v>
      </c>
      <c r="D36" s="102" t="e">
        <f>MATCH(Tableau6[Jours Mois]&amp;"/"&amp;Tableau6[[#Headers],[2021]],tabSuiviConso[Jour Mois Année],0)</f>
        <v>#N/A</v>
      </c>
      <c r="E36" s="102" t="str">
        <f>IF(ISNA(Tableau6[[#This Row],[Position 2021]]),"",INDEX(tabSuiviConso[HP + HC
cumul],Tableau6[[#This Row],[Position 2021]],1))</f>
        <v/>
      </c>
      <c r="F36" s="123" t="e">
        <f>IF(ISNA(Tableau6[[#This Row],[Position 2021]]),Tableau6[[#This Row],[Position 2021]],Tableau6[[#This Row],[2021]]-E$2)</f>
        <v>#N/A</v>
      </c>
      <c r="G36" s="102" t="e">
        <f>MATCH(Tableau6[Jours Mois]&amp;"/"&amp;Tableau6[[#Headers],[2022]],tabSuiviConso[Jour Mois Année],0)</f>
        <v>#N/A</v>
      </c>
      <c r="H36" s="102" t="str">
        <f>IF(ISNA(Tableau6[[#This Row],[Position 2022]]),"",INDEX(tabSuiviConso[HP + HC
cumul],Tableau6[[#This Row],[Position 2022]],1))</f>
        <v/>
      </c>
      <c r="I36" s="123" t="e">
        <f>IF(ISNA(Tableau6[[#This Row],[Position 2022]]),Tableau6[[#This Row],[Position 2022]],Tableau6[[#This Row],[2022]]-H$2)</f>
        <v>#N/A</v>
      </c>
      <c r="J36" s="102" t="e">
        <f>MATCH(Tableau6[Jours Mois]&amp;"/"&amp;Tableau6[[#Headers],[2023]],tabSuiviConso[Jour Mois Année],0)</f>
        <v>#N/A</v>
      </c>
      <c r="K36" s="102" t="e">
        <f>Tableau6[[#This Row],[Cumul 2022]]-Tableau6[[#This Row],[Cumul 2021]]</f>
        <v>#N/A</v>
      </c>
      <c r="L36" s="104" t="e">
        <f>Tableau6[[#This Row],[Ecart 2021 2022]]/Tableau6[[#This Row],[Cumul 2021]]</f>
        <v>#N/A</v>
      </c>
      <c r="M36" s="102" t="str">
        <f>IF(ISNA(Tableau6[[#This Row],[Position 2023]]),"",INDEX(tabSuiviConso[HP + HC
cumul],Tableau6[[#This Row],[Position 2023]],1))</f>
        <v/>
      </c>
      <c r="N36" s="123" t="e">
        <f>IF(ISNA(Tableau6[[#This Row],[Position 2023]]),Tableau6[[#This Row],[Position 2023]],Tableau6[[#This Row],[2023]]-M$2)</f>
        <v>#N/A</v>
      </c>
      <c r="O36" s="102" t="e">
        <f>Tableau6[[#This Row],[Cumul 2023]]-Tableau6[[#This Row],[Cumul 2022]]</f>
        <v>#N/A</v>
      </c>
      <c r="P36" s="104" t="e">
        <f>Tableau6[[#This Row],[Ecart 2022 2023]]/Tableau6[[#This Row],[Cumul 2022]]</f>
        <v>#N/A</v>
      </c>
      <c r="Q36" s="102" t="e">
        <f>MATCH(Tableau6[Jours Mois]&amp;"/"&amp;Tableau6[[#Headers],[2024]],tabSuiviConso[Jour Mois Année],0)</f>
        <v>#N/A</v>
      </c>
      <c r="R36" s="102" t="str">
        <f>IF(ISNA(Tableau6[[#This Row],[Position 2024]]),"",INDEX(tabSuiviConso[HP + HC
cumul],Tableau6[[#This Row],[Position 2024]],1))</f>
        <v/>
      </c>
      <c r="S36" s="123" t="e">
        <f>IF(ISNA(Tableau6[[#This Row],[Position 2024]]),Tableau6[[#This Row],[Position 2024]],Tableau6[[#This Row],[2024]]-R$2)</f>
        <v>#N/A</v>
      </c>
      <c r="T36" s="102" t="e">
        <f>Tableau6[[#This Row],[Cumul 2024]]-Tableau6[[#This Row],[Cumul 2023]]</f>
        <v>#N/A</v>
      </c>
      <c r="U36" s="103" t="e">
        <f>Tableau6[[#This Row],[Ecart 2023 2024]]/Tableau6[[#This Row],[Cumul 2023]]</f>
        <v>#N/A</v>
      </c>
    </row>
    <row r="37" spans="1:21" x14ac:dyDescent="0.2">
      <c r="A37" s="102">
        <v>2</v>
      </c>
      <c r="B37" s="102">
        <v>4</v>
      </c>
      <c r="C37" s="102" t="str">
        <f>Tableau6[Jour]&amp;"/"&amp;Tableau6[Mois]</f>
        <v>4/2</v>
      </c>
      <c r="D37" s="102" t="e">
        <f>MATCH(Tableau6[Jours Mois]&amp;"/"&amp;Tableau6[[#Headers],[2021]],tabSuiviConso[Jour Mois Année],0)</f>
        <v>#N/A</v>
      </c>
      <c r="E37" s="102" t="str">
        <f>IF(ISNA(Tableau6[[#This Row],[Position 2021]]),"",INDEX(tabSuiviConso[HP + HC
cumul],Tableau6[[#This Row],[Position 2021]],1))</f>
        <v/>
      </c>
      <c r="F37" s="123" t="e">
        <f>IF(ISNA(Tableau6[[#This Row],[Position 2021]]),Tableau6[[#This Row],[Position 2021]],Tableau6[[#This Row],[2021]]-E$2)</f>
        <v>#N/A</v>
      </c>
      <c r="G37" s="102" t="e">
        <f>MATCH(Tableau6[Jours Mois]&amp;"/"&amp;Tableau6[[#Headers],[2022]],tabSuiviConso[Jour Mois Année],0)</f>
        <v>#N/A</v>
      </c>
      <c r="H37" s="102" t="str">
        <f>IF(ISNA(Tableau6[[#This Row],[Position 2022]]),"",INDEX(tabSuiviConso[HP + HC
cumul],Tableau6[[#This Row],[Position 2022]],1))</f>
        <v/>
      </c>
      <c r="I37" s="123" t="e">
        <f>IF(ISNA(Tableau6[[#This Row],[Position 2022]]),Tableau6[[#This Row],[Position 2022]],Tableau6[[#This Row],[2022]]-H$2)</f>
        <v>#N/A</v>
      </c>
      <c r="J37" s="102" t="e">
        <f>MATCH(Tableau6[Jours Mois]&amp;"/"&amp;Tableau6[[#Headers],[2023]],tabSuiviConso[Jour Mois Année],0)</f>
        <v>#N/A</v>
      </c>
      <c r="K37" s="102" t="e">
        <f>Tableau6[[#This Row],[Cumul 2022]]-Tableau6[[#This Row],[Cumul 2021]]</f>
        <v>#N/A</v>
      </c>
      <c r="L37" s="104" t="e">
        <f>Tableau6[[#This Row],[Ecart 2021 2022]]/Tableau6[[#This Row],[Cumul 2021]]</f>
        <v>#N/A</v>
      </c>
      <c r="M37" s="102" t="str">
        <f>IF(ISNA(Tableau6[[#This Row],[Position 2023]]),"",INDEX(tabSuiviConso[HP + HC
cumul],Tableau6[[#This Row],[Position 2023]],1))</f>
        <v/>
      </c>
      <c r="N37" s="123" t="e">
        <f>IF(ISNA(Tableau6[[#This Row],[Position 2023]]),Tableau6[[#This Row],[Position 2023]],Tableau6[[#This Row],[2023]]-M$2)</f>
        <v>#N/A</v>
      </c>
      <c r="O37" s="102" t="e">
        <f>Tableau6[[#This Row],[Cumul 2023]]-Tableau6[[#This Row],[Cumul 2022]]</f>
        <v>#N/A</v>
      </c>
      <c r="P37" s="104" t="e">
        <f>Tableau6[[#This Row],[Ecart 2022 2023]]/Tableau6[[#This Row],[Cumul 2022]]</f>
        <v>#N/A</v>
      </c>
      <c r="Q37" s="102" t="e">
        <f>MATCH(Tableau6[Jours Mois]&amp;"/"&amp;Tableau6[[#Headers],[2024]],tabSuiviConso[Jour Mois Année],0)</f>
        <v>#N/A</v>
      </c>
      <c r="R37" s="102" t="str">
        <f>IF(ISNA(Tableau6[[#This Row],[Position 2024]]),"",INDEX(tabSuiviConso[HP + HC
cumul],Tableau6[[#This Row],[Position 2024]],1))</f>
        <v/>
      </c>
      <c r="S37" s="123" t="e">
        <f>IF(ISNA(Tableau6[[#This Row],[Position 2024]]),Tableau6[[#This Row],[Position 2024]],Tableau6[[#This Row],[2024]]-R$2)</f>
        <v>#N/A</v>
      </c>
      <c r="T37" s="102" t="e">
        <f>Tableau6[[#This Row],[Cumul 2024]]-Tableau6[[#This Row],[Cumul 2023]]</f>
        <v>#N/A</v>
      </c>
      <c r="U37" s="103" t="e">
        <f>Tableau6[[#This Row],[Ecart 2023 2024]]/Tableau6[[#This Row],[Cumul 2023]]</f>
        <v>#N/A</v>
      </c>
    </row>
    <row r="38" spans="1:21" x14ac:dyDescent="0.2">
      <c r="A38" s="102">
        <v>2</v>
      </c>
      <c r="B38" s="102">
        <v>5</v>
      </c>
      <c r="C38" s="102" t="str">
        <f>Tableau6[Jour]&amp;"/"&amp;Tableau6[Mois]</f>
        <v>5/2</v>
      </c>
      <c r="D38" s="102" t="e">
        <f>MATCH(Tableau6[Jours Mois]&amp;"/"&amp;Tableau6[[#Headers],[2021]],tabSuiviConso[Jour Mois Année],0)</f>
        <v>#N/A</v>
      </c>
      <c r="E38" s="102" t="str">
        <f>IF(ISNA(Tableau6[[#This Row],[Position 2021]]),"",INDEX(tabSuiviConso[HP + HC
cumul],Tableau6[[#This Row],[Position 2021]],1))</f>
        <v/>
      </c>
      <c r="F38" s="123" t="e">
        <f>IF(ISNA(Tableau6[[#This Row],[Position 2021]]),Tableau6[[#This Row],[Position 2021]],Tableau6[[#This Row],[2021]]-E$2)</f>
        <v>#N/A</v>
      </c>
      <c r="G38" s="102" t="e">
        <f>MATCH(Tableau6[Jours Mois]&amp;"/"&amp;Tableau6[[#Headers],[2022]],tabSuiviConso[Jour Mois Année],0)</f>
        <v>#N/A</v>
      </c>
      <c r="H38" s="102" t="str">
        <f>IF(ISNA(Tableau6[[#This Row],[Position 2022]]),"",INDEX(tabSuiviConso[HP + HC
cumul],Tableau6[[#This Row],[Position 2022]],1))</f>
        <v/>
      </c>
      <c r="I38" s="123" t="e">
        <f>IF(ISNA(Tableau6[[#This Row],[Position 2022]]),Tableau6[[#This Row],[Position 2022]],Tableau6[[#This Row],[2022]]-H$2)</f>
        <v>#N/A</v>
      </c>
      <c r="J38" s="102" t="e">
        <f>MATCH(Tableau6[Jours Mois]&amp;"/"&amp;Tableau6[[#Headers],[2023]],tabSuiviConso[Jour Mois Année],0)</f>
        <v>#N/A</v>
      </c>
      <c r="K38" s="102" t="e">
        <f>Tableau6[[#This Row],[Cumul 2022]]-Tableau6[[#This Row],[Cumul 2021]]</f>
        <v>#N/A</v>
      </c>
      <c r="L38" s="104" t="e">
        <f>Tableau6[[#This Row],[Ecart 2021 2022]]/Tableau6[[#This Row],[Cumul 2021]]</f>
        <v>#N/A</v>
      </c>
      <c r="M38" s="102" t="str">
        <f>IF(ISNA(Tableau6[[#This Row],[Position 2023]]),"",INDEX(tabSuiviConso[HP + HC
cumul],Tableau6[[#This Row],[Position 2023]],1))</f>
        <v/>
      </c>
      <c r="N38" s="123" t="e">
        <f>IF(ISNA(Tableau6[[#This Row],[Position 2023]]),Tableau6[[#This Row],[Position 2023]],Tableau6[[#This Row],[2023]]-M$2)</f>
        <v>#N/A</v>
      </c>
      <c r="O38" s="102" t="e">
        <f>Tableau6[[#This Row],[Cumul 2023]]-Tableau6[[#This Row],[Cumul 2022]]</f>
        <v>#N/A</v>
      </c>
      <c r="P38" s="104" t="e">
        <f>Tableau6[[#This Row],[Ecart 2022 2023]]/Tableau6[[#This Row],[Cumul 2022]]</f>
        <v>#N/A</v>
      </c>
      <c r="Q38" s="102" t="e">
        <f>MATCH(Tableau6[Jours Mois]&amp;"/"&amp;Tableau6[[#Headers],[2024]],tabSuiviConso[Jour Mois Année],0)</f>
        <v>#N/A</v>
      </c>
      <c r="R38" s="102" t="str">
        <f>IF(ISNA(Tableau6[[#This Row],[Position 2024]]),"",INDEX(tabSuiviConso[HP + HC
cumul],Tableau6[[#This Row],[Position 2024]],1))</f>
        <v/>
      </c>
      <c r="S38" s="123" t="e">
        <f>IF(ISNA(Tableau6[[#This Row],[Position 2024]]),Tableau6[[#This Row],[Position 2024]],Tableau6[[#This Row],[2024]]-R$2)</f>
        <v>#N/A</v>
      </c>
      <c r="T38" s="102" t="e">
        <f>Tableau6[[#This Row],[Cumul 2024]]-Tableau6[[#This Row],[Cumul 2023]]</f>
        <v>#N/A</v>
      </c>
      <c r="U38" s="103" t="e">
        <f>Tableau6[[#This Row],[Ecart 2023 2024]]/Tableau6[[#This Row],[Cumul 2023]]</f>
        <v>#N/A</v>
      </c>
    </row>
    <row r="39" spans="1:21" x14ac:dyDescent="0.2">
      <c r="A39" s="102">
        <v>2</v>
      </c>
      <c r="B39" s="102">
        <v>6</v>
      </c>
      <c r="C39" s="102" t="str">
        <f>Tableau6[Jour]&amp;"/"&amp;Tableau6[Mois]</f>
        <v>6/2</v>
      </c>
      <c r="D39" s="102" t="e">
        <f>MATCH(Tableau6[Jours Mois]&amp;"/"&amp;Tableau6[[#Headers],[2021]],tabSuiviConso[Jour Mois Année],0)</f>
        <v>#N/A</v>
      </c>
      <c r="E39" s="102" t="str">
        <f>IF(ISNA(Tableau6[[#This Row],[Position 2021]]),"",INDEX(tabSuiviConso[HP + HC
cumul],Tableau6[[#This Row],[Position 2021]],1))</f>
        <v/>
      </c>
      <c r="F39" s="123" t="e">
        <f>IF(ISNA(Tableau6[[#This Row],[Position 2021]]),Tableau6[[#This Row],[Position 2021]],Tableau6[[#This Row],[2021]]-E$2)</f>
        <v>#N/A</v>
      </c>
      <c r="G39" s="102" t="e">
        <f>MATCH(Tableau6[Jours Mois]&amp;"/"&amp;Tableau6[[#Headers],[2022]],tabSuiviConso[Jour Mois Année],0)</f>
        <v>#N/A</v>
      </c>
      <c r="H39" s="102" t="str">
        <f>IF(ISNA(Tableau6[[#This Row],[Position 2022]]),"",INDEX(tabSuiviConso[HP + HC
cumul],Tableau6[[#This Row],[Position 2022]],1))</f>
        <v/>
      </c>
      <c r="I39" s="123" t="e">
        <f>IF(ISNA(Tableau6[[#This Row],[Position 2022]]),Tableau6[[#This Row],[Position 2022]],Tableau6[[#This Row],[2022]]-H$2)</f>
        <v>#N/A</v>
      </c>
      <c r="J39" s="102" t="e">
        <f>MATCH(Tableau6[Jours Mois]&amp;"/"&amp;Tableau6[[#Headers],[2023]],tabSuiviConso[Jour Mois Année],0)</f>
        <v>#N/A</v>
      </c>
      <c r="K39" s="102" t="e">
        <f>Tableau6[[#This Row],[Cumul 2022]]-Tableau6[[#This Row],[Cumul 2021]]</f>
        <v>#N/A</v>
      </c>
      <c r="L39" s="104" t="e">
        <f>Tableau6[[#This Row],[Ecart 2021 2022]]/Tableau6[[#This Row],[Cumul 2021]]</f>
        <v>#N/A</v>
      </c>
      <c r="M39" s="102" t="str">
        <f>IF(ISNA(Tableau6[[#This Row],[Position 2023]]),"",INDEX(tabSuiviConso[HP + HC
cumul],Tableau6[[#This Row],[Position 2023]],1))</f>
        <v/>
      </c>
      <c r="N39" s="123" t="e">
        <f>IF(ISNA(Tableau6[[#This Row],[Position 2023]]),Tableau6[[#This Row],[Position 2023]],Tableau6[[#This Row],[2023]]-M$2)</f>
        <v>#N/A</v>
      </c>
      <c r="O39" s="102" t="e">
        <f>Tableau6[[#This Row],[Cumul 2023]]-Tableau6[[#This Row],[Cumul 2022]]</f>
        <v>#N/A</v>
      </c>
      <c r="P39" s="104" t="e">
        <f>Tableau6[[#This Row],[Ecart 2022 2023]]/Tableau6[[#This Row],[Cumul 2022]]</f>
        <v>#N/A</v>
      </c>
      <c r="Q39" s="102" t="e">
        <f>MATCH(Tableau6[Jours Mois]&amp;"/"&amp;Tableau6[[#Headers],[2024]],tabSuiviConso[Jour Mois Année],0)</f>
        <v>#N/A</v>
      </c>
      <c r="R39" s="102" t="str">
        <f>IF(ISNA(Tableau6[[#This Row],[Position 2024]]),"",INDEX(tabSuiviConso[HP + HC
cumul],Tableau6[[#This Row],[Position 2024]],1))</f>
        <v/>
      </c>
      <c r="S39" s="123" t="e">
        <f>IF(ISNA(Tableau6[[#This Row],[Position 2024]]),Tableau6[[#This Row],[Position 2024]],Tableau6[[#This Row],[2024]]-R$2)</f>
        <v>#N/A</v>
      </c>
      <c r="T39" s="102" t="e">
        <f>Tableau6[[#This Row],[Cumul 2024]]-Tableau6[[#This Row],[Cumul 2023]]</f>
        <v>#N/A</v>
      </c>
      <c r="U39" s="103" t="e">
        <f>Tableau6[[#This Row],[Ecart 2023 2024]]/Tableau6[[#This Row],[Cumul 2023]]</f>
        <v>#N/A</v>
      </c>
    </row>
    <row r="40" spans="1:21" x14ac:dyDescent="0.2">
      <c r="A40" s="102">
        <v>2</v>
      </c>
      <c r="B40" s="102">
        <v>7</v>
      </c>
      <c r="C40" s="102" t="str">
        <f>Tableau6[Jour]&amp;"/"&amp;Tableau6[Mois]</f>
        <v>7/2</v>
      </c>
      <c r="D40" s="102" t="e">
        <f>MATCH(Tableau6[Jours Mois]&amp;"/"&amp;Tableau6[[#Headers],[2021]],tabSuiviConso[Jour Mois Année],0)</f>
        <v>#N/A</v>
      </c>
      <c r="E40" s="102" t="str">
        <f>IF(ISNA(Tableau6[[#This Row],[Position 2021]]),"",INDEX(tabSuiviConso[HP + HC
cumul],Tableau6[[#This Row],[Position 2021]],1))</f>
        <v/>
      </c>
      <c r="F40" s="123" t="e">
        <f>IF(ISNA(Tableau6[[#This Row],[Position 2021]]),Tableau6[[#This Row],[Position 2021]],Tableau6[[#This Row],[2021]]-E$2)</f>
        <v>#N/A</v>
      </c>
      <c r="G40" s="102" t="e">
        <f>MATCH(Tableau6[Jours Mois]&amp;"/"&amp;Tableau6[[#Headers],[2022]],tabSuiviConso[Jour Mois Année],0)</f>
        <v>#N/A</v>
      </c>
      <c r="H40" s="102" t="str">
        <f>IF(ISNA(Tableau6[[#This Row],[Position 2022]]),"",INDEX(tabSuiviConso[HP + HC
cumul],Tableau6[[#This Row],[Position 2022]],1))</f>
        <v/>
      </c>
      <c r="I40" s="123" t="e">
        <f>IF(ISNA(Tableau6[[#This Row],[Position 2022]]),Tableau6[[#This Row],[Position 2022]],Tableau6[[#This Row],[2022]]-H$2)</f>
        <v>#N/A</v>
      </c>
      <c r="J40" s="102" t="e">
        <f>MATCH(Tableau6[Jours Mois]&amp;"/"&amp;Tableau6[[#Headers],[2023]],tabSuiviConso[Jour Mois Année],0)</f>
        <v>#N/A</v>
      </c>
      <c r="K40" s="102" t="e">
        <f>Tableau6[[#This Row],[Cumul 2022]]-Tableau6[[#This Row],[Cumul 2021]]</f>
        <v>#N/A</v>
      </c>
      <c r="L40" s="104" t="e">
        <f>Tableau6[[#This Row],[Ecart 2021 2022]]/Tableau6[[#This Row],[Cumul 2021]]</f>
        <v>#N/A</v>
      </c>
      <c r="M40" s="102" t="str">
        <f>IF(ISNA(Tableau6[[#This Row],[Position 2023]]),"",INDEX(tabSuiviConso[HP + HC
cumul],Tableau6[[#This Row],[Position 2023]],1))</f>
        <v/>
      </c>
      <c r="N40" s="123" t="e">
        <f>IF(ISNA(Tableau6[[#This Row],[Position 2023]]),Tableau6[[#This Row],[Position 2023]],Tableau6[[#This Row],[2023]]-M$2)</f>
        <v>#N/A</v>
      </c>
      <c r="O40" s="102" t="e">
        <f>Tableau6[[#This Row],[Cumul 2023]]-Tableau6[[#This Row],[Cumul 2022]]</f>
        <v>#N/A</v>
      </c>
      <c r="P40" s="104" t="e">
        <f>Tableau6[[#This Row],[Ecart 2022 2023]]/Tableau6[[#This Row],[Cumul 2022]]</f>
        <v>#N/A</v>
      </c>
      <c r="Q40" s="102" t="e">
        <f>MATCH(Tableau6[Jours Mois]&amp;"/"&amp;Tableau6[[#Headers],[2024]],tabSuiviConso[Jour Mois Année],0)</f>
        <v>#N/A</v>
      </c>
      <c r="R40" s="102" t="str">
        <f>IF(ISNA(Tableau6[[#This Row],[Position 2024]]),"",INDEX(tabSuiviConso[HP + HC
cumul],Tableau6[[#This Row],[Position 2024]],1))</f>
        <v/>
      </c>
      <c r="S40" s="123" t="e">
        <f>IF(ISNA(Tableau6[[#This Row],[Position 2024]]),Tableau6[[#This Row],[Position 2024]],Tableau6[[#This Row],[2024]]-R$2)</f>
        <v>#N/A</v>
      </c>
      <c r="T40" s="102" t="e">
        <f>Tableau6[[#This Row],[Cumul 2024]]-Tableau6[[#This Row],[Cumul 2023]]</f>
        <v>#N/A</v>
      </c>
      <c r="U40" s="103" t="e">
        <f>Tableau6[[#This Row],[Ecart 2023 2024]]/Tableau6[[#This Row],[Cumul 2023]]</f>
        <v>#N/A</v>
      </c>
    </row>
    <row r="41" spans="1:21" x14ac:dyDescent="0.2">
      <c r="A41" s="102">
        <v>2</v>
      </c>
      <c r="B41" s="102">
        <v>8</v>
      </c>
      <c r="C41" s="102" t="str">
        <f>Tableau6[Jour]&amp;"/"&amp;Tableau6[Mois]</f>
        <v>8/2</v>
      </c>
      <c r="D41" s="102" t="e">
        <f>MATCH(Tableau6[Jours Mois]&amp;"/"&amp;Tableau6[[#Headers],[2021]],tabSuiviConso[Jour Mois Année],0)</f>
        <v>#N/A</v>
      </c>
      <c r="E41" s="102" t="str">
        <f>IF(ISNA(Tableau6[[#This Row],[Position 2021]]),"",INDEX(tabSuiviConso[HP + HC
cumul],Tableau6[[#This Row],[Position 2021]],1))</f>
        <v/>
      </c>
      <c r="F41" s="123" t="e">
        <f>IF(ISNA(Tableau6[[#This Row],[Position 2021]]),Tableau6[[#This Row],[Position 2021]],Tableau6[[#This Row],[2021]]-E$2)</f>
        <v>#N/A</v>
      </c>
      <c r="G41" s="102" t="e">
        <f>MATCH(Tableau6[Jours Mois]&amp;"/"&amp;Tableau6[[#Headers],[2022]],tabSuiviConso[Jour Mois Année],0)</f>
        <v>#N/A</v>
      </c>
      <c r="H41" s="102" t="str">
        <f>IF(ISNA(Tableau6[[#This Row],[Position 2022]]),"",INDEX(tabSuiviConso[HP + HC
cumul],Tableau6[[#This Row],[Position 2022]],1))</f>
        <v/>
      </c>
      <c r="I41" s="123" t="e">
        <f>IF(ISNA(Tableau6[[#This Row],[Position 2022]]),Tableau6[[#This Row],[Position 2022]],Tableau6[[#This Row],[2022]]-H$2)</f>
        <v>#N/A</v>
      </c>
      <c r="J41" s="102" t="e">
        <f>MATCH(Tableau6[Jours Mois]&amp;"/"&amp;Tableau6[[#Headers],[2023]],tabSuiviConso[Jour Mois Année],0)</f>
        <v>#N/A</v>
      </c>
      <c r="K41" s="102" t="e">
        <f>Tableau6[[#This Row],[Cumul 2022]]-Tableau6[[#This Row],[Cumul 2021]]</f>
        <v>#N/A</v>
      </c>
      <c r="L41" s="104" t="e">
        <f>Tableau6[[#This Row],[Ecart 2021 2022]]/Tableau6[[#This Row],[Cumul 2021]]</f>
        <v>#N/A</v>
      </c>
      <c r="M41" s="102" t="str">
        <f>IF(ISNA(Tableau6[[#This Row],[Position 2023]]),"",INDEX(tabSuiviConso[HP + HC
cumul],Tableau6[[#This Row],[Position 2023]],1))</f>
        <v/>
      </c>
      <c r="N41" s="123" t="e">
        <f>IF(ISNA(Tableau6[[#This Row],[Position 2023]]),Tableau6[[#This Row],[Position 2023]],Tableau6[[#This Row],[2023]]-M$2)</f>
        <v>#N/A</v>
      </c>
      <c r="O41" s="102" t="e">
        <f>Tableau6[[#This Row],[Cumul 2023]]-Tableau6[[#This Row],[Cumul 2022]]</f>
        <v>#N/A</v>
      </c>
      <c r="P41" s="104" t="e">
        <f>Tableau6[[#This Row],[Ecart 2022 2023]]/Tableau6[[#This Row],[Cumul 2022]]</f>
        <v>#N/A</v>
      </c>
      <c r="Q41" s="102" t="e">
        <f>MATCH(Tableau6[Jours Mois]&amp;"/"&amp;Tableau6[[#Headers],[2024]],tabSuiviConso[Jour Mois Année],0)</f>
        <v>#N/A</v>
      </c>
      <c r="R41" s="102" t="str">
        <f>IF(ISNA(Tableau6[[#This Row],[Position 2024]]),"",INDEX(tabSuiviConso[HP + HC
cumul],Tableau6[[#This Row],[Position 2024]],1))</f>
        <v/>
      </c>
      <c r="S41" s="123" t="e">
        <f>IF(ISNA(Tableau6[[#This Row],[Position 2024]]),Tableau6[[#This Row],[Position 2024]],Tableau6[[#This Row],[2024]]-R$2)</f>
        <v>#N/A</v>
      </c>
      <c r="T41" s="102" t="e">
        <f>Tableau6[[#This Row],[Cumul 2024]]-Tableau6[[#This Row],[Cumul 2023]]</f>
        <v>#N/A</v>
      </c>
      <c r="U41" s="103" t="e">
        <f>Tableau6[[#This Row],[Ecart 2023 2024]]/Tableau6[[#This Row],[Cumul 2023]]</f>
        <v>#N/A</v>
      </c>
    </row>
    <row r="42" spans="1:21" x14ac:dyDescent="0.2">
      <c r="A42" s="102">
        <v>2</v>
      </c>
      <c r="B42" s="102">
        <v>9</v>
      </c>
      <c r="C42" s="102" t="str">
        <f>Tableau6[Jour]&amp;"/"&amp;Tableau6[Mois]</f>
        <v>9/2</v>
      </c>
      <c r="D42" s="102" t="e">
        <f>MATCH(Tableau6[Jours Mois]&amp;"/"&amp;Tableau6[[#Headers],[2021]],tabSuiviConso[Jour Mois Année],0)</f>
        <v>#N/A</v>
      </c>
      <c r="E42" s="102" t="str">
        <f>IF(ISNA(Tableau6[[#This Row],[Position 2021]]),"",INDEX(tabSuiviConso[HP + HC
cumul],Tableau6[[#This Row],[Position 2021]],1))</f>
        <v/>
      </c>
      <c r="F42" s="123" t="e">
        <f>IF(ISNA(Tableau6[[#This Row],[Position 2021]]),Tableau6[[#This Row],[Position 2021]],Tableau6[[#This Row],[2021]]-E$2)</f>
        <v>#N/A</v>
      </c>
      <c r="G42" s="102" t="e">
        <f>MATCH(Tableau6[Jours Mois]&amp;"/"&amp;Tableau6[[#Headers],[2022]],tabSuiviConso[Jour Mois Année],0)</f>
        <v>#N/A</v>
      </c>
      <c r="H42" s="102" t="str">
        <f>IF(ISNA(Tableau6[[#This Row],[Position 2022]]),"",INDEX(tabSuiviConso[HP + HC
cumul],Tableau6[[#This Row],[Position 2022]],1))</f>
        <v/>
      </c>
      <c r="I42" s="123" t="e">
        <f>IF(ISNA(Tableau6[[#This Row],[Position 2022]]),Tableau6[[#This Row],[Position 2022]],Tableau6[[#This Row],[2022]]-H$2)</f>
        <v>#N/A</v>
      </c>
      <c r="J42" s="102" t="e">
        <f>MATCH(Tableau6[Jours Mois]&amp;"/"&amp;Tableau6[[#Headers],[2023]],tabSuiviConso[Jour Mois Année],0)</f>
        <v>#N/A</v>
      </c>
      <c r="K42" s="102" t="e">
        <f>Tableau6[[#This Row],[Cumul 2022]]-Tableau6[[#This Row],[Cumul 2021]]</f>
        <v>#N/A</v>
      </c>
      <c r="L42" s="104" t="e">
        <f>Tableau6[[#This Row],[Ecart 2021 2022]]/Tableau6[[#This Row],[Cumul 2021]]</f>
        <v>#N/A</v>
      </c>
      <c r="M42" s="102" t="str">
        <f>IF(ISNA(Tableau6[[#This Row],[Position 2023]]),"",INDEX(tabSuiviConso[HP + HC
cumul],Tableau6[[#This Row],[Position 2023]],1))</f>
        <v/>
      </c>
      <c r="N42" s="123" t="e">
        <f>IF(ISNA(Tableau6[[#This Row],[Position 2023]]),Tableau6[[#This Row],[Position 2023]],Tableau6[[#This Row],[2023]]-M$2)</f>
        <v>#N/A</v>
      </c>
      <c r="O42" s="102" t="e">
        <f>Tableau6[[#This Row],[Cumul 2023]]-Tableau6[[#This Row],[Cumul 2022]]</f>
        <v>#N/A</v>
      </c>
      <c r="P42" s="104" t="e">
        <f>Tableau6[[#This Row],[Ecart 2022 2023]]/Tableau6[[#This Row],[Cumul 2022]]</f>
        <v>#N/A</v>
      </c>
      <c r="Q42" s="102" t="e">
        <f>MATCH(Tableau6[Jours Mois]&amp;"/"&amp;Tableau6[[#Headers],[2024]],tabSuiviConso[Jour Mois Année],0)</f>
        <v>#N/A</v>
      </c>
      <c r="R42" s="102" t="str">
        <f>IF(ISNA(Tableau6[[#This Row],[Position 2024]]),"",INDEX(tabSuiviConso[HP + HC
cumul],Tableau6[[#This Row],[Position 2024]],1))</f>
        <v/>
      </c>
      <c r="S42" s="123" t="e">
        <f>IF(ISNA(Tableau6[[#This Row],[Position 2024]]),Tableau6[[#This Row],[Position 2024]],Tableau6[[#This Row],[2024]]-R$2)</f>
        <v>#N/A</v>
      </c>
      <c r="T42" s="102" t="e">
        <f>Tableau6[[#This Row],[Cumul 2024]]-Tableau6[[#This Row],[Cumul 2023]]</f>
        <v>#N/A</v>
      </c>
      <c r="U42" s="103" t="e">
        <f>Tableau6[[#This Row],[Ecart 2023 2024]]/Tableau6[[#This Row],[Cumul 2023]]</f>
        <v>#N/A</v>
      </c>
    </row>
    <row r="43" spans="1:21" x14ac:dyDescent="0.2">
      <c r="A43" s="102">
        <v>2</v>
      </c>
      <c r="B43" s="102">
        <v>10</v>
      </c>
      <c r="C43" s="102" t="str">
        <f>Tableau6[Jour]&amp;"/"&amp;Tableau6[Mois]</f>
        <v>10/2</v>
      </c>
      <c r="D43" s="102" t="e">
        <f>MATCH(Tableau6[Jours Mois]&amp;"/"&amp;Tableau6[[#Headers],[2021]],tabSuiviConso[Jour Mois Année],0)</f>
        <v>#N/A</v>
      </c>
      <c r="E43" s="102" t="str">
        <f>IF(ISNA(Tableau6[[#This Row],[Position 2021]]),"",INDEX(tabSuiviConso[HP + HC
cumul],Tableau6[[#This Row],[Position 2021]],1))</f>
        <v/>
      </c>
      <c r="F43" s="123" t="e">
        <f>IF(ISNA(Tableau6[[#This Row],[Position 2021]]),Tableau6[[#This Row],[Position 2021]],Tableau6[[#This Row],[2021]]-E$2)</f>
        <v>#N/A</v>
      </c>
      <c r="G43" s="102" t="e">
        <f>MATCH(Tableau6[Jours Mois]&amp;"/"&amp;Tableau6[[#Headers],[2022]],tabSuiviConso[Jour Mois Année],0)</f>
        <v>#N/A</v>
      </c>
      <c r="H43" s="102" t="str">
        <f>IF(ISNA(Tableau6[[#This Row],[Position 2022]]),"",INDEX(tabSuiviConso[HP + HC
cumul],Tableau6[[#This Row],[Position 2022]],1))</f>
        <v/>
      </c>
      <c r="I43" s="123" t="e">
        <f>IF(ISNA(Tableau6[[#This Row],[Position 2022]]),Tableau6[[#This Row],[Position 2022]],Tableau6[[#This Row],[2022]]-H$2)</f>
        <v>#N/A</v>
      </c>
      <c r="J43" s="102" t="e">
        <f>MATCH(Tableau6[Jours Mois]&amp;"/"&amp;Tableau6[[#Headers],[2023]],tabSuiviConso[Jour Mois Année],0)</f>
        <v>#N/A</v>
      </c>
      <c r="K43" s="102" t="e">
        <f>Tableau6[[#This Row],[Cumul 2022]]-Tableau6[[#This Row],[Cumul 2021]]</f>
        <v>#N/A</v>
      </c>
      <c r="L43" s="104" t="e">
        <f>Tableau6[[#This Row],[Ecart 2021 2022]]/Tableau6[[#This Row],[Cumul 2021]]</f>
        <v>#N/A</v>
      </c>
      <c r="M43" s="102" t="str">
        <f>IF(ISNA(Tableau6[[#This Row],[Position 2023]]),"",INDEX(tabSuiviConso[HP + HC
cumul],Tableau6[[#This Row],[Position 2023]],1))</f>
        <v/>
      </c>
      <c r="N43" s="123" t="e">
        <f>IF(ISNA(Tableau6[[#This Row],[Position 2023]]),Tableau6[[#This Row],[Position 2023]],Tableau6[[#This Row],[2023]]-M$2)</f>
        <v>#N/A</v>
      </c>
      <c r="O43" s="102" t="e">
        <f>Tableau6[[#This Row],[Cumul 2023]]-Tableau6[[#This Row],[Cumul 2022]]</f>
        <v>#N/A</v>
      </c>
      <c r="P43" s="104" t="e">
        <f>Tableau6[[#This Row],[Ecart 2022 2023]]/Tableau6[[#This Row],[Cumul 2022]]</f>
        <v>#N/A</v>
      </c>
      <c r="Q43" s="102" t="e">
        <f>MATCH(Tableau6[Jours Mois]&amp;"/"&amp;Tableau6[[#Headers],[2024]],tabSuiviConso[Jour Mois Année],0)</f>
        <v>#N/A</v>
      </c>
      <c r="R43" s="102" t="str">
        <f>IF(ISNA(Tableau6[[#This Row],[Position 2024]]),"",INDEX(tabSuiviConso[HP + HC
cumul],Tableau6[[#This Row],[Position 2024]],1))</f>
        <v/>
      </c>
      <c r="S43" s="123" t="e">
        <f>IF(ISNA(Tableau6[[#This Row],[Position 2024]]),Tableau6[[#This Row],[Position 2024]],Tableau6[[#This Row],[2024]]-R$2)</f>
        <v>#N/A</v>
      </c>
      <c r="T43" s="102" t="e">
        <f>Tableau6[[#This Row],[Cumul 2024]]-Tableau6[[#This Row],[Cumul 2023]]</f>
        <v>#N/A</v>
      </c>
      <c r="U43" s="103" t="e">
        <f>Tableau6[[#This Row],[Ecart 2023 2024]]/Tableau6[[#This Row],[Cumul 2023]]</f>
        <v>#N/A</v>
      </c>
    </row>
    <row r="44" spans="1:21" x14ac:dyDescent="0.2">
      <c r="A44" s="102">
        <v>2</v>
      </c>
      <c r="B44" s="102">
        <v>11</v>
      </c>
      <c r="C44" s="102" t="str">
        <f>Tableau6[Jour]&amp;"/"&amp;Tableau6[Mois]</f>
        <v>11/2</v>
      </c>
      <c r="D44" s="102" t="e">
        <f>MATCH(Tableau6[Jours Mois]&amp;"/"&amp;Tableau6[[#Headers],[2021]],tabSuiviConso[Jour Mois Année],0)</f>
        <v>#N/A</v>
      </c>
      <c r="E44" s="102" t="str">
        <f>IF(ISNA(Tableau6[[#This Row],[Position 2021]]),"",INDEX(tabSuiviConso[HP + HC
cumul],Tableau6[[#This Row],[Position 2021]],1))</f>
        <v/>
      </c>
      <c r="F44" s="123" t="e">
        <f>IF(ISNA(Tableau6[[#This Row],[Position 2021]]),Tableau6[[#This Row],[Position 2021]],Tableau6[[#This Row],[2021]]-E$2)</f>
        <v>#N/A</v>
      </c>
      <c r="G44" s="102" t="e">
        <f>MATCH(Tableau6[Jours Mois]&amp;"/"&amp;Tableau6[[#Headers],[2022]],tabSuiviConso[Jour Mois Année],0)</f>
        <v>#N/A</v>
      </c>
      <c r="H44" s="102" t="str">
        <f>IF(ISNA(Tableau6[[#This Row],[Position 2022]]),"",INDEX(tabSuiviConso[HP + HC
cumul],Tableau6[[#This Row],[Position 2022]],1))</f>
        <v/>
      </c>
      <c r="I44" s="123" t="e">
        <f>IF(ISNA(Tableau6[[#This Row],[Position 2022]]),Tableau6[[#This Row],[Position 2022]],Tableau6[[#This Row],[2022]]-H$2)</f>
        <v>#N/A</v>
      </c>
      <c r="J44" s="102" t="e">
        <f>MATCH(Tableau6[Jours Mois]&amp;"/"&amp;Tableau6[[#Headers],[2023]],tabSuiviConso[Jour Mois Année],0)</f>
        <v>#N/A</v>
      </c>
      <c r="K44" s="102" t="e">
        <f>Tableau6[[#This Row],[Cumul 2022]]-Tableau6[[#This Row],[Cumul 2021]]</f>
        <v>#N/A</v>
      </c>
      <c r="L44" s="104" t="e">
        <f>Tableau6[[#This Row],[Ecart 2021 2022]]/Tableau6[[#This Row],[Cumul 2021]]</f>
        <v>#N/A</v>
      </c>
      <c r="M44" s="102" t="str">
        <f>IF(ISNA(Tableau6[[#This Row],[Position 2023]]),"",INDEX(tabSuiviConso[HP + HC
cumul],Tableau6[[#This Row],[Position 2023]],1))</f>
        <v/>
      </c>
      <c r="N44" s="123" t="e">
        <f>IF(ISNA(Tableau6[[#This Row],[Position 2023]]),Tableau6[[#This Row],[Position 2023]],Tableau6[[#This Row],[2023]]-M$2)</f>
        <v>#N/A</v>
      </c>
      <c r="O44" s="102" t="e">
        <f>Tableau6[[#This Row],[Cumul 2023]]-Tableau6[[#This Row],[Cumul 2022]]</f>
        <v>#N/A</v>
      </c>
      <c r="P44" s="104" t="e">
        <f>Tableau6[[#This Row],[Ecart 2022 2023]]/Tableau6[[#This Row],[Cumul 2022]]</f>
        <v>#N/A</v>
      </c>
      <c r="Q44" s="102" t="e">
        <f>MATCH(Tableau6[Jours Mois]&amp;"/"&amp;Tableau6[[#Headers],[2024]],tabSuiviConso[Jour Mois Année],0)</f>
        <v>#N/A</v>
      </c>
      <c r="R44" s="102" t="str">
        <f>IF(ISNA(Tableau6[[#This Row],[Position 2024]]),"",INDEX(tabSuiviConso[HP + HC
cumul],Tableau6[[#This Row],[Position 2024]],1))</f>
        <v/>
      </c>
      <c r="S44" s="123" t="e">
        <f>IF(ISNA(Tableau6[[#This Row],[Position 2024]]),Tableau6[[#This Row],[Position 2024]],Tableau6[[#This Row],[2024]]-R$2)</f>
        <v>#N/A</v>
      </c>
      <c r="T44" s="102" t="e">
        <f>Tableau6[[#This Row],[Cumul 2024]]-Tableau6[[#This Row],[Cumul 2023]]</f>
        <v>#N/A</v>
      </c>
      <c r="U44" s="103" t="e">
        <f>Tableau6[[#This Row],[Ecart 2023 2024]]/Tableau6[[#This Row],[Cumul 2023]]</f>
        <v>#N/A</v>
      </c>
    </row>
    <row r="45" spans="1:21" x14ac:dyDescent="0.2">
      <c r="A45" s="102">
        <v>2</v>
      </c>
      <c r="B45" s="102">
        <v>12</v>
      </c>
      <c r="C45" s="102" t="str">
        <f>Tableau6[Jour]&amp;"/"&amp;Tableau6[Mois]</f>
        <v>12/2</v>
      </c>
      <c r="D45" s="102" t="e">
        <f>MATCH(Tableau6[Jours Mois]&amp;"/"&amp;Tableau6[[#Headers],[2021]],tabSuiviConso[Jour Mois Année],0)</f>
        <v>#N/A</v>
      </c>
      <c r="E45" s="102" t="str">
        <f>IF(ISNA(Tableau6[[#This Row],[Position 2021]]),"",INDEX(tabSuiviConso[HP + HC
cumul],Tableau6[[#This Row],[Position 2021]],1))</f>
        <v/>
      </c>
      <c r="F45" s="123" t="e">
        <f>IF(ISNA(Tableau6[[#This Row],[Position 2021]]),Tableau6[[#This Row],[Position 2021]],Tableau6[[#This Row],[2021]]-E$2)</f>
        <v>#N/A</v>
      </c>
      <c r="G45" s="102" t="e">
        <f>MATCH(Tableau6[Jours Mois]&amp;"/"&amp;Tableau6[[#Headers],[2022]],tabSuiviConso[Jour Mois Année],0)</f>
        <v>#N/A</v>
      </c>
      <c r="H45" s="102" t="str">
        <f>IF(ISNA(Tableau6[[#This Row],[Position 2022]]),"",INDEX(tabSuiviConso[HP + HC
cumul],Tableau6[[#This Row],[Position 2022]],1))</f>
        <v/>
      </c>
      <c r="I45" s="123" t="e">
        <f>IF(ISNA(Tableau6[[#This Row],[Position 2022]]),Tableau6[[#This Row],[Position 2022]],Tableau6[[#This Row],[2022]]-H$2)</f>
        <v>#N/A</v>
      </c>
      <c r="J45" s="102" t="e">
        <f>MATCH(Tableau6[Jours Mois]&amp;"/"&amp;Tableau6[[#Headers],[2023]],tabSuiviConso[Jour Mois Année],0)</f>
        <v>#N/A</v>
      </c>
      <c r="K45" s="102" t="e">
        <f>Tableau6[[#This Row],[Cumul 2022]]-Tableau6[[#This Row],[Cumul 2021]]</f>
        <v>#N/A</v>
      </c>
      <c r="L45" s="104" t="e">
        <f>Tableau6[[#This Row],[Ecart 2021 2022]]/Tableau6[[#This Row],[Cumul 2021]]</f>
        <v>#N/A</v>
      </c>
      <c r="M45" s="102" t="str">
        <f>IF(ISNA(Tableau6[[#This Row],[Position 2023]]),"",INDEX(tabSuiviConso[HP + HC
cumul],Tableau6[[#This Row],[Position 2023]],1))</f>
        <v/>
      </c>
      <c r="N45" s="123" t="e">
        <f>IF(ISNA(Tableau6[[#This Row],[Position 2023]]),Tableau6[[#This Row],[Position 2023]],Tableau6[[#This Row],[2023]]-M$2)</f>
        <v>#N/A</v>
      </c>
      <c r="O45" s="102" t="e">
        <f>Tableau6[[#This Row],[Cumul 2023]]-Tableau6[[#This Row],[Cumul 2022]]</f>
        <v>#N/A</v>
      </c>
      <c r="P45" s="104" t="e">
        <f>Tableau6[[#This Row],[Ecart 2022 2023]]/Tableau6[[#This Row],[Cumul 2022]]</f>
        <v>#N/A</v>
      </c>
      <c r="Q45" s="102" t="e">
        <f>MATCH(Tableau6[Jours Mois]&amp;"/"&amp;Tableau6[[#Headers],[2024]],tabSuiviConso[Jour Mois Année],0)</f>
        <v>#N/A</v>
      </c>
      <c r="R45" s="102" t="str">
        <f>IF(ISNA(Tableau6[[#This Row],[Position 2024]]),"",INDEX(tabSuiviConso[HP + HC
cumul],Tableau6[[#This Row],[Position 2024]],1))</f>
        <v/>
      </c>
      <c r="S45" s="123" t="e">
        <f>IF(ISNA(Tableau6[[#This Row],[Position 2024]]),Tableau6[[#This Row],[Position 2024]],Tableau6[[#This Row],[2024]]-R$2)</f>
        <v>#N/A</v>
      </c>
      <c r="T45" s="102" t="e">
        <f>Tableau6[[#This Row],[Cumul 2024]]-Tableau6[[#This Row],[Cumul 2023]]</f>
        <v>#N/A</v>
      </c>
      <c r="U45" s="103" t="e">
        <f>Tableau6[[#This Row],[Ecart 2023 2024]]/Tableau6[[#This Row],[Cumul 2023]]</f>
        <v>#N/A</v>
      </c>
    </row>
    <row r="46" spans="1:21" x14ac:dyDescent="0.2">
      <c r="A46" s="102">
        <v>2</v>
      </c>
      <c r="B46" s="102">
        <v>13</v>
      </c>
      <c r="C46" s="102" t="str">
        <f>Tableau6[Jour]&amp;"/"&amp;Tableau6[Mois]</f>
        <v>13/2</v>
      </c>
      <c r="D46" s="102" t="e">
        <f>MATCH(Tableau6[Jours Mois]&amp;"/"&amp;Tableau6[[#Headers],[2021]],tabSuiviConso[Jour Mois Année],0)</f>
        <v>#N/A</v>
      </c>
      <c r="E46" s="102" t="str">
        <f>IF(ISNA(Tableau6[[#This Row],[Position 2021]]),"",INDEX(tabSuiviConso[HP + HC
cumul],Tableau6[[#This Row],[Position 2021]],1))</f>
        <v/>
      </c>
      <c r="F46" s="123" t="e">
        <f>IF(ISNA(Tableau6[[#This Row],[Position 2021]]),Tableau6[[#This Row],[Position 2021]],Tableau6[[#This Row],[2021]]-E$2)</f>
        <v>#N/A</v>
      </c>
      <c r="G46" s="102" t="e">
        <f>MATCH(Tableau6[Jours Mois]&amp;"/"&amp;Tableau6[[#Headers],[2022]],tabSuiviConso[Jour Mois Année],0)</f>
        <v>#N/A</v>
      </c>
      <c r="H46" s="102" t="str">
        <f>IF(ISNA(Tableau6[[#This Row],[Position 2022]]),"",INDEX(tabSuiviConso[HP + HC
cumul],Tableau6[[#This Row],[Position 2022]],1))</f>
        <v/>
      </c>
      <c r="I46" s="123" t="e">
        <f>IF(ISNA(Tableau6[[#This Row],[Position 2022]]),Tableau6[[#This Row],[Position 2022]],Tableau6[[#This Row],[2022]]-H$2)</f>
        <v>#N/A</v>
      </c>
      <c r="J46" s="102" t="e">
        <f>MATCH(Tableau6[Jours Mois]&amp;"/"&amp;Tableau6[[#Headers],[2023]],tabSuiviConso[Jour Mois Année],0)</f>
        <v>#N/A</v>
      </c>
      <c r="K46" s="102" t="e">
        <f>Tableau6[[#This Row],[Cumul 2022]]-Tableau6[[#This Row],[Cumul 2021]]</f>
        <v>#N/A</v>
      </c>
      <c r="L46" s="104" t="e">
        <f>Tableau6[[#This Row],[Ecart 2021 2022]]/Tableau6[[#This Row],[Cumul 2021]]</f>
        <v>#N/A</v>
      </c>
      <c r="M46" s="102" t="str">
        <f>IF(ISNA(Tableau6[[#This Row],[Position 2023]]),"",INDEX(tabSuiviConso[HP + HC
cumul],Tableau6[[#This Row],[Position 2023]],1))</f>
        <v/>
      </c>
      <c r="N46" s="123" t="e">
        <f>IF(ISNA(Tableau6[[#This Row],[Position 2023]]),Tableau6[[#This Row],[Position 2023]],Tableau6[[#This Row],[2023]]-M$2)</f>
        <v>#N/A</v>
      </c>
      <c r="O46" s="102" t="e">
        <f>Tableau6[[#This Row],[Cumul 2023]]-Tableau6[[#This Row],[Cumul 2022]]</f>
        <v>#N/A</v>
      </c>
      <c r="P46" s="104" t="e">
        <f>Tableau6[[#This Row],[Ecart 2022 2023]]/Tableau6[[#This Row],[Cumul 2022]]</f>
        <v>#N/A</v>
      </c>
      <c r="Q46" s="102" t="e">
        <f>MATCH(Tableau6[Jours Mois]&amp;"/"&amp;Tableau6[[#Headers],[2024]],tabSuiviConso[Jour Mois Année],0)</f>
        <v>#N/A</v>
      </c>
      <c r="R46" s="102" t="str">
        <f>IF(ISNA(Tableau6[[#This Row],[Position 2024]]),"",INDEX(tabSuiviConso[HP + HC
cumul],Tableau6[[#This Row],[Position 2024]],1))</f>
        <v/>
      </c>
      <c r="S46" s="123" t="e">
        <f>IF(ISNA(Tableau6[[#This Row],[Position 2024]]),Tableau6[[#This Row],[Position 2024]],Tableau6[[#This Row],[2024]]-R$2)</f>
        <v>#N/A</v>
      </c>
      <c r="T46" s="102" t="e">
        <f>Tableau6[[#This Row],[Cumul 2024]]-Tableau6[[#This Row],[Cumul 2023]]</f>
        <v>#N/A</v>
      </c>
      <c r="U46" s="103" t="e">
        <f>Tableau6[[#This Row],[Ecart 2023 2024]]/Tableau6[[#This Row],[Cumul 2023]]</f>
        <v>#N/A</v>
      </c>
    </row>
    <row r="47" spans="1:21" x14ac:dyDescent="0.2">
      <c r="A47" s="102">
        <v>2</v>
      </c>
      <c r="B47" s="102">
        <v>14</v>
      </c>
      <c r="C47" s="102" t="str">
        <f>Tableau6[Jour]&amp;"/"&amp;Tableau6[Mois]</f>
        <v>14/2</v>
      </c>
      <c r="D47" s="102" t="e">
        <f>MATCH(Tableau6[Jours Mois]&amp;"/"&amp;Tableau6[[#Headers],[2021]],tabSuiviConso[Jour Mois Année],0)</f>
        <v>#N/A</v>
      </c>
      <c r="E47" s="102" t="str">
        <f>IF(ISNA(Tableau6[[#This Row],[Position 2021]]),"",INDEX(tabSuiviConso[HP + HC
cumul],Tableau6[[#This Row],[Position 2021]],1))</f>
        <v/>
      </c>
      <c r="F47" s="123" t="e">
        <f>IF(ISNA(Tableau6[[#This Row],[Position 2021]]),Tableau6[[#This Row],[Position 2021]],Tableau6[[#This Row],[2021]]-E$2)</f>
        <v>#N/A</v>
      </c>
      <c r="G47" s="102" t="e">
        <f>MATCH(Tableau6[Jours Mois]&amp;"/"&amp;Tableau6[[#Headers],[2022]],tabSuiviConso[Jour Mois Année],0)</f>
        <v>#N/A</v>
      </c>
      <c r="H47" s="102" t="str">
        <f>IF(ISNA(Tableau6[[#This Row],[Position 2022]]),"",INDEX(tabSuiviConso[HP + HC
cumul],Tableau6[[#This Row],[Position 2022]],1))</f>
        <v/>
      </c>
      <c r="I47" s="123" t="e">
        <f>IF(ISNA(Tableau6[[#This Row],[Position 2022]]),Tableau6[[#This Row],[Position 2022]],Tableau6[[#This Row],[2022]]-H$2)</f>
        <v>#N/A</v>
      </c>
      <c r="J47" s="102" t="e">
        <f>MATCH(Tableau6[Jours Mois]&amp;"/"&amp;Tableau6[[#Headers],[2023]],tabSuiviConso[Jour Mois Année],0)</f>
        <v>#N/A</v>
      </c>
      <c r="K47" s="102" t="e">
        <f>Tableau6[[#This Row],[Cumul 2022]]-Tableau6[[#This Row],[Cumul 2021]]</f>
        <v>#N/A</v>
      </c>
      <c r="L47" s="104" t="e">
        <f>Tableau6[[#This Row],[Ecart 2021 2022]]/Tableau6[[#This Row],[Cumul 2021]]</f>
        <v>#N/A</v>
      </c>
      <c r="M47" s="102" t="str">
        <f>IF(ISNA(Tableau6[[#This Row],[Position 2023]]),"",INDEX(tabSuiviConso[HP + HC
cumul],Tableau6[[#This Row],[Position 2023]],1))</f>
        <v/>
      </c>
      <c r="N47" s="123" t="e">
        <f>IF(ISNA(Tableau6[[#This Row],[Position 2023]]),Tableau6[[#This Row],[Position 2023]],Tableau6[[#This Row],[2023]]-M$2)</f>
        <v>#N/A</v>
      </c>
      <c r="O47" s="102" t="e">
        <f>Tableau6[[#This Row],[Cumul 2023]]-Tableau6[[#This Row],[Cumul 2022]]</f>
        <v>#N/A</v>
      </c>
      <c r="P47" s="104" t="e">
        <f>Tableau6[[#This Row],[Ecart 2022 2023]]/Tableau6[[#This Row],[Cumul 2022]]</f>
        <v>#N/A</v>
      </c>
      <c r="Q47" s="102" t="e">
        <f>MATCH(Tableau6[Jours Mois]&amp;"/"&amp;Tableau6[[#Headers],[2024]],tabSuiviConso[Jour Mois Année],0)</f>
        <v>#N/A</v>
      </c>
      <c r="R47" s="102" t="str">
        <f>IF(ISNA(Tableau6[[#This Row],[Position 2024]]),"",INDEX(tabSuiviConso[HP + HC
cumul],Tableau6[[#This Row],[Position 2024]],1))</f>
        <v/>
      </c>
      <c r="S47" s="123" t="e">
        <f>IF(ISNA(Tableau6[[#This Row],[Position 2024]]),Tableau6[[#This Row],[Position 2024]],Tableau6[[#This Row],[2024]]-R$2)</f>
        <v>#N/A</v>
      </c>
      <c r="T47" s="102" t="e">
        <f>Tableau6[[#This Row],[Cumul 2024]]-Tableau6[[#This Row],[Cumul 2023]]</f>
        <v>#N/A</v>
      </c>
      <c r="U47" s="103" t="e">
        <f>Tableau6[[#This Row],[Ecart 2023 2024]]/Tableau6[[#This Row],[Cumul 2023]]</f>
        <v>#N/A</v>
      </c>
    </row>
    <row r="48" spans="1:21" x14ac:dyDescent="0.2">
      <c r="A48" s="102">
        <v>2</v>
      </c>
      <c r="B48" s="102">
        <v>15</v>
      </c>
      <c r="C48" s="102" t="str">
        <f>Tableau6[Jour]&amp;"/"&amp;Tableau6[Mois]</f>
        <v>15/2</v>
      </c>
      <c r="D48" s="102" t="e">
        <f>MATCH(Tableau6[Jours Mois]&amp;"/"&amp;Tableau6[[#Headers],[2021]],tabSuiviConso[Jour Mois Année],0)</f>
        <v>#N/A</v>
      </c>
      <c r="E48" s="102" t="str">
        <f>IF(ISNA(Tableau6[[#This Row],[Position 2021]]),"",INDEX(tabSuiviConso[HP + HC
cumul],Tableau6[[#This Row],[Position 2021]],1))</f>
        <v/>
      </c>
      <c r="F48" s="123" t="e">
        <f>IF(ISNA(Tableau6[[#This Row],[Position 2021]]),Tableau6[[#This Row],[Position 2021]],Tableau6[[#This Row],[2021]]-E$2)</f>
        <v>#N/A</v>
      </c>
      <c r="G48" s="102" t="e">
        <f>MATCH(Tableau6[Jours Mois]&amp;"/"&amp;Tableau6[[#Headers],[2022]],tabSuiviConso[Jour Mois Année],0)</f>
        <v>#N/A</v>
      </c>
      <c r="H48" s="102" t="str">
        <f>IF(ISNA(Tableau6[[#This Row],[Position 2022]]),"",INDEX(tabSuiviConso[HP + HC
cumul],Tableau6[[#This Row],[Position 2022]],1))</f>
        <v/>
      </c>
      <c r="I48" s="123" t="e">
        <f>IF(ISNA(Tableau6[[#This Row],[Position 2022]]),Tableau6[[#This Row],[Position 2022]],Tableau6[[#This Row],[2022]]-H$2)</f>
        <v>#N/A</v>
      </c>
      <c r="J48" s="102" t="e">
        <f>MATCH(Tableau6[Jours Mois]&amp;"/"&amp;Tableau6[[#Headers],[2023]],tabSuiviConso[Jour Mois Année],0)</f>
        <v>#N/A</v>
      </c>
      <c r="K48" s="102" t="e">
        <f>Tableau6[[#This Row],[Cumul 2022]]-Tableau6[[#This Row],[Cumul 2021]]</f>
        <v>#N/A</v>
      </c>
      <c r="L48" s="104" t="e">
        <f>Tableau6[[#This Row],[Ecart 2021 2022]]/Tableau6[[#This Row],[Cumul 2021]]</f>
        <v>#N/A</v>
      </c>
      <c r="M48" s="102" t="str">
        <f>IF(ISNA(Tableau6[[#This Row],[Position 2023]]),"",INDEX(tabSuiviConso[HP + HC
cumul],Tableau6[[#This Row],[Position 2023]],1))</f>
        <v/>
      </c>
      <c r="N48" s="123" t="e">
        <f>IF(ISNA(Tableau6[[#This Row],[Position 2023]]),Tableau6[[#This Row],[Position 2023]],Tableau6[[#This Row],[2023]]-M$2)</f>
        <v>#N/A</v>
      </c>
      <c r="O48" s="102" t="e">
        <f>Tableau6[[#This Row],[Cumul 2023]]-Tableau6[[#This Row],[Cumul 2022]]</f>
        <v>#N/A</v>
      </c>
      <c r="P48" s="104" t="e">
        <f>Tableau6[[#This Row],[Ecart 2022 2023]]/Tableau6[[#This Row],[Cumul 2022]]</f>
        <v>#N/A</v>
      </c>
      <c r="Q48" s="102" t="e">
        <f>MATCH(Tableau6[Jours Mois]&amp;"/"&amp;Tableau6[[#Headers],[2024]],tabSuiviConso[Jour Mois Année],0)</f>
        <v>#N/A</v>
      </c>
      <c r="R48" s="102" t="str">
        <f>IF(ISNA(Tableau6[[#This Row],[Position 2024]]),"",INDEX(tabSuiviConso[HP + HC
cumul],Tableau6[[#This Row],[Position 2024]],1))</f>
        <v/>
      </c>
      <c r="S48" s="123" t="e">
        <f>IF(ISNA(Tableau6[[#This Row],[Position 2024]]),Tableau6[[#This Row],[Position 2024]],Tableau6[[#This Row],[2024]]-R$2)</f>
        <v>#N/A</v>
      </c>
      <c r="T48" s="102" t="e">
        <f>Tableau6[[#This Row],[Cumul 2024]]-Tableau6[[#This Row],[Cumul 2023]]</f>
        <v>#N/A</v>
      </c>
      <c r="U48" s="103" t="e">
        <f>Tableau6[[#This Row],[Ecart 2023 2024]]/Tableau6[[#This Row],[Cumul 2023]]</f>
        <v>#N/A</v>
      </c>
    </row>
    <row r="49" spans="1:21" x14ac:dyDescent="0.2">
      <c r="A49" s="102">
        <v>2</v>
      </c>
      <c r="B49" s="102">
        <v>16</v>
      </c>
      <c r="C49" s="102" t="str">
        <f>Tableau6[Jour]&amp;"/"&amp;Tableau6[Mois]</f>
        <v>16/2</v>
      </c>
      <c r="D49" s="102" t="e">
        <f>MATCH(Tableau6[Jours Mois]&amp;"/"&amp;Tableau6[[#Headers],[2021]],tabSuiviConso[Jour Mois Année],0)</f>
        <v>#N/A</v>
      </c>
      <c r="E49" s="102" t="str">
        <f>IF(ISNA(Tableau6[[#This Row],[Position 2021]]),"",INDEX(tabSuiviConso[HP + HC
cumul],Tableau6[[#This Row],[Position 2021]],1))</f>
        <v/>
      </c>
      <c r="F49" s="123" t="e">
        <f>IF(ISNA(Tableau6[[#This Row],[Position 2021]]),Tableau6[[#This Row],[Position 2021]],Tableau6[[#This Row],[2021]]-E$2)</f>
        <v>#N/A</v>
      </c>
      <c r="G49" s="102" t="e">
        <f>MATCH(Tableau6[Jours Mois]&amp;"/"&amp;Tableau6[[#Headers],[2022]],tabSuiviConso[Jour Mois Année],0)</f>
        <v>#N/A</v>
      </c>
      <c r="H49" s="102" t="str">
        <f>IF(ISNA(Tableau6[[#This Row],[Position 2022]]),"",INDEX(tabSuiviConso[HP + HC
cumul],Tableau6[[#This Row],[Position 2022]],1))</f>
        <v/>
      </c>
      <c r="I49" s="123" t="e">
        <f>IF(ISNA(Tableau6[[#This Row],[Position 2022]]),Tableau6[[#This Row],[Position 2022]],Tableau6[[#This Row],[2022]]-H$2)</f>
        <v>#N/A</v>
      </c>
      <c r="J49" s="102" t="e">
        <f>MATCH(Tableau6[Jours Mois]&amp;"/"&amp;Tableau6[[#Headers],[2023]],tabSuiviConso[Jour Mois Année],0)</f>
        <v>#N/A</v>
      </c>
      <c r="K49" s="102" t="e">
        <f>Tableau6[[#This Row],[Cumul 2022]]-Tableau6[[#This Row],[Cumul 2021]]</f>
        <v>#N/A</v>
      </c>
      <c r="L49" s="104" t="e">
        <f>Tableau6[[#This Row],[Ecart 2021 2022]]/Tableau6[[#This Row],[Cumul 2021]]</f>
        <v>#N/A</v>
      </c>
      <c r="M49" s="102" t="str">
        <f>IF(ISNA(Tableau6[[#This Row],[Position 2023]]),"",INDEX(tabSuiviConso[HP + HC
cumul],Tableau6[[#This Row],[Position 2023]],1))</f>
        <v/>
      </c>
      <c r="N49" s="123" t="e">
        <f>IF(ISNA(Tableau6[[#This Row],[Position 2023]]),Tableau6[[#This Row],[Position 2023]],Tableau6[[#This Row],[2023]]-M$2)</f>
        <v>#N/A</v>
      </c>
      <c r="O49" s="102" t="e">
        <f>Tableau6[[#This Row],[Cumul 2023]]-Tableau6[[#This Row],[Cumul 2022]]</f>
        <v>#N/A</v>
      </c>
      <c r="P49" s="104" t="e">
        <f>Tableau6[[#This Row],[Ecart 2022 2023]]/Tableau6[[#This Row],[Cumul 2022]]</f>
        <v>#N/A</v>
      </c>
      <c r="Q49" s="102" t="e">
        <f>MATCH(Tableau6[Jours Mois]&amp;"/"&amp;Tableau6[[#Headers],[2024]],tabSuiviConso[Jour Mois Année],0)</f>
        <v>#N/A</v>
      </c>
      <c r="R49" s="102" t="str">
        <f>IF(ISNA(Tableau6[[#This Row],[Position 2024]]),"",INDEX(tabSuiviConso[HP + HC
cumul],Tableau6[[#This Row],[Position 2024]],1))</f>
        <v/>
      </c>
      <c r="S49" s="123" t="e">
        <f>IF(ISNA(Tableau6[[#This Row],[Position 2024]]),Tableau6[[#This Row],[Position 2024]],Tableau6[[#This Row],[2024]]-R$2)</f>
        <v>#N/A</v>
      </c>
      <c r="T49" s="102" t="e">
        <f>Tableau6[[#This Row],[Cumul 2024]]-Tableau6[[#This Row],[Cumul 2023]]</f>
        <v>#N/A</v>
      </c>
      <c r="U49" s="103" t="e">
        <f>Tableau6[[#This Row],[Ecart 2023 2024]]/Tableau6[[#This Row],[Cumul 2023]]</f>
        <v>#N/A</v>
      </c>
    </row>
    <row r="50" spans="1:21" x14ac:dyDescent="0.2">
      <c r="A50" s="102">
        <v>2</v>
      </c>
      <c r="B50" s="102">
        <v>17</v>
      </c>
      <c r="C50" s="102" t="str">
        <f>Tableau6[Jour]&amp;"/"&amp;Tableau6[Mois]</f>
        <v>17/2</v>
      </c>
      <c r="D50" s="102" t="e">
        <f>MATCH(Tableau6[Jours Mois]&amp;"/"&amp;Tableau6[[#Headers],[2021]],tabSuiviConso[Jour Mois Année],0)</f>
        <v>#N/A</v>
      </c>
      <c r="E50" s="102" t="str">
        <f>IF(ISNA(Tableau6[[#This Row],[Position 2021]]),"",INDEX(tabSuiviConso[HP + HC
cumul],Tableau6[[#This Row],[Position 2021]],1))</f>
        <v/>
      </c>
      <c r="F50" s="123" t="e">
        <f>IF(ISNA(Tableau6[[#This Row],[Position 2021]]),Tableau6[[#This Row],[Position 2021]],Tableau6[[#This Row],[2021]]-E$2)</f>
        <v>#N/A</v>
      </c>
      <c r="G50" s="102" t="e">
        <f>MATCH(Tableau6[Jours Mois]&amp;"/"&amp;Tableau6[[#Headers],[2022]],tabSuiviConso[Jour Mois Année],0)</f>
        <v>#N/A</v>
      </c>
      <c r="H50" s="102" t="str">
        <f>IF(ISNA(Tableau6[[#This Row],[Position 2022]]),"",INDEX(tabSuiviConso[HP + HC
cumul],Tableau6[[#This Row],[Position 2022]],1))</f>
        <v/>
      </c>
      <c r="I50" s="123" t="e">
        <f>IF(ISNA(Tableau6[[#This Row],[Position 2022]]),Tableau6[[#This Row],[Position 2022]],Tableau6[[#This Row],[2022]]-H$2)</f>
        <v>#N/A</v>
      </c>
      <c r="J50" s="102" t="e">
        <f>MATCH(Tableau6[Jours Mois]&amp;"/"&amp;Tableau6[[#Headers],[2023]],tabSuiviConso[Jour Mois Année],0)</f>
        <v>#N/A</v>
      </c>
      <c r="K50" s="102" t="e">
        <f>Tableau6[[#This Row],[Cumul 2022]]-Tableau6[[#This Row],[Cumul 2021]]</f>
        <v>#N/A</v>
      </c>
      <c r="L50" s="104" t="e">
        <f>Tableau6[[#This Row],[Ecart 2021 2022]]/Tableau6[[#This Row],[Cumul 2021]]</f>
        <v>#N/A</v>
      </c>
      <c r="M50" s="102" t="str">
        <f>IF(ISNA(Tableau6[[#This Row],[Position 2023]]),"",INDEX(tabSuiviConso[HP + HC
cumul],Tableau6[[#This Row],[Position 2023]],1))</f>
        <v/>
      </c>
      <c r="N50" s="123" t="e">
        <f>IF(ISNA(Tableau6[[#This Row],[Position 2023]]),Tableau6[[#This Row],[Position 2023]],Tableau6[[#This Row],[2023]]-M$2)</f>
        <v>#N/A</v>
      </c>
      <c r="O50" s="102" t="e">
        <f>Tableau6[[#This Row],[Cumul 2023]]-Tableau6[[#This Row],[Cumul 2022]]</f>
        <v>#N/A</v>
      </c>
      <c r="P50" s="104" t="e">
        <f>Tableau6[[#This Row],[Ecart 2022 2023]]/Tableau6[[#This Row],[Cumul 2022]]</f>
        <v>#N/A</v>
      </c>
      <c r="Q50" s="102" t="e">
        <f>MATCH(Tableau6[Jours Mois]&amp;"/"&amp;Tableau6[[#Headers],[2024]],tabSuiviConso[Jour Mois Année],0)</f>
        <v>#N/A</v>
      </c>
      <c r="R50" s="102" t="str">
        <f>IF(ISNA(Tableau6[[#This Row],[Position 2024]]),"",INDEX(tabSuiviConso[HP + HC
cumul],Tableau6[[#This Row],[Position 2024]],1))</f>
        <v/>
      </c>
      <c r="S50" s="123" t="e">
        <f>IF(ISNA(Tableau6[[#This Row],[Position 2024]]),Tableau6[[#This Row],[Position 2024]],Tableau6[[#This Row],[2024]]-R$2)</f>
        <v>#N/A</v>
      </c>
      <c r="T50" s="102" t="e">
        <f>Tableau6[[#This Row],[Cumul 2024]]-Tableau6[[#This Row],[Cumul 2023]]</f>
        <v>#N/A</v>
      </c>
      <c r="U50" s="103" t="e">
        <f>Tableau6[[#This Row],[Ecart 2023 2024]]/Tableau6[[#This Row],[Cumul 2023]]</f>
        <v>#N/A</v>
      </c>
    </row>
    <row r="51" spans="1:21" x14ac:dyDescent="0.2">
      <c r="A51" s="102">
        <v>2</v>
      </c>
      <c r="B51" s="102">
        <v>18</v>
      </c>
      <c r="C51" s="102" t="str">
        <f>Tableau6[Jour]&amp;"/"&amp;Tableau6[Mois]</f>
        <v>18/2</v>
      </c>
      <c r="D51" s="102" t="e">
        <f>MATCH(Tableau6[Jours Mois]&amp;"/"&amp;Tableau6[[#Headers],[2021]],tabSuiviConso[Jour Mois Année],0)</f>
        <v>#N/A</v>
      </c>
      <c r="E51" s="102" t="str">
        <f>IF(ISNA(Tableau6[[#This Row],[Position 2021]]),"",INDEX(tabSuiviConso[HP + HC
cumul],Tableau6[[#This Row],[Position 2021]],1))</f>
        <v/>
      </c>
      <c r="F51" s="123" t="e">
        <f>IF(ISNA(Tableau6[[#This Row],[Position 2021]]),Tableau6[[#This Row],[Position 2021]],Tableau6[[#This Row],[2021]]-E$2)</f>
        <v>#N/A</v>
      </c>
      <c r="G51" s="102" t="e">
        <f>MATCH(Tableau6[Jours Mois]&amp;"/"&amp;Tableau6[[#Headers],[2022]],tabSuiviConso[Jour Mois Année],0)</f>
        <v>#N/A</v>
      </c>
      <c r="H51" s="102" t="str">
        <f>IF(ISNA(Tableau6[[#This Row],[Position 2022]]),"",INDEX(tabSuiviConso[HP + HC
cumul],Tableau6[[#This Row],[Position 2022]],1))</f>
        <v/>
      </c>
      <c r="I51" s="123" t="e">
        <f>IF(ISNA(Tableau6[[#This Row],[Position 2022]]),Tableau6[[#This Row],[Position 2022]],Tableau6[[#This Row],[2022]]-H$2)</f>
        <v>#N/A</v>
      </c>
      <c r="J51" s="102" t="e">
        <f>MATCH(Tableau6[Jours Mois]&amp;"/"&amp;Tableau6[[#Headers],[2023]],tabSuiviConso[Jour Mois Année],0)</f>
        <v>#N/A</v>
      </c>
      <c r="K51" s="102" t="e">
        <f>Tableau6[[#This Row],[Cumul 2022]]-Tableau6[[#This Row],[Cumul 2021]]</f>
        <v>#N/A</v>
      </c>
      <c r="L51" s="104" t="e">
        <f>Tableau6[[#This Row],[Ecart 2021 2022]]/Tableau6[[#This Row],[Cumul 2021]]</f>
        <v>#N/A</v>
      </c>
      <c r="M51" s="102" t="str">
        <f>IF(ISNA(Tableau6[[#This Row],[Position 2023]]),"",INDEX(tabSuiviConso[HP + HC
cumul],Tableau6[[#This Row],[Position 2023]],1))</f>
        <v/>
      </c>
      <c r="N51" s="123" t="e">
        <f>IF(ISNA(Tableau6[[#This Row],[Position 2023]]),Tableau6[[#This Row],[Position 2023]],Tableau6[[#This Row],[2023]]-M$2)</f>
        <v>#N/A</v>
      </c>
      <c r="O51" s="102" t="e">
        <f>Tableau6[[#This Row],[Cumul 2023]]-Tableau6[[#This Row],[Cumul 2022]]</f>
        <v>#N/A</v>
      </c>
      <c r="P51" s="104" t="e">
        <f>Tableau6[[#This Row],[Ecart 2022 2023]]/Tableau6[[#This Row],[Cumul 2022]]</f>
        <v>#N/A</v>
      </c>
      <c r="Q51" s="102" t="e">
        <f>MATCH(Tableau6[Jours Mois]&amp;"/"&amp;Tableau6[[#Headers],[2024]],tabSuiviConso[Jour Mois Année],0)</f>
        <v>#N/A</v>
      </c>
      <c r="R51" s="102" t="str">
        <f>IF(ISNA(Tableau6[[#This Row],[Position 2024]]),"",INDEX(tabSuiviConso[HP + HC
cumul],Tableau6[[#This Row],[Position 2024]],1))</f>
        <v/>
      </c>
      <c r="S51" s="123" t="e">
        <f>IF(ISNA(Tableau6[[#This Row],[Position 2024]]),Tableau6[[#This Row],[Position 2024]],Tableau6[[#This Row],[2024]]-R$2)</f>
        <v>#N/A</v>
      </c>
      <c r="T51" s="102" t="e">
        <f>Tableau6[[#This Row],[Cumul 2024]]-Tableau6[[#This Row],[Cumul 2023]]</f>
        <v>#N/A</v>
      </c>
      <c r="U51" s="103" t="e">
        <f>Tableau6[[#This Row],[Ecart 2023 2024]]/Tableau6[[#This Row],[Cumul 2023]]</f>
        <v>#N/A</v>
      </c>
    </row>
    <row r="52" spans="1:21" x14ac:dyDescent="0.2">
      <c r="A52" s="102">
        <v>2</v>
      </c>
      <c r="B52" s="102">
        <v>19</v>
      </c>
      <c r="C52" s="102" t="str">
        <f>Tableau6[Jour]&amp;"/"&amp;Tableau6[Mois]</f>
        <v>19/2</v>
      </c>
      <c r="D52" s="102" t="e">
        <f>MATCH(Tableau6[Jours Mois]&amp;"/"&amp;Tableau6[[#Headers],[2021]],tabSuiviConso[Jour Mois Année],0)</f>
        <v>#N/A</v>
      </c>
      <c r="E52" s="102" t="str">
        <f>IF(ISNA(Tableau6[[#This Row],[Position 2021]]),"",INDEX(tabSuiviConso[HP + HC
cumul],Tableau6[[#This Row],[Position 2021]],1))</f>
        <v/>
      </c>
      <c r="F52" s="123" t="e">
        <f>IF(ISNA(Tableau6[[#This Row],[Position 2021]]),Tableau6[[#This Row],[Position 2021]],Tableau6[[#This Row],[2021]]-E$2)</f>
        <v>#N/A</v>
      </c>
      <c r="G52" s="102" t="e">
        <f>MATCH(Tableau6[Jours Mois]&amp;"/"&amp;Tableau6[[#Headers],[2022]],tabSuiviConso[Jour Mois Année],0)</f>
        <v>#N/A</v>
      </c>
      <c r="H52" s="102" t="str">
        <f>IF(ISNA(Tableau6[[#This Row],[Position 2022]]),"",INDEX(tabSuiviConso[HP + HC
cumul],Tableau6[[#This Row],[Position 2022]],1))</f>
        <v/>
      </c>
      <c r="I52" s="123" t="e">
        <f>IF(ISNA(Tableau6[[#This Row],[Position 2022]]),Tableau6[[#This Row],[Position 2022]],Tableau6[[#This Row],[2022]]-H$2)</f>
        <v>#N/A</v>
      </c>
      <c r="J52" s="102" t="e">
        <f>MATCH(Tableau6[Jours Mois]&amp;"/"&amp;Tableau6[[#Headers],[2023]],tabSuiviConso[Jour Mois Année],0)</f>
        <v>#N/A</v>
      </c>
      <c r="K52" s="102" t="e">
        <f>Tableau6[[#This Row],[Cumul 2022]]-Tableau6[[#This Row],[Cumul 2021]]</f>
        <v>#N/A</v>
      </c>
      <c r="L52" s="104" t="e">
        <f>Tableau6[[#This Row],[Ecart 2021 2022]]/Tableau6[[#This Row],[Cumul 2021]]</f>
        <v>#N/A</v>
      </c>
      <c r="M52" s="102" t="str">
        <f>IF(ISNA(Tableau6[[#This Row],[Position 2023]]),"",INDEX(tabSuiviConso[HP + HC
cumul],Tableau6[[#This Row],[Position 2023]],1))</f>
        <v/>
      </c>
      <c r="N52" s="123" t="e">
        <f>IF(ISNA(Tableau6[[#This Row],[Position 2023]]),Tableau6[[#This Row],[Position 2023]],Tableau6[[#This Row],[2023]]-M$2)</f>
        <v>#N/A</v>
      </c>
      <c r="O52" s="102" t="e">
        <f>Tableau6[[#This Row],[Cumul 2023]]-Tableau6[[#This Row],[Cumul 2022]]</f>
        <v>#N/A</v>
      </c>
      <c r="P52" s="104" t="e">
        <f>Tableau6[[#This Row],[Ecart 2022 2023]]/Tableau6[[#This Row],[Cumul 2022]]</f>
        <v>#N/A</v>
      </c>
      <c r="Q52" s="102" t="e">
        <f>MATCH(Tableau6[Jours Mois]&amp;"/"&amp;Tableau6[[#Headers],[2024]],tabSuiviConso[Jour Mois Année],0)</f>
        <v>#N/A</v>
      </c>
      <c r="R52" s="102" t="str">
        <f>IF(ISNA(Tableau6[[#This Row],[Position 2024]]),"",INDEX(tabSuiviConso[HP + HC
cumul],Tableau6[[#This Row],[Position 2024]],1))</f>
        <v/>
      </c>
      <c r="S52" s="123" t="e">
        <f>IF(ISNA(Tableau6[[#This Row],[Position 2024]]),Tableau6[[#This Row],[Position 2024]],Tableau6[[#This Row],[2024]]-R$2)</f>
        <v>#N/A</v>
      </c>
      <c r="T52" s="102" t="e">
        <f>Tableau6[[#This Row],[Cumul 2024]]-Tableau6[[#This Row],[Cumul 2023]]</f>
        <v>#N/A</v>
      </c>
      <c r="U52" s="103" t="e">
        <f>Tableau6[[#This Row],[Ecart 2023 2024]]/Tableau6[[#This Row],[Cumul 2023]]</f>
        <v>#N/A</v>
      </c>
    </row>
    <row r="53" spans="1:21" x14ac:dyDescent="0.2">
      <c r="A53" s="102">
        <v>2</v>
      </c>
      <c r="B53" s="102">
        <v>20</v>
      </c>
      <c r="C53" s="102" t="str">
        <f>Tableau6[Jour]&amp;"/"&amp;Tableau6[Mois]</f>
        <v>20/2</v>
      </c>
      <c r="D53" s="102" t="e">
        <f>MATCH(Tableau6[Jours Mois]&amp;"/"&amp;Tableau6[[#Headers],[2021]],tabSuiviConso[Jour Mois Année],0)</f>
        <v>#N/A</v>
      </c>
      <c r="E53" s="102" t="str">
        <f>IF(ISNA(Tableau6[[#This Row],[Position 2021]]),"",INDEX(tabSuiviConso[HP + HC
cumul],Tableau6[[#This Row],[Position 2021]],1))</f>
        <v/>
      </c>
      <c r="F53" s="123" t="e">
        <f>IF(ISNA(Tableau6[[#This Row],[Position 2021]]),Tableau6[[#This Row],[Position 2021]],Tableau6[[#This Row],[2021]]-E$2)</f>
        <v>#N/A</v>
      </c>
      <c r="G53" s="102" t="e">
        <f>MATCH(Tableau6[Jours Mois]&amp;"/"&amp;Tableau6[[#Headers],[2022]],tabSuiviConso[Jour Mois Année],0)</f>
        <v>#N/A</v>
      </c>
      <c r="H53" s="102" t="str">
        <f>IF(ISNA(Tableau6[[#This Row],[Position 2022]]),"",INDEX(tabSuiviConso[HP + HC
cumul],Tableau6[[#This Row],[Position 2022]],1))</f>
        <v/>
      </c>
      <c r="I53" s="123" t="e">
        <f>IF(ISNA(Tableau6[[#This Row],[Position 2022]]),Tableau6[[#This Row],[Position 2022]],Tableau6[[#This Row],[2022]]-H$2)</f>
        <v>#N/A</v>
      </c>
      <c r="J53" s="102" t="e">
        <f>MATCH(Tableau6[Jours Mois]&amp;"/"&amp;Tableau6[[#Headers],[2023]],tabSuiviConso[Jour Mois Année],0)</f>
        <v>#N/A</v>
      </c>
      <c r="K53" s="102" t="e">
        <f>Tableau6[[#This Row],[Cumul 2022]]-Tableau6[[#This Row],[Cumul 2021]]</f>
        <v>#N/A</v>
      </c>
      <c r="L53" s="104" t="e">
        <f>Tableau6[[#This Row],[Ecart 2021 2022]]/Tableau6[[#This Row],[Cumul 2021]]</f>
        <v>#N/A</v>
      </c>
      <c r="M53" s="102" t="str">
        <f>IF(ISNA(Tableau6[[#This Row],[Position 2023]]),"",INDEX(tabSuiviConso[HP + HC
cumul],Tableau6[[#This Row],[Position 2023]],1))</f>
        <v/>
      </c>
      <c r="N53" s="123" t="e">
        <f>IF(ISNA(Tableau6[[#This Row],[Position 2023]]),Tableau6[[#This Row],[Position 2023]],Tableau6[[#This Row],[2023]]-M$2)</f>
        <v>#N/A</v>
      </c>
      <c r="O53" s="102" t="e">
        <f>Tableau6[[#This Row],[Cumul 2023]]-Tableau6[[#This Row],[Cumul 2022]]</f>
        <v>#N/A</v>
      </c>
      <c r="P53" s="104" t="e">
        <f>Tableau6[[#This Row],[Ecart 2022 2023]]/Tableau6[[#This Row],[Cumul 2022]]</f>
        <v>#N/A</v>
      </c>
      <c r="Q53" s="102" t="e">
        <f>MATCH(Tableau6[Jours Mois]&amp;"/"&amp;Tableau6[[#Headers],[2024]],tabSuiviConso[Jour Mois Année],0)</f>
        <v>#N/A</v>
      </c>
      <c r="R53" s="102" t="str">
        <f>IF(ISNA(Tableau6[[#This Row],[Position 2024]]),"",INDEX(tabSuiviConso[HP + HC
cumul],Tableau6[[#This Row],[Position 2024]],1))</f>
        <v/>
      </c>
      <c r="S53" s="123" t="e">
        <f>IF(ISNA(Tableau6[[#This Row],[Position 2024]]),Tableau6[[#This Row],[Position 2024]],Tableau6[[#This Row],[2024]]-R$2)</f>
        <v>#N/A</v>
      </c>
      <c r="T53" s="102" t="e">
        <f>Tableau6[[#This Row],[Cumul 2024]]-Tableau6[[#This Row],[Cumul 2023]]</f>
        <v>#N/A</v>
      </c>
      <c r="U53" s="103" t="e">
        <f>Tableau6[[#This Row],[Ecart 2023 2024]]/Tableau6[[#This Row],[Cumul 2023]]</f>
        <v>#N/A</v>
      </c>
    </row>
    <row r="54" spans="1:21" x14ac:dyDescent="0.2">
      <c r="A54" s="102">
        <v>2</v>
      </c>
      <c r="B54" s="102">
        <v>21</v>
      </c>
      <c r="C54" s="102" t="str">
        <f>Tableau6[Jour]&amp;"/"&amp;Tableau6[Mois]</f>
        <v>21/2</v>
      </c>
      <c r="D54" s="102" t="e">
        <f>MATCH(Tableau6[Jours Mois]&amp;"/"&amp;Tableau6[[#Headers],[2021]],tabSuiviConso[Jour Mois Année],0)</f>
        <v>#N/A</v>
      </c>
      <c r="E54" s="102" t="str">
        <f>IF(ISNA(Tableau6[[#This Row],[Position 2021]]),"",INDEX(tabSuiviConso[HP + HC
cumul],Tableau6[[#This Row],[Position 2021]],1))</f>
        <v/>
      </c>
      <c r="F54" s="123" t="e">
        <f>IF(ISNA(Tableau6[[#This Row],[Position 2021]]),Tableau6[[#This Row],[Position 2021]],Tableau6[[#This Row],[2021]]-E$2)</f>
        <v>#N/A</v>
      </c>
      <c r="G54" s="102" t="e">
        <f>MATCH(Tableau6[Jours Mois]&amp;"/"&amp;Tableau6[[#Headers],[2022]],tabSuiviConso[Jour Mois Année],0)</f>
        <v>#N/A</v>
      </c>
      <c r="H54" s="102" t="str">
        <f>IF(ISNA(Tableau6[[#This Row],[Position 2022]]),"",INDEX(tabSuiviConso[HP + HC
cumul],Tableau6[[#This Row],[Position 2022]],1))</f>
        <v/>
      </c>
      <c r="I54" s="123" t="e">
        <f>IF(ISNA(Tableau6[[#This Row],[Position 2022]]),Tableau6[[#This Row],[Position 2022]],Tableau6[[#This Row],[2022]]-H$2)</f>
        <v>#N/A</v>
      </c>
      <c r="J54" s="102" t="e">
        <f>MATCH(Tableau6[Jours Mois]&amp;"/"&amp;Tableau6[[#Headers],[2023]],tabSuiviConso[Jour Mois Année],0)</f>
        <v>#N/A</v>
      </c>
      <c r="K54" s="102" t="e">
        <f>Tableau6[[#This Row],[Cumul 2022]]-Tableau6[[#This Row],[Cumul 2021]]</f>
        <v>#N/A</v>
      </c>
      <c r="L54" s="104" t="e">
        <f>Tableau6[[#This Row],[Ecart 2021 2022]]/Tableau6[[#This Row],[Cumul 2021]]</f>
        <v>#N/A</v>
      </c>
      <c r="M54" s="102" t="str">
        <f>IF(ISNA(Tableau6[[#This Row],[Position 2023]]),"",INDEX(tabSuiviConso[HP + HC
cumul],Tableau6[[#This Row],[Position 2023]],1))</f>
        <v/>
      </c>
      <c r="N54" s="123" t="e">
        <f>IF(ISNA(Tableau6[[#This Row],[Position 2023]]),Tableau6[[#This Row],[Position 2023]],Tableau6[[#This Row],[2023]]-M$2)</f>
        <v>#N/A</v>
      </c>
      <c r="O54" s="102" t="e">
        <f>Tableau6[[#This Row],[Cumul 2023]]-Tableau6[[#This Row],[Cumul 2022]]</f>
        <v>#N/A</v>
      </c>
      <c r="P54" s="104" t="e">
        <f>Tableau6[[#This Row],[Ecart 2022 2023]]/Tableau6[[#This Row],[Cumul 2022]]</f>
        <v>#N/A</v>
      </c>
      <c r="Q54" s="102" t="e">
        <f>MATCH(Tableau6[Jours Mois]&amp;"/"&amp;Tableau6[[#Headers],[2024]],tabSuiviConso[Jour Mois Année],0)</f>
        <v>#N/A</v>
      </c>
      <c r="R54" s="102" t="str">
        <f>IF(ISNA(Tableau6[[#This Row],[Position 2024]]),"",INDEX(tabSuiviConso[HP + HC
cumul],Tableau6[[#This Row],[Position 2024]],1))</f>
        <v/>
      </c>
      <c r="S54" s="123" t="e">
        <f>IF(ISNA(Tableau6[[#This Row],[Position 2024]]),Tableau6[[#This Row],[Position 2024]],Tableau6[[#This Row],[2024]]-R$2)</f>
        <v>#N/A</v>
      </c>
      <c r="T54" s="102" t="e">
        <f>Tableau6[[#This Row],[Cumul 2024]]-Tableau6[[#This Row],[Cumul 2023]]</f>
        <v>#N/A</v>
      </c>
      <c r="U54" s="103" t="e">
        <f>Tableau6[[#This Row],[Ecart 2023 2024]]/Tableau6[[#This Row],[Cumul 2023]]</f>
        <v>#N/A</v>
      </c>
    </row>
    <row r="55" spans="1:21" x14ac:dyDescent="0.2">
      <c r="A55" s="102">
        <v>2</v>
      </c>
      <c r="B55" s="102">
        <v>22</v>
      </c>
      <c r="C55" s="102" t="str">
        <f>Tableau6[Jour]&amp;"/"&amp;Tableau6[Mois]</f>
        <v>22/2</v>
      </c>
      <c r="D55" s="102" t="e">
        <f>MATCH(Tableau6[Jours Mois]&amp;"/"&amp;Tableau6[[#Headers],[2021]],tabSuiviConso[Jour Mois Année],0)</f>
        <v>#N/A</v>
      </c>
      <c r="E55" s="102" t="str">
        <f>IF(ISNA(Tableau6[[#This Row],[Position 2021]]),"",INDEX(tabSuiviConso[HP + HC
cumul],Tableau6[[#This Row],[Position 2021]],1))</f>
        <v/>
      </c>
      <c r="F55" s="123" t="e">
        <f>IF(ISNA(Tableau6[[#This Row],[Position 2021]]),Tableau6[[#This Row],[Position 2021]],Tableau6[[#This Row],[2021]]-E$2)</f>
        <v>#N/A</v>
      </c>
      <c r="G55" s="102" t="e">
        <f>MATCH(Tableau6[Jours Mois]&amp;"/"&amp;Tableau6[[#Headers],[2022]],tabSuiviConso[Jour Mois Année],0)</f>
        <v>#N/A</v>
      </c>
      <c r="H55" s="102" t="str">
        <f>IF(ISNA(Tableau6[[#This Row],[Position 2022]]),"",INDEX(tabSuiviConso[HP + HC
cumul],Tableau6[[#This Row],[Position 2022]],1))</f>
        <v/>
      </c>
      <c r="I55" s="123" t="e">
        <f>IF(ISNA(Tableau6[[#This Row],[Position 2022]]),Tableau6[[#This Row],[Position 2022]],Tableau6[[#This Row],[2022]]-H$2)</f>
        <v>#N/A</v>
      </c>
      <c r="J55" s="102" t="e">
        <f>MATCH(Tableau6[Jours Mois]&amp;"/"&amp;Tableau6[[#Headers],[2023]],tabSuiviConso[Jour Mois Année],0)</f>
        <v>#N/A</v>
      </c>
      <c r="K55" s="102" t="e">
        <f>Tableau6[[#This Row],[Cumul 2022]]-Tableau6[[#This Row],[Cumul 2021]]</f>
        <v>#N/A</v>
      </c>
      <c r="L55" s="104" t="e">
        <f>Tableau6[[#This Row],[Ecart 2021 2022]]/Tableau6[[#This Row],[Cumul 2021]]</f>
        <v>#N/A</v>
      </c>
      <c r="M55" s="102" t="str">
        <f>IF(ISNA(Tableau6[[#This Row],[Position 2023]]),"",INDEX(tabSuiviConso[HP + HC
cumul],Tableau6[[#This Row],[Position 2023]],1))</f>
        <v/>
      </c>
      <c r="N55" s="123" t="e">
        <f>IF(ISNA(Tableau6[[#This Row],[Position 2023]]),Tableau6[[#This Row],[Position 2023]],Tableau6[[#This Row],[2023]]-M$2)</f>
        <v>#N/A</v>
      </c>
      <c r="O55" s="102" t="e">
        <f>Tableau6[[#This Row],[Cumul 2023]]-Tableau6[[#This Row],[Cumul 2022]]</f>
        <v>#N/A</v>
      </c>
      <c r="P55" s="104" t="e">
        <f>Tableau6[[#This Row],[Ecart 2022 2023]]/Tableau6[[#This Row],[Cumul 2022]]</f>
        <v>#N/A</v>
      </c>
      <c r="Q55" s="102" t="e">
        <f>MATCH(Tableau6[Jours Mois]&amp;"/"&amp;Tableau6[[#Headers],[2024]],tabSuiviConso[Jour Mois Année],0)</f>
        <v>#N/A</v>
      </c>
      <c r="R55" s="102" t="str">
        <f>IF(ISNA(Tableau6[[#This Row],[Position 2024]]),"",INDEX(tabSuiviConso[HP + HC
cumul],Tableau6[[#This Row],[Position 2024]],1))</f>
        <v/>
      </c>
      <c r="S55" s="123" t="e">
        <f>IF(ISNA(Tableau6[[#This Row],[Position 2024]]),Tableau6[[#This Row],[Position 2024]],Tableau6[[#This Row],[2024]]-R$2)</f>
        <v>#N/A</v>
      </c>
      <c r="T55" s="102" t="e">
        <f>Tableau6[[#This Row],[Cumul 2024]]-Tableau6[[#This Row],[Cumul 2023]]</f>
        <v>#N/A</v>
      </c>
      <c r="U55" s="103" t="e">
        <f>Tableau6[[#This Row],[Ecart 2023 2024]]/Tableau6[[#This Row],[Cumul 2023]]</f>
        <v>#N/A</v>
      </c>
    </row>
    <row r="56" spans="1:21" x14ac:dyDescent="0.2">
      <c r="A56" s="102">
        <v>2</v>
      </c>
      <c r="B56" s="102">
        <v>23</v>
      </c>
      <c r="C56" s="102" t="str">
        <f>Tableau6[Jour]&amp;"/"&amp;Tableau6[Mois]</f>
        <v>23/2</v>
      </c>
      <c r="D56" s="102" t="e">
        <f>MATCH(Tableau6[Jours Mois]&amp;"/"&amp;Tableau6[[#Headers],[2021]],tabSuiviConso[Jour Mois Année],0)</f>
        <v>#N/A</v>
      </c>
      <c r="E56" s="102" t="str">
        <f>IF(ISNA(Tableau6[[#This Row],[Position 2021]]),"",INDEX(tabSuiviConso[HP + HC
cumul],Tableau6[[#This Row],[Position 2021]],1))</f>
        <v/>
      </c>
      <c r="F56" s="123" t="e">
        <f>IF(ISNA(Tableau6[[#This Row],[Position 2021]]),Tableau6[[#This Row],[Position 2021]],Tableau6[[#This Row],[2021]]-E$2)</f>
        <v>#N/A</v>
      </c>
      <c r="G56" s="102" t="e">
        <f>MATCH(Tableau6[Jours Mois]&amp;"/"&amp;Tableau6[[#Headers],[2022]],tabSuiviConso[Jour Mois Année],0)</f>
        <v>#N/A</v>
      </c>
      <c r="H56" s="102" t="str">
        <f>IF(ISNA(Tableau6[[#This Row],[Position 2022]]),"",INDEX(tabSuiviConso[HP + HC
cumul],Tableau6[[#This Row],[Position 2022]],1))</f>
        <v/>
      </c>
      <c r="I56" s="123" t="e">
        <f>IF(ISNA(Tableau6[[#This Row],[Position 2022]]),Tableau6[[#This Row],[Position 2022]],Tableau6[[#This Row],[2022]]-H$2)</f>
        <v>#N/A</v>
      </c>
      <c r="J56" s="102" t="e">
        <f>MATCH(Tableau6[Jours Mois]&amp;"/"&amp;Tableau6[[#Headers],[2023]],tabSuiviConso[Jour Mois Année],0)</f>
        <v>#N/A</v>
      </c>
      <c r="K56" s="102" t="e">
        <f>Tableau6[[#This Row],[Cumul 2022]]-Tableau6[[#This Row],[Cumul 2021]]</f>
        <v>#N/A</v>
      </c>
      <c r="L56" s="104" t="e">
        <f>Tableau6[[#This Row],[Ecart 2021 2022]]/Tableau6[[#This Row],[Cumul 2021]]</f>
        <v>#N/A</v>
      </c>
      <c r="M56" s="102" t="str">
        <f>IF(ISNA(Tableau6[[#This Row],[Position 2023]]),"",INDEX(tabSuiviConso[HP + HC
cumul],Tableau6[[#This Row],[Position 2023]],1))</f>
        <v/>
      </c>
      <c r="N56" s="123" t="e">
        <f>IF(ISNA(Tableau6[[#This Row],[Position 2023]]),Tableau6[[#This Row],[Position 2023]],Tableau6[[#This Row],[2023]]-M$2)</f>
        <v>#N/A</v>
      </c>
      <c r="O56" s="102" t="e">
        <f>Tableau6[[#This Row],[Cumul 2023]]-Tableau6[[#This Row],[Cumul 2022]]</f>
        <v>#N/A</v>
      </c>
      <c r="P56" s="104" t="e">
        <f>Tableau6[[#This Row],[Ecart 2022 2023]]/Tableau6[[#This Row],[Cumul 2022]]</f>
        <v>#N/A</v>
      </c>
      <c r="Q56" s="102" t="e">
        <f>MATCH(Tableau6[Jours Mois]&amp;"/"&amp;Tableau6[[#Headers],[2024]],tabSuiviConso[Jour Mois Année],0)</f>
        <v>#N/A</v>
      </c>
      <c r="R56" s="102" t="str">
        <f>IF(ISNA(Tableau6[[#This Row],[Position 2024]]),"",INDEX(tabSuiviConso[HP + HC
cumul],Tableau6[[#This Row],[Position 2024]],1))</f>
        <v/>
      </c>
      <c r="S56" s="123" t="e">
        <f>IF(ISNA(Tableau6[[#This Row],[Position 2024]]),Tableau6[[#This Row],[Position 2024]],Tableau6[[#This Row],[2024]]-R$2)</f>
        <v>#N/A</v>
      </c>
      <c r="T56" s="102" t="e">
        <f>Tableau6[[#This Row],[Cumul 2024]]-Tableau6[[#This Row],[Cumul 2023]]</f>
        <v>#N/A</v>
      </c>
      <c r="U56" s="103" t="e">
        <f>Tableau6[[#This Row],[Ecart 2023 2024]]/Tableau6[[#This Row],[Cumul 2023]]</f>
        <v>#N/A</v>
      </c>
    </row>
    <row r="57" spans="1:21" x14ac:dyDescent="0.2">
      <c r="A57" s="102">
        <v>2</v>
      </c>
      <c r="B57" s="102">
        <v>24</v>
      </c>
      <c r="C57" s="102" t="str">
        <f>Tableau6[Jour]&amp;"/"&amp;Tableau6[Mois]</f>
        <v>24/2</v>
      </c>
      <c r="D57" s="102" t="e">
        <f>MATCH(Tableau6[Jours Mois]&amp;"/"&amp;Tableau6[[#Headers],[2021]],tabSuiviConso[Jour Mois Année],0)</f>
        <v>#N/A</v>
      </c>
      <c r="E57" s="102" t="str">
        <f>IF(ISNA(Tableau6[[#This Row],[Position 2021]]),"",INDEX(tabSuiviConso[HP + HC
cumul],Tableau6[[#This Row],[Position 2021]],1))</f>
        <v/>
      </c>
      <c r="F57" s="123" t="e">
        <f>IF(ISNA(Tableau6[[#This Row],[Position 2021]]),Tableau6[[#This Row],[Position 2021]],Tableau6[[#This Row],[2021]]-E$2)</f>
        <v>#N/A</v>
      </c>
      <c r="G57" s="102" t="e">
        <f>MATCH(Tableau6[Jours Mois]&amp;"/"&amp;Tableau6[[#Headers],[2022]],tabSuiviConso[Jour Mois Année],0)</f>
        <v>#N/A</v>
      </c>
      <c r="H57" s="102" t="str">
        <f>IF(ISNA(Tableau6[[#This Row],[Position 2022]]),"",INDEX(tabSuiviConso[HP + HC
cumul],Tableau6[[#This Row],[Position 2022]],1))</f>
        <v/>
      </c>
      <c r="I57" s="123" t="e">
        <f>IF(ISNA(Tableau6[[#This Row],[Position 2022]]),Tableau6[[#This Row],[Position 2022]],Tableau6[[#This Row],[2022]]-H$2)</f>
        <v>#N/A</v>
      </c>
      <c r="J57" s="102" t="e">
        <f>MATCH(Tableau6[Jours Mois]&amp;"/"&amp;Tableau6[[#Headers],[2023]],tabSuiviConso[Jour Mois Année],0)</f>
        <v>#N/A</v>
      </c>
      <c r="K57" s="102" t="e">
        <f>Tableau6[[#This Row],[Cumul 2022]]-Tableau6[[#This Row],[Cumul 2021]]</f>
        <v>#N/A</v>
      </c>
      <c r="L57" s="104" t="e">
        <f>Tableau6[[#This Row],[Ecart 2021 2022]]/Tableau6[[#This Row],[Cumul 2021]]</f>
        <v>#N/A</v>
      </c>
      <c r="M57" s="102" t="str">
        <f>IF(ISNA(Tableau6[[#This Row],[Position 2023]]),"",INDEX(tabSuiviConso[HP + HC
cumul],Tableau6[[#This Row],[Position 2023]],1))</f>
        <v/>
      </c>
      <c r="N57" s="123" t="e">
        <f>IF(ISNA(Tableau6[[#This Row],[Position 2023]]),Tableau6[[#This Row],[Position 2023]],Tableau6[[#This Row],[2023]]-M$2)</f>
        <v>#N/A</v>
      </c>
      <c r="O57" s="102" t="e">
        <f>Tableau6[[#This Row],[Cumul 2023]]-Tableau6[[#This Row],[Cumul 2022]]</f>
        <v>#N/A</v>
      </c>
      <c r="P57" s="104" t="e">
        <f>Tableau6[[#This Row],[Ecart 2022 2023]]/Tableau6[[#This Row],[Cumul 2022]]</f>
        <v>#N/A</v>
      </c>
      <c r="Q57" s="102" t="e">
        <f>MATCH(Tableau6[Jours Mois]&amp;"/"&amp;Tableau6[[#Headers],[2024]],tabSuiviConso[Jour Mois Année],0)</f>
        <v>#N/A</v>
      </c>
      <c r="R57" s="102" t="str">
        <f>IF(ISNA(Tableau6[[#This Row],[Position 2024]]),"",INDEX(tabSuiviConso[HP + HC
cumul],Tableau6[[#This Row],[Position 2024]],1))</f>
        <v/>
      </c>
      <c r="S57" s="123" t="e">
        <f>IF(ISNA(Tableau6[[#This Row],[Position 2024]]),Tableau6[[#This Row],[Position 2024]],Tableau6[[#This Row],[2024]]-R$2)</f>
        <v>#N/A</v>
      </c>
      <c r="T57" s="102" t="e">
        <f>Tableau6[[#This Row],[Cumul 2024]]-Tableau6[[#This Row],[Cumul 2023]]</f>
        <v>#N/A</v>
      </c>
      <c r="U57" s="103" t="e">
        <f>Tableau6[[#This Row],[Ecart 2023 2024]]/Tableau6[[#This Row],[Cumul 2023]]</f>
        <v>#N/A</v>
      </c>
    </row>
    <row r="58" spans="1:21" x14ac:dyDescent="0.2">
      <c r="A58" s="102">
        <v>2</v>
      </c>
      <c r="B58" s="102">
        <v>25</v>
      </c>
      <c r="C58" s="102" t="str">
        <f>Tableau6[Jour]&amp;"/"&amp;Tableau6[Mois]</f>
        <v>25/2</v>
      </c>
      <c r="D58" s="102" t="e">
        <f>MATCH(Tableau6[Jours Mois]&amp;"/"&amp;Tableau6[[#Headers],[2021]],tabSuiviConso[Jour Mois Année],0)</f>
        <v>#N/A</v>
      </c>
      <c r="E58" s="102" t="str">
        <f>IF(ISNA(Tableau6[[#This Row],[Position 2021]]),"",INDEX(tabSuiviConso[HP + HC
cumul],Tableau6[[#This Row],[Position 2021]],1))</f>
        <v/>
      </c>
      <c r="F58" s="123" t="e">
        <f>IF(ISNA(Tableau6[[#This Row],[Position 2021]]),Tableau6[[#This Row],[Position 2021]],Tableau6[[#This Row],[2021]]-E$2)</f>
        <v>#N/A</v>
      </c>
      <c r="G58" s="102" t="e">
        <f>MATCH(Tableau6[Jours Mois]&amp;"/"&amp;Tableau6[[#Headers],[2022]],tabSuiviConso[Jour Mois Année],0)</f>
        <v>#N/A</v>
      </c>
      <c r="H58" s="102" t="str">
        <f>IF(ISNA(Tableau6[[#This Row],[Position 2022]]),"",INDEX(tabSuiviConso[HP + HC
cumul],Tableau6[[#This Row],[Position 2022]],1))</f>
        <v/>
      </c>
      <c r="I58" s="123" t="e">
        <f>IF(ISNA(Tableau6[[#This Row],[Position 2022]]),Tableau6[[#This Row],[Position 2022]],Tableau6[[#This Row],[2022]]-H$2)</f>
        <v>#N/A</v>
      </c>
      <c r="J58" s="102" t="e">
        <f>MATCH(Tableau6[Jours Mois]&amp;"/"&amp;Tableau6[[#Headers],[2023]],tabSuiviConso[Jour Mois Année],0)</f>
        <v>#N/A</v>
      </c>
      <c r="K58" s="102" t="e">
        <f>Tableau6[[#This Row],[Cumul 2022]]-Tableau6[[#This Row],[Cumul 2021]]</f>
        <v>#N/A</v>
      </c>
      <c r="L58" s="104" t="e">
        <f>Tableau6[[#This Row],[Ecart 2021 2022]]/Tableau6[[#This Row],[Cumul 2021]]</f>
        <v>#N/A</v>
      </c>
      <c r="M58" s="102" t="str">
        <f>IF(ISNA(Tableau6[[#This Row],[Position 2023]]),"",INDEX(tabSuiviConso[HP + HC
cumul],Tableau6[[#This Row],[Position 2023]],1))</f>
        <v/>
      </c>
      <c r="N58" s="123" t="e">
        <f>IF(ISNA(Tableau6[[#This Row],[Position 2023]]),Tableau6[[#This Row],[Position 2023]],Tableau6[[#This Row],[2023]]-M$2)</f>
        <v>#N/A</v>
      </c>
      <c r="O58" s="102" t="e">
        <f>Tableau6[[#This Row],[Cumul 2023]]-Tableau6[[#This Row],[Cumul 2022]]</f>
        <v>#N/A</v>
      </c>
      <c r="P58" s="104" t="e">
        <f>Tableau6[[#This Row],[Ecart 2022 2023]]/Tableau6[[#This Row],[Cumul 2022]]</f>
        <v>#N/A</v>
      </c>
      <c r="Q58" s="102" t="e">
        <f>MATCH(Tableau6[Jours Mois]&amp;"/"&amp;Tableau6[[#Headers],[2024]],tabSuiviConso[Jour Mois Année],0)</f>
        <v>#N/A</v>
      </c>
      <c r="R58" s="102" t="str">
        <f>IF(ISNA(Tableau6[[#This Row],[Position 2024]]),"",INDEX(tabSuiviConso[HP + HC
cumul],Tableau6[[#This Row],[Position 2024]],1))</f>
        <v/>
      </c>
      <c r="S58" s="123" t="e">
        <f>IF(ISNA(Tableau6[[#This Row],[Position 2024]]),Tableau6[[#This Row],[Position 2024]],Tableau6[[#This Row],[2024]]-R$2)</f>
        <v>#N/A</v>
      </c>
      <c r="T58" s="102" t="e">
        <f>Tableau6[[#This Row],[Cumul 2024]]-Tableau6[[#This Row],[Cumul 2023]]</f>
        <v>#N/A</v>
      </c>
      <c r="U58" s="103" t="e">
        <f>Tableau6[[#This Row],[Ecart 2023 2024]]/Tableau6[[#This Row],[Cumul 2023]]</f>
        <v>#N/A</v>
      </c>
    </row>
    <row r="59" spans="1:21" x14ac:dyDescent="0.2">
      <c r="A59" s="102">
        <v>2</v>
      </c>
      <c r="B59" s="102">
        <v>26</v>
      </c>
      <c r="C59" s="102" t="str">
        <f>Tableau6[Jour]&amp;"/"&amp;Tableau6[Mois]</f>
        <v>26/2</v>
      </c>
      <c r="D59" s="102" t="e">
        <f>MATCH(Tableau6[Jours Mois]&amp;"/"&amp;Tableau6[[#Headers],[2021]],tabSuiviConso[Jour Mois Année],0)</f>
        <v>#N/A</v>
      </c>
      <c r="E59" s="102" t="str">
        <f>IF(ISNA(Tableau6[[#This Row],[Position 2021]]),"",INDEX(tabSuiviConso[HP + HC
cumul],Tableau6[[#This Row],[Position 2021]],1))</f>
        <v/>
      </c>
      <c r="F59" s="123" t="e">
        <f>IF(ISNA(Tableau6[[#This Row],[Position 2021]]),Tableau6[[#This Row],[Position 2021]],Tableau6[[#This Row],[2021]]-E$2)</f>
        <v>#N/A</v>
      </c>
      <c r="G59" s="102" t="e">
        <f>MATCH(Tableau6[Jours Mois]&amp;"/"&amp;Tableau6[[#Headers],[2022]],tabSuiviConso[Jour Mois Année],0)</f>
        <v>#N/A</v>
      </c>
      <c r="H59" s="102" t="str">
        <f>IF(ISNA(Tableau6[[#This Row],[Position 2022]]),"",INDEX(tabSuiviConso[HP + HC
cumul],Tableau6[[#This Row],[Position 2022]],1))</f>
        <v/>
      </c>
      <c r="I59" s="123" t="e">
        <f>IF(ISNA(Tableau6[[#This Row],[Position 2022]]),Tableau6[[#This Row],[Position 2022]],Tableau6[[#This Row],[2022]]-H$2)</f>
        <v>#N/A</v>
      </c>
      <c r="J59" s="102" t="e">
        <f>MATCH(Tableau6[Jours Mois]&amp;"/"&amp;Tableau6[[#Headers],[2023]],tabSuiviConso[Jour Mois Année],0)</f>
        <v>#N/A</v>
      </c>
      <c r="K59" s="102" t="e">
        <f>Tableau6[[#This Row],[Cumul 2022]]-Tableau6[[#This Row],[Cumul 2021]]</f>
        <v>#N/A</v>
      </c>
      <c r="L59" s="104" t="e">
        <f>Tableau6[[#This Row],[Ecart 2021 2022]]/Tableau6[[#This Row],[Cumul 2021]]</f>
        <v>#N/A</v>
      </c>
      <c r="M59" s="102" t="str">
        <f>IF(ISNA(Tableau6[[#This Row],[Position 2023]]),"",INDEX(tabSuiviConso[HP + HC
cumul],Tableau6[[#This Row],[Position 2023]],1))</f>
        <v/>
      </c>
      <c r="N59" s="123" t="e">
        <f>IF(ISNA(Tableau6[[#This Row],[Position 2023]]),Tableau6[[#This Row],[Position 2023]],Tableau6[[#This Row],[2023]]-M$2)</f>
        <v>#N/A</v>
      </c>
      <c r="O59" s="102" t="e">
        <f>Tableau6[[#This Row],[Cumul 2023]]-Tableau6[[#This Row],[Cumul 2022]]</f>
        <v>#N/A</v>
      </c>
      <c r="P59" s="104" t="e">
        <f>Tableau6[[#This Row],[Ecart 2022 2023]]/Tableau6[[#This Row],[Cumul 2022]]</f>
        <v>#N/A</v>
      </c>
      <c r="Q59" s="102" t="e">
        <f>MATCH(Tableau6[Jours Mois]&amp;"/"&amp;Tableau6[[#Headers],[2024]],tabSuiviConso[Jour Mois Année],0)</f>
        <v>#N/A</v>
      </c>
      <c r="R59" s="102" t="str">
        <f>IF(ISNA(Tableau6[[#This Row],[Position 2024]]),"",INDEX(tabSuiviConso[HP + HC
cumul],Tableau6[[#This Row],[Position 2024]],1))</f>
        <v/>
      </c>
      <c r="S59" s="123" t="e">
        <f>IF(ISNA(Tableau6[[#This Row],[Position 2024]]),Tableau6[[#This Row],[Position 2024]],Tableau6[[#This Row],[2024]]-R$2)</f>
        <v>#N/A</v>
      </c>
      <c r="T59" s="102" t="e">
        <f>Tableau6[[#This Row],[Cumul 2024]]-Tableau6[[#This Row],[Cumul 2023]]</f>
        <v>#N/A</v>
      </c>
      <c r="U59" s="103" t="e">
        <f>Tableau6[[#This Row],[Ecart 2023 2024]]/Tableau6[[#This Row],[Cumul 2023]]</f>
        <v>#N/A</v>
      </c>
    </row>
    <row r="60" spans="1:21" x14ac:dyDescent="0.2">
      <c r="A60" s="102">
        <v>2</v>
      </c>
      <c r="B60" s="102">
        <v>27</v>
      </c>
      <c r="C60" s="102" t="str">
        <f>Tableau6[Jour]&amp;"/"&amp;Tableau6[Mois]</f>
        <v>27/2</v>
      </c>
      <c r="D60" s="102" t="e">
        <f>MATCH(Tableau6[Jours Mois]&amp;"/"&amp;Tableau6[[#Headers],[2021]],tabSuiviConso[Jour Mois Année],0)</f>
        <v>#N/A</v>
      </c>
      <c r="E60" s="102" t="str">
        <f>IF(ISNA(Tableau6[[#This Row],[Position 2021]]),"",INDEX(tabSuiviConso[HP + HC
cumul],Tableau6[[#This Row],[Position 2021]],1))</f>
        <v/>
      </c>
      <c r="F60" s="123" t="e">
        <f>IF(ISNA(Tableau6[[#This Row],[Position 2021]]),Tableau6[[#This Row],[Position 2021]],Tableau6[[#This Row],[2021]]-E$2)</f>
        <v>#N/A</v>
      </c>
      <c r="G60" s="102" t="e">
        <f>MATCH(Tableau6[Jours Mois]&amp;"/"&amp;Tableau6[[#Headers],[2022]],tabSuiviConso[Jour Mois Année],0)</f>
        <v>#N/A</v>
      </c>
      <c r="H60" s="102" t="str">
        <f>IF(ISNA(Tableau6[[#This Row],[Position 2022]]),"",INDEX(tabSuiviConso[HP + HC
cumul],Tableau6[[#This Row],[Position 2022]],1))</f>
        <v/>
      </c>
      <c r="I60" s="123" t="e">
        <f>IF(ISNA(Tableau6[[#This Row],[Position 2022]]),Tableau6[[#This Row],[Position 2022]],Tableau6[[#This Row],[2022]]-H$2)</f>
        <v>#N/A</v>
      </c>
      <c r="J60" s="102" t="e">
        <f>MATCH(Tableau6[Jours Mois]&amp;"/"&amp;Tableau6[[#Headers],[2023]],tabSuiviConso[Jour Mois Année],0)</f>
        <v>#N/A</v>
      </c>
      <c r="K60" s="102" t="e">
        <f>Tableau6[[#This Row],[Cumul 2022]]-Tableau6[[#This Row],[Cumul 2021]]</f>
        <v>#N/A</v>
      </c>
      <c r="L60" s="104" t="e">
        <f>Tableau6[[#This Row],[Ecart 2021 2022]]/Tableau6[[#This Row],[Cumul 2021]]</f>
        <v>#N/A</v>
      </c>
      <c r="M60" s="102" t="str">
        <f>IF(ISNA(Tableau6[[#This Row],[Position 2023]]),"",INDEX(tabSuiviConso[HP + HC
cumul],Tableau6[[#This Row],[Position 2023]],1))</f>
        <v/>
      </c>
      <c r="N60" s="123" t="e">
        <f>IF(ISNA(Tableau6[[#This Row],[Position 2023]]),Tableau6[[#This Row],[Position 2023]],Tableau6[[#This Row],[2023]]-M$2)</f>
        <v>#N/A</v>
      </c>
      <c r="O60" s="102" t="e">
        <f>Tableau6[[#This Row],[Cumul 2023]]-Tableau6[[#This Row],[Cumul 2022]]</f>
        <v>#N/A</v>
      </c>
      <c r="P60" s="104" t="e">
        <f>Tableau6[[#This Row],[Ecart 2022 2023]]/Tableau6[[#This Row],[Cumul 2022]]</f>
        <v>#N/A</v>
      </c>
      <c r="Q60" s="102" t="e">
        <f>MATCH(Tableau6[Jours Mois]&amp;"/"&amp;Tableau6[[#Headers],[2024]],tabSuiviConso[Jour Mois Année],0)</f>
        <v>#N/A</v>
      </c>
      <c r="R60" s="102" t="str">
        <f>IF(ISNA(Tableau6[[#This Row],[Position 2024]]),"",INDEX(tabSuiviConso[HP + HC
cumul],Tableau6[[#This Row],[Position 2024]],1))</f>
        <v/>
      </c>
      <c r="S60" s="123" t="e">
        <f>IF(ISNA(Tableau6[[#This Row],[Position 2024]]),Tableau6[[#This Row],[Position 2024]],Tableau6[[#This Row],[2024]]-R$2)</f>
        <v>#N/A</v>
      </c>
      <c r="T60" s="102" t="e">
        <f>Tableau6[[#This Row],[Cumul 2024]]-Tableau6[[#This Row],[Cumul 2023]]</f>
        <v>#N/A</v>
      </c>
      <c r="U60" s="103" t="e">
        <f>Tableau6[[#This Row],[Ecart 2023 2024]]/Tableau6[[#This Row],[Cumul 2023]]</f>
        <v>#N/A</v>
      </c>
    </row>
    <row r="61" spans="1:21" x14ac:dyDescent="0.2">
      <c r="A61" s="102">
        <v>2</v>
      </c>
      <c r="B61" s="102">
        <v>28</v>
      </c>
      <c r="C61" s="102" t="str">
        <f>Tableau6[Jour]&amp;"/"&amp;Tableau6[Mois]</f>
        <v>28/2</v>
      </c>
      <c r="D61" s="102" t="e">
        <f>MATCH(Tableau6[Jours Mois]&amp;"/"&amp;Tableau6[[#Headers],[2021]],tabSuiviConso[Jour Mois Année],0)</f>
        <v>#N/A</v>
      </c>
      <c r="E61" s="102" t="str">
        <f>IF(ISNA(Tableau6[[#This Row],[Position 2021]]),"",INDEX(tabSuiviConso[HP + HC
cumul],Tableau6[[#This Row],[Position 2021]],1))</f>
        <v/>
      </c>
      <c r="F61" s="123" t="e">
        <f>IF(ISNA(Tableau6[[#This Row],[Position 2021]]),Tableau6[[#This Row],[Position 2021]],Tableau6[[#This Row],[2021]]-E$2)</f>
        <v>#N/A</v>
      </c>
      <c r="G61" s="102" t="e">
        <f>MATCH(Tableau6[Jours Mois]&amp;"/"&amp;Tableau6[[#Headers],[2022]],tabSuiviConso[Jour Mois Année],0)</f>
        <v>#N/A</v>
      </c>
      <c r="H61" s="102" t="str">
        <f>IF(ISNA(Tableau6[[#This Row],[Position 2022]]),"",INDEX(tabSuiviConso[HP + HC
cumul],Tableau6[[#This Row],[Position 2022]],1))</f>
        <v/>
      </c>
      <c r="I61" s="123" t="e">
        <f>IF(ISNA(Tableau6[[#This Row],[Position 2022]]),Tableau6[[#This Row],[Position 2022]],Tableau6[[#This Row],[2022]]-H$2)</f>
        <v>#N/A</v>
      </c>
      <c r="J61" s="102" t="e">
        <f>MATCH(Tableau6[Jours Mois]&amp;"/"&amp;Tableau6[[#Headers],[2023]],tabSuiviConso[Jour Mois Année],0)</f>
        <v>#N/A</v>
      </c>
      <c r="K61" s="102" t="e">
        <f>Tableau6[[#This Row],[Cumul 2022]]-Tableau6[[#This Row],[Cumul 2021]]</f>
        <v>#N/A</v>
      </c>
      <c r="L61" s="104" t="e">
        <f>Tableau6[[#This Row],[Ecart 2021 2022]]/Tableau6[[#This Row],[Cumul 2021]]</f>
        <v>#N/A</v>
      </c>
      <c r="M61" s="102" t="str">
        <f>IF(ISNA(Tableau6[[#This Row],[Position 2023]]),"",INDEX(tabSuiviConso[HP + HC
cumul],Tableau6[[#This Row],[Position 2023]],1))</f>
        <v/>
      </c>
      <c r="N61" s="123" t="e">
        <f>IF(ISNA(Tableau6[[#This Row],[Position 2023]]),Tableau6[[#This Row],[Position 2023]],Tableau6[[#This Row],[2023]]-M$2)</f>
        <v>#N/A</v>
      </c>
      <c r="O61" s="102" t="e">
        <f>Tableau6[[#This Row],[Cumul 2023]]-Tableau6[[#This Row],[Cumul 2022]]</f>
        <v>#N/A</v>
      </c>
      <c r="P61" s="104" t="e">
        <f>Tableau6[[#This Row],[Ecart 2022 2023]]/Tableau6[[#This Row],[Cumul 2022]]</f>
        <v>#N/A</v>
      </c>
      <c r="Q61" s="102" t="e">
        <f>MATCH(Tableau6[Jours Mois]&amp;"/"&amp;Tableau6[[#Headers],[2024]],tabSuiviConso[Jour Mois Année],0)</f>
        <v>#N/A</v>
      </c>
      <c r="R61" s="102" t="str">
        <f>IF(ISNA(Tableau6[[#This Row],[Position 2024]]),"",INDEX(tabSuiviConso[HP + HC
cumul],Tableau6[[#This Row],[Position 2024]],1))</f>
        <v/>
      </c>
      <c r="S61" s="123" t="e">
        <f>IF(ISNA(Tableau6[[#This Row],[Position 2024]]),Tableau6[[#This Row],[Position 2024]],Tableau6[[#This Row],[2024]]-R$2)</f>
        <v>#N/A</v>
      </c>
      <c r="T61" s="102" t="e">
        <f>Tableau6[[#This Row],[Cumul 2024]]-Tableau6[[#This Row],[Cumul 2023]]</f>
        <v>#N/A</v>
      </c>
      <c r="U61" s="103" t="e">
        <f>Tableau6[[#This Row],[Ecart 2023 2024]]/Tableau6[[#This Row],[Cumul 2023]]</f>
        <v>#N/A</v>
      </c>
    </row>
    <row r="62" spans="1:21" x14ac:dyDescent="0.2">
      <c r="A62" s="102">
        <v>2</v>
      </c>
      <c r="B62" s="102">
        <v>29</v>
      </c>
      <c r="C62" s="102" t="str">
        <f>Tableau6[Jour]&amp;"/"&amp;Tableau6[Mois]</f>
        <v>29/2</v>
      </c>
      <c r="D62" s="102" t="e">
        <f>MATCH(Tableau6[Jours Mois]&amp;"/"&amp;Tableau6[[#Headers],[2021]],tabSuiviConso[Jour Mois Année],0)</f>
        <v>#N/A</v>
      </c>
      <c r="E62" s="102" t="str">
        <f>IF(ISNA(Tableau6[[#This Row],[Position 2021]]),"",INDEX(tabSuiviConso[HP + HC
cumul],Tableau6[[#This Row],[Position 2021]],1))</f>
        <v/>
      </c>
      <c r="F62" s="123" t="e">
        <f>IF(ISNA(Tableau6[[#This Row],[Position 2021]]),Tableau6[[#This Row],[Position 2021]],Tableau6[[#This Row],[2021]]-E$2)</f>
        <v>#N/A</v>
      </c>
      <c r="G62" s="102" t="e">
        <f>MATCH(Tableau6[Jours Mois]&amp;"/"&amp;Tableau6[[#Headers],[2022]],tabSuiviConso[Jour Mois Année],0)</f>
        <v>#N/A</v>
      </c>
      <c r="H62" s="102" t="str">
        <f>IF(ISNA(Tableau6[[#This Row],[Position 2022]]),"",INDEX(tabSuiviConso[HP + HC
cumul],Tableau6[[#This Row],[Position 2022]],1))</f>
        <v/>
      </c>
      <c r="I62" s="123" t="e">
        <f>IF(ISNA(Tableau6[[#This Row],[Position 2022]]),Tableau6[[#This Row],[Position 2022]],Tableau6[[#This Row],[2022]]-H$2)</f>
        <v>#N/A</v>
      </c>
      <c r="J62" s="102" t="e">
        <f>MATCH(Tableau6[Jours Mois]&amp;"/"&amp;Tableau6[[#Headers],[2023]],tabSuiviConso[Jour Mois Année],0)</f>
        <v>#N/A</v>
      </c>
      <c r="K62" s="102" t="e">
        <f>Tableau6[[#This Row],[Cumul 2022]]-Tableau6[[#This Row],[Cumul 2021]]</f>
        <v>#N/A</v>
      </c>
      <c r="L62" s="104" t="e">
        <f>Tableau6[[#This Row],[Ecart 2021 2022]]/Tableau6[[#This Row],[Cumul 2021]]</f>
        <v>#N/A</v>
      </c>
      <c r="M62" s="102" t="str">
        <f>IF(ISNA(Tableau6[[#This Row],[Position 2023]]),"",INDEX(tabSuiviConso[HP + HC
cumul],Tableau6[[#This Row],[Position 2023]],1))</f>
        <v/>
      </c>
      <c r="N62" s="123" t="e">
        <f>IF(ISNA(Tableau6[[#This Row],[Position 2023]]),Tableau6[[#This Row],[Position 2023]],Tableau6[[#This Row],[2023]]-M$2)</f>
        <v>#N/A</v>
      </c>
      <c r="O62" s="102" t="e">
        <f>Tableau6[[#This Row],[Cumul 2023]]-Tableau6[[#This Row],[Cumul 2022]]</f>
        <v>#N/A</v>
      </c>
      <c r="P62" s="104" t="e">
        <f>Tableau6[[#This Row],[Ecart 2022 2023]]/Tableau6[[#This Row],[Cumul 2022]]</f>
        <v>#N/A</v>
      </c>
      <c r="Q62" s="102" t="e">
        <f>MATCH(Tableau6[Jours Mois]&amp;"/"&amp;Tableau6[[#Headers],[2024]],tabSuiviConso[Jour Mois Année],0)</f>
        <v>#N/A</v>
      </c>
      <c r="R62" s="102" t="str">
        <f>IF(ISNA(Tableau6[[#This Row],[Position 2024]]),"",INDEX(tabSuiviConso[HP + HC
cumul],Tableau6[[#This Row],[Position 2024]],1))</f>
        <v/>
      </c>
      <c r="S62" s="123" t="e">
        <f>IF(ISNA(Tableau6[[#This Row],[Position 2024]]),Tableau6[[#This Row],[Position 2024]],Tableau6[[#This Row],[2024]]-R$2)</f>
        <v>#N/A</v>
      </c>
      <c r="T62" s="102" t="e">
        <f>Tableau6[[#This Row],[Cumul 2024]]-Tableau6[[#This Row],[Cumul 2023]]</f>
        <v>#N/A</v>
      </c>
      <c r="U62" s="103" t="e">
        <f>Tableau6[[#This Row],[Ecart 2023 2024]]/Tableau6[[#This Row],[Cumul 2023]]</f>
        <v>#N/A</v>
      </c>
    </row>
    <row r="63" spans="1:21" x14ac:dyDescent="0.2">
      <c r="A63" s="102">
        <v>3</v>
      </c>
      <c r="B63" s="102">
        <v>1</v>
      </c>
      <c r="C63" s="102" t="str">
        <f>Tableau6[Jour]&amp;"/"&amp;Tableau6[Mois]</f>
        <v>1/3</v>
      </c>
      <c r="D63" s="102" t="e">
        <f>MATCH(Tableau6[Jours Mois]&amp;"/"&amp;Tableau6[[#Headers],[2021]],tabSuiviConso[Jour Mois Année],0)</f>
        <v>#N/A</v>
      </c>
      <c r="E63" s="102" t="str">
        <f>IF(ISNA(Tableau6[[#This Row],[Position 2021]]),"",INDEX(tabSuiviConso[HP + HC
cumul],Tableau6[[#This Row],[Position 2021]],1))</f>
        <v/>
      </c>
      <c r="F63" s="123" t="e">
        <f>IF(ISNA(Tableau6[[#This Row],[Position 2021]]),Tableau6[[#This Row],[Position 2021]],Tableau6[[#This Row],[2021]]-E$2)</f>
        <v>#N/A</v>
      </c>
      <c r="G63" s="102" t="e">
        <f>MATCH(Tableau6[Jours Mois]&amp;"/"&amp;Tableau6[[#Headers],[2022]],tabSuiviConso[Jour Mois Année],0)</f>
        <v>#N/A</v>
      </c>
      <c r="H63" s="102" t="str">
        <f>IF(ISNA(Tableau6[[#This Row],[Position 2022]]),"",INDEX(tabSuiviConso[HP + HC
cumul],Tableau6[[#This Row],[Position 2022]],1))</f>
        <v/>
      </c>
      <c r="I63" s="123" t="e">
        <f>IF(ISNA(Tableau6[[#This Row],[Position 2022]]),Tableau6[[#This Row],[Position 2022]],Tableau6[[#This Row],[2022]]-H$2)</f>
        <v>#N/A</v>
      </c>
      <c r="J63" s="102" t="e">
        <f>MATCH(Tableau6[Jours Mois]&amp;"/"&amp;Tableau6[[#Headers],[2023]],tabSuiviConso[Jour Mois Année],0)</f>
        <v>#N/A</v>
      </c>
      <c r="K63" s="102" t="e">
        <f>Tableau6[[#This Row],[Cumul 2022]]-Tableau6[[#This Row],[Cumul 2021]]</f>
        <v>#N/A</v>
      </c>
      <c r="L63" s="104" t="e">
        <f>Tableau6[[#This Row],[Ecart 2021 2022]]/Tableau6[[#This Row],[Cumul 2021]]</f>
        <v>#N/A</v>
      </c>
      <c r="M63" s="102" t="str">
        <f>IF(ISNA(Tableau6[[#This Row],[Position 2023]]),"",INDEX(tabSuiviConso[HP + HC
cumul],Tableau6[[#This Row],[Position 2023]],1))</f>
        <v/>
      </c>
      <c r="N63" s="123" t="e">
        <f>IF(ISNA(Tableau6[[#This Row],[Position 2023]]),Tableau6[[#This Row],[Position 2023]],Tableau6[[#This Row],[2023]]-M$2)</f>
        <v>#N/A</v>
      </c>
      <c r="O63" s="102" t="e">
        <f>Tableau6[[#This Row],[Cumul 2023]]-Tableau6[[#This Row],[Cumul 2022]]</f>
        <v>#N/A</v>
      </c>
      <c r="P63" s="104" t="e">
        <f>Tableau6[[#This Row],[Ecart 2022 2023]]/Tableau6[[#This Row],[Cumul 2022]]</f>
        <v>#N/A</v>
      </c>
      <c r="Q63" s="102" t="e">
        <f>MATCH(Tableau6[Jours Mois]&amp;"/"&amp;Tableau6[[#Headers],[2024]],tabSuiviConso[Jour Mois Année],0)</f>
        <v>#N/A</v>
      </c>
      <c r="R63" s="102" t="str">
        <f>IF(ISNA(Tableau6[[#This Row],[Position 2024]]),"",INDEX(tabSuiviConso[HP + HC
cumul],Tableau6[[#This Row],[Position 2024]],1))</f>
        <v/>
      </c>
      <c r="S63" s="123" t="e">
        <f>IF(ISNA(Tableau6[[#This Row],[Position 2024]]),Tableau6[[#This Row],[Position 2024]],Tableau6[[#This Row],[2024]]-R$2)</f>
        <v>#N/A</v>
      </c>
      <c r="T63" s="102" t="e">
        <f>Tableau6[[#This Row],[Cumul 2024]]-Tableau6[[#This Row],[Cumul 2023]]</f>
        <v>#N/A</v>
      </c>
      <c r="U63" s="103" t="e">
        <f>Tableau6[[#This Row],[Ecart 2023 2024]]/Tableau6[[#This Row],[Cumul 2023]]</f>
        <v>#N/A</v>
      </c>
    </row>
    <row r="64" spans="1:21" x14ac:dyDescent="0.2">
      <c r="A64" s="102">
        <v>3</v>
      </c>
      <c r="B64" s="102">
        <v>2</v>
      </c>
      <c r="C64" s="102" t="str">
        <f>Tableau6[Jour]&amp;"/"&amp;Tableau6[Mois]</f>
        <v>2/3</v>
      </c>
      <c r="D64" s="102" t="e">
        <f>MATCH(Tableau6[Jours Mois]&amp;"/"&amp;Tableau6[[#Headers],[2021]],tabSuiviConso[Jour Mois Année],0)</f>
        <v>#N/A</v>
      </c>
      <c r="E64" s="102" t="str">
        <f>IF(ISNA(Tableau6[[#This Row],[Position 2021]]),"",INDEX(tabSuiviConso[HP + HC
cumul],Tableau6[[#This Row],[Position 2021]],1))</f>
        <v/>
      </c>
      <c r="F64" s="123" t="e">
        <f>IF(ISNA(Tableau6[[#This Row],[Position 2021]]),Tableau6[[#This Row],[Position 2021]],Tableau6[[#This Row],[2021]]-E$2)</f>
        <v>#N/A</v>
      </c>
      <c r="G64" s="102" t="e">
        <f>MATCH(Tableau6[Jours Mois]&amp;"/"&amp;Tableau6[[#Headers],[2022]],tabSuiviConso[Jour Mois Année],0)</f>
        <v>#N/A</v>
      </c>
      <c r="H64" s="102" t="str">
        <f>IF(ISNA(Tableau6[[#This Row],[Position 2022]]),"",INDEX(tabSuiviConso[HP + HC
cumul],Tableau6[[#This Row],[Position 2022]],1))</f>
        <v/>
      </c>
      <c r="I64" s="123" t="e">
        <f>IF(ISNA(Tableau6[[#This Row],[Position 2022]]),Tableau6[[#This Row],[Position 2022]],Tableau6[[#This Row],[2022]]-H$2)</f>
        <v>#N/A</v>
      </c>
      <c r="J64" s="102" t="e">
        <f>MATCH(Tableau6[Jours Mois]&amp;"/"&amp;Tableau6[[#Headers],[2023]],tabSuiviConso[Jour Mois Année],0)</f>
        <v>#N/A</v>
      </c>
      <c r="K64" s="102" t="e">
        <f>Tableau6[[#This Row],[Cumul 2022]]-Tableau6[[#This Row],[Cumul 2021]]</f>
        <v>#N/A</v>
      </c>
      <c r="L64" s="104" t="e">
        <f>Tableau6[[#This Row],[Ecart 2021 2022]]/Tableau6[[#This Row],[Cumul 2021]]</f>
        <v>#N/A</v>
      </c>
      <c r="M64" s="102" t="str">
        <f>IF(ISNA(Tableau6[[#This Row],[Position 2023]]),"",INDEX(tabSuiviConso[HP + HC
cumul],Tableau6[[#This Row],[Position 2023]],1))</f>
        <v/>
      </c>
      <c r="N64" s="123" t="e">
        <f>IF(ISNA(Tableau6[[#This Row],[Position 2023]]),Tableau6[[#This Row],[Position 2023]],Tableau6[[#This Row],[2023]]-M$2)</f>
        <v>#N/A</v>
      </c>
      <c r="O64" s="102" t="e">
        <f>Tableau6[[#This Row],[Cumul 2023]]-Tableau6[[#This Row],[Cumul 2022]]</f>
        <v>#N/A</v>
      </c>
      <c r="P64" s="104" t="e">
        <f>Tableau6[[#This Row],[Ecart 2022 2023]]/Tableau6[[#This Row],[Cumul 2022]]</f>
        <v>#N/A</v>
      </c>
      <c r="Q64" s="102" t="e">
        <f>MATCH(Tableau6[Jours Mois]&amp;"/"&amp;Tableau6[[#Headers],[2024]],tabSuiviConso[Jour Mois Année],0)</f>
        <v>#N/A</v>
      </c>
      <c r="R64" s="102" t="str">
        <f>IF(ISNA(Tableau6[[#This Row],[Position 2024]]),"",INDEX(tabSuiviConso[HP + HC
cumul],Tableau6[[#This Row],[Position 2024]],1))</f>
        <v/>
      </c>
      <c r="S64" s="123" t="e">
        <f>IF(ISNA(Tableau6[[#This Row],[Position 2024]]),Tableau6[[#This Row],[Position 2024]],Tableau6[[#This Row],[2024]]-R$2)</f>
        <v>#N/A</v>
      </c>
      <c r="T64" s="102" t="e">
        <f>Tableau6[[#This Row],[Cumul 2024]]-Tableau6[[#This Row],[Cumul 2023]]</f>
        <v>#N/A</v>
      </c>
      <c r="U64" s="103" t="e">
        <f>Tableau6[[#This Row],[Ecart 2023 2024]]/Tableau6[[#This Row],[Cumul 2023]]</f>
        <v>#N/A</v>
      </c>
    </row>
    <row r="65" spans="1:21" x14ac:dyDescent="0.2">
      <c r="A65" s="102">
        <v>3</v>
      </c>
      <c r="B65" s="102">
        <v>3</v>
      </c>
      <c r="C65" s="102" t="str">
        <f>Tableau6[Jour]&amp;"/"&amp;Tableau6[Mois]</f>
        <v>3/3</v>
      </c>
      <c r="D65" s="102" t="e">
        <f>MATCH(Tableau6[Jours Mois]&amp;"/"&amp;Tableau6[[#Headers],[2021]],tabSuiviConso[Jour Mois Année],0)</f>
        <v>#N/A</v>
      </c>
      <c r="E65" s="102" t="str">
        <f>IF(ISNA(Tableau6[[#This Row],[Position 2021]]),"",INDEX(tabSuiviConso[HP + HC
cumul],Tableau6[[#This Row],[Position 2021]],1))</f>
        <v/>
      </c>
      <c r="F65" s="123" t="e">
        <f>IF(ISNA(Tableau6[[#This Row],[Position 2021]]),Tableau6[[#This Row],[Position 2021]],Tableau6[[#This Row],[2021]]-E$2)</f>
        <v>#N/A</v>
      </c>
      <c r="G65" s="102" t="e">
        <f>MATCH(Tableau6[Jours Mois]&amp;"/"&amp;Tableau6[[#Headers],[2022]],tabSuiviConso[Jour Mois Année],0)</f>
        <v>#N/A</v>
      </c>
      <c r="H65" s="102" t="str">
        <f>IF(ISNA(Tableau6[[#This Row],[Position 2022]]),"",INDEX(tabSuiviConso[HP + HC
cumul],Tableau6[[#This Row],[Position 2022]],1))</f>
        <v/>
      </c>
      <c r="I65" s="123" t="e">
        <f>IF(ISNA(Tableau6[[#This Row],[Position 2022]]),Tableau6[[#This Row],[Position 2022]],Tableau6[[#This Row],[2022]]-H$2)</f>
        <v>#N/A</v>
      </c>
      <c r="J65" s="102" t="e">
        <f>MATCH(Tableau6[Jours Mois]&amp;"/"&amp;Tableau6[[#Headers],[2023]],tabSuiviConso[Jour Mois Année],0)</f>
        <v>#N/A</v>
      </c>
      <c r="K65" s="102" t="e">
        <f>Tableau6[[#This Row],[Cumul 2022]]-Tableau6[[#This Row],[Cumul 2021]]</f>
        <v>#N/A</v>
      </c>
      <c r="L65" s="104" t="e">
        <f>Tableau6[[#This Row],[Ecart 2021 2022]]/Tableau6[[#This Row],[Cumul 2021]]</f>
        <v>#N/A</v>
      </c>
      <c r="M65" s="102" t="str">
        <f>IF(ISNA(Tableau6[[#This Row],[Position 2023]]),"",INDEX(tabSuiviConso[HP + HC
cumul],Tableau6[[#This Row],[Position 2023]],1))</f>
        <v/>
      </c>
      <c r="N65" s="123" t="e">
        <f>IF(ISNA(Tableau6[[#This Row],[Position 2023]]),Tableau6[[#This Row],[Position 2023]],Tableau6[[#This Row],[2023]]-M$2)</f>
        <v>#N/A</v>
      </c>
      <c r="O65" s="102" t="e">
        <f>Tableau6[[#This Row],[Cumul 2023]]-Tableau6[[#This Row],[Cumul 2022]]</f>
        <v>#N/A</v>
      </c>
      <c r="P65" s="104" t="e">
        <f>Tableau6[[#This Row],[Ecart 2022 2023]]/Tableau6[[#This Row],[Cumul 2022]]</f>
        <v>#N/A</v>
      </c>
      <c r="Q65" s="102" t="e">
        <f>MATCH(Tableau6[Jours Mois]&amp;"/"&amp;Tableau6[[#Headers],[2024]],tabSuiviConso[Jour Mois Année],0)</f>
        <v>#N/A</v>
      </c>
      <c r="R65" s="102" t="str">
        <f>IF(ISNA(Tableau6[[#This Row],[Position 2024]]),"",INDEX(tabSuiviConso[HP + HC
cumul],Tableau6[[#This Row],[Position 2024]],1))</f>
        <v/>
      </c>
      <c r="S65" s="123" t="e">
        <f>IF(ISNA(Tableau6[[#This Row],[Position 2024]]),Tableau6[[#This Row],[Position 2024]],Tableau6[[#This Row],[2024]]-R$2)</f>
        <v>#N/A</v>
      </c>
      <c r="T65" s="102" t="e">
        <f>Tableau6[[#This Row],[Cumul 2024]]-Tableau6[[#This Row],[Cumul 2023]]</f>
        <v>#N/A</v>
      </c>
      <c r="U65" s="103" t="e">
        <f>Tableau6[[#This Row],[Ecart 2023 2024]]/Tableau6[[#This Row],[Cumul 2023]]</f>
        <v>#N/A</v>
      </c>
    </row>
    <row r="66" spans="1:21" x14ac:dyDescent="0.2">
      <c r="A66" s="102">
        <v>3</v>
      </c>
      <c r="B66" s="102">
        <v>4</v>
      </c>
      <c r="C66" s="102" t="str">
        <f>Tableau6[Jour]&amp;"/"&amp;Tableau6[Mois]</f>
        <v>4/3</v>
      </c>
      <c r="D66" s="102" t="e">
        <f>MATCH(Tableau6[Jours Mois]&amp;"/"&amp;Tableau6[[#Headers],[2021]],tabSuiviConso[Jour Mois Année],0)</f>
        <v>#N/A</v>
      </c>
      <c r="E66" s="102" t="str">
        <f>IF(ISNA(Tableau6[[#This Row],[Position 2021]]),"",INDEX(tabSuiviConso[HP + HC
cumul],Tableau6[[#This Row],[Position 2021]],1))</f>
        <v/>
      </c>
      <c r="F66" s="123" t="e">
        <f>IF(ISNA(Tableau6[[#This Row],[Position 2021]]),Tableau6[[#This Row],[Position 2021]],Tableau6[[#This Row],[2021]]-E$2)</f>
        <v>#N/A</v>
      </c>
      <c r="G66" s="102" t="e">
        <f>MATCH(Tableau6[Jours Mois]&amp;"/"&amp;Tableau6[[#Headers],[2022]],tabSuiviConso[Jour Mois Année],0)</f>
        <v>#N/A</v>
      </c>
      <c r="H66" s="102" t="str">
        <f>IF(ISNA(Tableau6[[#This Row],[Position 2022]]),"",INDEX(tabSuiviConso[HP + HC
cumul],Tableau6[[#This Row],[Position 2022]],1))</f>
        <v/>
      </c>
      <c r="I66" s="123" t="e">
        <f>IF(ISNA(Tableau6[[#This Row],[Position 2022]]),Tableau6[[#This Row],[Position 2022]],Tableau6[[#This Row],[2022]]-H$2)</f>
        <v>#N/A</v>
      </c>
      <c r="J66" s="102" t="e">
        <f>MATCH(Tableau6[Jours Mois]&amp;"/"&amp;Tableau6[[#Headers],[2023]],tabSuiviConso[Jour Mois Année],0)</f>
        <v>#N/A</v>
      </c>
      <c r="K66" s="102" t="e">
        <f>Tableau6[[#This Row],[Cumul 2022]]-Tableau6[[#This Row],[Cumul 2021]]</f>
        <v>#N/A</v>
      </c>
      <c r="L66" s="104" t="e">
        <f>Tableau6[[#This Row],[Ecart 2021 2022]]/Tableau6[[#This Row],[Cumul 2021]]</f>
        <v>#N/A</v>
      </c>
      <c r="M66" s="102" t="str">
        <f>IF(ISNA(Tableau6[[#This Row],[Position 2023]]),"",INDEX(tabSuiviConso[HP + HC
cumul],Tableau6[[#This Row],[Position 2023]],1))</f>
        <v/>
      </c>
      <c r="N66" s="123" t="e">
        <f>IF(ISNA(Tableau6[[#This Row],[Position 2023]]),Tableau6[[#This Row],[Position 2023]],Tableau6[[#This Row],[2023]]-M$2)</f>
        <v>#N/A</v>
      </c>
      <c r="O66" s="102" t="e">
        <f>Tableau6[[#This Row],[Cumul 2023]]-Tableau6[[#This Row],[Cumul 2022]]</f>
        <v>#N/A</v>
      </c>
      <c r="P66" s="104" t="e">
        <f>Tableau6[[#This Row],[Ecart 2022 2023]]/Tableau6[[#This Row],[Cumul 2022]]</f>
        <v>#N/A</v>
      </c>
      <c r="Q66" s="102" t="e">
        <f>MATCH(Tableau6[Jours Mois]&amp;"/"&amp;Tableau6[[#Headers],[2024]],tabSuiviConso[Jour Mois Année],0)</f>
        <v>#N/A</v>
      </c>
      <c r="R66" s="102" t="str">
        <f>IF(ISNA(Tableau6[[#This Row],[Position 2024]]),"",INDEX(tabSuiviConso[HP + HC
cumul],Tableau6[[#This Row],[Position 2024]],1))</f>
        <v/>
      </c>
      <c r="S66" s="123" t="e">
        <f>IF(ISNA(Tableau6[[#This Row],[Position 2024]]),Tableau6[[#This Row],[Position 2024]],Tableau6[[#This Row],[2024]]-R$2)</f>
        <v>#N/A</v>
      </c>
      <c r="T66" s="102" t="e">
        <f>Tableau6[[#This Row],[Cumul 2024]]-Tableau6[[#This Row],[Cumul 2023]]</f>
        <v>#N/A</v>
      </c>
      <c r="U66" s="103" t="e">
        <f>Tableau6[[#This Row],[Ecart 2023 2024]]/Tableau6[[#This Row],[Cumul 2023]]</f>
        <v>#N/A</v>
      </c>
    </row>
    <row r="67" spans="1:21" x14ac:dyDescent="0.2">
      <c r="A67" s="102">
        <v>3</v>
      </c>
      <c r="B67" s="102">
        <v>5</v>
      </c>
      <c r="C67" s="102" t="str">
        <f>Tableau6[Jour]&amp;"/"&amp;Tableau6[Mois]</f>
        <v>5/3</v>
      </c>
      <c r="D67" s="102" t="e">
        <f>MATCH(Tableau6[Jours Mois]&amp;"/"&amp;Tableau6[[#Headers],[2021]],tabSuiviConso[Jour Mois Année],0)</f>
        <v>#N/A</v>
      </c>
      <c r="E67" s="102" t="str">
        <f>IF(ISNA(Tableau6[[#This Row],[Position 2021]]),"",INDEX(tabSuiviConso[HP + HC
cumul],Tableau6[[#This Row],[Position 2021]],1))</f>
        <v/>
      </c>
      <c r="F67" s="123" t="e">
        <f>IF(ISNA(Tableau6[[#This Row],[Position 2021]]),Tableau6[[#This Row],[Position 2021]],Tableau6[[#This Row],[2021]]-E$2)</f>
        <v>#N/A</v>
      </c>
      <c r="G67" s="102" t="e">
        <f>MATCH(Tableau6[Jours Mois]&amp;"/"&amp;Tableau6[[#Headers],[2022]],tabSuiviConso[Jour Mois Année],0)</f>
        <v>#N/A</v>
      </c>
      <c r="H67" s="102" t="str">
        <f>IF(ISNA(Tableau6[[#This Row],[Position 2022]]),"",INDEX(tabSuiviConso[HP + HC
cumul],Tableau6[[#This Row],[Position 2022]],1))</f>
        <v/>
      </c>
      <c r="I67" s="123" t="e">
        <f>IF(ISNA(Tableau6[[#This Row],[Position 2022]]),Tableau6[[#This Row],[Position 2022]],Tableau6[[#This Row],[2022]]-H$2)</f>
        <v>#N/A</v>
      </c>
      <c r="J67" s="102" t="e">
        <f>MATCH(Tableau6[Jours Mois]&amp;"/"&amp;Tableau6[[#Headers],[2023]],tabSuiviConso[Jour Mois Année],0)</f>
        <v>#N/A</v>
      </c>
      <c r="K67" s="102" t="e">
        <f>Tableau6[[#This Row],[Cumul 2022]]-Tableau6[[#This Row],[Cumul 2021]]</f>
        <v>#N/A</v>
      </c>
      <c r="L67" s="104" t="e">
        <f>Tableau6[[#This Row],[Ecart 2021 2022]]/Tableau6[[#This Row],[Cumul 2021]]</f>
        <v>#N/A</v>
      </c>
      <c r="M67" s="102" t="str">
        <f>IF(ISNA(Tableau6[[#This Row],[Position 2023]]),"",INDEX(tabSuiviConso[HP + HC
cumul],Tableau6[[#This Row],[Position 2023]],1))</f>
        <v/>
      </c>
      <c r="N67" s="123" t="e">
        <f>IF(ISNA(Tableau6[[#This Row],[Position 2023]]),Tableau6[[#This Row],[Position 2023]],Tableau6[[#This Row],[2023]]-M$2)</f>
        <v>#N/A</v>
      </c>
      <c r="O67" s="102" t="e">
        <f>Tableau6[[#This Row],[Cumul 2023]]-Tableau6[[#This Row],[Cumul 2022]]</f>
        <v>#N/A</v>
      </c>
      <c r="P67" s="104" t="e">
        <f>Tableau6[[#This Row],[Ecart 2022 2023]]/Tableau6[[#This Row],[Cumul 2022]]</f>
        <v>#N/A</v>
      </c>
      <c r="Q67" s="102" t="e">
        <f>MATCH(Tableau6[Jours Mois]&amp;"/"&amp;Tableau6[[#Headers],[2024]],tabSuiviConso[Jour Mois Année],0)</f>
        <v>#N/A</v>
      </c>
      <c r="R67" s="102" t="str">
        <f>IF(ISNA(Tableau6[[#This Row],[Position 2024]]),"",INDEX(tabSuiviConso[HP + HC
cumul],Tableau6[[#This Row],[Position 2024]],1))</f>
        <v/>
      </c>
      <c r="S67" s="123" t="e">
        <f>IF(ISNA(Tableau6[[#This Row],[Position 2024]]),Tableau6[[#This Row],[Position 2024]],Tableau6[[#This Row],[2024]]-R$2)</f>
        <v>#N/A</v>
      </c>
      <c r="T67" s="102" t="e">
        <f>Tableau6[[#This Row],[Cumul 2024]]-Tableau6[[#This Row],[Cumul 2023]]</f>
        <v>#N/A</v>
      </c>
      <c r="U67" s="103" t="e">
        <f>Tableau6[[#This Row],[Ecart 2023 2024]]/Tableau6[[#This Row],[Cumul 2023]]</f>
        <v>#N/A</v>
      </c>
    </row>
    <row r="68" spans="1:21" x14ac:dyDescent="0.2">
      <c r="A68" s="102">
        <v>3</v>
      </c>
      <c r="B68" s="102">
        <v>6</v>
      </c>
      <c r="C68" s="102" t="str">
        <f>Tableau6[Jour]&amp;"/"&amp;Tableau6[Mois]</f>
        <v>6/3</v>
      </c>
      <c r="D68" s="102" t="e">
        <f>MATCH(Tableau6[Jours Mois]&amp;"/"&amp;Tableau6[[#Headers],[2021]],tabSuiviConso[Jour Mois Année],0)</f>
        <v>#N/A</v>
      </c>
      <c r="E68" s="102" t="str">
        <f>IF(ISNA(Tableau6[[#This Row],[Position 2021]]),"",INDEX(tabSuiviConso[HP + HC
cumul],Tableau6[[#This Row],[Position 2021]],1))</f>
        <v/>
      </c>
      <c r="F68" s="123" t="e">
        <f>IF(ISNA(Tableau6[[#This Row],[Position 2021]]),Tableau6[[#This Row],[Position 2021]],Tableau6[[#This Row],[2021]]-E$2)</f>
        <v>#N/A</v>
      </c>
      <c r="G68" s="102" t="e">
        <f>MATCH(Tableau6[Jours Mois]&amp;"/"&amp;Tableau6[[#Headers],[2022]],tabSuiviConso[Jour Mois Année],0)</f>
        <v>#N/A</v>
      </c>
      <c r="H68" s="102" t="str">
        <f>IF(ISNA(Tableau6[[#This Row],[Position 2022]]),"",INDEX(tabSuiviConso[HP + HC
cumul],Tableau6[[#This Row],[Position 2022]],1))</f>
        <v/>
      </c>
      <c r="I68" s="123" t="e">
        <f>IF(ISNA(Tableau6[[#This Row],[Position 2022]]),Tableau6[[#This Row],[Position 2022]],Tableau6[[#This Row],[2022]]-H$2)</f>
        <v>#N/A</v>
      </c>
      <c r="J68" s="102" t="e">
        <f>MATCH(Tableau6[Jours Mois]&amp;"/"&amp;Tableau6[[#Headers],[2023]],tabSuiviConso[Jour Mois Année],0)</f>
        <v>#N/A</v>
      </c>
      <c r="K68" s="102" t="e">
        <f>Tableau6[[#This Row],[Cumul 2022]]-Tableau6[[#This Row],[Cumul 2021]]</f>
        <v>#N/A</v>
      </c>
      <c r="L68" s="104" t="e">
        <f>Tableau6[[#This Row],[Ecart 2021 2022]]/Tableau6[[#This Row],[Cumul 2021]]</f>
        <v>#N/A</v>
      </c>
      <c r="M68" s="102" t="str">
        <f>IF(ISNA(Tableau6[[#This Row],[Position 2023]]),"",INDEX(tabSuiviConso[HP + HC
cumul],Tableau6[[#This Row],[Position 2023]],1))</f>
        <v/>
      </c>
      <c r="N68" s="123" t="e">
        <f>IF(ISNA(Tableau6[[#This Row],[Position 2023]]),Tableau6[[#This Row],[Position 2023]],Tableau6[[#This Row],[2023]]-M$2)</f>
        <v>#N/A</v>
      </c>
      <c r="O68" s="102" t="e">
        <f>Tableau6[[#This Row],[Cumul 2023]]-Tableau6[[#This Row],[Cumul 2022]]</f>
        <v>#N/A</v>
      </c>
      <c r="P68" s="104" t="e">
        <f>Tableau6[[#This Row],[Ecart 2022 2023]]/Tableau6[[#This Row],[Cumul 2022]]</f>
        <v>#N/A</v>
      </c>
      <c r="Q68" s="102" t="e">
        <f>MATCH(Tableau6[Jours Mois]&amp;"/"&amp;Tableau6[[#Headers],[2024]],tabSuiviConso[Jour Mois Année],0)</f>
        <v>#N/A</v>
      </c>
      <c r="R68" s="102" t="str">
        <f>IF(ISNA(Tableau6[[#This Row],[Position 2024]]),"",INDEX(tabSuiviConso[HP + HC
cumul],Tableau6[[#This Row],[Position 2024]],1))</f>
        <v/>
      </c>
      <c r="S68" s="123" t="e">
        <f>IF(ISNA(Tableau6[[#This Row],[Position 2024]]),Tableau6[[#This Row],[Position 2024]],Tableau6[[#This Row],[2024]]-R$2)</f>
        <v>#N/A</v>
      </c>
      <c r="T68" s="102" t="e">
        <f>Tableau6[[#This Row],[Cumul 2024]]-Tableau6[[#This Row],[Cumul 2023]]</f>
        <v>#N/A</v>
      </c>
      <c r="U68" s="103" t="e">
        <f>Tableau6[[#This Row],[Ecart 2023 2024]]/Tableau6[[#This Row],[Cumul 2023]]</f>
        <v>#N/A</v>
      </c>
    </row>
    <row r="69" spans="1:21" x14ac:dyDescent="0.2">
      <c r="A69" s="102">
        <v>3</v>
      </c>
      <c r="B69" s="102">
        <v>7</v>
      </c>
      <c r="C69" s="102" t="str">
        <f>Tableau6[Jour]&amp;"/"&amp;Tableau6[Mois]</f>
        <v>7/3</v>
      </c>
      <c r="D69" s="102" t="e">
        <f>MATCH(Tableau6[Jours Mois]&amp;"/"&amp;Tableau6[[#Headers],[2021]],tabSuiviConso[Jour Mois Année],0)</f>
        <v>#N/A</v>
      </c>
      <c r="E69" s="102" t="str">
        <f>IF(ISNA(Tableau6[[#This Row],[Position 2021]]),"",INDEX(tabSuiviConso[HP + HC
cumul],Tableau6[[#This Row],[Position 2021]],1))</f>
        <v/>
      </c>
      <c r="F69" s="123" t="e">
        <f>IF(ISNA(Tableau6[[#This Row],[Position 2021]]),Tableau6[[#This Row],[Position 2021]],Tableau6[[#This Row],[2021]]-E$2)</f>
        <v>#N/A</v>
      </c>
      <c r="G69" s="102" t="e">
        <f>MATCH(Tableau6[Jours Mois]&amp;"/"&amp;Tableau6[[#Headers],[2022]],tabSuiviConso[Jour Mois Année],0)</f>
        <v>#N/A</v>
      </c>
      <c r="H69" s="102" t="str">
        <f>IF(ISNA(Tableau6[[#This Row],[Position 2022]]),"",INDEX(tabSuiviConso[HP + HC
cumul],Tableau6[[#This Row],[Position 2022]],1))</f>
        <v/>
      </c>
      <c r="I69" s="123" t="e">
        <f>IF(ISNA(Tableau6[[#This Row],[Position 2022]]),Tableau6[[#This Row],[Position 2022]],Tableau6[[#This Row],[2022]]-H$2)</f>
        <v>#N/A</v>
      </c>
      <c r="J69" s="102" t="e">
        <f>MATCH(Tableau6[Jours Mois]&amp;"/"&amp;Tableau6[[#Headers],[2023]],tabSuiviConso[Jour Mois Année],0)</f>
        <v>#N/A</v>
      </c>
      <c r="K69" s="102" t="e">
        <f>Tableau6[[#This Row],[Cumul 2022]]-Tableau6[[#This Row],[Cumul 2021]]</f>
        <v>#N/A</v>
      </c>
      <c r="L69" s="104" t="e">
        <f>Tableau6[[#This Row],[Ecart 2021 2022]]/Tableau6[[#This Row],[Cumul 2021]]</f>
        <v>#N/A</v>
      </c>
      <c r="M69" s="102" t="str">
        <f>IF(ISNA(Tableau6[[#This Row],[Position 2023]]),"",INDEX(tabSuiviConso[HP + HC
cumul],Tableau6[[#This Row],[Position 2023]],1))</f>
        <v/>
      </c>
      <c r="N69" s="123" t="e">
        <f>IF(ISNA(Tableau6[[#This Row],[Position 2023]]),Tableau6[[#This Row],[Position 2023]],Tableau6[[#This Row],[2023]]-M$2)</f>
        <v>#N/A</v>
      </c>
      <c r="O69" s="102" t="e">
        <f>Tableau6[[#This Row],[Cumul 2023]]-Tableau6[[#This Row],[Cumul 2022]]</f>
        <v>#N/A</v>
      </c>
      <c r="P69" s="104" t="e">
        <f>Tableau6[[#This Row],[Ecart 2022 2023]]/Tableau6[[#This Row],[Cumul 2022]]</f>
        <v>#N/A</v>
      </c>
      <c r="Q69" s="102" t="e">
        <f>MATCH(Tableau6[Jours Mois]&amp;"/"&amp;Tableau6[[#Headers],[2024]],tabSuiviConso[Jour Mois Année],0)</f>
        <v>#N/A</v>
      </c>
      <c r="R69" s="102" t="str">
        <f>IF(ISNA(Tableau6[[#This Row],[Position 2024]]),"",INDEX(tabSuiviConso[HP + HC
cumul],Tableau6[[#This Row],[Position 2024]],1))</f>
        <v/>
      </c>
      <c r="S69" s="123" t="e">
        <f>IF(ISNA(Tableau6[[#This Row],[Position 2024]]),Tableau6[[#This Row],[Position 2024]],Tableau6[[#This Row],[2024]]-R$2)</f>
        <v>#N/A</v>
      </c>
      <c r="T69" s="102" t="e">
        <f>Tableau6[[#This Row],[Cumul 2024]]-Tableau6[[#This Row],[Cumul 2023]]</f>
        <v>#N/A</v>
      </c>
      <c r="U69" s="103" t="e">
        <f>Tableau6[[#This Row],[Ecart 2023 2024]]/Tableau6[[#This Row],[Cumul 2023]]</f>
        <v>#N/A</v>
      </c>
    </row>
    <row r="70" spans="1:21" x14ac:dyDescent="0.2">
      <c r="A70" s="102">
        <v>3</v>
      </c>
      <c r="B70" s="102">
        <v>8</v>
      </c>
      <c r="C70" s="102" t="str">
        <f>Tableau6[Jour]&amp;"/"&amp;Tableau6[Mois]</f>
        <v>8/3</v>
      </c>
      <c r="D70" s="102" t="e">
        <f>MATCH(Tableau6[Jours Mois]&amp;"/"&amp;Tableau6[[#Headers],[2021]],tabSuiviConso[Jour Mois Année],0)</f>
        <v>#N/A</v>
      </c>
      <c r="E70" s="102" t="str">
        <f>IF(ISNA(Tableau6[[#This Row],[Position 2021]]),"",INDEX(tabSuiviConso[HP + HC
cumul],Tableau6[[#This Row],[Position 2021]],1))</f>
        <v/>
      </c>
      <c r="F70" s="123" t="e">
        <f>IF(ISNA(Tableau6[[#This Row],[Position 2021]]),Tableau6[[#This Row],[Position 2021]],Tableau6[[#This Row],[2021]]-E$2)</f>
        <v>#N/A</v>
      </c>
      <c r="G70" s="102" t="e">
        <f>MATCH(Tableau6[Jours Mois]&amp;"/"&amp;Tableau6[[#Headers],[2022]],tabSuiviConso[Jour Mois Année],0)</f>
        <v>#N/A</v>
      </c>
      <c r="H70" s="102" t="str">
        <f>IF(ISNA(Tableau6[[#This Row],[Position 2022]]),"",INDEX(tabSuiviConso[HP + HC
cumul],Tableau6[[#This Row],[Position 2022]],1))</f>
        <v/>
      </c>
      <c r="I70" s="123" t="e">
        <f>IF(ISNA(Tableau6[[#This Row],[Position 2022]]),Tableau6[[#This Row],[Position 2022]],Tableau6[[#This Row],[2022]]-H$2)</f>
        <v>#N/A</v>
      </c>
      <c r="J70" s="102" t="e">
        <f>MATCH(Tableau6[Jours Mois]&amp;"/"&amp;Tableau6[[#Headers],[2023]],tabSuiviConso[Jour Mois Année],0)</f>
        <v>#N/A</v>
      </c>
      <c r="K70" s="102" t="e">
        <f>Tableau6[[#This Row],[Cumul 2022]]-Tableau6[[#This Row],[Cumul 2021]]</f>
        <v>#N/A</v>
      </c>
      <c r="L70" s="104" t="e">
        <f>Tableau6[[#This Row],[Ecart 2021 2022]]/Tableau6[[#This Row],[Cumul 2021]]</f>
        <v>#N/A</v>
      </c>
      <c r="M70" s="102" t="str">
        <f>IF(ISNA(Tableau6[[#This Row],[Position 2023]]),"",INDEX(tabSuiviConso[HP + HC
cumul],Tableau6[[#This Row],[Position 2023]],1))</f>
        <v/>
      </c>
      <c r="N70" s="123" t="e">
        <f>IF(ISNA(Tableau6[[#This Row],[Position 2023]]),Tableau6[[#This Row],[Position 2023]],Tableau6[[#This Row],[2023]]-M$2)</f>
        <v>#N/A</v>
      </c>
      <c r="O70" s="102" t="e">
        <f>Tableau6[[#This Row],[Cumul 2023]]-Tableau6[[#This Row],[Cumul 2022]]</f>
        <v>#N/A</v>
      </c>
      <c r="P70" s="104" t="e">
        <f>Tableau6[[#This Row],[Ecart 2022 2023]]/Tableau6[[#This Row],[Cumul 2022]]</f>
        <v>#N/A</v>
      </c>
      <c r="Q70" s="102" t="e">
        <f>MATCH(Tableau6[Jours Mois]&amp;"/"&amp;Tableau6[[#Headers],[2024]],tabSuiviConso[Jour Mois Année],0)</f>
        <v>#N/A</v>
      </c>
      <c r="R70" s="102" t="str">
        <f>IF(ISNA(Tableau6[[#This Row],[Position 2024]]),"",INDEX(tabSuiviConso[HP + HC
cumul],Tableau6[[#This Row],[Position 2024]],1))</f>
        <v/>
      </c>
      <c r="S70" s="123" t="e">
        <f>IF(ISNA(Tableau6[[#This Row],[Position 2024]]),Tableau6[[#This Row],[Position 2024]],Tableau6[[#This Row],[2024]]-R$2)</f>
        <v>#N/A</v>
      </c>
      <c r="T70" s="102" t="e">
        <f>Tableau6[[#This Row],[Cumul 2024]]-Tableau6[[#This Row],[Cumul 2023]]</f>
        <v>#N/A</v>
      </c>
      <c r="U70" s="103" t="e">
        <f>Tableau6[[#This Row],[Ecart 2023 2024]]/Tableau6[[#This Row],[Cumul 2023]]</f>
        <v>#N/A</v>
      </c>
    </row>
    <row r="71" spans="1:21" x14ac:dyDescent="0.2">
      <c r="A71" s="102">
        <v>3</v>
      </c>
      <c r="B71" s="102">
        <v>9</v>
      </c>
      <c r="C71" s="102" t="str">
        <f>Tableau6[Jour]&amp;"/"&amp;Tableau6[Mois]</f>
        <v>9/3</v>
      </c>
      <c r="D71" s="102" t="e">
        <f>MATCH(Tableau6[Jours Mois]&amp;"/"&amp;Tableau6[[#Headers],[2021]],tabSuiviConso[Jour Mois Année],0)</f>
        <v>#N/A</v>
      </c>
      <c r="E71" s="102" t="str">
        <f>IF(ISNA(Tableau6[[#This Row],[Position 2021]]),"",INDEX(tabSuiviConso[HP + HC
cumul],Tableau6[[#This Row],[Position 2021]],1))</f>
        <v/>
      </c>
      <c r="F71" s="123" t="e">
        <f>IF(ISNA(Tableau6[[#This Row],[Position 2021]]),Tableau6[[#This Row],[Position 2021]],Tableau6[[#This Row],[2021]]-E$2)</f>
        <v>#N/A</v>
      </c>
      <c r="G71" s="102" t="e">
        <f>MATCH(Tableau6[Jours Mois]&amp;"/"&amp;Tableau6[[#Headers],[2022]],tabSuiviConso[Jour Mois Année],0)</f>
        <v>#N/A</v>
      </c>
      <c r="H71" s="102" t="str">
        <f>IF(ISNA(Tableau6[[#This Row],[Position 2022]]),"",INDEX(tabSuiviConso[HP + HC
cumul],Tableau6[[#This Row],[Position 2022]],1))</f>
        <v/>
      </c>
      <c r="I71" s="123" t="e">
        <f>IF(ISNA(Tableau6[[#This Row],[Position 2022]]),Tableau6[[#This Row],[Position 2022]],Tableau6[[#This Row],[2022]]-H$2)</f>
        <v>#N/A</v>
      </c>
      <c r="J71" s="102" t="e">
        <f>MATCH(Tableau6[Jours Mois]&amp;"/"&amp;Tableau6[[#Headers],[2023]],tabSuiviConso[Jour Mois Année],0)</f>
        <v>#N/A</v>
      </c>
      <c r="K71" s="102" t="e">
        <f>Tableau6[[#This Row],[Cumul 2022]]-Tableau6[[#This Row],[Cumul 2021]]</f>
        <v>#N/A</v>
      </c>
      <c r="L71" s="104" t="e">
        <f>Tableau6[[#This Row],[Ecart 2021 2022]]/Tableau6[[#This Row],[Cumul 2021]]</f>
        <v>#N/A</v>
      </c>
      <c r="M71" s="102" t="str">
        <f>IF(ISNA(Tableau6[[#This Row],[Position 2023]]),"",INDEX(tabSuiviConso[HP + HC
cumul],Tableau6[[#This Row],[Position 2023]],1))</f>
        <v/>
      </c>
      <c r="N71" s="123" t="e">
        <f>IF(ISNA(Tableau6[[#This Row],[Position 2023]]),Tableau6[[#This Row],[Position 2023]],Tableau6[[#This Row],[2023]]-M$2)</f>
        <v>#N/A</v>
      </c>
      <c r="O71" s="102" t="e">
        <f>Tableau6[[#This Row],[Cumul 2023]]-Tableau6[[#This Row],[Cumul 2022]]</f>
        <v>#N/A</v>
      </c>
      <c r="P71" s="104" t="e">
        <f>Tableau6[[#This Row],[Ecart 2022 2023]]/Tableau6[[#This Row],[Cumul 2022]]</f>
        <v>#N/A</v>
      </c>
      <c r="Q71" s="102" t="e">
        <f>MATCH(Tableau6[Jours Mois]&amp;"/"&amp;Tableau6[[#Headers],[2024]],tabSuiviConso[Jour Mois Année],0)</f>
        <v>#N/A</v>
      </c>
      <c r="R71" s="102" t="str">
        <f>IF(ISNA(Tableau6[[#This Row],[Position 2024]]),"",INDEX(tabSuiviConso[HP + HC
cumul],Tableau6[[#This Row],[Position 2024]],1))</f>
        <v/>
      </c>
      <c r="S71" s="123" t="e">
        <f>IF(ISNA(Tableau6[[#This Row],[Position 2024]]),Tableau6[[#This Row],[Position 2024]],Tableau6[[#This Row],[2024]]-R$2)</f>
        <v>#N/A</v>
      </c>
      <c r="T71" s="102" t="e">
        <f>Tableau6[[#This Row],[Cumul 2024]]-Tableau6[[#This Row],[Cumul 2023]]</f>
        <v>#N/A</v>
      </c>
      <c r="U71" s="103" t="e">
        <f>Tableau6[[#This Row],[Ecart 2023 2024]]/Tableau6[[#This Row],[Cumul 2023]]</f>
        <v>#N/A</v>
      </c>
    </row>
    <row r="72" spans="1:21" x14ac:dyDescent="0.2">
      <c r="A72" s="102">
        <v>3</v>
      </c>
      <c r="B72" s="102">
        <v>10</v>
      </c>
      <c r="C72" s="102" t="str">
        <f>Tableau6[Jour]&amp;"/"&amp;Tableau6[Mois]</f>
        <v>10/3</v>
      </c>
      <c r="D72" s="102" t="e">
        <f>MATCH(Tableau6[Jours Mois]&amp;"/"&amp;Tableau6[[#Headers],[2021]],tabSuiviConso[Jour Mois Année],0)</f>
        <v>#N/A</v>
      </c>
      <c r="E72" s="102" t="str">
        <f>IF(ISNA(Tableau6[[#This Row],[Position 2021]]),"",INDEX(tabSuiviConso[HP + HC
cumul],Tableau6[[#This Row],[Position 2021]],1))</f>
        <v/>
      </c>
      <c r="F72" s="123" t="e">
        <f>IF(ISNA(Tableau6[[#This Row],[Position 2021]]),Tableau6[[#This Row],[Position 2021]],Tableau6[[#This Row],[2021]]-E$2)</f>
        <v>#N/A</v>
      </c>
      <c r="G72" s="102" t="e">
        <f>MATCH(Tableau6[Jours Mois]&amp;"/"&amp;Tableau6[[#Headers],[2022]],tabSuiviConso[Jour Mois Année],0)</f>
        <v>#N/A</v>
      </c>
      <c r="H72" s="102" t="str">
        <f>IF(ISNA(Tableau6[[#This Row],[Position 2022]]),"",INDEX(tabSuiviConso[HP + HC
cumul],Tableau6[[#This Row],[Position 2022]],1))</f>
        <v/>
      </c>
      <c r="I72" s="123" t="e">
        <f>IF(ISNA(Tableau6[[#This Row],[Position 2022]]),Tableau6[[#This Row],[Position 2022]],Tableau6[[#This Row],[2022]]-H$2)</f>
        <v>#N/A</v>
      </c>
      <c r="J72" s="102" t="e">
        <f>MATCH(Tableau6[Jours Mois]&amp;"/"&amp;Tableau6[[#Headers],[2023]],tabSuiviConso[Jour Mois Année],0)</f>
        <v>#N/A</v>
      </c>
      <c r="K72" s="102" t="e">
        <f>Tableau6[[#This Row],[Cumul 2022]]-Tableau6[[#This Row],[Cumul 2021]]</f>
        <v>#N/A</v>
      </c>
      <c r="L72" s="104" t="e">
        <f>Tableau6[[#This Row],[Ecart 2021 2022]]/Tableau6[[#This Row],[Cumul 2021]]</f>
        <v>#N/A</v>
      </c>
      <c r="M72" s="102" t="str">
        <f>IF(ISNA(Tableau6[[#This Row],[Position 2023]]),"",INDEX(tabSuiviConso[HP + HC
cumul],Tableau6[[#This Row],[Position 2023]],1))</f>
        <v/>
      </c>
      <c r="N72" s="123" t="e">
        <f>IF(ISNA(Tableau6[[#This Row],[Position 2023]]),Tableau6[[#This Row],[Position 2023]],Tableau6[[#This Row],[2023]]-M$2)</f>
        <v>#N/A</v>
      </c>
      <c r="O72" s="102" t="e">
        <f>Tableau6[[#This Row],[Cumul 2023]]-Tableau6[[#This Row],[Cumul 2022]]</f>
        <v>#N/A</v>
      </c>
      <c r="P72" s="104" t="e">
        <f>Tableau6[[#This Row],[Ecart 2022 2023]]/Tableau6[[#This Row],[Cumul 2022]]</f>
        <v>#N/A</v>
      </c>
      <c r="Q72" s="102" t="e">
        <f>MATCH(Tableau6[Jours Mois]&amp;"/"&amp;Tableau6[[#Headers],[2024]],tabSuiviConso[Jour Mois Année],0)</f>
        <v>#N/A</v>
      </c>
      <c r="R72" s="102" t="str">
        <f>IF(ISNA(Tableau6[[#This Row],[Position 2024]]),"",INDEX(tabSuiviConso[HP + HC
cumul],Tableau6[[#This Row],[Position 2024]],1))</f>
        <v/>
      </c>
      <c r="S72" s="123" t="e">
        <f>IF(ISNA(Tableau6[[#This Row],[Position 2024]]),Tableau6[[#This Row],[Position 2024]],Tableau6[[#This Row],[2024]]-R$2)</f>
        <v>#N/A</v>
      </c>
      <c r="T72" s="102" t="e">
        <f>Tableau6[[#This Row],[Cumul 2024]]-Tableau6[[#This Row],[Cumul 2023]]</f>
        <v>#N/A</v>
      </c>
      <c r="U72" s="103" t="e">
        <f>Tableau6[[#This Row],[Ecart 2023 2024]]/Tableau6[[#This Row],[Cumul 2023]]</f>
        <v>#N/A</v>
      </c>
    </row>
    <row r="73" spans="1:21" x14ac:dyDescent="0.2">
      <c r="A73" s="102">
        <v>3</v>
      </c>
      <c r="B73" s="102">
        <v>11</v>
      </c>
      <c r="C73" s="102" t="str">
        <f>Tableau6[Jour]&amp;"/"&amp;Tableau6[Mois]</f>
        <v>11/3</v>
      </c>
      <c r="D73" s="102" t="e">
        <f>MATCH(Tableau6[Jours Mois]&amp;"/"&amp;Tableau6[[#Headers],[2021]],tabSuiviConso[Jour Mois Année],0)</f>
        <v>#N/A</v>
      </c>
      <c r="E73" s="102" t="str">
        <f>IF(ISNA(Tableau6[[#This Row],[Position 2021]]),"",INDEX(tabSuiviConso[HP + HC
cumul],Tableau6[[#This Row],[Position 2021]],1))</f>
        <v/>
      </c>
      <c r="F73" s="123" t="e">
        <f>IF(ISNA(Tableau6[[#This Row],[Position 2021]]),Tableau6[[#This Row],[Position 2021]],Tableau6[[#This Row],[2021]]-E$2)</f>
        <v>#N/A</v>
      </c>
      <c r="G73" s="102" t="e">
        <f>MATCH(Tableau6[Jours Mois]&amp;"/"&amp;Tableau6[[#Headers],[2022]],tabSuiviConso[Jour Mois Année],0)</f>
        <v>#N/A</v>
      </c>
      <c r="H73" s="102" t="str">
        <f>IF(ISNA(Tableau6[[#This Row],[Position 2022]]),"",INDEX(tabSuiviConso[HP + HC
cumul],Tableau6[[#This Row],[Position 2022]],1))</f>
        <v/>
      </c>
      <c r="I73" s="123" t="e">
        <f>IF(ISNA(Tableau6[[#This Row],[Position 2022]]),Tableau6[[#This Row],[Position 2022]],Tableau6[[#This Row],[2022]]-H$2)</f>
        <v>#N/A</v>
      </c>
      <c r="J73" s="102" t="e">
        <f>MATCH(Tableau6[Jours Mois]&amp;"/"&amp;Tableau6[[#Headers],[2023]],tabSuiviConso[Jour Mois Année],0)</f>
        <v>#N/A</v>
      </c>
      <c r="K73" s="102" t="e">
        <f>Tableau6[[#This Row],[Cumul 2022]]-Tableau6[[#This Row],[Cumul 2021]]</f>
        <v>#N/A</v>
      </c>
      <c r="L73" s="104" t="e">
        <f>Tableau6[[#This Row],[Ecart 2021 2022]]/Tableau6[[#This Row],[Cumul 2021]]</f>
        <v>#N/A</v>
      </c>
      <c r="M73" s="102" t="str">
        <f>IF(ISNA(Tableau6[[#This Row],[Position 2023]]),"",INDEX(tabSuiviConso[HP + HC
cumul],Tableau6[[#This Row],[Position 2023]],1))</f>
        <v/>
      </c>
      <c r="N73" s="123" t="e">
        <f>IF(ISNA(Tableau6[[#This Row],[Position 2023]]),Tableau6[[#This Row],[Position 2023]],Tableau6[[#This Row],[2023]]-M$2)</f>
        <v>#N/A</v>
      </c>
      <c r="O73" s="102" t="e">
        <f>Tableau6[[#This Row],[Cumul 2023]]-Tableau6[[#This Row],[Cumul 2022]]</f>
        <v>#N/A</v>
      </c>
      <c r="P73" s="104" t="e">
        <f>Tableau6[[#This Row],[Ecart 2022 2023]]/Tableau6[[#This Row],[Cumul 2022]]</f>
        <v>#N/A</v>
      </c>
      <c r="Q73" s="102" t="e">
        <f>MATCH(Tableau6[Jours Mois]&amp;"/"&amp;Tableau6[[#Headers],[2024]],tabSuiviConso[Jour Mois Année],0)</f>
        <v>#N/A</v>
      </c>
      <c r="R73" s="102" t="str">
        <f>IF(ISNA(Tableau6[[#This Row],[Position 2024]]),"",INDEX(tabSuiviConso[HP + HC
cumul],Tableau6[[#This Row],[Position 2024]],1))</f>
        <v/>
      </c>
      <c r="S73" s="123" t="e">
        <f>IF(ISNA(Tableau6[[#This Row],[Position 2024]]),Tableau6[[#This Row],[Position 2024]],Tableau6[[#This Row],[2024]]-R$2)</f>
        <v>#N/A</v>
      </c>
      <c r="T73" s="102" t="e">
        <f>Tableau6[[#This Row],[Cumul 2024]]-Tableau6[[#This Row],[Cumul 2023]]</f>
        <v>#N/A</v>
      </c>
      <c r="U73" s="103" t="e">
        <f>Tableau6[[#This Row],[Ecart 2023 2024]]/Tableau6[[#This Row],[Cumul 2023]]</f>
        <v>#N/A</v>
      </c>
    </row>
    <row r="74" spans="1:21" x14ac:dyDescent="0.2">
      <c r="A74" s="102">
        <v>3</v>
      </c>
      <c r="B74" s="102">
        <v>12</v>
      </c>
      <c r="C74" s="102" t="str">
        <f>Tableau6[Jour]&amp;"/"&amp;Tableau6[Mois]</f>
        <v>12/3</v>
      </c>
      <c r="D74" s="102" t="e">
        <f>MATCH(Tableau6[Jours Mois]&amp;"/"&amp;Tableau6[[#Headers],[2021]],tabSuiviConso[Jour Mois Année],0)</f>
        <v>#N/A</v>
      </c>
      <c r="E74" s="102" t="str">
        <f>IF(ISNA(Tableau6[[#This Row],[Position 2021]]),"",INDEX(tabSuiviConso[HP + HC
cumul],Tableau6[[#This Row],[Position 2021]],1))</f>
        <v/>
      </c>
      <c r="F74" s="123" t="e">
        <f>IF(ISNA(Tableau6[[#This Row],[Position 2021]]),Tableau6[[#This Row],[Position 2021]],Tableau6[[#This Row],[2021]]-E$2)</f>
        <v>#N/A</v>
      </c>
      <c r="G74" s="102" t="e">
        <f>MATCH(Tableau6[Jours Mois]&amp;"/"&amp;Tableau6[[#Headers],[2022]],tabSuiviConso[Jour Mois Année],0)</f>
        <v>#N/A</v>
      </c>
      <c r="H74" s="102" t="str">
        <f>IF(ISNA(Tableau6[[#This Row],[Position 2022]]),"",INDEX(tabSuiviConso[HP + HC
cumul],Tableau6[[#This Row],[Position 2022]],1))</f>
        <v/>
      </c>
      <c r="I74" s="123" t="e">
        <f>IF(ISNA(Tableau6[[#This Row],[Position 2022]]),Tableau6[[#This Row],[Position 2022]],Tableau6[[#This Row],[2022]]-H$2)</f>
        <v>#N/A</v>
      </c>
      <c r="J74" s="102" t="e">
        <f>MATCH(Tableau6[Jours Mois]&amp;"/"&amp;Tableau6[[#Headers],[2023]],tabSuiviConso[Jour Mois Année],0)</f>
        <v>#N/A</v>
      </c>
      <c r="K74" s="102" t="e">
        <f>Tableau6[[#This Row],[Cumul 2022]]-Tableau6[[#This Row],[Cumul 2021]]</f>
        <v>#N/A</v>
      </c>
      <c r="L74" s="104" t="e">
        <f>Tableau6[[#This Row],[Ecart 2021 2022]]/Tableau6[[#This Row],[Cumul 2021]]</f>
        <v>#N/A</v>
      </c>
      <c r="M74" s="102" t="str">
        <f>IF(ISNA(Tableau6[[#This Row],[Position 2023]]),"",INDEX(tabSuiviConso[HP + HC
cumul],Tableau6[[#This Row],[Position 2023]],1))</f>
        <v/>
      </c>
      <c r="N74" s="123" t="e">
        <f>IF(ISNA(Tableau6[[#This Row],[Position 2023]]),Tableau6[[#This Row],[Position 2023]],Tableau6[[#This Row],[2023]]-M$2)</f>
        <v>#N/A</v>
      </c>
      <c r="O74" s="102" t="e">
        <f>Tableau6[[#This Row],[Cumul 2023]]-Tableau6[[#This Row],[Cumul 2022]]</f>
        <v>#N/A</v>
      </c>
      <c r="P74" s="104" t="e">
        <f>Tableau6[[#This Row],[Ecart 2022 2023]]/Tableau6[[#This Row],[Cumul 2022]]</f>
        <v>#N/A</v>
      </c>
      <c r="Q74" s="102" t="e">
        <f>MATCH(Tableau6[Jours Mois]&amp;"/"&amp;Tableau6[[#Headers],[2024]],tabSuiviConso[Jour Mois Année],0)</f>
        <v>#N/A</v>
      </c>
      <c r="R74" s="102" t="str">
        <f>IF(ISNA(Tableau6[[#This Row],[Position 2024]]),"",INDEX(tabSuiviConso[HP + HC
cumul],Tableau6[[#This Row],[Position 2024]],1))</f>
        <v/>
      </c>
      <c r="S74" s="123" t="e">
        <f>IF(ISNA(Tableau6[[#This Row],[Position 2024]]),Tableau6[[#This Row],[Position 2024]],Tableau6[[#This Row],[2024]]-R$2)</f>
        <v>#N/A</v>
      </c>
      <c r="T74" s="102" t="e">
        <f>Tableau6[[#This Row],[Cumul 2024]]-Tableau6[[#This Row],[Cumul 2023]]</f>
        <v>#N/A</v>
      </c>
      <c r="U74" s="103" t="e">
        <f>Tableau6[[#This Row],[Ecart 2023 2024]]/Tableau6[[#This Row],[Cumul 2023]]</f>
        <v>#N/A</v>
      </c>
    </row>
    <row r="75" spans="1:21" x14ac:dyDescent="0.2">
      <c r="A75" s="102">
        <v>3</v>
      </c>
      <c r="B75" s="102">
        <v>13</v>
      </c>
      <c r="C75" s="102" t="str">
        <f>Tableau6[Jour]&amp;"/"&amp;Tableau6[Mois]</f>
        <v>13/3</v>
      </c>
      <c r="D75" s="102" t="e">
        <f>MATCH(Tableau6[Jours Mois]&amp;"/"&amp;Tableau6[[#Headers],[2021]],tabSuiviConso[Jour Mois Année],0)</f>
        <v>#N/A</v>
      </c>
      <c r="E75" s="102" t="str">
        <f>IF(ISNA(Tableau6[[#This Row],[Position 2021]]),"",INDEX(tabSuiviConso[HP + HC
cumul],Tableau6[[#This Row],[Position 2021]],1))</f>
        <v/>
      </c>
      <c r="F75" s="123" t="e">
        <f>IF(ISNA(Tableau6[[#This Row],[Position 2021]]),Tableau6[[#This Row],[Position 2021]],Tableau6[[#This Row],[2021]]-E$2)</f>
        <v>#N/A</v>
      </c>
      <c r="G75" s="102" t="e">
        <f>MATCH(Tableau6[Jours Mois]&amp;"/"&amp;Tableau6[[#Headers],[2022]],tabSuiviConso[Jour Mois Année],0)</f>
        <v>#N/A</v>
      </c>
      <c r="H75" s="102" t="str">
        <f>IF(ISNA(Tableau6[[#This Row],[Position 2022]]),"",INDEX(tabSuiviConso[HP + HC
cumul],Tableau6[[#This Row],[Position 2022]],1))</f>
        <v/>
      </c>
      <c r="I75" s="123" t="e">
        <f>IF(ISNA(Tableau6[[#This Row],[Position 2022]]),Tableau6[[#This Row],[Position 2022]],Tableau6[[#This Row],[2022]]-H$2)</f>
        <v>#N/A</v>
      </c>
      <c r="J75" s="102" t="e">
        <f>MATCH(Tableau6[Jours Mois]&amp;"/"&amp;Tableau6[[#Headers],[2023]],tabSuiviConso[Jour Mois Année],0)</f>
        <v>#N/A</v>
      </c>
      <c r="K75" s="102" t="e">
        <f>Tableau6[[#This Row],[Cumul 2022]]-Tableau6[[#This Row],[Cumul 2021]]</f>
        <v>#N/A</v>
      </c>
      <c r="L75" s="104" t="e">
        <f>Tableau6[[#This Row],[Ecart 2021 2022]]/Tableau6[[#This Row],[Cumul 2021]]</f>
        <v>#N/A</v>
      </c>
      <c r="M75" s="102" t="str">
        <f>IF(ISNA(Tableau6[[#This Row],[Position 2023]]),"",INDEX(tabSuiviConso[HP + HC
cumul],Tableau6[[#This Row],[Position 2023]],1))</f>
        <v/>
      </c>
      <c r="N75" s="123" t="e">
        <f>IF(ISNA(Tableau6[[#This Row],[Position 2023]]),Tableau6[[#This Row],[Position 2023]],Tableau6[[#This Row],[2023]]-M$2)</f>
        <v>#N/A</v>
      </c>
      <c r="O75" s="102" t="e">
        <f>Tableau6[[#This Row],[Cumul 2023]]-Tableau6[[#This Row],[Cumul 2022]]</f>
        <v>#N/A</v>
      </c>
      <c r="P75" s="104" t="e">
        <f>Tableau6[[#This Row],[Ecart 2022 2023]]/Tableau6[[#This Row],[Cumul 2022]]</f>
        <v>#N/A</v>
      </c>
      <c r="Q75" s="102" t="e">
        <f>MATCH(Tableau6[Jours Mois]&amp;"/"&amp;Tableau6[[#Headers],[2024]],tabSuiviConso[Jour Mois Année],0)</f>
        <v>#N/A</v>
      </c>
      <c r="R75" s="102" t="str">
        <f>IF(ISNA(Tableau6[[#This Row],[Position 2024]]),"",INDEX(tabSuiviConso[HP + HC
cumul],Tableau6[[#This Row],[Position 2024]],1))</f>
        <v/>
      </c>
      <c r="S75" s="123" t="e">
        <f>IF(ISNA(Tableau6[[#This Row],[Position 2024]]),Tableau6[[#This Row],[Position 2024]],Tableau6[[#This Row],[2024]]-R$2)</f>
        <v>#N/A</v>
      </c>
      <c r="T75" s="102" t="e">
        <f>Tableau6[[#This Row],[Cumul 2024]]-Tableau6[[#This Row],[Cumul 2023]]</f>
        <v>#N/A</v>
      </c>
      <c r="U75" s="103" t="e">
        <f>Tableau6[[#This Row],[Ecart 2023 2024]]/Tableau6[[#This Row],[Cumul 2023]]</f>
        <v>#N/A</v>
      </c>
    </row>
    <row r="76" spans="1:21" x14ac:dyDescent="0.2">
      <c r="A76" s="102">
        <v>3</v>
      </c>
      <c r="B76" s="102">
        <v>14</v>
      </c>
      <c r="C76" s="102" t="str">
        <f>Tableau6[Jour]&amp;"/"&amp;Tableau6[Mois]</f>
        <v>14/3</v>
      </c>
      <c r="D76" s="102" t="e">
        <f>MATCH(Tableau6[Jours Mois]&amp;"/"&amp;Tableau6[[#Headers],[2021]],tabSuiviConso[Jour Mois Année],0)</f>
        <v>#N/A</v>
      </c>
      <c r="E76" s="102" t="str">
        <f>IF(ISNA(Tableau6[[#This Row],[Position 2021]]),"",INDEX(tabSuiviConso[HP + HC
cumul],Tableau6[[#This Row],[Position 2021]],1))</f>
        <v/>
      </c>
      <c r="F76" s="123" t="e">
        <f>IF(ISNA(Tableau6[[#This Row],[Position 2021]]),Tableau6[[#This Row],[Position 2021]],Tableau6[[#This Row],[2021]]-E$2)</f>
        <v>#N/A</v>
      </c>
      <c r="G76" s="102" t="e">
        <f>MATCH(Tableau6[Jours Mois]&amp;"/"&amp;Tableau6[[#Headers],[2022]],tabSuiviConso[Jour Mois Année],0)</f>
        <v>#N/A</v>
      </c>
      <c r="H76" s="102" t="str">
        <f>IF(ISNA(Tableau6[[#This Row],[Position 2022]]),"",INDEX(tabSuiviConso[HP + HC
cumul],Tableau6[[#This Row],[Position 2022]],1))</f>
        <v/>
      </c>
      <c r="I76" s="123" t="e">
        <f>IF(ISNA(Tableau6[[#This Row],[Position 2022]]),Tableau6[[#This Row],[Position 2022]],Tableau6[[#This Row],[2022]]-H$2)</f>
        <v>#N/A</v>
      </c>
      <c r="J76" s="102" t="e">
        <f>MATCH(Tableau6[Jours Mois]&amp;"/"&amp;Tableau6[[#Headers],[2023]],tabSuiviConso[Jour Mois Année],0)</f>
        <v>#N/A</v>
      </c>
      <c r="K76" s="102" t="e">
        <f>Tableau6[[#This Row],[Cumul 2022]]-Tableau6[[#This Row],[Cumul 2021]]</f>
        <v>#N/A</v>
      </c>
      <c r="L76" s="104" t="e">
        <f>Tableau6[[#This Row],[Ecart 2021 2022]]/Tableau6[[#This Row],[Cumul 2021]]</f>
        <v>#N/A</v>
      </c>
      <c r="M76" s="102" t="str">
        <f>IF(ISNA(Tableau6[[#This Row],[Position 2023]]),"",INDEX(tabSuiviConso[HP + HC
cumul],Tableau6[[#This Row],[Position 2023]],1))</f>
        <v/>
      </c>
      <c r="N76" s="123" t="e">
        <f>IF(ISNA(Tableau6[[#This Row],[Position 2023]]),Tableau6[[#This Row],[Position 2023]],Tableau6[[#This Row],[2023]]-M$2)</f>
        <v>#N/A</v>
      </c>
      <c r="O76" s="102" t="e">
        <f>Tableau6[[#This Row],[Cumul 2023]]-Tableau6[[#This Row],[Cumul 2022]]</f>
        <v>#N/A</v>
      </c>
      <c r="P76" s="104" t="e">
        <f>Tableau6[[#This Row],[Ecart 2022 2023]]/Tableau6[[#This Row],[Cumul 2022]]</f>
        <v>#N/A</v>
      </c>
      <c r="Q76" s="102" t="e">
        <f>MATCH(Tableau6[Jours Mois]&amp;"/"&amp;Tableau6[[#Headers],[2024]],tabSuiviConso[Jour Mois Année],0)</f>
        <v>#N/A</v>
      </c>
      <c r="R76" s="102" t="str">
        <f>IF(ISNA(Tableau6[[#This Row],[Position 2024]]),"",INDEX(tabSuiviConso[HP + HC
cumul],Tableau6[[#This Row],[Position 2024]],1))</f>
        <v/>
      </c>
      <c r="S76" s="123" t="e">
        <f>IF(ISNA(Tableau6[[#This Row],[Position 2024]]),Tableau6[[#This Row],[Position 2024]],Tableau6[[#This Row],[2024]]-R$2)</f>
        <v>#N/A</v>
      </c>
      <c r="T76" s="102" t="e">
        <f>Tableau6[[#This Row],[Cumul 2024]]-Tableau6[[#This Row],[Cumul 2023]]</f>
        <v>#N/A</v>
      </c>
      <c r="U76" s="103" t="e">
        <f>Tableau6[[#This Row],[Ecart 2023 2024]]/Tableau6[[#This Row],[Cumul 2023]]</f>
        <v>#N/A</v>
      </c>
    </row>
    <row r="77" spans="1:21" x14ac:dyDescent="0.2">
      <c r="A77" s="102">
        <v>3</v>
      </c>
      <c r="B77" s="102">
        <v>15</v>
      </c>
      <c r="C77" s="102" t="str">
        <f>Tableau6[Jour]&amp;"/"&amp;Tableau6[Mois]</f>
        <v>15/3</v>
      </c>
      <c r="D77" s="102" t="e">
        <f>MATCH(Tableau6[Jours Mois]&amp;"/"&amp;Tableau6[[#Headers],[2021]],tabSuiviConso[Jour Mois Année],0)</f>
        <v>#N/A</v>
      </c>
      <c r="E77" s="102" t="str">
        <f>IF(ISNA(Tableau6[[#This Row],[Position 2021]]),"",INDEX(tabSuiviConso[HP + HC
cumul],Tableau6[[#This Row],[Position 2021]],1))</f>
        <v/>
      </c>
      <c r="F77" s="123" t="e">
        <f>IF(ISNA(Tableau6[[#This Row],[Position 2021]]),Tableau6[[#This Row],[Position 2021]],Tableau6[[#This Row],[2021]]-E$2)</f>
        <v>#N/A</v>
      </c>
      <c r="G77" s="102" t="e">
        <f>MATCH(Tableau6[Jours Mois]&amp;"/"&amp;Tableau6[[#Headers],[2022]],tabSuiviConso[Jour Mois Année],0)</f>
        <v>#N/A</v>
      </c>
      <c r="H77" s="102" t="str">
        <f>IF(ISNA(Tableau6[[#This Row],[Position 2022]]),"",INDEX(tabSuiviConso[HP + HC
cumul],Tableau6[[#This Row],[Position 2022]],1))</f>
        <v/>
      </c>
      <c r="I77" s="123" t="e">
        <f>IF(ISNA(Tableau6[[#This Row],[Position 2022]]),Tableau6[[#This Row],[Position 2022]],Tableau6[[#This Row],[2022]]-H$2)</f>
        <v>#N/A</v>
      </c>
      <c r="J77" s="102" t="e">
        <f>MATCH(Tableau6[Jours Mois]&amp;"/"&amp;Tableau6[[#Headers],[2023]],tabSuiviConso[Jour Mois Année],0)</f>
        <v>#N/A</v>
      </c>
      <c r="K77" s="102" t="e">
        <f>Tableau6[[#This Row],[Cumul 2022]]-Tableau6[[#This Row],[Cumul 2021]]</f>
        <v>#N/A</v>
      </c>
      <c r="L77" s="104" t="e">
        <f>Tableau6[[#This Row],[Ecart 2021 2022]]/Tableau6[[#This Row],[Cumul 2021]]</f>
        <v>#N/A</v>
      </c>
      <c r="M77" s="102" t="str">
        <f>IF(ISNA(Tableau6[[#This Row],[Position 2023]]),"",INDEX(tabSuiviConso[HP + HC
cumul],Tableau6[[#This Row],[Position 2023]],1))</f>
        <v/>
      </c>
      <c r="N77" s="123" t="e">
        <f>IF(ISNA(Tableau6[[#This Row],[Position 2023]]),Tableau6[[#This Row],[Position 2023]],Tableau6[[#This Row],[2023]]-M$2)</f>
        <v>#N/A</v>
      </c>
      <c r="O77" s="102" t="e">
        <f>Tableau6[[#This Row],[Cumul 2023]]-Tableau6[[#This Row],[Cumul 2022]]</f>
        <v>#N/A</v>
      </c>
      <c r="P77" s="104" t="e">
        <f>Tableau6[[#This Row],[Ecart 2022 2023]]/Tableau6[[#This Row],[Cumul 2022]]</f>
        <v>#N/A</v>
      </c>
      <c r="Q77" s="102" t="e">
        <f>MATCH(Tableau6[Jours Mois]&amp;"/"&amp;Tableau6[[#Headers],[2024]],tabSuiviConso[Jour Mois Année],0)</f>
        <v>#N/A</v>
      </c>
      <c r="R77" s="102" t="str">
        <f>IF(ISNA(Tableau6[[#This Row],[Position 2024]]),"",INDEX(tabSuiviConso[HP + HC
cumul],Tableau6[[#This Row],[Position 2024]],1))</f>
        <v/>
      </c>
      <c r="S77" s="123" t="e">
        <f>IF(ISNA(Tableau6[[#This Row],[Position 2024]]),Tableau6[[#This Row],[Position 2024]],Tableau6[[#This Row],[2024]]-R$2)</f>
        <v>#N/A</v>
      </c>
      <c r="T77" s="102" t="e">
        <f>Tableau6[[#This Row],[Cumul 2024]]-Tableau6[[#This Row],[Cumul 2023]]</f>
        <v>#N/A</v>
      </c>
      <c r="U77" s="103" t="e">
        <f>Tableau6[[#This Row],[Ecart 2023 2024]]/Tableau6[[#This Row],[Cumul 2023]]</f>
        <v>#N/A</v>
      </c>
    </row>
    <row r="78" spans="1:21" x14ac:dyDescent="0.2">
      <c r="A78" s="102">
        <v>3</v>
      </c>
      <c r="B78" s="102">
        <v>16</v>
      </c>
      <c r="C78" s="102" t="str">
        <f>Tableau6[Jour]&amp;"/"&amp;Tableau6[Mois]</f>
        <v>16/3</v>
      </c>
      <c r="D78" s="102" t="e">
        <f>MATCH(Tableau6[Jours Mois]&amp;"/"&amp;Tableau6[[#Headers],[2021]],tabSuiviConso[Jour Mois Année],0)</f>
        <v>#N/A</v>
      </c>
      <c r="E78" s="102" t="str">
        <f>IF(ISNA(Tableau6[[#This Row],[Position 2021]]),"",INDEX(tabSuiviConso[HP + HC
cumul],Tableau6[[#This Row],[Position 2021]],1))</f>
        <v/>
      </c>
      <c r="F78" s="123" t="e">
        <f>IF(ISNA(Tableau6[[#This Row],[Position 2021]]),Tableau6[[#This Row],[Position 2021]],Tableau6[[#This Row],[2021]]-E$2)</f>
        <v>#N/A</v>
      </c>
      <c r="G78" s="102" t="e">
        <f>MATCH(Tableau6[Jours Mois]&amp;"/"&amp;Tableau6[[#Headers],[2022]],tabSuiviConso[Jour Mois Année],0)</f>
        <v>#N/A</v>
      </c>
      <c r="H78" s="102" t="str">
        <f>IF(ISNA(Tableau6[[#This Row],[Position 2022]]),"",INDEX(tabSuiviConso[HP + HC
cumul],Tableau6[[#This Row],[Position 2022]],1))</f>
        <v/>
      </c>
      <c r="I78" s="123" t="e">
        <f>IF(ISNA(Tableau6[[#This Row],[Position 2022]]),Tableau6[[#This Row],[Position 2022]],Tableau6[[#This Row],[2022]]-H$2)</f>
        <v>#N/A</v>
      </c>
      <c r="J78" s="102" t="e">
        <f>MATCH(Tableau6[Jours Mois]&amp;"/"&amp;Tableau6[[#Headers],[2023]],tabSuiviConso[Jour Mois Année],0)</f>
        <v>#N/A</v>
      </c>
      <c r="K78" s="102" t="e">
        <f>Tableau6[[#This Row],[Cumul 2022]]-Tableau6[[#This Row],[Cumul 2021]]</f>
        <v>#N/A</v>
      </c>
      <c r="L78" s="104" t="e">
        <f>Tableau6[[#This Row],[Ecart 2021 2022]]/Tableau6[[#This Row],[Cumul 2021]]</f>
        <v>#N/A</v>
      </c>
      <c r="M78" s="102" t="str">
        <f>IF(ISNA(Tableau6[[#This Row],[Position 2023]]),"",INDEX(tabSuiviConso[HP + HC
cumul],Tableau6[[#This Row],[Position 2023]],1))</f>
        <v/>
      </c>
      <c r="N78" s="123" t="e">
        <f>IF(ISNA(Tableau6[[#This Row],[Position 2023]]),Tableau6[[#This Row],[Position 2023]],Tableau6[[#This Row],[2023]]-M$2)</f>
        <v>#N/A</v>
      </c>
      <c r="O78" s="102" t="e">
        <f>Tableau6[[#This Row],[Cumul 2023]]-Tableau6[[#This Row],[Cumul 2022]]</f>
        <v>#N/A</v>
      </c>
      <c r="P78" s="104" t="e">
        <f>Tableau6[[#This Row],[Ecart 2022 2023]]/Tableau6[[#This Row],[Cumul 2022]]</f>
        <v>#N/A</v>
      </c>
      <c r="Q78" s="102" t="e">
        <f>MATCH(Tableau6[Jours Mois]&amp;"/"&amp;Tableau6[[#Headers],[2024]],tabSuiviConso[Jour Mois Année],0)</f>
        <v>#N/A</v>
      </c>
      <c r="R78" s="102" t="str">
        <f>IF(ISNA(Tableau6[[#This Row],[Position 2024]]),"",INDEX(tabSuiviConso[HP + HC
cumul],Tableau6[[#This Row],[Position 2024]],1))</f>
        <v/>
      </c>
      <c r="S78" s="123" t="e">
        <f>IF(ISNA(Tableau6[[#This Row],[Position 2024]]),Tableau6[[#This Row],[Position 2024]],Tableau6[[#This Row],[2024]]-R$2)</f>
        <v>#N/A</v>
      </c>
      <c r="T78" s="102" t="e">
        <f>Tableau6[[#This Row],[Cumul 2024]]-Tableau6[[#This Row],[Cumul 2023]]</f>
        <v>#N/A</v>
      </c>
      <c r="U78" s="103" t="e">
        <f>Tableau6[[#This Row],[Ecart 2023 2024]]/Tableau6[[#This Row],[Cumul 2023]]</f>
        <v>#N/A</v>
      </c>
    </row>
    <row r="79" spans="1:21" x14ac:dyDescent="0.2">
      <c r="A79" s="102">
        <v>3</v>
      </c>
      <c r="B79" s="102">
        <v>17</v>
      </c>
      <c r="C79" s="102" t="str">
        <f>Tableau6[Jour]&amp;"/"&amp;Tableau6[Mois]</f>
        <v>17/3</v>
      </c>
      <c r="D79" s="102" t="e">
        <f>MATCH(Tableau6[Jours Mois]&amp;"/"&amp;Tableau6[[#Headers],[2021]],tabSuiviConso[Jour Mois Année],0)</f>
        <v>#N/A</v>
      </c>
      <c r="E79" s="102" t="str">
        <f>IF(ISNA(Tableau6[[#This Row],[Position 2021]]),"",INDEX(tabSuiviConso[HP + HC
cumul],Tableau6[[#This Row],[Position 2021]],1))</f>
        <v/>
      </c>
      <c r="F79" s="123" t="e">
        <f>IF(ISNA(Tableau6[[#This Row],[Position 2021]]),Tableau6[[#This Row],[Position 2021]],Tableau6[[#This Row],[2021]]-E$2)</f>
        <v>#N/A</v>
      </c>
      <c r="G79" s="102" t="e">
        <f>MATCH(Tableau6[Jours Mois]&amp;"/"&amp;Tableau6[[#Headers],[2022]],tabSuiviConso[Jour Mois Année],0)</f>
        <v>#N/A</v>
      </c>
      <c r="H79" s="102" t="str">
        <f>IF(ISNA(Tableau6[[#This Row],[Position 2022]]),"",INDEX(tabSuiviConso[HP + HC
cumul],Tableau6[[#This Row],[Position 2022]],1))</f>
        <v/>
      </c>
      <c r="I79" s="123" t="e">
        <f>IF(ISNA(Tableau6[[#This Row],[Position 2022]]),Tableau6[[#This Row],[Position 2022]],Tableau6[[#This Row],[2022]]-H$2)</f>
        <v>#N/A</v>
      </c>
      <c r="J79" s="102" t="e">
        <f>MATCH(Tableau6[Jours Mois]&amp;"/"&amp;Tableau6[[#Headers],[2023]],tabSuiviConso[Jour Mois Année],0)</f>
        <v>#N/A</v>
      </c>
      <c r="K79" s="102" t="e">
        <f>Tableau6[[#This Row],[Cumul 2022]]-Tableau6[[#This Row],[Cumul 2021]]</f>
        <v>#N/A</v>
      </c>
      <c r="L79" s="104" t="e">
        <f>Tableau6[[#This Row],[Ecart 2021 2022]]/Tableau6[[#This Row],[Cumul 2021]]</f>
        <v>#N/A</v>
      </c>
      <c r="M79" s="102" t="str">
        <f>IF(ISNA(Tableau6[[#This Row],[Position 2023]]),"",INDEX(tabSuiviConso[HP + HC
cumul],Tableau6[[#This Row],[Position 2023]],1))</f>
        <v/>
      </c>
      <c r="N79" s="123" t="e">
        <f>IF(ISNA(Tableau6[[#This Row],[Position 2023]]),Tableau6[[#This Row],[Position 2023]],Tableau6[[#This Row],[2023]]-M$2)</f>
        <v>#N/A</v>
      </c>
      <c r="O79" s="102" t="e">
        <f>Tableau6[[#This Row],[Cumul 2023]]-Tableau6[[#This Row],[Cumul 2022]]</f>
        <v>#N/A</v>
      </c>
      <c r="P79" s="104" t="e">
        <f>Tableau6[[#This Row],[Ecart 2022 2023]]/Tableau6[[#This Row],[Cumul 2022]]</f>
        <v>#N/A</v>
      </c>
      <c r="Q79" s="102" t="e">
        <f>MATCH(Tableau6[Jours Mois]&amp;"/"&amp;Tableau6[[#Headers],[2024]],tabSuiviConso[Jour Mois Année],0)</f>
        <v>#N/A</v>
      </c>
      <c r="R79" s="102" t="str">
        <f>IF(ISNA(Tableau6[[#This Row],[Position 2024]]),"",INDEX(tabSuiviConso[HP + HC
cumul],Tableau6[[#This Row],[Position 2024]],1))</f>
        <v/>
      </c>
      <c r="S79" s="123" t="e">
        <f>IF(ISNA(Tableau6[[#This Row],[Position 2024]]),Tableau6[[#This Row],[Position 2024]],Tableau6[[#This Row],[2024]]-R$2)</f>
        <v>#N/A</v>
      </c>
      <c r="T79" s="102" t="e">
        <f>Tableau6[[#This Row],[Cumul 2024]]-Tableau6[[#This Row],[Cumul 2023]]</f>
        <v>#N/A</v>
      </c>
      <c r="U79" s="103" t="e">
        <f>Tableau6[[#This Row],[Ecart 2023 2024]]/Tableau6[[#This Row],[Cumul 2023]]</f>
        <v>#N/A</v>
      </c>
    </row>
    <row r="80" spans="1:21" x14ac:dyDescent="0.2">
      <c r="A80" s="102">
        <v>3</v>
      </c>
      <c r="B80" s="102">
        <v>18</v>
      </c>
      <c r="C80" s="102" t="str">
        <f>Tableau6[Jour]&amp;"/"&amp;Tableau6[Mois]</f>
        <v>18/3</v>
      </c>
      <c r="D80" s="102" t="e">
        <f>MATCH(Tableau6[Jours Mois]&amp;"/"&amp;Tableau6[[#Headers],[2021]],tabSuiviConso[Jour Mois Année],0)</f>
        <v>#N/A</v>
      </c>
      <c r="E80" s="102" t="str">
        <f>IF(ISNA(Tableau6[[#This Row],[Position 2021]]),"",INDEX(tabSuiviConso[HP + HC
cumul],Tableau6[[#This Row],[Position 2021]],1))</f>
        <v/>
      </c>
      <c r="F80" s="123" t="e">
        <f>IF(ISNA(Tableau6[[#This Row],[Position 2021]]),Tableau6[[#This Row],[Position 2021]],Tableau6[[#This Row],[2021]]-E$2)</f>
        <v>#N/A</v>
      </c>
      <c r="G80" s="102" t="e">
        <f>MATCH(Tableau6[Jours Mois]&amp;"/"&amp;Tableau6[[#Headers],[2022]],tabSuiviConso[Jour Mois Année],0)</f>
        <v>#N/A</v>
      </c>
      <c r="H80" s="102" t="str">
        <f>IF(ISNA(Tableau6[[#This Row],[Position 2022]]),"",INDEX(tabSuiviConso[HP + HC
cumul],Tableau6[[#This Row],[Position 2022]],1))</f>
        <v/>
      </c>
      <c r="I80" s="123" t="e">
        <f>IF(ISNA(Tableau6[[#This Row],[Position 2022]]),Tableau6[[#This Row],[Position 2022]],Tableau6[[#This Row],[2022]]-H$2)</f>
        <v>#N/A</v>
      </c>
      <c r="J80" s="102" t="e">
        <f>MATCH(Tableau6[Jours Mois]&amp;"/"&amp;Tableau6[[#Headers],[2023]],tabSuiviConso[Jour Mois Année],0)</f>
        <v>#N/A</v>
      </c>
      <c r="K80" s="102" t="e">
        <f>Tableau6[[#This Row],[Cumul 2022]]-Tableau6[[#This Row],[Cumul 2021]]</f>
        <v>#N/A</v>
      </c>
      <c r="L80" s="104" t="e">
        <f>Tableau6[[#This Row],[Ecart 2021 2022]]/Tableau6[[#This Row],[Cumul 2021]]</f>
        <v>#N/A</v>
      </c>
      <c r="M80" s="102" t="str">
        <f>IF(ISNA(Tableau6[[#This Row],[Position 2023]]),"",INDEX(tabSuiviConso[HP + HC
cumul],Tableau6[[#This Row],[Position 2023]],1))</f>
        <v/>
      </c>
      <c r="N80" s="123" t="e">
        <f>IF(ISNA(Tableau6[[#This Row],[Position 2023]]),Tableau6[[#This Row],[Position 2023]],Tableau6[[#This Row],[2023]]-M$2)</f>
        <v>#N/A</v>
      </c>
      <c r="O80" s="102" t="e">
        <f>Tableau6[[#This Row],[Cumul 2023]]-Tableau6[[#This Row],[Cumul 2022]]</f>
        <v>#N/A</v>
      </c>
      <c r="P80" s="104" t="e">
        <f>Tableau6[[#This Row],[Ecart 2022 2023]]/Tableau6[[#This Row],[Cumul 2022]]</f>
        <v>#N/A</v>
      </c>
      <c r="Q80" s="102" t="e">
        <f>MATCH(Tableau6[Jours Mois]&amp;"/"&amp;Tableau6[[#Headers],[2024]],tabSuiviConso[Jour Mois Année],0)</f>
        <v>#N/A</v>
      </c>
      <c r="R80" s="102" t="str">
        <f>IF(ISNA(Tableau6[[#This Row],[Position 2024]]),"",INDEX(tabSuiviConso[HP + HC
cumul],Tableau6[[#This Row],[Position 2024]],1))</f>
        <v/>
      </c>
      <c r="S80" s="123" t="e">
        <f>IF(ISNA(Tableau6[[#This Row],[Position 2024]]),Tableau6[[#This Row],[Position 2024]],Tableau6[[#This Row],[2024]]-R$2)</f>
        <v>#N/A</v>
      </c>
      <c r="T80" s="102" t="e">
        <f>Tableau6[[#This Row],[Cumul 2024]]-Tableau6[[#This Row],[Cumul 2023]]</f>
        <v>#N/A</v>
      </c>
      <c r="U80" s="103" t="e">
        <f>Tableau6[[#This Row],[Ecart 2023 2024]]/Tableau6[[#This Row],[Cumul 2023]]</f>
        <v>#N/A</v>
      </c>
    </row>
    <row r="81" spans="1:21" x14ac:dyDescent="0.2">
      <c r="A81" s="102">
        <v>3</v>
      </c>
      <c r="B81" s="102">
        <v>19</v>
      </c>
      <c r="C81" s="102" t="str">
        <f>Tableau6[Jour]&amp;"/"&amp;Tableau6[Mois]</f>
        <v>19/3</v>
      </c>
      <c r="D81" s="102" t="e">
        <f>MATCH(Tableau6[Jours Mois]&amp;"/"&amp;Tableau6[[#Headers],[2021]],tabSuiviConso[Jour Mois Année],0)</f>
        <v>#N/A</v>
      </c>
      <c r="E81" s="102" t="str">
        <f>IF(ISNA(Tableau6[[#This Row],[Position 2021]]),"",INDEX(tabSuiviConso[HP + HC
cumul],Tableau6[[#This Row],[Position 2021]],1))</f>
        <v/>
      </c>
      <c r="F81" s="123" t="e">
        <f>IF(ISNA(Tableau6[[#This Row],[Position 2021]]),Tableau6[[#This Row],[Position 2021]],Tableau6[[#This Row],[2021]]-E$2)</f>
        <v>#N/A</v>
      </c>
      <c r="G81" s="102" t="e">
        <f>MATCH(Tableau6[Jours Mois]&amp;"/"&amp;Tableau6[[#Headers],[2022]],tabSuiviConso[Jour Mois Année],0)</f>
        <v>#N/A</v>
      </c>
      <c r="H81" s="102" t="str">
        <f>IF(ISNA(Tableau6[[#This Row],[Position 2022]]),"",INDEX(tabSuiviConso[HP + HC
cumul],Tableau6[[#This Row],[Position 2022]],1))</f>
        <v/>
      </c>
      <c r="I81" s="123" t="e">
        <f>IF(ISNA(Tableau6[[#This Row],[Position 2022]]),Tableau6[[#This Row],[Position 2022]],Tableau6[[#This Row],[2022]]-H$2)</f>
        <v>#N/A</v>
      </c>
      <c r="J81" s="102" t="e">
        <f>MATCH(Tableau6[Jours Mois]&amp;"/"&amp;Tableau6[[#Headers],[2023]],tabSuiviConso[Jour Mois Année],0)</f>
        <v>#N/A</v>
      </c>
      <c r="K81" s="102" t="e">
        <f>Tableau6[[#This Row],[Cumul 2022]]-Tableau6[[#This Row],[Cumul 2021]]</f>
        <v>#N/A</v>
      </c>
      <c r="L81" s="104" t="e">
        <f>Tableau6[[#This Row],[Ecart 2021 2022]]/Tableau6[[#This Row],[Cumul 2021]]</f>
        <v>#N/A</v>
      </c>
      <c r="M81" s="102" t="str">
        <f>IF(ISNA(Tableau6[[#This Row],[Position 2023]]),"",INDEX(tabSuiviConso[HP + HC
cumul],Tableau6[[#This Row],[Position 2023]],1))</f>
        <v/>
      </c>
      <c r="N81" s="123" t="e">
        <f>IF(ISNA(Tableau6[[#This Row],[Position 2023]]),Tableau6[[#This Row],[Position 2023]],Tableau6[[#This Row],[2023]]-M$2)</f>
        <v>#N/A</v>
      </c>
      <c r="O81" s="102" t="e">
        <f>Tableau6[[#This Row],[Cumul 2023]]-Tableau6[[#This Row],[Cumul 2022]]</f>
        <v>#N/A</v>
      </c>
      <c r="P81" s="104" t="e">
        <f>Tableau6[[#This Row],[Ecart 2022 2023]]/Tableau6[[#This Row],[Cumul 2022]]</f>
        <v>#N/A</v>
      </c>
      <c r="Q81" s="102" t="e">
        <f>MATCH(Tableau6[Jours Mois]&amp;"/"&amp;Tableau6[[#Headers],[2024]],tabSuiviConso[Jour Mois Année],0)</f>
        <v>#N/A</v>
      </c>
      <c r="R81" s="102" t="str">
        <f>IF(ISNA(Tableau6[[#This Row],[Position 2024]]),"",INDEX(tabSuiviConso[HP + HC
cumul],Tableau6[[#This Row],[Position 2024]],1))</f>
        <v/>
      </c>
      <c r="S81" s="123" t="e">
        <f>IF(ISNA(Tableau6[[#This Row],[Position 2024]]),Tableau6[[#This Row],[Position 2024]],Tableau6[[#This Row],[2024]]-R$2)</f>
        <v>#N/A</v>
      </c>
      <c r="T81" s="102" t="e">
        <f>Tableau6[[#This Row],[Cumul 2024]]-Tableau6[[#This Row],[Cumul 2023]]</f>
        <v>#N/A</v>
      </c>
      <c r="U81" s="103" t="e">
        <f>Tableau6[[#This Row],[Ecart 2023 2024]]/Tableau6[[#This Row],[Cumul 2023]]</f>
        <v>#N/A</v>
      </c>
    </row>
    <row r="82" spans="1:21" x14ac:dyDescent="0.2">
      <c r="A82" s="102">
        <v>3</v>
      </c>
      <c r="B82" s="102">
        <v>20</v>
      </c>
      <c r="C82" s="102" t="str">
        <f>Tableau6[Jour]&amp;"/"&amp;Tableau6[Mois]</f>
        <v>20/3</v>
      </c>
      <c r="D82" s="102" t="e">
        <f>MATCH(Tableau6[Jours Mois]&amp;"/"&amp;Tableau6[[#Headers],[2021]],tabSuiviConso[Jour Mois Année],0)</f>
        <v>#N/A</v>
      </c>
      <c r="E82" s="102" t="str">
        <f>IF(ISNA(Tableau6[[#This Row],[Position 2021]]),"",INDEX(tabSuiviConso[HP + HC
cumul],Tableau6[[#This Row],[Position 2021]],1))</f>
        <v/>
      </c>
      <c r="F82" s="123" t="e">
        <f>IF(ISNA(Tableau6[[#This Row],[Position 2021]]),Tableau6[[#This Row],[Position 2021]],Tableau6[[#This Row],[2021]]-E$2)</f>
        <v>#N/A</v>
      </c>
      <c r="G82" s="102" t="e">
        <f>MATCH(Tableau6[Jours Mois]&amp;"/"&amp;Tableau6[[#Headers],[2022]],tabSuiviConso[Jour Mois Année],0)</f>
        <v>#N/A</v>
      </c>
      <c r="H82" s="102" t="str">
        <f>IF(ISNA(Tableau6[[#This Row],[Position 2022]]),"",INDEX(tabSuiviConso[HP + HC
cumul],Tableau6[[#This Row],[Position 2022]],1))</f>
        <v/>
      </c>
      <c r="I82" s="123" t="e">
        <f>IF(ISNA(Tableau6[[#This Row],[Position 2022]]),Tableau6[[#This Row],[Position 2022]],Tableau6[[#This Row],[2022]]-H$2)</f>
        <v>#N/A</v>
      </c>
      <c r="J82" s="102" t="e">
        <f>MATCH(Tableau6[Jours Mois]&amp;"/"&amp;Tableau6[[#Headers],[2023]],tabSuiviConso[Jour Mois Année],0)</f>
        <v>#N/A</v>
      </c>
      <c r="K82" s="102" t="e">
        <f>Tableau6[[#This Row],[Cumul 2022]]-Tableau6[[#This Row],[Cumul 2021]]</f>
        <v>#N/A</v>
      </c>
      <c r="L82" s="104" t="e">
        <f>Tableau6[[#This Row],[Ecart 2021 2022]]/Tableau6[[#This Row],[Cumul 2021]]</f>
        <v>#N/A</v>
      </c>
      <c r="M82" s="102" t="str">
        <f>IF(ISNA(Tableau6[[#This Row],[Position 2023]]),"",INDEX(tabSuiviConso[HP + HC
cumul],Tableau6[[#This Row],[Position 2023]],1))</f>
        <v/>
      </c>
      <c r="N82" s="123" t="e">
        <f>IF(ISNA(Tableau6[[#This Row],[Position 2023]]),Tableau6[[#This Row],[Position 2023]],Tableau6[[#This Row],[2023]]-M$2)</f>
        <v>#N/A</v>
      </c>
      <c r="O82" s="102" t="e">
        <f>Tableau6[[#This Row],[Cumul 2023]]-Tableau6[[#This Row],[Cumul 2022]]</f>
        <v>#N/A</v>
      </c>
      <c r="P82" s="104" t="e">
        <f>Tableau6[[#This Row],[Ecart 2022 2023]]/Tableau6[[#This Row],[Cumul 2022]]</f>
        <v>#N/A</v>
      </c>
      <c r="Q82" s="102" t="e">
        <f>MATCH(Tableau6[Jours Mois]&amp;"/"&amp;Tableau6[[#Headers],[2024]],tabSuiviConso[Jour Mois Année],0)</f>
        <v>#N/A</v>
      </c>
      <c r="R82" s="102" t="str">
        <f>IF(ISNA(Tableau6[[#This Row],[Position 2024]]),"",INDEX(tabSuiviConso[HP + HC
cumul],Tableau6[[#This Row],[Position 2024]],1))</f>
        <v/>
      </c>
      <c r="S82" s="123" t="e">
        <f>IF(ISNA(Tableau6[[#This Row],[Position 2024]]),Tableau6[[#This Row],[Position 2024]],Tableau6[[#This Row],[2024]]-R$2)</f>
        <v>#N/A</v>
      </c>
      <c r="T82" s="102" t="e">
        <f>Tableau6[[#This Row],[Cumul 2024]]-Tableau6[[#This Row],[Cumul 2023]]</f>
        <v>#N/A</v>
      </c>
      <c r="U82" s="103" t="e">
        <f>Tableau6[[#This Row],[Ecart 2023 2024]]/Tableau6[[#This Row],[Cumul 2023]]</f>
        <v>#N/A</v>
      </c>
    </row>
    <row r="83" spans="1:21" x14ac:dyDescent="0.2">
      <c r="A83" s="102">
        <v>3</v>
      </c>
      <c r="B83" s="102">
        <v>21</v>
      </c>
      <c r="C83" s="102" t="str">
        <f>Tableau6[Jour]&amp;"/"&amp;Tableau6[Mois]</f>
        <v>21/3</v>
      </c>
      <c r="D83" s="102" t="e">
        <f>MATCH(Tableau6[Jours Mois]&amp;"/"&amp;Tableau6[[#Headers],[2021]],tabSuiviConso[Jour Mois Année],0)</f>
        <v>#N/A</v>
      </c>
      <c r="E83" s="102" t="str">
        <f>IF(ISNA(Tableau6[[#This Row],[Position 2021]]),"",INDEX(tabSuiviConso[HP + HC
cumul],Tableau6[[#This Row],[Position 2021]],1))</f>
        <v/>
      </c>
      <c r="F83" s="123" t="e">
        <f>IF(ISNA(Tableau6[[#This Row],[Position 2021]]),Tableau6[[#This Row],[Position 2021]],Tableau6[[#This Row],[2021]]-E$2)</f>
        <v>#N/A</v>
      </c>
      <c r="G83" s="102" t="e">
        <f>MATCH(Tableau6[Jours Mois]&amp;"/"&amp;Tableau6[[#Headers],[2022]],tabSuiviConso[Jour Mois Année],0)</f>
        <v>#N/A</v>
      </c>
      <c r="H83" s="102" t="str">
        <f>IF(ISNA(Tableau6[[#This Row],[Position 2022]]),"",INDEX(tabSuiviConso[HP + HC
cumul],Tableau6[[#This Row],[Position 2022]],1))</f>
        <v/>
      </c>
      <c r="I83" s="123" t="e">
        <f>IF(ISNA(Tableau6[[#This Row],[Position 2022]]),Tableau6[[#This Row],[Position 2022]],Tableau6[[#This Row],[2022]]-H$2)</f>
        <v>#N/A</v>
      </c>
      <c r="J83" s="102" t="e">
        <f>MATCH(Tableau6[Jours Mois]&amp;"/"&amp;Tableau6[[#Headers],[2023]],tabSuiviConso[Jour Mois Année],0)</f>
        <v>#N/A</v>
      </c>
      <c r="K83" s="102" t="e">
        <f>Tableau6[[#This Row],[Cumul 2022]]-Tableau6[[#This Row],[Cumul 2021]]</f>
        <v>#N/A</v>
      </c>
      <c r="L83" s="104" t="e">
        <f>Tableau6[[#This Row],[Ecart 2021 2022]]/Tableau6[[#This Row],[Cumul 2021]]</f>
        <v>#N/A</v>
      </c>
      <c r="M83" s="102" t="str">
        <f>IF(ISNA(Tableau6[[#This Row],[Position 2023]]),"",INDEX(tabSuiviConso[HP + HC
cumul],Tableau6[[#This Row],[Position 2023]],1))</f>
        <v/>
      </c>
      <c r="N83" s="123" t="e">
        <f>IF(ISNA(Tableau6[[#This Row],[Position 2023]]),Tableau6[[#This Row],[Position 2023]],Tableau6[[#This Row],[2023]]-M$2)</f>
        <v>#N/A</v>
      </c>
      <c r="O83" s="102" t="e">
        <f>Tableau6[[#This Row],[Cumul 2023]]-Tableau6[[#This Row],[Cumul 2022]]</f>
        <v>#N/A</v>
      </c>
      <c r="P83" s="104" t="e">
        <f>Tableau6[[#This Row],[Ecart 2022 2023]]/Tableau6[[#This Row],[Cumul 2022]]</f>
        <v>#N/A</v>
      </c>
      <c r="Q83" s="102" t="e">
        <f>MATCH(Tableau6[Jours Mois]&amp;"/"&amp;Tableau6[[#Headers],[2024]],tabSuiviConso[Jour Mois Année],0)</f>
        <v>#N/A</v>
      </c>
      <c r="R83" s="102" t="str">
        <f>IF(ISNA(Tableau6[[#This Row],[Position 2024]]),"",INDEX(tabSuiviConso[HP + HC
cumul],Tableau6[[#This Row],[Position 2024]],1))</f>
        <v/>
      </c>
      <c r="S83" s="123" t="e">
        <f>IF(ISNA(Tableau6[[#This Row],[Position 2024]]),Tableau6[[#This Row],[Position 2024]],Tableau6[[#This Row],[2024]]-R$2)</f>
        <v>#N/A</v>
      </c>
      <c r="T83" s="102" t="e">
        <f>Tableau6[[#This Row],[Cumul 2024]]-Tableau6[[#This Row],[Cumul 2023]]</f>
        <v>#N/A</v>
      </c>
      <c r="U83" s="103" t="e">
        <f>Tableau6[[#This Row],[Ecart 2023 2024]]/Tableau6[[#This Row],[Cumul 2023]]</f>
        <v>#N/A</v>
      </c>
    </row>
    <row r="84" spans="1:21" x14ac:dyDescent="0.2">
      <c r="A84" s="102">
        <v>3</v>
      </c>
      <c r="B84" s="102">
        <v>22</v>
      </c>
      <c r="C84" s="102" t="str">
        <f>Tableau6[Jour]&amp;"/"&amp;Tableau6[Mois]</f>
        <v>22/3</v>
      </c>
      <c r="D84" s="102" t="e">
        <f>MATCH(Tableau6[Jours Mois]&amp;"/"&amp;Tableau6[[#Headers],[2021]],tabSuiviConso[Jour Mois Année],0)</f>
        <v>#N/A</v>
      </c>
      <c r="E84" s="102" t="str">
        <f>IF(ISNA(Tableau6[[#This Row],[Position 2021]]),"",INDEX(tabSuiviConso[HP + HC
cumul],Tableau6[[#This Row],[Position 2021]],1))</f>
        <v/>
      </c>
      <c r="F84" s="123" t="e">
        <f>IF(ISNA(Tableau6[[#This Row],[Position 2021]]),Tableau6[[#This Row],[Position 2021]],Tableau6[[#This Row],[2021]]-E$2)</f>
        <v>#N/A</v>
      </c>
      <c r="G84" s="102" t="e">
        <f>MATCH(Tableau6[Jours Mois]&amp;"/"&amp;Tableau6[[#Headers],[2022]],tabSuiviConso[Jour Mois Année],0)</f>
        <v>#N/A</v>
      </c>
      <c r="H84" s="102" t="str">
        <f>IF(ISNA(Tableau6[[#This Row],[Position 2022]]),"",INDEX(tabSuiviConso[HP + HC
cumul],Tableau6[[#This Row],[Position 2022]],1))</f>
        <v/>
      </c>
      <c r="I84" s="123" t="e">
        <f>IF(ISNA(Tableau6[[#This Row],[Position 2022]]),Tableau6[[#This Row],[Position 2022]],Tableau6[[#This Row],[2022]]-H$2)</f>
        <v>#N/A</v>
      </c>
      <c r="J84" s="102" t="e">
        <f>MATCH(Tableau6[Jours Mois]&amp;"/"&amp;Tableau6[[#Headers],[2023]],tabSuiviConso[Jour Mois Année],0)</f>
        <v>#N/A</v>
      </c>
      <c r="K84" s="102" t="e">
        <f>Tableau6[[#This Row],[Cumul 2022]]-Tableau6[[#This Row],[Cumul 2021]]</f>
        <v>#N/A</v>
      </c>
      <c r="L84" s="104" t="e">
        <f>Tableau6[[#This Row],[Ecart 2021 2022]]/Tableau6[[#This Row],[Cumul 2021]]</f>
        <v>#N/A</v>
      </c>
      <c r="M84" s="102" t="str">
        <f>IF(ISNA(Tableau6[[#This Row],[Position 2023]]),"",INDEX(tabSuiviConso[HP + HC
cumul],Tableau6[[#This Row],[Position 2023]],1))</f>
        <v/>
      </c>
      <c r="N84" s="123" t="e">
        <f>IF(ISNA(Tableau6[[#This Row],[Position 2023]]),Tableau6[[#This Row],[Position 2023]],Tableau6[[#This Row],[2023]]-M$2)</f>
        <v>#N/A</v>
      </c>
      <c r="O84" s="102" t="e">
        <f>Tableau6[[#This Row],[Cumul 2023]]-Tableau6[[#This Row],[Cumul 2022]]</f>
        <v>#N/A</v>
      </c>
      <c r="P84" s="104" t="e">
        <f>Tableau6[[#This Row],[Ecart 2022 2023]]/Tableau6[[#This Row],[Cumul 2022]]</f>
        <v>#N/A</v>
      </c>
      <c r="Q84" s="102" t="e">
        <f>MATCH(Tableau6[Jours Mois]&amp;"/"&amp;Tableau6[[#Headers],[2024]],tabSuiviConso[Jour Mois Année],0)</f>
        <v>#N/A</v>
      </c>
      <c r="R84" s="102" t="str">
        <f>IF(ISNA(Tableau6[[#This Row],[Position 2024]]),"",INDEX(tabSuiviConso[HP + HC
cumul],Tableau6[[#This Row],[Position 2024]],1))</f>
        <v/>
      </c>
      <c r="S84" s="123" t="e">
        <f>IF(ISNA(Tableau6[[#This Row],[Position 2024]]),Tableau6[[#This Row],[Position 2024]],Tableau6[[#This Row],[2024]]-R$2)</f>
        <v>#N/A</v>
      </c>
      <c r="T84" s="102" t="e">
        <f>Tableau6[[#This Row],[Cumul 2024]]-Tableau6[[#This Row],[Cumul 2023]]</f>
        <v>#N/A</v>
      </c>
      <c r="U84" s="103" t="e">
        <f>Tableau6[[#This Row],[Ecart 2023 2024]]/Tableau6[[#This Row],[Cumul 2023]]</f>
        <v>#N/A</v>
      </c>
    </row>
    <row r="85" spans="1:21" x14ac:dyDescent="0.2">
      <c r="A85" s="102">
        <v>3</v>
      </c>
      <c r="B85" s="102">
        <v>23</v>
      </c>
      <c r="C85" s="102" t="str">
        <f>Tableau6[Jour]&amp;"/"&amp;Tableau6[Mois]</f>
        <v>23/3</v>
      </c>
      <c r="D85" s="102" t="e">
        <f>MATCH(Tableau6[Jours Mois]&amp;"/"&amp;Tableau6[[#Headers],[2021]],tabSuiviConso[Jour Mois Année],0)</f>
        <v>#N/A</v>
      </c>
      <c r="E85" s="102" t="str">
        <f>IF(ISNA(Tableau6[[#This Row],[Position 2021]]),"",INDEX(tabSuiviConso[HP + HC
cumul],Tableau6[[#This Row],[Position 2021]],1))</f>
        <v/>
      </c>
      <c r="F85" s="123" t="e">
        <f>IF(ISNA(Tableau6[[#This Row],[Position 2021]]),Tableau6[[#This Row],[Position 2021]],Tableau6[[#This Row],[2021]]-E$2)</f>
        <v>#N/A</v>
      </c>
      <c r="G85" s="102" t="e">
        <f>MATCH(Tableau6[Jours Mois]&amp;"/"&amp;Tableau6[[#Headers],[2022]],tabSuiviConso[Jour Mois Année],0)</f>
        <v>#N/A</v>
      </c>
      <c r="H85" s="102" t="str">
        <f>IF(ISNA(Tableau6[[#This Row],[Position 2022]]),"",INDEX(tabSuiviConso[HP + HC
cumul],Tableau6[[#This Row],[Position 2022]],1))</f>
        <v/>
      </c>
      <c r="I85" s="123" t="e">
        <f>IF(ISNA(Tableau6[[#This Row],[Position 2022]]),Tableau6[[#This Row],[Position 2022]],Tableau6[[#This Row],[2022]]-H$2)</f>
        <v>#N/A</v>
      </c>
      <c r="J85" s="102" t="e">
        <f>MATCH(Tableau6[Jours Mois]&amp;"/"&amp;Tableau6[[#Headers],[2023]],tabSuiviConso[Jour Mois Année],0)</f>
        <v>#N/A</v>
      </c>
      <c r="K85" s="102" t="e">
        <f>Tableau6[[#This Row],[Cumul 2022]]-Tableau6[[#This Row],[Cumul 2021]]</f>
        <v>#N/A</v>
      </c>
      <c r="L85" s="104" t="e">
        <f>Tableau6[[#This Row],[Ecart 2021 2022]]/Tableau6[[#This Row],[Cumul 2021]]</f>
        <v>#N/A</v>
      </c>
      <c r="M85" s="102" t="str">
        <f>IF(ISNA(Tableau6[[#This Row],[Position 2023]]),"",INDEX(tabSuiviConso[HP + HC
cumul],Tableau6[[#This Row],[Position 2023]],1))</f>
        <v/>
      </c>
      <c r="N85" s="123" t="e">
        <f>IF(ISNA(Tableau6[[#This Row],[Position 2023]]),Tableau6[[#This Row],[Position 2023]],Tableau6[[#This Row],[2023]]-M$2)</f>
        <v>#N/A</v>
      </c>
      <c r="O85" s="102" t="e">
        <f>Tableau6[[#This Row],[Cumul 2023]]-Tableau6[[#This Row],[Cumul 2022]]</f>
        <v>#N/A</v>
      </c>
      <c r="P85" s="104" t="e">
        <f>Tableau6[[#This Row],[Ecart 2022 2023]]/Tableau6[[#This Row],[Cumul 2022]]</f>
        <v>#N/A</v>
      </c>
      <c r="Q85" s="102" t="e">
        <f>MATCH(Tableau6[Jours Mois]&amp;"/"&amp;Tableau6[[#Headers],[2024]],tabSuiviConso[Jour Mois Année],0)</f>
        <v>#N/A</v>
      </c>
      <c r="R85" s="102" t="str">
        <f>IF(ISNA(Tableau6[[#This Row],[Position 2024]]),"",INDEX(tabSuiviConso[HP + HC
cumul],Tableau6[[#This Row],[Position 2024]],1))</f>
        <v/>
      </c>
      <c r="S85" s="123" t="e">
        <f>IF(ISNA(Tableau6[[#This Row],[Position 2024]]),Tableau6[[#This Row],[Position 2024]],Tableau6[[#This Row],[2024]]-R$2)</f>
        <v>#N/A</v>
      </c>
      <c r="T85" s="102" t="e">
        <f>Tableau6[[#This Row],[Cumul 2024]]-Tableau6[[#This Row],[Cumul 2023]]</f>
        <v>#N/A</v>
      </c>
      <c r="U85" s="103" t="e">
        <f>Tableau6[[#This Row],[Ecart 2023 2024]]/Tableau6[[#This Row],[Cumul 2023]]</f>
        <v>#N/A</v>
      </c>
    </row>
    <row r="86" spans="1:21" x14ac:dyDescent="0.2">
      <c r="A86" s="102">
        <v>3</v>
      </c>
      <c r="B86" s="102">
        <v>24</v>
      </c>
      <c r="C86" s="102" t="str">
        <f>Tableau6[Jour]&amp;"/"&amp;Tableau6[Mois]</f>
        <v>24/3</v>
      </c>
      <c r="D86" s="102" t="e">
        <f>MATCH(Tableau6[Jours Mois]&amp;"/"&amp;Tableau6[[#Headers],[2021]],tabSuiviConso[Jour Mois Année],0)</f>
        <v>#N/A</v>
      </c>
      <c r="E86" s="102" t="str">
        <f>IF(ISNA(Tableau6[[#This Row],[Position 2021]]),"",INDEX(tabSuiviConso[HP + HC
cumul],Tableau6[[#This Row],[Position 2021]],1))</f>
        <v/>
      </c>
      <c r="F86" s="123" t="e">
        <f>IF(ISNA(Tableau6[[#This Row],[Position 2021]]),Tableau6[[#This Row],[Position 2021]],Tableau6[[#This Row],[2021]]-E$2)</f>
        <v>#N/A</v>
      </c>
      <c r="G86" s="102" t="e">
        <f>MATCH(Tableau6[Jours Mois]&amp;"/"&amp;Tableau6[[#Headers],[2022]],tabSuiviConso[Jour Mois Année],0)</f>
        <v>#N/A</v>
      </c>
      <c r="H86" s="102" t="str">
        <f>IF(ISNA(Tableau6[[#This Row],[Position 2022]]),"",INDEX(tabSuiviConso[HP + HC
cumul],Tableau6[[#This Row],[Position 2022]],1))</f>
        <v/>
      </c>
      <c r="I86" s="123" t="e">
        <f>IF(ISNA(Tableau6[[#This Row],[Position 2022]]),Tableau6[[#This Row],[Position 2022]],Tableau6[[#This Row],[2022]]-H$2)</f>
        <v>#N/A</v>
      </c>
      <c r="J86" s="102" t="e">
        <f>MATCH(Tableau6[Jours Mois]&amp;"/"&amp;Tableau6[[#Headers],[2023]],tabSuiviConso[Jour Mois Année],0)</f>
        <v>#N/A</v>
      </c>
      <c r="K86" s="102" t="e">
        <f>Tableau6[[#This Row],[Cumul 2022]]-Tableau6[[#This Row],[Cumul 2021]]</f>
        <v>#N/A</v>
      </c>
      <c r="L86" s="104" t="e">
        <f>Tableau6[[#This Row],[Ecart 2021 2022]]/Tableau6[[#This Row],[Cumul 2021]]</f>
        <v>#N/A</v>
      </c>
      <c r="M86" s="102" t="str">
        <f>IF(ISNA(Tableau6[[#This Row],[Position 2023]]),"",INDEX(tabSuiviConso[HP + HC
cumul],Tableau6[[#This Row],[Position 2023]],1))</f>
        <v/>
      </c>
      <c r="N86" s="123" t="e">
        <f>IF(ISNA(Tableau6[[#This Row],[Position 2023]]),Tableau6[[#This Row],[Position 2023]],Tableau6[[#This Row],[2023]]-M$2)</f>
        <v>#N/A</v>
      </c>
      <c r="O86" s="102" t="e">
        <f>Tableau6[[#This Row],[Cumul 2023]]-Tableau6[[#This Row],[Cumul 2022]]</f>
        <v>#N/A</v>
      </c>
      <c r="P86" s="104" t="e">
        <f>Tableau6[[#This Row],[Ecart 2022 2023]]/Tableau6[[#This Row],[Cumul 2022]]</f>
        <v>#N/A</v>
      </c>
      <c r="Q86" s="102" t="e">
        <f>MATCH(Tableau6[Jours Mois]&amp;"/"&amp;Tableau6[[#Headers],[2024]],tabSuiviConso[Jour Mois Année],0)</f>
        <v>#N/A</v>
      </c>
      <c r="R86" s="102" t="str">
        <f>IF(ISNA(Tableau6[[#This Row],[Position 2024]]),"",INDEX(tabSuiviConso[HP + HC
cumul],Tableau6[[#This Row],[Position 2024]],1))</f>
        <v/>
      </c>
      <c r="S86" s="123" t="e">
        <f>IF(ISNA(Tableau6[[#This Row],[Position 2024]]),Tableau6[[#This Row],[Position 2024]],Tableau6[[#This Row],[2024]]-R$2)</f>
        <v>#N/A</v>
      </c>
      <c r="T86" s="102" t="e">
        <f>Tableau6[[#This Row],[Cumul 2024]]-Tableau6[[#This Row],[Cumul 2023]]</f>
        <v>#N/A</v>
      </c>
      <c r="U86" s="103" t="e">
        <f>Tableau6[[#This Row],[Ecart 2023 2024]]/Tableau6[[#This Row],[Cumul 2023]]</f>
        <v>#N/A</v>
      </c>
    </row>
    <row r="87" spans="1:21" x14ac:dyDescent="0.2">
      <c r="A87" s="102">
        <v>3</v>
      </c>
      <c r="B87" s="102">
        <v>25</v>
      </c>
      <c r="C87" s="102" t="str">
        <f>Tableau6[Jour]&amp;"/"&amp;Tableau6[Mois]</f>
        <v>25/3</v>
      </c>
      <c r="D87" s="102" t="e">
        <f>MATCH(Tableau6[Jours Mois]&amp;"/"&amp;Tableau6[[#Headers],[2021]],tabSuiviConso[Jour Mois Année],0)</f>
        <v>#N/A</v>
      </c>
      <c r="E87" s="102" t="str">
        <f>IF(ISNA(Tableau6[[#This Row],[Position 2021]]),"",INDEX(tabSuiviConso[HP + HC
cumul],Tableau6[[#This Row],[Position 2021]],1))</f>
        <v/>
      </c>
      <c r="F87" s="123" t="e">
        <f>IF(ISNA(Tableau6[[#This Row],[Position 2021]]),Tableau6[[#This Row],[Position 2021]],Tableau6[[#This Row],[2021]]-E$2)</f>
        <v>#N/A</v>
      </c>
      <c r="G87" s="102" t="e">
        <f>MATCH(Tableau6[Jours Mois]&amp;"/"&amp;Tableau6[[#Headers],[2022]],tabSuiviConso[Jour Mois Année],0)</f>
        <v>#N/A</v>
      </c>
      <c r="H87" s="102" t="str">
        <f>IF(ISNA(Tableau6[[#This Row],[Position 2022]]),"",INDEX(tabSuiviConso[HP + HC
cumul],Tableau6[[#This Row],[Position 2022]],1))</f>
        <v/>
      </c>
      <c r="I87" s="123" t="e">
        <f>IF(ISNA(Tableau6[[#This Row],[Position 2022]]),Tableau6[[#This Row],[Position 2022]],Tableau6[[#This Row],[2022]]-H$2)</f>
        <v>#N/A</v>
      </c>
      <c r="J87" s="102" t="e">
        <f>MATCH(Tableau6[Jours Mois]&amp;"/"&amp;Tableau6[[#Headers],[2023]],tabSuiviConso[Jour Mois Année],0)</f>
        <v>#N/A</v>
      </c>
      <c r="K87" s="102" t="e">
        <f>Tableau6[[#This Row],[Cumul 2022]]-Tableau6[[#This Row],[Cumul 2021]]</f>
        <v>#N/A</v>
      </c>
      <c r="L87" s="104" t="e">
        <f>Tableau6[[#This Row],[Ecart 2021 2022]]/Tableau6[[#This Row],[Cumul 2021]]</f>
        <v>#N/A</v>
      </c>
      <c r="M87" s="102" t="str">
        <f>IF(ISNA(Tableau6[[#This Row],[Position 2023]]),"",INDEX(tabSuiviConso[HP + HC
cumul],Tableau6[[#This Row],[Position 2023]],1))</f>
        <v/>
      </c>
      <c r="N87" s="123" t="e">
        <f>IF(ISNA(Tableau6[[#This Row],[Position 2023]]),Tableau6[[#This Row],[Position 2023]],Tableau6[[#This Row],[2023]]-M$2)</f>
        <v>#N/A</v>
      </c>
      <c r="O87" s="102" t="e">
        <f>Tableau6[[#This Row],[Cumul 2023]]-Tableau6[[#This Row],[Cumul 2022]]</f>
        <v>#N/A</v>
      </c>
      <c r="P87" s="104" t="e">
        <f>Tableau6[[#This Row],[Ecart 2022 2023]]/Tableau6[[#This Row],[Cumul 2022]]</f>
        <v>#N/A</v>
      </c>
      <c r="Q87" s="102" t="e">
        <f>MATCH(Tableau6[Jours Mois]&amp;"/"&amp;Tableau6[[#Headers],[2024]],tabSuiviConso[Jour Mois Année],0)</f>
        <v>#N/A</v>
      </c>
      <c r="R87" s="102" t="str">
        <f>IF(ISNA(Tableau6[[#This Row],[Position 2024]]),"",INDEX(tabSuiviConso[HP + HC
cumul],Tableau6[[#This Row],[Position 2024]],1))</f>
        <v/>
      </c>
      <c r="S87" s="123" t="e">
        <f>IF(ISNA(Tableau6[[#This Row],[Position 2024]]),Tableau6[[#This Row],[Position 2024]],Tableau6[[#This Row],[2024]]-R$2)</f>
        <v>#N/A</v>
      </c>
      <c r="T87" s="102" t="e">
        <f>Tableau6[[#This Row],[Cumul 2024]]-Tableau6[[#This Row],[Cumul 2023]]</f>
        <v>#N/A</v>
      </c>
      <c r="U87" s="103" t="e">
        <f>Tableau6[[#This Row],[Ecart 2023 2024]]/Tableau6[[#This Row],[Cumul 2023]]</f>
        <v>#N/A</v>
      </c>
    </row>
    <row r="88" spans="1:21" x14ac:dyDescent="0.2">
      <c r="A88" s="102">
        <v>3</v>
      </c>
      <c r="B88" s="102">
        <v>26</v>
      </c>
      <c r="C88" s="102" t="str">
        <f>Tableau6[Jour]&amp;"/"&amp;Tableau6[Mois]</f>
        <v>26/3</v>
      </c>
      <c r="D88" s="102" t="e">
        <f>MATCH(Tableau6[Jours Mois]&amp;"/"&amp;Tableau6[[#Headers],[2021]],tabSuiviConso[Jour Mois Année],0)</f>
        <v>#N/A</v>
      </c>
      <c r="E88" s="102" t="str">
        <f>IF(ISNA(Tableau6[[#This Row],[Position 2021]]),"",INDEX(tabSuiviConso[HP + HC
cumul],Tableau6[[#This Row],[Position 2021]],1))</f>
        <v/>
      </c>
      <c r="F88" s="123" t="e">
        <f>IF(ISNA(Tableau6[[#This Row],[Position 2021]]),Tableau6[[#This Row],[Position 2021]],Tableau6[[#This Row],[2021]]-E$2)</f>
        <v>#N/A</v>
      </c>
      <c r="G88" s="102" t="e">
        <f>MATCH(Tableau6[Jours Mois]&amp;"/"&amp;Tableau6[[#Headers],[2022]],tabSuiviConso[Jour Mois Année],0)</f>
        <v>#N/A</v>
      </c>
      <c r="H88" s="102" t="str">
        <f>IF(ISNA(Tableau6[[#This Row],[Position 2022]]),"",INDEX(tabSuiviConso[HP + HC
cumul],Tableau6[[#This Row],[Position 2022]],1))</f>
        <v/>
      </c>
      <c r="I88" s="123" t="e">
        <f>IF(ISNA(Tableau6[[#This Row],[Position 2022]]),Tableau6[[#This Row],[Position 2022]],Tableau6[[#This Row],[2022]]-H$2)</f>
        <v>#N/A</v>
      </c>
      <c r="J88" s="102" t="e">
        <f>MATCH(Tableau6[Jours Mois]&amp;"/"&amp;Tableau6[[#Headers],[2023]],tabSuiviConso[Jour Mois Année],0)</f>
        <v>#N/A</v>
      </c>
      <c r="K88" s="102" t="e">
        <f>Tableau6[[#This Row],[Cumul 2022]]-Tableau6[[#This Row],[Cumul 2021]]</f>
        <v>#N/A</v>
      </c>
      <c r="L88" s="104" t="e">
        <f>Tableau6[[#This Row],[Ecart 2021 2022]]/Tableau6[[#This Row],[Cumul 2021]]</f>
        <v>#N/A</v>
      </c>
      <c r="M88" s="102" t="str">
        <f>IF(ISNA(Tableau6[[#This Row],[Position 2023]]),"",INDEX(tabSuiviConso[HP + HC
cumul],Tableau6[[#This Row],[Position 2023]],1))</f>
        <v/>
      </c>
      <c r="N88" s="123" t="e">
        <f>IF(ISNA(Tableau6[[#This Row],[Position 2023]]),Tableau6[[#This Row],[Position 2023]],Tableau6[[#This Row],[2023]]-M$2)</f>
        <v>#N/A</v>
      </c>
      <c r="O88" s="102" t="e">
        <f>Tableau6[[#This Row],[Cumul 2023]]-Tableau6[[#This Row],[Cumul 2022]]</f>
        <v>#N/A</v>
      </c>
      <c r="P88" s="104" t="e">
        <f>Tableau6[[#This Row],[Ecart 2022 2023]]/Tableau6[[#This Row],[Cumul 2022]]</f>
        <v>#N/A</v>
      </c>
      <c r="Q88" s="102" t="e">
        <f>MATCH(Tableau6[Jours Mois]&amp;"/"&amp;Tableau6[[#Headers],[2024]],tabSuiviConso[Jour Mois Année],0)</f>
        <v>#N/A</v>
      </c>
      <c r="R88" s="102" t="str">
        <f>IF(ISNA(Tableau6[[#This Row],[Position 2024]]),"",INDEX(tabSuiviConso[HP + HC
cumul],Tableau6[[#This Row],[Position 2024]],1))</f>
        <v/>
      </c>
      <c r="S88" s="123" t="e">
        <f>IF(ISNA(Tableau6[[#This Row],[Position 2024]]),Tableau6[[#This Row],[Position 2024]],Tableau6[[#This Row],[2024]]-R$2)</f>
        <v>#N/A</v>
      </c>
      <c r="T88" s="102" t="e">
        <f>Tableau6[[#This Row],[Cumul 2024]]-Tableau6[[#This Row],[Cumul 2023]]</f>
        <v>#N/A</v>
      </c>
      <c r="U88" s="103" t="e">
        <f>Tableau6[[#This Row],[Ecart 2023 2024]]/Tableau6[[#This Row],[Cumul 2023]]</f>
        <v>#N/A</v>
      </c>
    </row>
    <row r="89" spans="1:21" x14ac:dyDescent="0.2">
      <c r="A89" s="102">
        <v>3</v>
      </c>
      <c r="B89" s="102">
        <v>27</v>
      </c>
      <c r="C89" s="102" t="str">
        <f>Tableau6[Jour]&amp;"/"&amp;Tableau6[Mois]</f>
        <v>27/3</v>
      </c>
      <c r="D89" s="102" t="e">
        <f>MATCH(Tableau6[Jours Mois]&amp;"/"&amp;Tableau6[[#Headers],[2021]],tabSuiviConso[Jour Mois Année],0)</f>
        <v>#N/A</v>
      </c>
      <c r="E89" s="102" t="str">
        <f>IF(ISNA(Tableau6[[#This Row],[Position 2021]]),"",INDEX(tabSuiviConso[HP + HC
cumul],Tableau6[[#This Row],[Position 2021]],1))</f>
        <v/>
      </c>
      <c r="F89" s="123" t="e">
        <f>IF(ISNA(Tableau6[[#This Row],[Position 2021]]),Tableau6[[#This Row],[Position 2021]],Tableau6[[#This Row],[2021]]-E$2)</f>
        <v>#N/A</v>
      </c>
      <c r="G89" s="102" t="e">
        <f>MATCH(Tableau6[Jours Mois]&amp;"/"&amp;Tableau6[[#Headers],[2022]],tabSuiviConso[Jour Mois Année],0)</f>
        <v>#N/A</v>
      </c>
      <c r="H89" s="102" t="str">
        <f>IF(ISNA(Tableau6[[#This Row],[Position 2022]]),"",INDEX(tabSuiviConso[HP + HC
cumul],Tableau6[[#This Row],[Position 2022]],1))</f>
        <v/>
      </c>
      <c r="I89" s="123" t="e">
        <f>IF(ISNA(Tableau6[[#This Row],[Position 2022]]),Tableau6[[#This Row],[Position 2022]],Tableau6[[#This Row],[2022]]-H$2)</f>
        <v>#N/A</v>
      </c>
      <c r="J89" s="102" t="e">
        <f>MATCH(Tableau6[Jours Mois]&amp;"/"&amp;Tableau6[[#Headers],[2023]],tabSuiviConso[Jour Mois Année],0)</f>
        <v>#N/A</v>
      </c>
      <c r="K89" s="102" t="e">
        <f>Tableau6[[#This Row],[Cumul 2022]]-Tableau6[[#This Row],[Cumul 2021]]</f>
        <v>#N/A</v>
      </c>
      <c r="L89" s="104" t="e">
        <f>Tableau6[[#This Row],[Ecart 2021 2022]]/Tableau6[[#This Row],[Cumul 2021]]</f>
        <v>#N/A</v>
      </c>
      <c r="M89" s="102" t="str">
        <f>IF(ISNA(Tableau6[[#This Row],[Position 2023]]),"",INDEX(tabSuiviConso[HP + HC
cumul],Tableau6[[#This Row],[Position 2023]],1))</f>
        <v/>
      </c>
      <c r="N89" s="123" t="e">
        <f>IF(ISNA(Tableau6[[#This Row],[Position 2023]]),Tableau6[[#This Row],[Position 2023]],Tableau6[[#This Row],[2023]]-M$2)</f>
        <v>#N/A</v>
      </c>
      <c r="O89" s="102" t="e">
        <f>Tableau6[[#This Row],[Cumul 2023]]-Tableau6[[#This Row],[Cumul 2022]]</f>
        <v>#N/A</v>
      </c>
      <c r="P89" s="104" t="e">
        <f>Tableau6[[#This Row],[Ecart 2022 2023]]/Tableau6[[#This Row],[Cumul 2022]]</f>
        <v>#N/A</v>
      </c>
      <c r="Q89" s="102" t="e">
        <f>MATCH(Tableau6[Jours Mois]&amp;"/"&amp;Tableau6[[#Headers],[2024]],tabSuiviConso[Jour Mois Année],0)</f>
        <v>#N/A</v>
      </c>
      <c r="R89" s="102" t="str">
        <f>IF(ISNA(Tableau6[[#This Row],[Position 2024]]),"",INDEX(tabSuiviConso[HP + HC
cumul],Tableau6[[#This Row],[Position 2024]],1))</f>
        <v/>
      </c>
      <c r="S89" s="123" t="e">
        <f>IF(ISNA(Tableau6[[#This Row],[Position 2024]]),Tableau6[[#This Row],[Position 2024]],Tableau6[[#This Row],[2024]]-R$2)</f>
        <v>#N/A</v>
      </c>
      <c r="T89" s="102" t="e">
        <f>Tableau6[[#This Row],[Cumul 2024]]-Tableau6[[#This Row],[Cumul 2023]]</f>
        <v>#N/A</v>
      </c>
      <c r="U89" s="103" t="e">
        <f>Tableau6[[#This Row],[Ecart 2023 2024]]/Tableau6[[#This Row],[Cumul 2023]]</f>
        <v>#N/A</v>
      </c>
    </row>
    <row r="90" spans="1:21" x14ac:dyDescent="0.2">
      <c r="A90" s="102">
        <v>3</v>
      </c>
      <c r="B90" s="102">
        <v>28</v>
      </c>
      <c r="C90" s="102" t="str">
        <f>Tableau6[Jour]&amp;"/"&amp;Tableau6[Mois]</f>
        <v>28/3</v>
      </c>
      <c r="D90" s="102" t="e">
        <f>MATCH(Tableau6[Jours Mois]&amp;"/"&amp;Tableau6[[#Headers],[2021]],tabSuiviConso[Jour Mois Année],0)</f>
        <v>#N/A</v>
      </c>
      <c r="E90" s="102" t="str">
        <f>IF(ISNA(Tableau6[[#This Row],[Position 2021]]),"",INDEX(tabSuiviConso[HP + HC
cumul],Tableau6[[#This Row],[Position 2021]],1))</f>
        <v/>
      </c>
      <c r="F90" s="123" t="e">
        <f>IF(ISNA(Tableau6[[#This Row],[Position 2021]]),Tableau6[[#This Row],[Position 2021]],Tableau6[[#This Row],[2021]]-E$2)</f>
        <v>#N/A</v>
      </c>
      <c r="G90" s="102" t="e">
        <f>MATCH(Tableau6[Jours Mois]&amp;"/"&amp;Tableau6[[#Headers],[2022]],tabSuiviConso[Jour Mois Année],0)</f>
        <v>#N/A</v>
      </c>
      <c r="H90" s="102" t="str">
        <f>IF(ISNA(Tableau6[[#This Row],[Position 2022]]),"",INDEX(tabSuiviConso[HP + HC
cumul],Tableau6[[#This Row],[Position 2022]],1))</f>
        <v/>
      </c>
      <c r="I90" s="123" t="e">
        <f>IF(ISNA(Tableau6[[#This Row],[Position 2022]]),Tableau6[[#This Row],[Position 2022]],Tableau6[[#This Row],[2022]]-H$2)</f>
        <v>#N/A</v>
      </c>
      <c r="J90" s="102" t="e">
        <f>MATCH(Tableau6[Jours Mois]&amp;"/"&amp;Tableau6[[#Headers],[2023]],tabSuiviConso[Jour Mois Année],0)</f>
        <v>#N/A</v>
      </c>
      <c r="K90" s="102" t="e">
        <f>Tableau6[[#This Row],[Cumul 2022]]-Tableau6[[#This Row],[Cumul 2021]]</f>
        <v>#N/A</v>
      </c>
      <c r="L90" s="104" t="e">
        <f>Tableau6[[#This Row],[Ecart 2021 2022]]/Tableau6[[#This Row],[Cumul 2021]]</f>
        <v>#N/A</v>
      </c>
      <c r="M90" s="102" t="str">
        <f>IF(ISNA(Tableau6[[#This Row],[Position 2023]]),"",INDEX(tabSuiviConso[HP + HC
cumul],Tableau6[[#This Row],[Position 2023]],1))</f>
        <v/>
      </c>
      <c r="N90" s="123" t="e">
        <f>IF(ISNA(Tableau6[[#This Row],[Position 2023]]),Tableau6[[#This Row],[Position 2023]],Tableau6[[#This Row],[2023]]-M$2)</f>
        <v>#N/A</v>
      </c>
      <c r="O90" s="102" t="e">
        <f>Tableau6[[#This Row],[Cumul 2023]]-Tableau6[[#This Row],[Cumul 2022]]</f>
        <v>#N/A</v>
      </c>
      <c r="P90" s="104" t="e">
        <f>Tableau6[[#This Row],[Ecart 2022 2023]]/Tableau6[[#This Row],[Cumul 2022]]</f>
        <v>#N/A</v>
      </c>
      <c r="Q90" s="102" t="e">
        <f>MATCH(Tableau6[Jours Mois]&amp;"/"&amp;Tableau6[[#Headers],[2024]],tabSuiviConso[Jour Mois Année],0)</f>
        <v>#N/A</v>
      </c>
      <c r="R90" s="102" t="str">
        <f>IF(ISNA(Tableau6[[#This Row],[Position 2024]]),"",INDEX(tabSuiviConso[HP + HC
cumul],Tableau6[[#This Row],[Position 2024]],1))</f>
        <v/>
      </c>
      <c r="S90" s="123" t="e">
        <f>IF(ISNA(Tableau6[[#This Row],[Position 2024]]),Tableau6[[#This Row],[Position 2024]],Tableau6[[#This Row],[2024]]-R$2)</f>
        <v>#N/A</v>
      </c>
      <c r="T90" s="102" t="e">
        <f>Tableau6[[#This Row],[Cumul 2024]]-Tableau6[[#This Row],[Cumul 2023]]</f>
        <v>#N/A</v>
      </c>
      <c r="U90" s="103" t="e">
        <f>Tableau6[[#This Row],[Ecart 2023 2024]]/Tableau6[[#This Row],[Cumul 2023]]</f>
        <v>#N/A</v>
      </c>
    </row>
    <row r="91" spans="1:21" x14ac:dyDescent="0.2">
      <c r="A91" s="102">
        <v>3</v>
      </c>
      <c r="B91" s="102">
        <v>29</v>
      </c>
      <c r="C91" s="102" t="str">
        <f>Tableau6[Jour]&amp;"/"&amp;Tableau6[Mois]</f>
        <v>29/3</v>
      </c>
      <c r="D91" s="102" t="e">
        <f>MATCH(Tableau6[Jours Mois]&amp;"/"&amp;Tableau6[[#Headers],[2021]],tabSuiviConso[Jour Mois Année],0)</f>
        <v>#N/A</v>
      </c>
      <c r="E91" s="102" t="str">
        <f>IF(ISNA(Tableau6[[#This Row],[Position 2021]]),"",INDEX(tabSuiviConso[HP + HC
cumul],Tableau6[[#This Row],[Position 2021]],1))</f>
        <v/>
      </c>
      <c r="F91" s="123" t="e">
        <f>IF(ISNA(Tableau6[[#This Row],[Position 2021]]),Tableau6[[#This Row],[Position 2021]],Tableau6[[#This Row],[2021]]-E$2)</f>
        <v>#N/A</v>
      </c>
      <c r="G91" s="102" t="e">
        <f>MATCH(Tableau6[Jours Mois]&amp;"/"&amp;Tableau6[[#Headers],[2022]],tabSuiviConso[Jour Mois Année],0)</f>
        <v>#N/A</v>
      </c>
      <c r="H91" s="102" t="str">
        <f>IF(ISNA(Tableau6[[#This Row],[Position 2022]]),"",INDEX(tabSuiviConso[HP + HC
cumul],Tableau6[[#This Row],[Position 2022]],1))</f>
        <v/>
      </c>
      <c r="I91" s="123" t="e">
        <f>IF(ISNA(Tableau6[[#This Row],[Position 2022]]),Tableau6[[#This Row],[Position 2022]],Tableau6[[#This Row],[2022]]-H$2)</f>
        <v>#N/A</v>
      </c>
      <c r="J91" s="102" t="e">
        <f>MATCH(Tableau6[Jours Mois]&amp;"/"&amp;Tableau6[[#Headers],[2023]],tabSuiviConso[Jour Mois Année],0)</f>
        <v>#N/A</v>
      </c>
      <c r="K91" s="102" t="e">
        <f>Tableau6[[#This Row],[Cumul 2022]]-Tableau6[[#This Row],[Cumul 2021]]</f>
        <v>#N/A</v>
      </c>
      <c r="L91" s="104" t="e">
        <f>Tableau6[[#This Row],[Ecart 2021 2022]]/Tableau6[[#This Row],[Cumul 2021]]</f>
        <v>#N/A</v>
      </c>
      <c r="M91" s="102" t="str">
        <f>IF(ISNA(Tableau6[[#This Row],[Position 2023]]),"",INDEX(tabSuiviConso[HP + HC
cumul],Tableau6[[#This Row],[Position 2023]],1))</f>
        <v/>
      </c>
      <c r="N91" s="123" t="e">
        <f>IF(ISNA(Tableau6[[#This Row],[Position 2023]]),Tableau6[[#This Row],[Position 2023]],Tableau6[[#This Row],[2023]]-M$2)</f>
        <v>#N/A</v>
      </c>
      <c r="O91" s="102" t="e">
        <f>Tableau6[[#This Row],[Cumul 2023]]-Tableau6[[#This Row],[Cumul 2022]]</f>
        <v>#N/A</v>
      </c>
      <c r="P91" s="104" t="e">
        <f>Tableau6[[#This Row],[Ecart 2022 2023]]/Tableau6[[#This Row],[Cumul 2022]]</f>
        <v>#N/A</v>
      </c>
      <c r="Q91" s="102" t="e">
        <f>MATCH(Tableau6[Jours Mois]&amp;"/"&amp;Tableau6[[#Headers],[2024]],tabSuiviConso[Jour Mois Année],0)</f>
        <v>#N/A</v>
      </c>
      <c r="R91" s="102" t="str">
        <f>IF(ISNA(Tableau6[[#This Row],[Position 2024]]),"",INDEX(tabSuiviConso[HP + HC
cumul],Tableau6[[#This Row],[Position 2024]],1))</f>
        <v/>
      </c>
      <c r="S91" s="123" t="e">
        <f>IF(ISNA(Tableau6[[#This Row],[Position 2024]]),Tableau6[[#This Row],[Position 2024]],Tableau6[[#This Row],[2024]]-R$2)</f>
        <v>#N/A</v>
      </c>
      <c r="T91" s="102" t="e">
        <f>Tableau6[[#This Row],[Cumul 2024]]-Tableau6[[#This Row],[Cumul 2023]]</f>
        <v>#N/A</v>
      </c>
      <c r="U91" s="103" t="e">
        <f>Tableau6[[#This Row],[Ecart 2023 2024]]/Tableau6[[#This Row],[Cumul 2023]]</f>
        <v>#N/A</v>
      </c>
    </row>
    <row r="92" spans="1:21" x14ac:dyDescent="0.2">
      <c r="A92" s="102">
        <v>3</v>
      </c>
      <c r="B92" s="102">
        <v>30</v>
      </c>
      <c r="C92" s="102" t="str">
        <f>Tableau6[Jour]&amp;"/"&amp;Tableau6[Mois]</f>
        <v>30/3</v>
      </c>
      <c r="D92" s="102" t="e">
        <f>MATCH(Tableau6[Jours Mois]&amp;"/"&amp;Tableau6[[#Headers],[2021]],tabSuiviConso[Jour Mois Année],0)</f>
        <v>#N/A</v>
      </c>
      <c r="E92" s="102" t="str">
        <f>IF(ISNA(Tableau6[[#This Row],[Position 2021]]),"",INDEX(tabSuiviConso[HP + HC
cumul],Tableau6[[#This Row],[Position 2021]],1))</f>
        <v/>
      </c>
      <c r="F92" s="123" t="e">
        <f>IF(ISNA(Tableau6[[#This Row],[Position 2021]]),Tableau6[[#This Row],[Position 2021]],Tableau6[[#This Row],[2021]]-E$2)</f>
        <v>#N/A</v>
      </c>
      <c r="G92" s="102" t="e">
        <f>MATCH(Tableau6[Jours Mois]&amp;"/"&amp;Tableau6[[#Headers],[2022]],tabSuiviConso[Jour Mois Année],0)</f>
        <v>#N/A</v>
      </c>
      <c r="H92" s="102" t="str">
        <f>IF(ISNA(Tableau6[[#This Row],[Position 2022]]),"",INDEX(tabSuiviConso[HP + HC
cumul],Tableau6[[#This Row],[Position 2022]],1))</f>
        <v/>
      </c>
      <c r="I92" s="123" t="e">
        <f>IF(ISNA(Tableau6[[#This Row],[Position 2022]]),Tableau6[[#This Row],[Position 2022]],Tableau6[[#This Row],[2022]]-H$2)</f>
        <v>#N/A</v>
      </c>
      <c r="J92" s="102" t="e">
        <f>MATCH(Tableau6[Jours Mois]&amp;"/"&amp;Tableau6[[#Headers],[2023]],tabSuiviConso[Jour Mois Année],0)</f>
        <v>#N/A</v>
      </c>
      <c r="K92" s="102" t="e">
        <f>Tableau6[[#This Row],[Cumul 2022]]-Tableau6[[#This Row],[Cumul 2021]]</f>
        <v>#N/A</v>
      </c>
      <c r="L92" s="104" t="e">
        <f>Tableau6[[#This Row],[Ecart 2021 2022]]/Tableau6[[#This Row],[Cumul 2021]]</f>
        <v>#N/A</v>
      </c>
      <c r="M92" s="102" t="str">
        <f>IF(ISNA(Tableau6[[#This Row],[Position 2023]]),"",INDEX(tabSuiviConso[HP + HC
cumul],Tableau6[[#This Row],[Position 2023]],1))</f>
        <v/>
      </c>
      <c r="N92" s="123" t="e">
        <f>IF(ISNA(Tableau6[[#This Row],[Position 2023]]),Tableau6[[#This Row],[Position 2023]],Tableau6[[#This Row],[2023]]-M$2)</f>
        <v>#N/A</v>
      </c>
      <c r="O92" s="102" t="e">
        <f>Tableau6[[#This Row],[Cumul 2023]]-Tableau6[[#This Row],[Cumul 2022]]</f>
        <v>#N/A</v>
      </c>
      <c r="P92" s="104" t="e">
        <f>Tableau6[[#This Row],[Ecart 2022 2023]]/Tableau6[[#This Row],[Cumul 2022]]</f>
        <v>#N/A</v>
      </c>
      <c r="Q92" s="102" t="e">
        <f>MATCH(Tableau6[Jours Mois]&amp;"/"&amp;Tableau6[[#Headers],[2024]],tabSuiviConso[Jour Mois Année],0)</f>
        <v>#N/A</v>
      </c>
      <c r="R92" s="102" t="str">
        <f>IF(ISNA(Tableau6[[#This Row],[Position 2024]]),"",INDEX(tabSuiviConso[HP + HC
cumul],Tableau6[[#This Row],[Position 2024]],1))</f>
        <v/>
      </c>
      <c r="S92" s="123" t="e">
        <f>IF(ISNA(Tableau6[[#This Row],[Position 2024]]),Tableau6[[#This Row],[Position 2024]],Tableau6[[#This Row],[2024]]-R$2)</f>
        <v>#N/A</v>
      </c>
      <c r="T92" s="102" t="e">
        <f>Tableau6[[#This Row],[Cumul 2024]]-Tableau6[[#This Row],[Cumul 2023]]</f>
        <v>#N/A</v>
      </c>
      <c r="U92" s="103" t="e">
        <f>Tableau6[[#This Row],[Ecart 2023 2024]]/Tableau6[[#This Row],[Cumul 2023]]</f>
        <v>#N/A</v>
      </c>
    </row>
    <row r="93" spans="1:21" x14ac:dyDescent="0.2">
      <c r="A93" s="102">
        <v>3</v>
      </c>
      <c r="B93" s="102">
        <v>31</v>
      </c>
      <c r="C93" s="102" t="str">
        <f>Tableau6[Jour]&amp;"/"&amp;Tableau6[Mois]</f>
        <v>31/3</v>
      </c>
      <c r="D93" s="102" t="e">
        <f>MATCH(Tableau6[Jours Mois]&amp;"/"&amp;Tableau6[[#Headers],[2021]],tabSuiviConso[Jour Mois Année],0)</f>
        <v>#N/A</v>
      </c>
      <c r="E93" s="102" t="str">
        <f>IF(ISNA(Tableau6[[#This Row],[Position 2021]]),"",INDEX(tabSuiviConso[HP + HC
cumul],Tableau6[[#This Row],[Position 2021]],1))</f>
        <v/>
      </c>
      <c r="F93" s="123" t="e">
        <f>IF(ISNA(Tableau6[[#This Row],[Position 2021]]),Tableau6[[#This Row],[Position 2021]],Tableau6[[#This Row],[2021]]-E$2)</f>
        <v>#N/A</v>
      </c>
      <c r="G93" s="102" t="e">
        <f>MATCH(Tableau6[Jours Mois]&amp;"/"&amp;Tableau6[[#Headers],[2022]],tabSuiviConso[Jour Mois Année],0)</f>
        <v>#N/A</v>
      </c>
      <c r="H93" s="102" t="str">
        <f>IF(ISNA(Tableau6[[#This Row],[Position 2022]]),"",INDEX(tabSuiviConso[HP + HC
cumul],Tableau6[[#This Row],[Position 2022]],1))</f>
        <v/>
      </c>
      <c r="I93" s="123" t="e">
        <f>IF(ISNA(Tableau6[[#This Row],[Position 2022]]),Tableau6[[#This Row],[Position 2022]],Tableau6[[#This Row],[2022]]-H$2)</f>
        <v>#N/A</v>
      </c>
      <c r="J93" s="102" t="e">
        <f>MATCH(Tableau6[Jours Mois]&amp;"/"&amp;Tableau6[[#Headers],[2023]],tabSuiviConso[Jour Mois Année],0)</f>
        <v>#N/A</v>
      </c>
      <c r="K93" s="102" t="e">
        <f>Tableau6[[#This Row],[Cumul 2022]]-Tableau6[[#This Row],[Cumul 2021]]</f>
        <v>#N/A</v>
      </c>
      <c r="L93" s="104" t="e">
        <f>Tableau6[[#This Row],[Ecart 2021 2022]]/Tableau6[[#This Row],[Cumul 2021]]</f>
        <v>#N/A</v>
      </c>
      <c r="M93" s="102" t="str">
        <f>IF(ISNA(Tableau6[[#This Row],[Position 2023]]),"",INDEX(tabSuiviConso[HP + HC
cumul],Tableau6[[#This Row],[Position 2023]],1))</f>
        <v/>
      </c>
      <c r="N93" s="123" t="e">
        <f>IF(ISNA(Tableau6[[#This Row],[Position 2023]]),Tableau6[[#This Row],[Position 2023]],Tableau6[[#This Row],[2023]]-M$2)</f>
        <v>#N/A</v>
      </c>
      <c r="O93" s="102" t="e">
        <f>Tableau6[[#This Row],[Cumul 2023]]-Tableau6[[#This Row],[Cumul 2022]]</f>
        <v>#N/A</v>
      </c>
      <c r="P93" s="104" t="e">
        <f>Tableau6[[#This Row],[Ecart 2022 2023]]/Tableau6[[#This Row],[Cumul 2022]]</f>
        <v>#N/A</v>
      </c>
      <c r="Q93" s="102" t="e">
        <f>MATCH(Tableau6[Jours Mois]&amp;"/"&amp;Tableau6[[#Headers],[2024]],tabSuiviConso[Jour Mois Année],0)</f>
        <v>#N/A</v>
      </c>
      <c r="R93" s="102" t="str">
        <f>IF(ISNA(Tableau6[[#This Row],[Position 2024]]),"",INDEX(tabSuiviConso[HP + HC
cumul],Tableau6[[#This Row],[Position 2024]],1))</f>
        <v/>
      </c>
      <c r="S93" s="123" t="e">
        <f>IF(ISNA(Tableau6[[#This Row],[Position 2024]]),Tableau6[[#This Row],[Position 2024]],Tableau6[[#This Row],[2024]]-R$2)</f>
        <v>#N/A</v>
      </c>
      <c r="T93" s="102" t="e">
        <f>Tableau6[[#This Row],[Cumul 2024]]-Tableau6[[#This Row],[Cumul 2023]]</f>
        <v>#N/A</v>
      </c>
      <c r="U93" s="103" t="e">
        <f>Tableau6[[#This Row],[Ecart 2023 2024]]/Tableau6[[#This Row],[Cumul 2023]]</f>
        <v>#N/A</v>
      </c>
    </row>
    <row r="94" spans="1:21" x14ac:dyDescent="0.2">
      <c r="A94" s="102">
        <v>4</v>
      </c>
      <c r="B94" s="102">
        <v>1</v>
      </c>
      <c r="C94" s="102" t="str">
        <f>Tableau6[Jour]&amp;"/"&amp;Tableau6[Mois]</f>
        <v>1/4</v>
      </c>
      <c r="D94" s="102" t="e">
        <f>MATCH(Tableau6[Jours Mois]&amp;"/"&amp;Tableau6[[#Headers],[2021]],tabSuiviConso[Jour Mois Année],0)</f>
        <v>#N/A</v>
      </c>
      <c r="E94" s="102" t="str">
        <f>IF(ISNA(Tableau6[[#This Row],[Position 2021]]),"",INDEX(tabSuiviConso[HP + HC
cumul],Tableau6[[#This Row],[Position 2021]],1))</f>
        <v/>
      </c>
      <c r="F94" s="123" t="e">
        <f>IF(ISNA(Tableau6[[#This Row],[Position 2021]]),Tableau6[[#This Row],[Position 2021]],Tableau6[[#This Row],[2021]]-E$2)</f>
        <v>#N/A</v>
      </c>
      <c r="G94" s="102" t="e">
        <f>MATCH(Tableau6[Jours Mois]&amp;"/"&amp;Tableau6[[#Headers],[2022]],tabSuiviConso[Jour Mois Année],0)</f>
        <v>#N/A</v>
      </c>
      <c r="H94" s="102" t="str">
        <f>IF(ISNA(Tableau6[[#This Row],[Position 2022]]),"",INDEX(tabSuiviConso[HP + HC
cumul],Tableau6[[#This Row],[Position 2022]],1))</f>
        <v/>
      </c>
      <c r="I94" s="123" t="e">
        <f>IF(ISNA(Tableau6[[#This Row],[Position 2022]]),Tableau6[[#This Row],[Position 2022]],Tableau6[[#This Row],[2022]]-H$2)</f>
        <v>#N/A</v>
      </c>
      <c r="J94" s="102" t="e">
        <f>MATCH(Tableau6[Jours Mois]&amp;"/"&amp;Tableau6[[#Headers],[2023]],tabSuiviConso[Jour Mois Année],0)</f>
        <v>#N/A</v>
      </c>
      <c r="K94" s="102" t="e">
        <f>Tableau6[[#This Row],[Cumul 2022]]-Tableau6[[#This Row],[Cumul 2021]]</f>
        <v>#N/A</v>
      </c>
      <c r="L94" s="104" t="e">
        <f>Tableau6[[#This Row],[Ecart 2021 2022]]/Tableau6[[#This Row],[Cumul 2021]]</f>
        <v>#N/A</v>
      </c>
      <c r="M94" s="102" t="str">
        <f>IF(ISNA(Tableau6[[#This Row],[Position 2023]]),"",INDEX(tabSuiviConso[HP + HC
cumul],Tableau6[[#This Row],[Position 2023]],1))</f>
        <v/>
      </c>
      <c r="N94" s="123" t="e">
        <f>IF(ISNA(Tableau6[[#This Row],[Position 2023]]),Tableau6[[#This Row],[Position 2023]],Tableau6[[#This Row],[2023]]-M$2)</f>
        <v>#N/A</v>
      </c>
      <c r="O94" s="102" t="e">
        <f>Tableau6[[#This Row],[Cumul 2023]]-Tableau6[[#This Row],[Cumul 2022]]</f>
        <v>#N/A</v>
      </c>
      <c r="P94" s="104" t="e">
        <f>Tableau6[[#This Row],[Ecart 2022 2023]]/Tableau6[[#This Row],[Cumul 2022]]</f>
        <v>#N/A</v>
      </c>
      <c r="Q94" s="102" t="e">
        <f>MATCH(Tableau6[Jours Mois]&amp;"/"&amp;Tableau6[[#Headers],[2024]],tabSuiviConso[Jour Mois Année],0)</f>
        <v>#N/A</v>
      </c>
      <c r="R94" s="102" t="str">
        <f>IF(ISNA(Tableau6[[#This Row],[Position 2024]]),"",INDEX(tabSuiviConso[HP + HC
cumul],Tableau6[[#This Row],[Position 2024]],1))</f>
        <v/>
      </c>
      <c r="S94" s="123" t="e">
        <f>IF(ISNA(Tableau6[[#This Row],[Position 2024]]),Tableau6[[#This Row],[Position 2024]],Tableau6[[#This Row],[2024]]-R$2)</f>
        <v>#N/A</v>
      </c>
      <c r="T94" s="102" t="e">
        <f>Tableau6[[#This Row],[Cumul 2024]]-Tableau6[[#This Row],[Cumul 2023]]</f>
        <v>#N/A</v>
      </c>
      <c r="U94" s="103" t="e">
        <f>Tableau6[[#This Row],[Ecart 2023 2024]]/Tableau6[[#This Row],[Cumul 2023]]</f>
        <v>#N/A</v>
      </c>
    </row>
    <row r="95" spans="1:21" x14ac:dyDescent="0.2">
      <c r="A95" s="102">
        <v>4</v>
      </c>
      <c r="B95" s="102">
        <v>2</v>
      </c>
      <c r="C95" s="102" t="str">
        <f>Tableau6[Jour]&amp;"/"&amp;Tableau6[Mois]</f>
        <v>2/4</v>
      </c>
      <c r="D95" s="102" t="e">
        <f>MATCH(Tableau6[Jours Mois]&amp;"/"&amp;Tableau6[[#Headers],[2021]],tabSuiviConso[Jour Mois Année],0)</f>
        <v>#N/A</v>
      </c>
      <c r="E95" s="102" t="str">
        <f>IF(ISNA(Tableau6[[#This Row],[Position 2021]]),"",INDEX(tabSuiviConso[HP + HC
cumul],Tableau6[[#This Row],[Position 2021]],1))</f>
        <v/>
      </c>
      <c r="F95" s="123" t="e">
        <f>IF(ISNA(Tableau6[[#This Row],[Position 2021]]),Tableau6[[#This Row],[Position 2021]],Tableau6[[#This Row],[2021]]-E$2)</f>
        <v>#N/A</v>
      </c>
      <c r="G95" s="102" t="e">
        <f>MATCH(Tableau6[Jours Mois]&amp;"/"&amp;Tableau6[[#Headers],[2022]],tabSuiviConso[Jour Mois Année],0)</f>
        <v>#N/A</v>
      </c>
      <c r="H95" s="102" t="str">
        <f>IF(ISNA(Tableau6[[#This Row],[Position 2022]]),"",INDEX(tabSuiviConso[HP + HC
cumul],Tableau6[[#This Row],[Position 2022]],1))</f>
        <v/>
      </c>
      <c r="I95" s="123" t="e">
        <f>IF(ISNA(Tableau6[[#This Row],[Position 2022]]),Tableau6[[#This Row],[Position 2022]],Tableau6[[#This Row],[2022]]-H$2)</f>
        <v>#N/A</v>
      </c>
      <c r="J95" s="102" t="e">
        <f>MATCH(Tableau6[Jours Mois]&amp;"/"&amp;Tableau6[[#Headers],[2023]],tabSuiviConso[Jour Mois Année],0)</f>
        <v>#N/A</v>
      </c>
      <c r="K95" s="102" t="e">
        <f>Tableau6[[#This Row],[Cumul 2022]]-Tableau6[[#This Row],[Cumul 2021]]</f>
        <v>#N/A</v>
      </c>
      <c r="L95" s="104" t="e">
        <f>Tableau6[[#This Row],[Ecart 2021 2022]]/Tableau6[[#This Row],[Cumul 2021]]</f>
        <v>#N/A</v>
      </c>
      <c r="M95" s="102" t="str">
        <f>IF(ISNA(Tableau6[[#This Row],[Position 2023]]),"",INDEX(tabSuiviConso[HP + HC
cumul],Tableau6[[#This Row],[Position 2023]],1))</f>
        <v/>
      </c>
      <c r="N95" s="123" t="e">
        <f>IF(ISNA(Tableau6[[#This Row],[Position 2023]]),Tableau6[[#This Row],[Position 2023]],Tableau6[[#This Row],[2023]]-M$2)</f>
        <v>#N/A</v>
      </c>
      <c r="O95" s="102" t="e">
        <f>Tableau6[[#This Row],[Cumul 2023]]-Tableau6[[#This Row],[Cumul 2022]]</f>
        <v>#N/A</v>
      </c>
      <c r="P95" s="104" t="e">
        <f>Tableau6[[#This Row],[Ecart 2022 2023]]/Tableau6[[#This Row],[Cumul 2022]]</f>
        <v>#N/A</v>
      </c>
      <c r="Q95" s="102" t="e">
        <f>MATCH(Tableau6[Jours Mois]&amp;"/"&amp;Tableau6[[#Headers],[2024]],tabSuiviConso[Jour Mois Année],0)</f>
        <v>#N/A</v>
      </c>
      <c r="R95" s="102" t="str">
        <f>IF(ISNA(Tableau6[[#This Row],[Position 2024]]),"",INDEX(tabSuiviConso[HP + HC
cumul],Tableau6[[#This Row],[Position 2024]],1))</f>
        <v/>
      </c>
      <c r="S95" s="123" t="e">
        <f>IF(ISNA(Tableau6[[#This Row],[Position 2024]]),Tableau6[[#This Row],[Position 2024]],Tableau6[[#This Row],[2024]]-R$2)</f>
        <v>#N/A</v>
      </c>
      <c r="T95" s="102" t="e">
        <f>Tableau6[[#This Row],[Cumul 2024]]-Tableau6[[#This Row],[Cumul 2023]]</f>
        <v>#N/A</v>
      </c>
      <c r="U95" s="103" t="e">
        <f>Tableau6[[#This Row],[Ecart 2023 2024]]/Tableau6[[#This Row],[Cumul 2023]]</f>
        <v>#N/A</v>
      </c>
    </row>
    <row r="96" spans="1:21" x14ac:dyDescent="0.2">
      <c r="A96" s="102">
        <v>4</v>
      </c>
      <c r="B96" s="102">
        <v>3</v>
      </c>
      <c r="C96" s="102" t="str">
        <f>Tableau6[Jour]&amp;"/"&amp;Tableau6[Mois]</f>
        <v>3/4</v>
      </c>
      <c r="D96" s="102" t="e">
        <f>MATCH(Tableau6[Jours Mois]&amp;"/"&amp;Tableau6[[#Headers],[2021]],tabSuiviConso[Jour Mois Année],0)</f>
        <v>#N/A</v>
      </c>
      <c r="E96" s="102" t="str">
        <f>IF(ISNA(Tableau6[[#This Row],[Position 2021]]),"",INDEX(tabSuiviConso[HP + HC
cumul],Tableau6[[#This Row],[Position 2021]],1))</f>
        <v/>
      </c>
      <c r="F96" s="123" t="e">
        <f>IF(ISNA(Tableau6[[#This Row],[Position 2021]]),Tableau6[[#This Row],[Position 2021]],Tableau6[[#This Row],[2021]]-E$2)</f>
        <v>#N/A</v>
      </c>
      <c r="G96" s="102" t="e">
        <f>MATCH(Tableau6[Jours Mois]&amp;"/"&amp;Tableau6[[#Headers],[2022]],tabSuiviConso[Jour Mois Année],0)</f>
        <v>#N/A</v>
      </c>
      <c r="H96" s="102" t="str">
        <f>IF(ISNA(Tableau6[[#This Row],[Position 2022]]),"",INDEX(tabSuiviConso[HP + HC
cumul],Tableau6[[#This Row],[Position 2022]],1))</f>
        <v/>
      </c>
      <c r="I96" s="123" t="e">
        <f>IF(ISNA(Tableau6[[#This Row],[Position 2022]]),Tableau6[[#This Row],[Position 2022]],Tableau6[[#This Row],[2022]]-H$2)</f>
        <v>#N/A</v>
      </c>
      <c r="J96" s="102" t="e">
        <f>MATCH(Tableau6[Jours Mois]&amp;"/"&amp;Tableau6[[#Headers],[2023]],tabSuiviConso[Jour Mois Année],0)</f>
        <v>#N/A</v>
      </c>
      <c r="K96" s="102" t="e">
        <f>Tableau6[[#This Row],[Cumul 2022]]-Tableau6[[#This Row],[Cumul 2021]]</f>
        <v>#N/A</v>
      </c>
      <c r="L96" s="104" t="e">
        <f>Tableau6[[#This Row],[Ecart 2021 2022]]/Tableau6[[#This Row],[Cumul 2021]]</f>
        <v>#N/A</v>
      </c>
      <c r="M96" s="102" t="str">
        <f>IF(ISNA(Tableau6[[#This Row],[Position 2023]]),"",INDEX(tabSuiviConso[HP + HC
cumul],Tableau6[[#This Row],[Position 2023]],1))</f>
        <v/>
      </c>
      <c r="N96" s="123" t="e">
        <f>IF(ISNA(Tableau6[[#This Row],[Position 2023]]),Tableau6[[#This Row],[Position 2023]],Tableau6[[#This Row],[2023]]-M$2)</f>
        <v>#N/A</v>
      </c>
      <c r="O96" s="102" t="e">
        <f>Tableau6[[#This Row],[Cumul 2023]]-Tableau6[[#This Row],[Cumul 2022]]</f>
        <v>#N/A</v>
      </c>
      <c r="P96" s="104" t="e">
        <f>Tableau6[[#This Row],[Ecart 2022 2023]]/Tableau6[[#This Row],[Cumul 2022]]</f>
        <v>#N/A</v>
      </c>
      <c r="Q96" s="102" t="e">
        <f>MATCH(Tableau6[Jours Mois]&amp;"/"&amp;Tableau6[[#Headers],[2024]],tabSuiviConso[Jour Mois Année],0)</f>
        <v>#N/A</v>
      </c>
      <c r="R96" s="102" t="str">
        <f>IF(ISNA(Tableau6[[#This Row],[Position 2024]]),"",INDEX(tabSuiviConso[HP + HC
cumul],Tableau6[[#This Row],[Position 2024]],1))</f>
        <v/>
      </c>
      <c r="S96" s="123" t="e">
        <f>IF(ISNA(Tableau6[[#This Row],[Position 2024]]),Tableau6[[#This Row],[Position 2024]],Tableau6[[#This Row],[2024]]-R$2)</f>
        <v>#N/A</v>
      </c>
      <c r="T96" s="102" t="e">
        <f>Tableau6[[#This Row],[Cumul 2024]]-Tableau6[[#This Row],[Cumul 2023]]</f>
        <v>#N/A</v>
      </c>
      <c r="U96" s="103" t="e">
        <f>Tableau6[[#This Row],[Ecart 2023 2024]]/Tableau6[[#This Row],[Cumul 2023]]</f>
        <v>#N/A</v>
      </c>
    </row>
    <row r="97" spans="1:21" x14ac:dyDescent="0.2">
      <c r="A97" s="102">
        <v>4</v>
      </c>
      <c r="B97" s="102">
        <v>4</v>
      </c>
      <c r="C97" s="102" t="str">
        <f>Tableau6[Jour]&amp;"/"&amp;Tableau6[Mois]</f>
        <v>4/4</v>
      </c>
      <c r="D97" s="102" t="e">
        <f>MATCH(Tableau6[Jours Mois]&amp;"/"&amp;Tableau6[[#Headers],[2021]],tabSuiviConso[Jour Mois Année],0)</f>
        <v>#N/A</v>
      </c>
      <c r="E97" s="102" t="str">
        <f>IF(ISNA(Tableau6[[#This Row],[Position 2021]]),"",INDEX(tabSuiviConso[HP + HC
cumul],Tableau6[[#This Row],[Position 2021]],1))</f>
        <v/>
      </c>
      <c r="F97" s="123" t="e">
        <f>IF(ISNA(Tableau6[[#This Row],[Position 2021]]),Tableau6[[#This Row],[Position 2021]],Tableau6[[#This Row],[2021]]-E$2)</f>
        <v>#N/A</v>
      </c>
      <c r="G97" s="102" t="e">
        <f>MATCH(Tableau6[Jours Mois]&amp;"/"&amp;Tableau6[[#Headers],[2022]],tabSuiviConso[Jour Mois Année],0)</f>
        <v>#N/A</v>
      </c>
      <c r="H97" s="102" t="str">
        <f>IF(ISNA(Tableau6[[#This Row],[Position 2022]]),"",INDEX(tabSuiviConso[HP + HC
cumul],Tableau6[[#This Row],[Position 2022]],1))</f>
        <v/>
      </c>
      <c r="I97" s="123" t="e">
        <f>IF(ISNA(Tableau6[[#This Row],[Position 2022]]),Tableau6[[#This Row],[Position 2022]],Tableau6[[#This Row],[2022]]-H$2)</f>
        <v>#N/A</v>
      </c>
      <c r="J97" s="102" t="e">
        <f>MATCH(Tableau6[Jours Mois]&amp;"/"&amp;Tableau6[[#Headers],[2023]],tabSuiviConso[Jour Mois Année],0)</f>
        <v>#N/A</v>
      </c>
      <c r="K97" s="102" t="e">
        <f>Tableau6[[#This Row],[Cumul 2022]]-Tableau6[[#This Row],[Cumul 2021]]</f>
        <v>#N/A</v>
      </c>
      <c r="L97" s="104" t="e">
        <f>Tableau6[[#This Row],[Ecart 2021 2022]]/Tableau6[[#This Row],[Cumul 2021]]</f>
        <v>#N/A</v>
      </c>
      <c r="M97" s="102" t="str">
        <f>IF(ISNA(Tableau6[[#This Row],[Position 2023]]),"",INDEX(tabSuiviConso[HP + HC
cumul],Tableau6[[#This Row],[Position 2023]],1))</f>
        <v/>
      </c>
      <c r="N97" s="123" t="e">
        <f>IF(ISNA(Tableau6[[#This Row],[Position 2023]]),Tableau6[[#This Row],[Position 2023]],Tableau6[[#This Row],[2023]]-M$2)</f>
        <v>#N/A</v>
      </c>
      <c r="O97" s="102" t="e">
        <f>Tableau6[[#This Row],[Cumul 2023]]-Tableau6[[#This Row],[Cumul 2022]]</f>
        <v>#N/A</v>
      </c>
      <c r="P97" s="104" t="e">
        <f>Tableau6[[#This Row],[Ecart 2022 2023]]/Tableau6[[#This Row],[Cumul 2022]]</f>
        <v>#N/A</v>
      </c>
      <c r="Q97" s="102" t="e">
        <f>MATCH(Tableau6[Jours Mois]&amp;"/"&amp;Tableau6[[#Headers],[2024]],tabSuiviConso[Jour Mois Année],0)</f>
        <v>#N/A</v>
      </c>
      <c r="R97" s="102" t="str">
        <f>IF(ISNA(Tableau6[[#This Row],[Position 2024]]),"",INDEX(tabSuiviConso[HP + HC
cumul],Tableau6[[#This Row],[Position 2024]],1))</f>
        <v/>
      </c>
      <c r="S97" s="123" t="e">
        <f>IF(ISNA(Tableau6[[#This Row],[Position 2024]]),Tableau6[[#This Row],[Position 2024]],Tableau6[[#This Row],[2024]]-R$2)</f>
        <v>#N/A</v>
      </c>
      <c r="T97" s="102" t="e">
        <f>Tableau6[[#This Row],[Cumul 2024]]-Tableau6[[#This Row],[Cumul 2023]]</f>
        <v>#N/A</v>
      </c>
      <c r="U97" s="103" t="e">
        <f>Tableau6[[#This Row],[Ecart 2023 2024]]/Tableau6[[#This Row],[Cumul 2023]]</f>
        <v>#N/A</v>
      </c>
    </row>
    <row r="98" spans="1:21" x14ac:dyDescent="0.2">
      <c r="A98" s="102">
        <v>4</v>
      </c>
      <c r="B98" s="102">
        <v>5</v>
      </c>
      <c r="C98" s="102" t="str">
        <f>Tableau6[Jour]&amp;"/"&amp;Tableau6[Mois]</f>
        <v>5/4</v>
      </c>
      <c r="D98" s="102" t="e">
        <f>MATCH(Tableau6[Jours Mois]&amp;"/"&amp;Tableau6[[#Headers],[2021]],tabSuiviConso[Jour Mois Année],0)</f>
        <v>#N/A</v>
      </c>
      <c r="E98" s="102" t="str">
        <f>IF(ISNA(Tableau6[[#This Row],[Position 2021]]),"",INDEX(tabSuiviConso[HP + HC
cumul],Tableau6[[#This Row],[Position 2021]],1))</f>
        <v/>
      </c>
      <c r="F98" s="123" t="e">
        <f>IF(ISNA(Tableau6[[#This Row],[Position 2021]]),Tableau6[[#This Row],[Position 2021]],Tableau6[[#This Row],[2021]]-E$2)</f>
        <v>#N/A</v>
      </c>
      <c r="G98" s="102" t="e">
        <f>MATCH(Tableau6[Jours Mois]&amp;"/"&amp;Tableau6[[#Headers],[2022]],tabSuiviConso[Jour Mois Année],0)</f>
        <v>#N/A</v>
      </c>
      <c r="H98" s="102" t="str">
        <f>IF(ISNA(Tableau6[[#This Row],[Position 2022]]),"",INDEX(tabSuiviConso[HP + HC
cumul],Tableau6[[#This Row],[Position 2022]],1))</f>
        <v/>
      </c>
      <c r="I98" s="123" t="e">
        <f>IF(ISNA(Tableau6[[#This Row],[Position 2022]]),Tableau6[[#This Row],[Position 2022]],Tableau6[[#This Row],[2022]]-H$2)</f>
        <v>#N/A</v>
      </c>
      <c r="J98" s="102" t="e">
        <f>MATCH(Tableau6[Jours Mois]&amp;"/"&amp;Tableau6[[#Headers],[2023]],tabSuiviConso[Jour Mois Année],0)</f>
        <v>#N/A</v>
      </c>
      <c r="K98" s="102" t="e">
        <f>Tableau6[[#This Row],[Cumul 2022]]-Tableau6[[#This Row],[Cumul 2021]]</f>
        <v>#N/A</v>
      </c>
      <c r="L98" s="104" t="e">
        <f>Tableau6[[#This Row],[Ecart 2021 2022]]/Tableau6[[#This Row],[Cumul 2021]]</f>
        <v>#N/A</v>
      </c>
      <c r="M98" s="102" t="str">
        <f>IF(ISNA(Tableau6[[#This Row],[Position 2023]]),"",INDEX(tabSuiviConso[HP + HC
cumul],Tableau6[[#This Row],[Position 2023]],1))</f>
        <v/>
      </c>
      <c r="N98" s="123" t="e">
        <f>IF(ISNA(Tableau6[[#This Row],[Position 2023]]),Tableau6[[#This Row],[Position 2023]],Tableau6[[#This Row],[2023]]-M$2)</f>
        <v>#N/A</v>
      </c>
      <c r="O98" s="102" t="e">
        <f>Tableau6[[#This Row],[Cumul 2023]]-Tableau6[[#This Row],[Cumul 2022]]</f>
        <v>#N/A</v>
      </c>
      <c r="P98" s="104" t="e">
        <f>Tableau6[[#This Row],[Ecart 2022 2023]]/Tableau6[[#This Row],[Cumul 2022]]</f>
        <v>#N/A</v>
      </c>
      <c r="Q98" s="102" t="e">
        <f>MATCH(Tableau6[Jours Mois]&amp;"/"&amp;Tableau6[[#Headers],[2024]],tabSuiviConso[Jour Mois Année],0)</f>
        <v>#N/A</v>
      </c>
      <c r="R98" s="102" t="str">
        <f>IF(ISNA(Tableau6[[#This Row],[Position 2024]]),"",INDEX(tabSuiviConso[HP + HC
cumul],Tableau6[[#This Row],[Position 2024]],1))</f>
        <v/>
      </c>
      <c r="S98" s="123" t="e">
        <f>IF(ISNA(Tableau6[[#This Row],[Position 2024]]),Tableau6[[#This Row],[Position 2024]],Tableau6[[#This Row],[2024]]-R$2)</f>
        <v>#N/A</v>
      </c>
      <c r="T98" s="102" t="e">
        <f>Tableau6[[#This Row],[Cumul 2024]]-Tableau6[[#This Row],[Cumul 2023]]</f>
        <v>#N/A</v>
      </c>
      <c r="U98" s="103" t="e">
        <f>Tableau6[[#This Row],[Ecart 2023 2024]]/Tableau6[[#This Row],[Cumul 2023]]</f>
        <v>#N/A</v>
      </c>
    </row>
    <row r="99" spans="1:21" x14ac:dyDescent="0.2">
      <c r="A99" s="102">
        <v>4</v>
      </c>
      <c r="B99" s="102">
        <v>6</v>
      </c>
      <c r="C99" s="102" t="str">
        <f>Tableau6[Jour]&amp;"/"&amp;Tableau6[Mois]</f>
        <v>6/4</v>
      </c>
      <c r="D99" s="102" t="e">
        <f>MATCH(Tableau6[Jours Mois]&amp;"/"&amp;Tableau6[[#Headers],[2021]],tabSuiviConso[Jour Mois Année],0)</f>
        <v>#N/A</v>
      </c>
      <c r="E99" s="102" t="str">
        <f>IF(ISNA(Tableau6[[#This Row],[Position 2021]]),"",INDEX(tabSuiviConso[HP + HC
cumul],Tableau6[[#This Row],[Position 2021]],1))</f>
        <v/>
      </c>
      <c r="F99" s="123" t="e">
        <f>IF(ISNA(Tableau6[[#This Row],[Position 2021]]),Tableau6[[#This Row],[Position 2021]],Tableau6[[#This Row],[2021]]-E$2)</f>
        <v>#N/A</v>
      </c>
      <c r="G99" s="102" t="e">
        <f>MATCH(Tableau6[Jours Mois]&amp;"/"&amp;Tableau6[[#Headers],[2022]],tabSuiviConso[Jour Mois Année],0)</f>
        <v>#N/A</v>
      </c>
      <c r="H99" s="102" t="str">
        <f>IF(ISNA(Tableau6[[#This Row],[Position 2022]]),"",INDEX(tabSuiviConso[HP + HC
cumul],Tableau6[[#This Row],[Position 2022]],1))</f>
        <v/>
      </c>
      <c r="I99" s="123" t="e">
        <f>IF(ISNA(Tableau6[[#This Row],[Position 2022]]),Tableau6[[#This Row],[Position 2022]],Tableau6[[#This Row],[2022]]-H$2)</f>
        <v>#N/A</v>
      </c>
      <c r="J99" s="102" t="e">
        <f>MATCH(Tableau6[Jours Mois]&amp;"/"&amp;Tableau6[[#Headers],[2023]],tabSuiviConso[Jour Mois Année],0)</f>
        <v>#N/A</v>
      </c>
      <c r="K99" s="102" t="e">
        <f>Tableau6[[#This Row],[Cumul 2022]]-Tableau6[[#This Row],[Cumul 2021]]</f>
        <v>#N/A</v>
      </c>
      <c r="L99" s="104" t="e">
        <f>Tableau6[[#This Row],[Ecart 2021 2022]]/Tableau6[[#This Row],[Cumul 2021]]</f>
        <v>#N/A</v>
      </c>
      <c r="M99" s="102" t="str">
        <f>IF(ISNA(Tableau6[[#This Row],[Position 2023]]),"",INDEX(tabSuiviConso[HP + HC
cumul],Tableau6[[#This Row],[Position 2023]],1))</f>
        <v/>
      </c>
      <c r="N99" s="123" t="e">
        <f>IF(ISNA(Tableau6[[#This Row],[Position 2023]]),Tableau6[[#This Row],[Position 2023]],Tableau6[[#This Row],[2023]]-M$2)</f>
        <v>#N/A</v>
      </c>
      <c r="O99" s="102" t="e">
        <f>Tableau6[[#This Row],[Cumul 2023]]-Tableau6[[#This Row],[Cumul 2022]]</f>
        <v>#N/A</v>
      </c>
      <c r="P99" s="104" t="e">
        <f>Tableau6[[#This Row],[Ecart 2022 2023]]/Tableau6[[#This Row],[Cumul 2022]]</f>
        <v>#N/A</v>
      </c>
      <c r="Q99" s="102" t="e">
        <f>MATCH(Tableau6[Jours Mois]&amp;"/"&amp;Tableau6[[#Headers],[2024]],tabSuiviConso[Jour Mois Année],0)</f>
        <v>#N/A</v>
      </c>
      <c r="R99" s="102" t="str">
        <f>IF(ISNA(Tableau6[[#This Row],[Position 2024]]),"",INDEX(tabSuiviConso[HP + HC
cumul],Tableau6[[#This Row],[Position 2024]],1))</f>
        <v/>
      </c>
      <c r="S99" s="123" t="e">
        <f>IF(ISNA(Tableau6[[#This Row],[Position 2024]]),Tableau6[[#This Row],[Position 2024]],Tableau6[[#This Row],[2024]]-R$2)</f>
        <v>#N/A</v>
      </c>
      <c r="T99" s="102" t="e">
        <f>Tableau6[[#This Row],[Cumul 2024]]-Tableau6[[#This Row],[Cumul 2023]]</f>
        <v>#N/A</v>
      </c>
      <c r="U99" s="103" t="e">
        <f>Tableau6[[#This Row],[Ecart 2023 2024]]/Tableau6[[#This Row],[Cumul 2023]]</f>
        <v>#N/A</v>
      </c>
    </row>
    <row r="100" spans="1:21" x14ac:dyDescent="0.2">
      <c r="A100" s="102">
        <v>4</v>
      </c>
      <c r="B100" s="102">
        <v>7</v>
      </c>
      <c r="C100" s="102" t="str">
        <f>Tableau6[Jour]&amp;"/"&amp;Tableau6[Mois]</f>
        <v>7/4</v>
      </c>
      <c r="D100" s="102" t="e">
        <f>MATCH(Tableau6[Jours Mois]&amp;"/"&amp;Tableau6[[#Headers],[2021]],tabSuiviConso[Jour Mois Année],0)</f>
        <v>#N/A</v>
      </c>
      <c r="E100" s="102" t="str">
        <f>IF(ISNA(Tableau6[[#This Row],[Position 2021]]),"",INDEX(tabSuiviConso[HP + HC
cumul],Tableau6[[#This Row],[Position 2021]],1))</f>
        <v/>
      </c>
      <c r="F100" s="123" t="e">
        <f>IF(ISNA(Tableau6[[#This Row],[Position 2021]]),Tableau6[[#This Row],[Position 2021]],Tableau6[[#This Row],[2021]]-E$2)</f>
        <v>#N/A</v>
      </c>
      <c r="G100" s="102" t="e">
        <f>MATCH(Tableau6[Jours Mois]&amp;"/"&amp;Tableau6[[#Headers],[2022]],tabSuiviConso[Jour Mois Année],0)</f>
        <v>#N/A</v>
      </c>
      <c r="H100" s="102" t="str">
        <f>IF(ISNA(Tableau6[[#This Row],[Position 2022]]),"",INDEX(tabSuiviConso[HP + HC
cumul],Tableau6[[#This Row],[Position 2022]],1))</f>
        <v/>
      </c>
      <c r="I100" s="123" t="e">
        <f>IF(ISNA(Tableau6[[#This Row],[Position 2022]]),Tableau6[[#This Row],[Position 2022]],Tableau6[[#This Row],[2022]]-H$2)</f>
        <v>#N/A</v>
      </c>
      <c r="J100" s="102" t="e">
        <f>MATCH(Tableau6[Jours Mois]&amp;"/"&amp;Tableau6[[#Headers],[2023]],tabSuiviConso[Jour Mois Année],0)</f>
        <v>#N/A</v>
      </c>
      <c r="K100" s="102" t="e">
        <f>Tableau6[[#This Row],[Cumul 2022]]-Tableau6[[#This Row],[Cumul 2021]]</f>
        <v>#N/A</v>
      </c>
      <c r="L100" s="104" t="e">
        <f>Tableau6[[#This Row],[Ecart 2021 2022]]/Tableau6[[#This Row],[Cumul 2021]]</f>
        <v>#N/A</v>
      </c>
      <c r="M100" s="102" t="str">
        <f>IF(ISNA(Tableau6[[#This Row],[Position 2023]]),"",INDEX(tabSuiviConso[HP + HC
cumul],Tableau6[[#This Row],[Position 2023]],1))</f>
        <v/>
      </c>
      <c r="N100" s="123" t="e">
        <f>IF(ISNA(Tableau6[[#This Row],[Position 2023]]),Tableau6[[#This Row],[Position 2023]],Tableau6[[#This Row],[2023]]-M$2)</f>
        <v>#N/A</v>
      </c>
      <c r="O100" s="102" t="e">
        <f>Tableau6[[#This Row],[Cumul 2023]]-Tableau6[[#This Row],[Cumul 2022]]</f>
        <v>#N/A</v>
      </c>
      <c r="P100" s="104" t="e">
        <f>Tableau6[[#This Row],[Ecart 2022 2023]]/Tableau6[[#This Row],[Cumul 2022]]</f>
        <v>#N/A</v>
      </c>
      <c r="Q100" s="102" t="e">
        <f>MATCH(Tableau6[Jours Mois]&amp;"/"&amp;Tableau6[[#Headers],[2024]],tabSuiviConso[Jour Mois Année],0)</f>
        <v>#N/A</v>
      </c>
      <c r="R100" s="102" t="str">
        <f>IF(ISNA(Tableau6[[#This Row],[Position 2024]]),"",INDEX(tabSuiviConso[HP + HC
cumul],Tableau6[[#This Row],[Position 2024]],1))</f>
        <v/>
      </c>
      <c r="S100" s="123" t="e">
        <f>IF(ISNA(Tableau6[[#This Row],[Position 2024]]),Tableau6[[#This Row],[Position 2024]],Tableau6[[#This Row],[2024]]-R$2)</f>
        <v>#N/A</v>
      </c>
      <c r="T100" s="102" t="e">
        <f>Tableau6[[#This Row],[Cumul 2024]]-Tableau6[[#This Row],[Cumul 2023]]</f>
        <v>#N/A</v>
      </c>
      <c r="U100" s="103" t="e">
        <f>Tableau6[[#This Row],[Ecart 2023 2024]]/Tableau6[[#This Row],[Cumul 2023]]</f>
        <v>#N/A</v>
      </c>
    </row>
    <row r="101" spans="1:21" x14ac:dyDescent="0.2">
      <c r="A101" s="102">
        <v>4</v>
      </c>
      <c r="B101" s="102">
        <v>8</v>
      </c>
      <c r="C101" s="102" t="str">
        <f>Tableau6[Jour]&amp;"/"&amp;Tableau6[Mois]</f>
        <v>8/4</v>
      </c>
      <c r="D101" s="102" t="e">
        <f>MATCH(Tableau6[Jours Mois]&amp;"/"&amp;Tableau6[[#Headers],[2021]],tabSuiviConso[Jour Mois Année],0)</f>
        <v>#N/A</v>
      </c>
      <c r="E101" s="102" t="str">
        <f>IF(ISNA(Tableau6[[#This Row],[Position 2021]]),"",INDEX(tabSuiviConso[HP + HC
cumul],Tableau6[[#This Row],[Position 2021]],1))</f>
        <v/>
      </c>
      <c r="F101" s="123" t="e">
        <f>IF(ISNA(Tableau6[[#This Row],[Position 2021]]),Tableau6[[#This Row],[Position 2021]],Tableau6[[#This Row],[2021]]-E$2)</f>
        <v>#N/A</v>
      </c>
      <c r="G101" s="102" t="e">
        <f>MATCH(Tableau6[Jours Mois]&amp;"/"&amp;Tableau6[[#Headers],[2022]],tabSuiviConso[Jour Mois Année],0)</f>
        <v>#N/A</v>
      </c>
      <c r="H101" s="102" t="str">
        <f>IF(ISNA(Tableau6[[#This Row],[Position 2022]]),"",INDEX(tabSuiviConso[HP + HC
cumul],Tableau6[[#This Row],[Position 2022]],1))</f>
        <v/>
      </c>
      <c r="I101" s="123" t="e">
        <f>IF(ISNA(Tableau6[[#This Row],[Position 2022]]),Tableau6[[#This Row],[Position 2022]],Tableau6[[#This Row],[2022]]-H$2)</f>
        <v>#N/A</v>
      </c>
      <c r="J101" s="102" t="e">
        <f>MATCH(Tableau6[Jours Mois]&amp;"/"&amp;Tableau6[[#Headers],[2023]],tabSuiviConso[Jour Mois Année],0)</f>
        <v>#N/A</v>
      </c>
      <c r="K101" s="102" t="e">
        <f>Tableau6[[#This Row],[Cumul 2022]]-Tableau6[[#This Row],[Cumul 2021]]</f>
        <v>#N/A</v>
      </c>
      <c r="L101" s="104" t="e">
        <f>Tableau6[[#This Row],[Ecart 2021 2022]]/Tableau6[[#This Row],[Cumul 2021]]</f>
        <v>#N/A</v>
      </c>
      <c r="M101" s="102" t="str">
        <f>IF(ISNA(Tableau6[[#This Row],[Position 2023]]),"",INDEX(tabSuiviConso[HP + HC
cumul],Tableau6[[#This Row],[Position 2023]],1))</f>
        <v/>
      </c>
      <c r="N101" s="123" t="e">
        <f>IF(ISNA(Tableau6[[#This Row],[Position 2023]]),Tableau6[[#This Row],[Position 2023]],Tableau6[[#This Row],[2023]]-M$2)</f>
        <v>#N/A</v>
      </c>
      <c r="O101" s="102" t="e">
        <f>Tableau6[[#This Row],[Cumul 2023]]-Tableau6[[#This Row],[Cumul 2022]]</f>
        <v>#N/A</v>
      </c>
      <c r="P101" s="104" t="e">
        <f>Tableau6[[#This Row],[Ecart 2022 2023]]/Tableau6[[#This Row],[Cumul 2022]]</f>
        <v>#N/A</v>
      </c>
      <c r="Q101" s="102" t="e">
        <f>MATCH(Tableau6[Jours Mois]&amp;"/"&amp;Tableau6[[#Headers],[2024]],tabSuiviConso[Jour Mois Année],0)</f>
        <v>#N/A</v>
      </c>
      <c r="R101" s="102" t="str">
        <f>IF(ISNA(Tableau6[[#This Row],[Position 2024]]),"",INDEX(tabSuiviConso[HP + HC
cumul],Tableau6[[#This Row],[Position 2024]],1))</f>
        <v/>
      </c>
      <c r="S101" s="123" t="e">
        <f>IF(ISNA(Tableau6[[#This Row],[Position 2024]]),Tableau6[[#This Row],[Position 2024]],Tableau6[[#This Row],[2024]]-R$2)</f>
        <v>#N/A</v>
      </c>
      <c r="T101" s="102" t="e">
        <f>Tableau6[[#This Row],[Cumul 2024]]-Tableau6[[#This Row],[Cumul 2023]]</f>
        <v>#N/A</v>
      </c>
      <c r="U101" s="103" t="e">
        <f>Tableau6[[#This Row],[Ecart 2023 2024]]/Tableau6[[#This Row],[Cumul 2023]]</f>
        <v>#N/A</v>
      </c>
    </row>
    <row r="102" spans="1:21" x14ac:dyDescent="0.2">
      <c r="A102" s="102">
        <v>4</v>
      </c>
      <c r="B102" s="102">
        <v>9</v>
      </c>
      <c r="C102" s="102" t="str">
        <f>Tableau6[Jour]&amp;"/"&amp;Tableau6[Mois]</f>
        <v>9/4</v>
      </c>
      <c r="D102" s="102" t="e">
        <f>MATCH(Tableau6[Jours Mois]&amp;"/"&amp;Tableau6[[#Headers],[2021]],tabSuiviConso[Jour Mois Année],0)</f>
        <v>#N/A</v>
      </c>
      <c r="E102" s="102" t="str">
        <f>IF(ISNA(Tableau6[[#This Row],[Position 2021]]),"",INDEX(tabSuiviConso[HP + HC
cumul],Tableau6[[#This Row],[Position 2021]],1))</f>
        <v/>
      </c>
      <c r="F102" s="123" t="e">
        <f>IF(ISNA(Tableau6[[#This Row],[Position 2021]]),Tableau6[[#This Row],[Position 2021]],Tableau6[[#This Row],[2021]]-E$2)</f>
        <v>#N/A</v>
      </c>
      <c r="G102" s="102" t="e">
        <f>MATCH(Tableau6[Jours Mois]&amp;"/"&amp;Tableau6[[#Headers],[2022]],tabSuiviConso[Jour Mois Année],0)</f>
        <v>#N/A</v>
      </c>
      <c r="H102" s="102" t="str">
        <f>IF(ISNA(Tableau6[[#This Row],[Position 2022]]),"",INDEX(tabSuiviConso[HP + HC
cumul],Tableau6[[#This Row],[Position 2022]],1))</f>
        <v/>
      </c>
      <c r="I102" s="123" t="e">
        <f>IF(ISNA(Tableau6[[#This Row],[Position 2022]]),Tableau6[[#This Row],[Position 2022]],Tableau6[[#This Row],[2022]]-H$2)</f>
        <v>#N/A</v>
      </c>
      <c r="J102" s="102" t="e">
        <f>MATCH(Tableau6[Jours Mois]&amp;"/"&amp;Tableau6[[#Headers],[2023]],tabSuiviConso[Jour Mois Année],0)</f>
        <v>#N/A</v>
      </c>
      <c r="K102" s="102" t="e">
        <f>Tableau6[[#This Row],[Cumul 2022]]-Tableau6[[#This Row],[Cumul 2021]]</f>
        <v>#N/A</v>
      </c>
      <c r="L102" s="104" t="e">
        <f>Tableau6[[#This Row],[Ecart 2021 2022]]/Tableau6[[#This Row],[Cumul 2021]]</f>
        <v>#N/A</v>
      </c>
      <c r="M102" s="102" t="str">
        <f>IF(ISNA(Tableau6[[#This Row],[Position 2023]]),"",INDEX(tabSuiviConso[HP + HC
cumul],Tableau6[[#This Row],[Position 2023]],1))</f>
        <v/>
      </c>
      <c r="N102" s="123" t="e">
        <f>IF(ISNA(Tableau6[[#This Row],[Position 2023]]),Tableau6[[#This Row],[Position 2023]],Tableau6[[#This Row],[2023]]-M$2)</f>
        <v>#N/A</v>
      </c>
      <c r="O102" s="102" t="e">
        <f>Tableau6[[#This Row],[Cumul 2023]]-Tableau6[[#This Row],[Cumul 2022]]</f>
        <v>#N/A</v>
      </c>
      <c r="P102" s="104" t="e">
        <f>Tableau6[[#This Row],[Ecart 2022 2023]]/Tableau6[[#This Row],[Cumul 2022]]</f>
        <v>#N/A</v>
      </c>
      <c r="Q102" s="102" t="e">
        <f>MATCH(Tableau6[Jours Mois]&amp;"/"&amp;Tableau6[[#Headers],[2024]],tabSuiviConso[Jour Mois Année],0)</f>
        <v>#N/A</v>
      </c>
      <c r="R102" s="102" t="str">
        <f>IF(ISNA(Tableau6[[#This Row],[Position 2024]]),"",INDEX(tabSuiviConso[HP + HC
cumul],Tableau6[[#This Row],[Position 2024]],1))</f>
        <v/>
      </c>
      <c r="S102" s="123" t="e">
        <f>IF(ISNA(Tableau6[[#This Row],[Position 2024]]),Tableau6[[#This Row],[Position 2024]],Tableau6[[#This Row],[2024]]-R$2)</f>
        <v>#N/A</v>
      </c>
      <c r="T102" s="102" t="e">
        <f>Tableau6[[#This Row],[Cumul 2024]]-Tableau6[[#This Row],[Cumul 2023]]</f>
        <v>#N/A</v>
      </c>
      <c r="U102" s="103" t="e">
        <f>Tableau6[[#This Row],[Ecart 2023 2024]]/Tableau6[[#This Row],[Cumul 2023]]</f>
        <v>#N/A</v>
      </c>
    </row>
    <row r="103" spans="1:21" x14ac:dyDescent="0.2">
      <c r="A103" s="102">
        <v>4</v>
      </c>
      <c r="B103" s="102">
        <v>10</v>
      </c>
      <c r="C103" s="102" t="str">
        <f>Tableau6[Jour]&amp;"/"&amp;Tableau6[Mois]</f>
        <v>10/4</v>
      </c>
      <c r="D103" s="102" t="e">
        <f>MATCH(Tableau6[Jours Mois]&amp;"/"&amp;Tableau6[[#Headers],[2021]],tabSuiviConso[Jour Mois Année],0)</f>
        <v>#N/A</v>
      </c>
      <c r="E103" s="102" t="str">
        <f>IF(ISNA(Tableau6[[#This Row],[Position 2021]]),"",INDEX(tabSuiviConso[HP + HC
cumul],Tableau6[[#This Row],[Position 2021]],1))</f>
        <v/>
      </c>
      <c r="F103" s="123" t="e">
        <f>IF(ISNA(Tableau6[[#This Row],[Position 2021]]),Tableau6[[#This Row],[Position 2021]],Tableau6[[#This Row],[2021]]-E$2)</f>
        <v>#N/A</v>
      </c>
      <c r="G103" s="102" t="e">
        <f>MATCH(Tableau6[Jours Mois]&amp;"/"&amp;Tableau6[[#Headers],[2022]],tabSuiviConso[Jour Mois Année],0)</f>
        <v>#N/A</v>
      </c>
      <c r="H103" s="102" t="str">
        <f>IF(ISNA(Tableau6[[#This Row],[Position 2022]]),"",INDEX(tabSuiviConso[HP + HC
cumul],Tableau6[[#This Row],[Position 2022]],1))</f>
        <v/>
      </c>
      <c r="I103" s="123" t="e">
        <f>IF(ISNA(Tableau6[[#This Row],[Position 2022]]),Tableau6[[#This Row],[Position 2022]],Tableau6[[#This Row],[2022]]-H$2)</f>
        <v>#N/A</v>
      </c>
      <c r="J103" s="102" t="e">
        <f>MATCH(Tableau6[Jours Mois]&amp;"/"&amp;Tableau6[[#Headers],[2023]],tabSuiviConso[Jour Mois Année],0)</f>
        <v>#N/A</v>
      </c>
      <c r="K103" s="102" t="e">
        <f>Tableau6[[#This Row],[Cumul 2022]]-Tableau6[[#This Row],[Cumul 2021]]</f>
        <v>#N/A</v>
      </c>
      <c r="L103" s="104" t="e">
        <f>Tableau6[[#This Row],[Ecart 2021 2022]]/Tableau6[[#This Row],[Cumul 2021]]</f>
        <v>#N/A</v>
      </c>
      <c r="M103" s="102" t="str">
        <f>IF(ISNA(Tableau6[[#This Row],[Position 2023]]),"",INDEX(tabSuiviConso[HP + HC
cumul],Tableau6[[#This Row],[Position 2023]],1))</f>
        <v/>
      </c>
      <c r="N103" s="123" t="e">
        <f>IF(ISNA(Tableau6[[#This Row],[Position 2023]]),Tableau6[[#This Row],[Position 2023]],Tableau6[[#This Row],[2023]]-M$2)</f>
        <v>#N/A</v>
      </c>
      <c r="O103" s="102" t="e">
        <f>Tableau6[[#This Row],[Cumul 2023]]-Tableau6[[#This Row],[Cumul 2022]]</f>
        <v>#N/A</v>
      </c>
      <c r="P103" s="104" t="e">
        <f>Tableau6[[#This Row],[Ecart 2022 2023]]/Tableau6[[#This Row],[Cumul 2022]]</f>
        <v>#N/A</v>
      </c>
      <c r="Q103" s="102" t="e">
        <f>MATCH(Tableau6[Jours Mois]&amp;"/"&amp;Tableau6[[#Headers],[2024]],tabSuiviConso[Jour Mois Année],0)</f>
        <v>#N/A</v>
      </c>
      <c r="R103" s="102" t="str">
        <f>IF(ISNA(Tableau6[[#This Row],[Position 2024]]),"",INDEX(tabSuiviConso[HP + HC
cumul],Tableau6[[#This Row],[Position 2024]],1))</f>
        <v/>
      </c>
      <c r="S103" s="123" t="e">
        <f>IF(ISNA(Tableau6[[#This Row],[Position 2024]]),Tableau6[[#This Row],[Position 2024]],Tableau6[[#This Row],[2024]]-R$2)</f>
        <v>#N/A</v>
      </c>
      <c r="T103" s="102" t="e">
        <f>Tableau6[[#This Row],[Cumul 2024]]-Tableau6[[#This Row],[Cumul 2023]]</f>
        <v>#N/A</v>
      </c>
      <c r="U103" s="103" t="e">
        <f>Tableau6[[#This Row],[Ecart 2023 2024]]/Tableau6[[#This Row],[Cumul 2023]]</f>
        <v>#N/A</v>
      </c>
    </row>
    <row r="104" spans="1:21" x14ac:dyDescent="0.2">
      <c r="A104" s="102">
        <v>4</v>
      </c>
      <c r="B104" s="102">
        <v>11</v>
      </c>
      <c r="C104" s="102" t="str">
        <f>Tableau6[Jour]&amp;"/"&amp;Tableau6[Mois]</f>
        <v>11/4</v>
      </c>
      <c r="D104" s="102" t="e">
        <f>MATCH(Tableau6[Jours Mois]&amp;"/"&amp;Tableau6[[#Headers],[2021]],tabSuiviConso[Jour Mois Année],0)</f>
        <v>#N/A</v>
      </c>
      <c r="E104" s="102" t="str">
        <f>IF(ISNA(Tableau6[[#This Row],[Position 2021]]),"",INDEX(tabSuiviConso[HP + HC
cumul],Tableau6[[#This Row],[Position 2021]],1))</f>
        <v/>
      </c>
      <c r="F104" s="123" t="e">
        <f>IF(ISNA(Tableau6[[#This Row],[Position 2021]]),Tableau6[[#This Row],[Position 2021]],Tableau6[[#This Row],[2021]]-E$2)</f>
        <v>#N/A</v>
      </c>
      <c r="G104" s="102" t="e">
        <f>MATCH(Tableau6[Jours Mois]&amp;"/"&amp;Tableau6[[#Headers],[2022]],tabSuiviConso[Jour Mois Année],0)</f>
        <v>#N/A</v>
      </c>
      <c r="H104" s="102" t="str">
        <f>IF(ISNA(Tableau6[[#This Row],[Position 2022]]),"",INDEX(tabSuiviConso[HP + HC
cumul],Tableau6[[#This Row],[Position 2022]],1))</f>
        <v/>
      </c>
      <c r="I104" s="123" t="e">
        <f>IF(ISNA(Tableau6[[#This Row],[Position 2022]]),Tableau6[[#This Row],[Position 2022]],Tableau6[[#This Row],[2022]]-H$2)</f>
        <v>#N/A</v>
      </c>
      <c r="J104" s="102" t="e">
        <f>MATCH(Tableau6[Jours Mois]&amp;"/"&amp;Tableau6[[#Headers],[2023]],tabSuiviConso[Jour Mois Année],0)</f>
        <v>#N/A</v>
      </c>
      <c r="K104" s="102" t="e">
        <f>Tableau6[[#This Row],[Cumul 2022]]-Tableau6[[#This Row],[Cumul 2021]]</f>
        <v>#N/A</v>
      </c>
      <c r="L104" s="104" t="e">
        <f>Tableau6[[#This Row],[Ecart 2021 2022]]/Tableau6[[#This Row],[Cumul 2021]]</f>
        <v>#N/A</v>
      </c>
      <c r="M104" s="102" t="str">
        <f>IF(ISNA(Tableau6[[#This Row],[Position 2023]]),"",INDEX(tabSuiviConso[HP + HC
cumul],Tableau6[[#This Row],[Position 2023]],1))</f>
        <v/>
      </c>
      <c r="N104" s="123" t="e">
        <f>IF(ISNA(Tableau6[[#This Row],[Position 2023]]),Tableau6[[#This Row],[Position 2023]],Tableau6[[#This Row],[2023]]-M$2)</f>
        <v>#N/A</v>
      </c>
      <c r="O104" s="102" t="e">
        <f>Tableau6[[#This Row],[Cumul 2023]]-Tableau6[[#This Row],[Cumul 2022]]</f>
        <v>#N/A</v>
      </c>
      <c r="P104" s="104" t="e">
        <f>Tableau6[[#This Row],[Ecart 2022 2023]]/Tableau6[[#This Row],[Cumul 2022]]</f>
        <v>#N/A</v>
      </c>
      <c r="Q104" s="102" t="e">
        <f>MATCH(Tableau6[Jours Mois]&amp;"/"&amp;Tableau6[[#Headers],[2024]],tabSuiviConso[Jour Mois Année],0)</f>
        <v>#N/A</v>
      </c>
      <c r="R104" s="102" t="str">
        <f>IF(ISNA(Tableau6[[#This Row],[Position 2024]]),"",INDEX(tabSuiviConso[HP + HC
cumul],Tableau6[[#This Row],[Position 2024]],1))</f>
        <v/>
      </c>
      <c r="S104" s="123" t="e">
        <f>IF(ISNA(Tableau6[[#This Row],[Position 2024]]),Tableau6[[#This Row],[Position 2024]],Tableau6[[#This Row],[2024]]-R$2)</f>
        <v>#N/A</v>
      </c>
      <c r="T104" s="102" t="e">
        <f>Tableau6[[#This Row],[Cumul 2024]]-Tableau6[[#This Row],[Cumul 2023]]</f>
        <v>#N/A</v>
      </c>
      <c r="U104" s="103" t="e">
        <f>Tableau6[[#This Row],[Ecart 2023 2024]]/Tableau6[[#This Row],[Cumul 2023]]</f>
        <v>#N/A</v>
      </c>
    </row>
    <row r="105" spans="1:21" x14ac:dyDescent="0.2">
      <c r="A105" s="102">
        <v>4</v>
      </c>
      <c r="B105" s="102">
        <v>12</v>
      </c>
      <c r="C105" s="102" t="str">
        <f>Tableau6[Jour]&amp;"/"&amp;Tableau6[Mois]</f>
        <v>12/4</v>
      </c>
      <c r="D105" s="102" t="e">
        <f>MATCH(Tableau6[Jours Mois]&amp;"/"&amp;Tableau6[[#Headers],[2021]],tabSuiviConso[Jour Mois Année],0)</f>
        <v>#N/A</v>
      </c>
      <c r="E105" s="102" t="str">
        <f>IF(ISNA(Tableau6[[#This Row],[Position 2021]]),"",INDEX(tabSuiviConso[HP + HC
cumul],Tableau6[[#This Row],[Position 2021]],1))</f>
        <v/>
      </c>
      <c r="F105" s="123" t="e">
        <f>IF(ISNA(Tableau6[[#This Row],[Position 2021]]),Tableau6[[#This Row],[Position 2021]],Tableau6[[#This Row],[2021]]-E$2)</f>
        <v>#N/A</v>
      </c>
      <c r="G105" s="102" t="e">
        <f>MATCH(Tableau6[Jours Mois]&amp;"/"&amp;Tableau6[[#Headers],[2022]],tabSuiviConso[Jour Mois Année],0)</f>
        <v>#N/A</v>
      </c>
      <c r="H105" s="102" t="str">
        <f>IF(ISNA(Tableau6[[#This Row],[Position 2022]]),"",INDEX(tabSuiviConso[HP + HC
cumul],Tableau6[[#This Row],[Position 2022]],1))</f>
        <v/>
      </c>
      <c r="I105" s="123" t="e">
        <f>IF(ISNA(Tableau6[[#This Row],[Position 2022]]),Tableau6[[#This Row],[Position 2022]],Tableau6[[#This Row],[2022]]-H$2)</f>
        <v>#N/A</v>
      </c>
      <c r="J105" s="102" t="e">
        <f>MATCH(Tableau6[Jours Mois]&amp;"/"&amp;Tableau6[[#Headers],[2023]],tabSuiviConso[Jour Mois Année],0)</f>
        <v>#N/A</v>
      </c>
      <c r="K105" s="102" t="e">
        <f>Tableau6[[#This Row],[Cumul 2022]]-Tableau6[[#This Row],[Cumul 2021]]</f>
        <v>#N/A</v>
      </c>
      <c r="L105" s="104" t="e">
        <f>Tableau6[[#This Row],[Ecart 2021 2022]]/Tableau6[[#This Row],[Cumul 2021]]</f>
        <v>#N/A</v>
      </c>
      <c r="M105" s="102" t="str">
        <f>IF(ISNA(Tableau6[[#This Row],[Position 2023]]),"",INDEX(tabSuiviConso[HP + HC
cumul],Tableau6[[#This Row],[Position 2023]],1))</f>
        <v/>
      </c>
      <c r="N105" s="123" t="e">
        <f>IF(ISNA(Tableau6[[#This Row],[Position 2023]]),Tableau6[[#This Row],[Position 2023]],Tableau6[[#This Row],[2023]]-M$2)</f>
        <v>#N/A</v>
      </c>
      <c r="O105" s="102" t="e">
        <f>Tableau6[[#This Row],[Cumul 2023]]-Tableau6[[#This Row],[Cumul 2022]]</f>
        <v>#N/A</v>
      </c>
      <c r="P105" s="104" t="e">
        <f>Tableau6[[#This Row],[Ecart 2022 2023]]/Tableau6[[#This Row],[Cumul 2022]]</f>
        <v>#N/A</v>
      </c>
      <c r="Q105" s="102" t="e">
        <f>MATCH(Tableau6[Jours Mois]&amp;"/"&amp;Tableau6[[#Headers],[2024]],tabSuiviConso[Jour Mois Année],0)</f>
        <v>#N/A</v>
      </c>
      <c r="R105" s="102" t="str">
        <f>IF(ISNA(Tableau6[[#This Row],[Position 2024]]),"",INDEX(tabSuiviConso[HP + HC
cumul],Tableau6[[#This Row],[Position 2024]],1))</f>
        <v/>
      </c>
      <c r="S105" s="123" t="e">
        <f>IF(ISNA(Tableau6[[#This Row],[Position 2024]]),Tableau6[[#This Row],[Position 2024]],Tableau6[[#This Row],[2024]]-R$2)</f>
        <v>#N/A</v>
      </c>
      <c r="T105" s="102" t="e">
        <f>Tableau6[[#This Row],[Cumul 2024]]-Tableau6[[#This Row],[Cumul 2023]]</f>
        <v>#N/A</v>
      </c>
      <c r="U105" s="103" t="e">
        <f>Tableau6[[#This Row],[Ecart 2023 2024]]/Tableau6[[#This Row],[Cumul 2023]]</f>
        <v>#N/A</v>
      </c>
    </row>
    <row r="106" spans="1:21" x14ac:dyDescent="0.2">
      <c r="A106" s="102">
        <v>4</v>
      </c>
      <c r="B106" s="102">
        <v>13</v>
      </c>
      <c r="C106" s="102" t="str">
        <f>Tableau6[Jour]&amp;"/"&amp;Tableau6[Mois]</f>
        <v>13/4</v>
      </c>
      <c r="D106" s="102" t="e">
        <f>MATCH(Tableau6[Jours Mois]&amp;"/"&amp;Tableau6[[#Headers],[2021]],tabSuiviConso[Jour Mois Année],0)</f>
        <v>#N/A</v>
      </c>
      <c r="E106" s="102" t="str">
        <f>IF(ISNA(Tableau6[[#This Row],[Position 2021]]),"",INDEX(tabSuiviConso[HP + HC
cumul],Tableau6[[#This Row],[Position 2021]],1))</f>
        <v/>
      </c>
      <c r="F106" s="123" t="e">
        <f>IF(ISNA(Tableau6[[#This Row],[Position 2021]]),Tableau6[[#This Row],[Position 2021]],Tableau6[[#This Row],[2021]]-E$2)</f>
        <v>#N/A</v>
      </c>
      <c r="G106" s="102" t="e">
        <f>MATCH(Tableau6[Jours Mois]&amp;"/"&amp;Tableau6[[#Headers],[2022]],tabSuiviConso[Jour Mois Année],0)</f>
        <v>#N/A</v>
      </c>
      <c r="H106" s="102" t="str">
        <f>IF(ISNA(Tableau6[[#This Row],[Position 2022]]),"",INDEX(tabSuiviConso[HP + HC
cumul],Tableau6[[#This Row],[Position 2022]],1))</f>
        <v/>
      </c>
      <c r="I106" s="123" t="e">
        <f>IF(ISNA(Tableau6[[#This Row],[Position 2022]]),Tableau6[[#This Row],[Position 2022]],Tableau6[[#This Row],[2022]]-H$2)</f>
        <v>#N/A</v>
      </c>
      <c r="J106" s="102" t="e">
        <f>MATCH(Tableau6[Jours Mois]&amp;"/"&amp;Tableau6[[#Headers],[2023]],tabSuiviConso[Jour Mois Année],0)</f>
        <v>#N/A</v>
      </c>
      <c r="K106" s="102" t="e">
        <f>Tableau6[[#This Row],[Cumul 2022]]-Tableau6[[#This Row],[Cumul 2021]]</f>
        <v>#N/A</v>
      </c>
      <c r="L106" s="104" t="e">
        <f>Tableau6[[#This Row],[Ecart 2021 2022]]/Tableau6[[#This Row],[Cumul 2021]]</f>
        <v>#N/A</v>
      </c>
      <c r="M106" s="102" t="str">
        <f>IF(ISNA(Tableau6[[#This Row],[Position 2023]]),"",INDEX(tabSuiviConso[HP + HC
cumul],Tableau6[[#This Row],[Position 2023]],1))</f>
        <v/>
      </c>
      <c r="N106" s="123" t="e">
        <f>IF(ISNA(Tableau6[[#This Row],[Position 2023]]),Tableau6[[#This Row],[Position 2023]],Tableau6[[#This Row],[2023]]-M$2)</f>
        <v>#N/A</v>
      </c>
      <c r="O106" s="102" t="e">
        <f>Tableau6[[#This Row],[Cumul 2023]]-Tableau6[[#This Row],[Cumul 2022]]</f>
        <v>#N/A</v>
      </c>
      <c r="P106" s="104" t="e">
        <f>Tableau6[[#This Row],[Ecart 2022 2023]]/Tableau6[[#This Row],[Cumul 2022]]</f>
        <v>#N/A</v>
      </c>
      <c r="Q106" s="102" t="e">
        <f>MATCH(Tableau6[Jours Mois]&amp;"/"&amp;Tableau6[[#Headers],[2024]],tabSuiviConso[Jour Mois Année],0)</f>
        <v>#N/A</v>
      </c>
      <c r="R106" s="102" t="str">
        <f>IF(ISNA(Tableau6[[#This Row],[Position 2024]]),"",INDEX(tabSuiviConso[HP + HC
cumul],Tableau6[[#This Row],[Position 2024]],1))</f>
        <v/>
      </c>
      <c r="S106" s="123" t="e">
        <f>IF(ISNA(Tableau6[[#This Row],[Position 2024]]),Tableau6[[#This Row],[Position 2024]],Tableau6[[#This Row],[2024]]-R$2)</f>
        <v>#N/A</v>
      </c>
      <c r="T106" s="102" t="e">
        <f>Tableau6[[#This Row],[Cumul 2024]]-Tableau6[[#This Row],[Cumul 2023]]</f>
        <v>#N/A</v>
      </c>
      <c r="U106" s="103" t="e">
        <f>Tableau6[[#This Row],[Ecart 2023 2024]]/Tableau6[[#This Row],[Cumul 2023]]</f>
        <v>#N/A</v>
      </c>
    </row>
    <row r="107" spans="1:21" x14ac:dyDescent="0.2">
      <c r="A107" s="102">
        <v>4</v>
      </c>
      <c r="B107" s="102">
        <v>14</v>
      </c>
      <c r="C107" s="102" t="str">
        <f>Tableau6[Jour]&amp;"/"&amp;Tableau6[Mois]</f>
        <v>14/4</v>
      </c>
      <c r="D107" s="102" t="e">
        <f>MATCH(Tableau6[Jours Mois]&amp;"/"&amp;Tableau6[[#Headers],[2021]],tabSuiviConso[Jour Mois Année],0)</f>
        <v>#N/A</v>
      </c>
      <c r="E107" s="102" t="str">
        <f>IF(ISNA(Tableau6[[#This Row],[Position 2021]]),"",INDEX(tabSuiviConso[HP + HC
cumul],Tableau6[[#This Row],[Position 2021]],1))</f>
        <v/>
      </c>
      <c r="F107" s="123" t="e">
        <f>IF(ISNA(Tableau6[[#This Row],[Position 2021]]),Tableau6[[#This Row],[Position 2021]],Tableau6[[#This Row],[2021]]-E$2)</f>
        <v>#N/A</v>
      </c>
      <c r="G107" s="102" t="e">
        <f>MATCH(Tableau6[Jours Mois]&amp;"/"&amp;Tableau6[[#Headers],[2022]],tabSuiviConso[Jour Mois Année],0)</f>
        <v>#N/A</v>
      </c>
      <c r="H107" s="102" t="str">
        <f>IF(ISNA(Tableau6[[#This Row],[Position 2022]]),"",INDEX(tabSuiviConso[HP + HC
cumul],Tableau6[[#This Row],[Position 2022]],1))</f>
        <v/>
      </c>
      <c r="I107" s="123" t="e">
        <f>IF(ISNA(Tableau6[[#This Row],[Position 2022]]),Tableau6[[#This Row],[Position 2022]],Tableau6[[#This Row],[2022]]-H$2)</f>
        <v>#N/A</v>
      </c>
      <c r="J107" s="102" t="e">
        <f>MATCH(Tableau6[Jours Mois]&amp;"/"&amp;Tableau6[[#Headers],[2023]],tabSuiviConso[Jour Mois Année],0)</f>
        <v>#N/A</v>
      </c>
      <c r="K107" s="102" t="e">
        <f>Tableau6[[#This Row],[Cumul 2022]]-Tableau6[[#This Row],[Cumul 2021]]</f>
        <v>#N/A</v>
      </c>
      <c r="L107" s="104" t="e">
        <f>Tableau6[[#This Row],[Ecart 2021 2022]]/Tableau6[[#This Row],[Cumul 2021]]</f>
        <v>#N/A</v>
      </c>
      <c r="M107" s="102" t="str">
        <f>IF(ISNA(Tableau6[[#This Row],[Position 2023]]),"",INDEX(tabSuiviConso[HP + HC
cumul],Tableau6[[#This Row],[Position 2023]],1))</f>
        <v/>
      </c>
      <c r="N107" s="123" t="e">
        <f>IF(ISNA(Tableau6[[#This Row],[Position 2023]]),Tableau6[[#This Row],[Position 2023]],Tableau6[[#This Row],[2023]]-M$2)</f>
        <v>#N/A</v>
      </c>
      <c r="O107" s="102" t="e">
        <f>Tableau6[[#This Row],[Cumul 2023]]-Tableau6[[#This Row],[Cumul 2022]]</f>
        <v>#N/A</v>
      </c>
      <c r="P107" s="104" t="e">
        <f>Tableau6[[#This Row],[Ecart 2022 2023]]/Tableau6[[#This Row],[Cumul 2022]]</f>
        <v>#N/A</v>
      </c>
      <c r="Q107" s="102" t="e">
        <f>MATCH(Tableau6[Jours Mois]&amp;"/"&amp;Tableau6[[#Headers],[2024]],tabSuiviConso[Jour Mois Année],0)</f>
        <v>#N/A</v>
      </c>
      <c r="R107" s="102" t="str">
        <f>IF(ISNA(Tableau6[[#This Row],[Position 2024]]),"",INDEX(tabSuiviConso[HP + HC
cumul],Tableau6[[#This Row],[Position 2024]],1))</f>
        <v/>
      </c>
      <c r="S107" s="123" t="e">
        <f>IF(ISNA(Tableau6[[#This Row],[Position 2024]]),Tableau6[[#This Row],[Position 2024]],Tableau6[[#This Row],[2024]]-R$2)</f>
        <v>#N/A</v>
      </c>
      <c r="T107" s="102" t="e">
        <f>Tableau6[[#This Row],[Cumul 2024]]-Tableau6[[#This Row],[Cumul 2023]]</f>
        <v>#N/A</v>
      </c>
      <c r="U107" s="103" t="e">
        <f>Tableau6[[#This Row],[Ecart 2023 2024]]/Tableau6[[#This Row],[Cumul 2023]]</f>
        <v>#N/A</v>
      </c>
    </row>
    <row r="108" spans="1:21" x14ac:dyDescent="0.2">
      <c r="A108" s="102">
        <v>4</v>
      </c>
      <c r="B108" s="102">
        <v>15</v>
      </c>
      <c r="C108" s="102" t="str">
        <f>Tableau6[Jour]&amp;"/"&amp;Tableau6[Mois]</f>
        <v>15/4</v>
      </c>
      <c r="D108" s="102" t="e">
        <f>MATCH(Tableau6[Jours Mois]&amp;"/"&amp;Tableau6[[#Headers],[2021]],tabSuiviConso[Jour Mois Année],0)</f>
        <v>#N/A</v>
      </c>
      <c r="E108" s="102" t="str">
        <f>IF(ISNA(Tableau6[[#This Row],[Position 2021]]),"",INDEX(tabSuiviConso[HP + HC
cumul],Tableau6[[#This Row],[Position 2021]],1))</f>
        <v/>
      </c>
      <c r="F108" s="123" t="e">
        <f>IF(ISNA(Tableau6[[#This Row],[Position 2021]]),Tableau6[[#This Row],[Position 2021]],Tableau6[[#This Row],[2021]]-E$2)</f>
        <v>#N/A</v>
      </c>
      <c r="G108" s="102" t="e">
        <f>MATCH(Tableau6[Jours Mois]&amp;"/"&amp;Tableau6[[#Headers],[2022]],tabSuiviConso[Jour Mois Année],0)</f>
        <v>#N/A</v>
      </c>
      <c r="H108" s="102" t="str">
        <f>IF(ISNA(Tableau6[[#This Row],[Position 2022]]),"",INDEX(tabSuiviConso[HP + HC
cumul],Tableau6[[#This Row],[Position 2022]],1))</f>
        <v/>
      </c>
      <c r="I108" s="123" t="e">
        <f>IF(ISNA(Tableau6[[#This Row],[Position 2022]]),Tableau6[[#This Row],[Position 2022]],Tableau6[[#This Row],[2022]]-H$2)</f>
        <v>#N/A</v>
      </c>
      <c r="J108" s="102" t="e">
        <f>MATCH(Tableau6[Jours Mois]&amp;"/"&amp;Tableau6[[#Headers],[2023]],tabSuiviConso[Jour Mois Année],0)</f>
        <v>#N/A</v>
      </c>
      <c r="K108" s="102" t="e">
        <f>Tableau6[[#This Row],[Cumul 2022]]-Tableau6[[#This Row],[Cumul 2021]]</f>
        <v>#N/A</v>
      </c>
      <c r="L108" s="104" t="e">
        <f>Tableau6[[#This Row],[Ecart 2021 2022]]/Tableau6[[#This Row],[Cumul 2021]]</f>
        <v>#N/A</v>
      </c>
      <c r="M108" s="102" t="str">
        <f>IF(ISNA(Tableau6[[#This Row],[Position 2023]]),"",INDEX(tabSuiviConso[HP + HC
cumul],Tableau6[[#This Row],[Position 2023]],1))</f>
        <v/>
      </c>
      <c r="N108" s="123" t="e">
        <f>IF(ISNA(Tableau6[[#This Row],[Position 2023]]),Tableau6[[#This Row],[Position 2023]],Tableau6[[#This Row],[2023]]-M$2)</f>
        <v>#N/A</v>
      </c>
      <c r="O108" s="102" t="e">
        <f>Tableau6[[#This Row],[Cumul 2023]]-Tableau6[[#This Row],[Cumul 2022]]</f>
        <v>#N/A</v>
      </c>
      <c r="P108" s="104" t="e">
        <f>Tableau6[[#This Row],[Ecart 2022 2023]]/Tableau6[[#This Row],[Cumul 2022]]</f>
        <v>#N/A</v>
      </c>
      <c r="Q108" s="102" t="e">
        <f>MATCH(Tableau6[Jours Mois]&amp;"/"&amp;Tableau6[[#Headers],[2024]],tabSuiviConso[Jour Mois Année],0)</f>
        <v>#N/A</v>
      </c>
      <c r="R108" s="102" t="str">
        <f>IF(ISNA(Tableau6[[#This Row],[Position 2024]]),"",INDEX(tabSuiviConso[HP + HC
cumul],Tableau6[[#This Row],[Position 2024]],1))</f>
        <v/>
      </c>
      <c r="S108" s="123" t="e">
        <f>IF(ISNA(Tableau6[[#This Row],[Position 2024]]),Tableau6[[#This Row],[Position 2024]],Tableau6[[#This Row],[2024]]-R$2)</f>
        <v>#N/A</v>
      </c>
      <c r="T108" s="102" t="e">
        <f>Tableau6[[#This Row],[Cumul 2024]]-Tableau6[[#This Row],[Cumul 2023]]</f>
        <v>#N/A</v>
      </c>
      <c r="U108" s="103" t="e">
        <f>Tableau6[[#This Row],[Ecart 2023 2024]]/Tableau6[[#This Row],[Cumul 2023]]</f>
        <v>#N/A</v>
      </c>
    </row>
    <row r="109" spans="1:21" x14ac:dyDescent="0.2">
      <c r="A109" s="102">
        <v>4</v>
      </c>
      <c r="B109" s="102">
        <v>16</v>
      </c>
      <c r="C109" s="102" t="str">
        <f>Tableau6[Jour]&amp;"/"&amp;Tableau6[Mois]</f>
        <v>16/4</v>
      </c>
      <c r="D109" s="102" t="e">
        <f>MATCH(Tableau6[Jours Mois]&amp;"/"&amp;Tableau6[[#Headers],[2021]],tabSuiviConso[Jour Mois Année],0)</f>
        <v>#N/A</v>
      </c>
      <c r="E109" s="102" t="str">
        <f>IF(ISNA(Tableau6[[#This Row],[Position 2021]]),"",INDEX(tabSuiviConso[HP + HC
cumul],Tableau6[[#This Row],[Position 2021]],1))</f>
        <v/>
      </c>
      <c r="F109" s="123" t="e">
        <f>IF(ISNA(Tableau6[[#This Row],[Position 2021]]),Tableau6[[#This Row],[Position 2021]],Tableau6[[#This Row],[2021]]-E$2)</f>
        <v>#N/A</v>
      </c>
      <c r="G109" s="102" t="e">
        <f>MATCH(Tableau6[Jours Mois]&amp;"/"&amp;Tableau6[[#Headers],[2022]],tabSuiviConso[Jour Mois Année],0)</f>
        <v>#N/A</v>
      </c>
      <c r="H109" s="102" t="str">
        <f>IF(ISNA(Tableau6[[#This Row],[Position 2022]]),"",INDEX(tabSuiviConso[HP + HC
cumul],Tableau6[[#This Row],[Position 2022]],1))</f>
        <v/>
      </c>
      <c r="I109" s="123" t="e">
        <f>IF(ISNA(Tableau6[[#This Row],[Position 2022]]),Tableau6[[#This Row],[Position 2022]],Tableau6[[#This Row],[2022]]-H$2)</f>
        <v>#N/A</v>
      </c>
      <c r="J109" s="102" t="e">
        <f>MATCH(Tableau6[Jours Mois]&amp;"/"&amp;Tableau6[[#Headers],[2023]],tabSuiviConso[Jour Mois Année],0)</f>
        <v>#N/A</v>
      </c>
      <c r="K109" s="102" t="e">
        <f>Tableau6[[#This Row],[Cumul 2022]]-Tableau6[[#This Row],[Cumul 2021]]</f>
        <v>#N/A</v>
      </c>
      <c r="L109" s="104" t="e">
        <f>Tableau6[[#This Row],[Ecart 2021 2022]]/Tableau6[[#This Row],[Cumul 2021]]</f>
        <v>#N/A</v>
      </c>
      <c r="M109" s="102" t="str">
        <f>IF(ISNA(Tableau6[[#This Row],[Position 2023]]),"",INDEX(tabSuiviConso[HP + HC
cumul],Tableau6[[#This Row],[Position 2023]],1))</f>
        <v/>
      </c>
      <c r="N109" s="123" t="e">
        <f>IF(ISNA(Tableau6[[#This Row],[Position 2023]]),Tableau6[[#This Row],[Position 2023]],Tableau6[[#This Row],[2023]]-M$2)</f>
        <v>#N/A</v>
      </c>
      <c r="O109" s="102" t="e">
        <f>Tableau6[[#This Row],[Cumul 2023]]-Tableau6[[#This Row],[Cumul 2022]]</f>
        <v>#N/A</v>
      </c>
      <c r="P109" s="104" t="e">
        <f>Tableau6[[#This Row],[Ecart 2022 2023]]/Tableau6[[#This Row],[Cumul 2022]]</f>
        <v>#N/A</v>
      </c>
      <c r="Q109" s="102" t="e">
        <f>MATCH(Tableau6[Jours Mois]&amp;"/"&amp;Tableau6[[#Headers],[2024]],tabSuiviConso[Jour Mois Année],0)</f>
        <v>#N/A</v>
      </c>
      <c r="R109" s="102" t="str">
        <f>IF(ISNA(Tableau6[[#This Row],[Position 2024]]),"",INDEX(tabSuiviConso[HP + HC
cumul],Tableau6[[#This Row],[Position 2024]],1))</f>
        <v/>
      </c>
      <c r="S109" s="123" t="e">
        <f>IF(ISNA(Tableau6[[#This Row],[Position 2024]]),Tableau6[[#This Row],[Position 2024]],Tableau6[[#This Row],[2024]]-R$2)</f>
        <v>#N/A</v>
      </c>
      <c r="T109" s="102" t="e">
        <f>Tableau6[[#This Row],[Cumul 2024]]-Tableau6[[#This Row],[Cumul 2023]]</f>
        <v>#N/A</v>
      </c>
      <c r="U109" s="103" t="e">
        <f>Tableau6[[#This Row],[Ecart 2023 2024]]/Tableau6[[#This Row],[Cumul 2023]]</f>
        <v>#N/A</v>
      </c>
    </row>
    <row r="110" spans="1:21" x14ac:dyDescent="0.2">
      <c r="A110" s="102">
        <v>4</v>
      </c>
      <c r="B110" s="102">
        <v>17</v>
      </c>
      <c r="C110" s="102" t="str">
        <f>Tableau6[Jour]&amp;"/"&amp;Tableau6[Mois]</f>
        <v>17/4</v>
      </c>
      <c r="D110" s="102" t="e">
        <f>MATCH(Tableau6[Jours Mois]&amp;"/"&amp;Tableau6[[#Headers],[2021]],tabSuiviConso[Jour Mois Année],0)</f>
        <v>#N/A</v>
      </c>
      <c r="E110" s="102" t="str">
        <f>IF(ISNA(Tableau6[[#This Row],[Position 2021]]),"",INDEX(tabSuiviConso[HP + HC
cumul],Tableau6[[#This Row],[Position 2021]],1))</f>
        <v/>
      </c>
      <c r="F110" s="123" t="e">
        <f>IF(ISNA(Tableau6[[#This Row],[Position 2021]]),Tableau6[[#This Row],[Position 2021]],Tableau6[[#This Row],[2021]]-E$2)</f>
        <v>#N/A</v>
      </c>
      <c r="G110" s="102" t="e">
        <f>MATCH(Tableau6[Jours Mois]&amp;"/"&amp;Tableau6[[#Headers],[2022]],tabSuiviConso[Jour Mois Année],0)</f>
        <v>#N/A</v>
      </c>
      <c r="H110" s="102" t="str">
        <f>IF(ISNA(Tableau6[[#This Row],[Position 2022]]),"",INDEX(tabSuiviConso[HP + HC
cumul],Tableau6[[#This Row],[Position 2022]],1))</f>
        <v/>
      </c>
      <c r="I110" s="123" t="e">
        <f>IF(ISNA(Tableau6[[#This Row],[Position 2022]]),Tableau6[[#This Row],[Position 2022]],Tableau6[[#This Row],[2022]]-H$2)</f>
        <v>#N/A</v>
      </c>
      <c r="J110" s="102" t="e">
        <f>MATCH(Tableau6[Jours Mois]&amp;"/"&amp;Tableau6[[#Headers],[2023]],tabSuiviConso[Jour Mois Année],0)</f>
        <v>#N/A</v>
      </c>
      <c r="K110" s="102" t="e">
        <f>Tableau6[[#This Row],[Cumul 2022]]-Tableau6[[#This Row],[Cumul 2021]]</f>
        <v>#N/A</v>
      </c>
      <c r="L110" s="104" t="e">
        <f>Tableau6[[#This Row],[Ecart 2021 2022]]/Tableau6[[#This Row],[Cumul 2021]]</f>
        <v>#N/A</v>
      </c>
      <c r="M110" s="102" t="str">
        <f>IF(ISNA(Tableau6[[#This Row],[Position 2023]]),"",INDEX(tabSuiviConso[HP + HC
cumul],Tableau6[[#This Row],[Position 2023]],1))</f>
        <v/>
      </c>
      <c r="N110" s="123" t="e">
        <f>IF(ISNA(Tableau6[[#This Row],[Position 2023]]),Tableau6[[#This Row],[Position 2023]],Tableau6[[#This Row],[2023]]-M$2)</f>
        <v>#N/A</v>
      </c>
      <c r="O110" s="102" t="e">
        <f>Tableau6[[#This Row],[Cumul 2023]]-Tableau6[[#This Row],[Cumul 2022]]</f>
        <v>#N/A</v>
      </c>
      <c r="P110" s="104" t="e">
        <f>Tableau6[[#This Row],[Ecart 2022 2023]]/Tableau6[[#This Row],[Cumul 2022]]</f>
        <v>#N/A</v>
      </c>
      <c r="Q110" s="102" t="e">
        <f>MATCH(Tableau6[Jours Mois]&amp;"/"&amp;Tableau6[[#Headers],[2024]],tabSuiviConso[Jour Mois Année],0)</f>
        <v>#N/A</v>
      </c>
      <c r="R110" s="102" t="str">
        <f>IF(ISNA(Tableau6[[#This Row],[Position 2024]]),"",INDEX(tabSuiviConso[HP + HC
cumul],Tableau6[[#This Row],[Position 2024]],1))</f>
        <v/>
      </c>
      <c r="S110" s="123" t="e">
        <f>IF(ISNA(Tableau6[[#This Row],[Position 2024]]),Tableau6[[#This Row],[Position 2024]],Tableau6[[#This Row],[2024]]-R$2)</f>
        <v>#N/A</v>
      </c>
      <c r="T110" s="102" t="e">
        <f>Tableau6[[#This Row],[Cumul 2024]]-Tableau6[[#This Row],[Cumul 2023]]</f>
        <v>#N/A</v>
      </c>
      <c r="U110" s="103" t="e">
        <f>Tableau6[[#This Row],[Ecart 2023 2024]]/Tableau6[[#This Row],[Cumul 2023]]</f>
        <v>#N/A</v>
      </c>
    </row>
    <row r="111" spans="1:21" x14ac:dyDescent="0.2">
      <c r="A111" s="102">
        <v>4</v>
      </c>
      <c r="B111" s="102">
        <v>18</v>
      </c>
      <c r="C111" s="102" t="str">
        <f>Tableau6[Jour]&amp;"/"&amp;Tableau6[Mois]</f>
        <v>18/4</v>
      </c>
      <c r="D111" s="102" t="e">
        <f>MATCH(Tableau6[Jours Mois]&amp;"/"&amp;Tableau6[[#Headers],[2021]],tabSuiviConso[Jour Mois Année],0)</f>
        <v>#N/A</v>
      </c>
      <c r="E111" s="102" t="str">
        <f>IF(ISNA(Tableau6[[#This Row],[Position 2021]]),"",INDEX(tabSuiviConso[HP + HC
cumul],Tableau6[[#This Row],[Position 2021]],1))</f>
        <v/>
      </c>
      <c r="F111" s="123" t="e">
        <f>IF(ISNA(Tableau6[[#This Row],[Position 2021]]),Tableau6[[#This Row],[Position 2021]],Tableau6[[#This Row],[2021]]-E$2)</f>
        <v>#N/A</v>
      </c>
      <c r="G111" s="102" t="e">
        <f>MATCH(Tableau6[Jours Mois]&amp;"/"&amp;Tableau6[[#Headers],[2022]],tabSuiviConso[Jour Mois Année],0)</f>
        <v>#N/A</v>
      </c>
      <c r="H111" s="102" t="str">
        <f>IF(ISNA(Tableau6[[#This Row],[Position 2022]]),"",INDEX(tabSuiviConso[HP + HC
cumul],Tableau6[[#This Row],[Position 2022]],1))</f>
        <v/>
      </c>
      <c r="I111" s="123" t="e">
        <f>IF(ISNA(Tableau6[[#This Row],[Position 2022]]),Tableau6[[#This Row],[Position 2022]],Tableau6[[#This Row],[2022]]-H$2)</f>
        <v>#N/A</v>
      </c>
      <c r="J111" s="102" t="e">
        <f>MATCH(Tableau6[Jours Mois]&amp;"/"&amp;Tableau6[[#Headers],[2023]],tabSuiviConso[Jour Mois Année],0)</f>
        <v>#N/A</v>
      </c>
      <c r="K111" s="102" t="e">
        <f>Tableau6[[#This Row],[Cumul 2022]]-Tableau6[[#This Row],[Cumul 2021]]</f>
        <v>#N/A</v>
      </c>
      <c r="L111" s="104" t="e">
        <f>Tableau6[[#This Row],[Ecart 2021 2022]]/Tableau6[[#This Row],[Cumul 2021]]</f>
        <v>#N/A</v>
      </c>
      <c r="M111" s="102" t="str">
        <f>IF(ISNA(Tableau6[[#This Row],[Position 2023]]),"",INDEX(tabSuiviConso[HP + HC
cumul],Tableau6[[#This Row],[Position 2023]],1))</f>
        <v/>
      </c>
      <c r="N111" s="123" t="e">
        <f>IF(ISNA(Tableau6[[#This Row],[Position 2023]]),Tableau6[[#This Row],[Position 2023]],Tableau6[[#This Row],[2023]]-M$2)</f>
        <v>#N/A</v>
      </c>
      <c r="O111" s="102" t="e">
        <f>Tableau6[[#This Row],[Cumul 2023]]-Tableau6[[#This Row],[Cumul 2022]]</f>
        <v>#N/A</v>
      </c>
      <c r="P111" s="104" t="e">
        <f>Tableau6[[#This Row],[Ecart 2022 2023]]/Tableau6[[#This Row],[Cumul 2022]]</f>
        <v>#N/A</v>
      </c>
      <c r="Q111" s="102" t="e">
        <f>MATCH(Tableau6[Jours Mois]&amp;"/"&amp;Tableau6[[#Headers],[2024]],tabSuiviConso[Jour Mois Année],0)</f>
        <v>#N/A</v>
      </c>
      <c r="R111" s="102" t="str">
        <f>IF(ISNA(Tableau6[[#This Row],[Position 2024]]),"",INDEX(tabSuiviConso[HP + HC
cumul],Tableau6[[#This Row],[Position 2024]],1))</f>
        <v/>
      </c>
      <c r="S111" s="123" t="e">
        <f>IF(ISNA(Tableau6[[#This Row],[Position 2024]]),Tableau6[[#This Row],[Position 2024]],Tableau6[[#This Row],[2024]]-R$2)</f>
        <v>#N/A</v>
      </c>
      <c r="T111" s="102" t="e">
        <f>Tableau6[[#This Row],[Cumul 2024]]-Tableau6[[#This Row],[Cumul 2023]]</f>
        <v>#N/A</v>
      </c>
      <c r="U111" s="103" t="e">
        <f>Tableau6[[#This Row],[Ecart 2023 2024]]/Tableau6[[#This Row],[Cumul 2023]]</f>
        <v>#N/A</v>
      </c>
    </row>
    <row r="112" spans="1:21" x14ac:dyDescent="0.2">
      <c r="A112" s="102">
        <v>4</v>
      </c>
      <c r="B112" s="102">
        <v>19</v>
      </c>
      <c r="C112" s="102" t="str">
        <f>Tableau6[Jour]&amp;"/"&amp;Tableau6[Mois]</f>
        <v>19/4</v>
      </c>
      <c r="D112" s="102" t="e">
        <f>MATCH(Tableau6[Jours Mois]&amp;"/"&amp;Tableau6[[#Headers],[2021]],tabSuiviConso[Jour Mois Année],0)</f>
        <v>#N/A</v>
      </c>
      <c r="E112" s="102" t="str">
        <f>IF(ISNA(Tableau6[[#This Row],[Position 2021]]),"",INDEX(tabSuiviConso[HP + HC
cumul],Tableau6[[#This Row],[Position 2021]],1))</f>
        <v/>
      </c>
      <c r="F112" s="123" t="e">
        <f>IF(ISNA(Tableau6[[#This Row],[Position 2021]]),Tableau6[[#This Row],[Position 2021]],Tableau6[[#This Row],[2021]]-E$2)</f>
        <v>#N/A</v>
      </c>
      <c r="G112" s="102" t="e">
        <f>MATCH(Tableau6[Jours Mois]&amp;"/"&amp;Tableau6[[#Headers],[2022]],tabSuiviConso[Jour Mois Année],0)</f>
        <v>#N/A</v>
      </c>
      <c r="H112" s="102" t="str">
        <f>IF(ISNA(Tableau6[[#This Row],[Position 2022]]),"",INDEX(tabSuiviConso[HP + HC
cumul],Tableau6[[#This Row],[Position 2022]],1))</f>
        <v/>
      </c>
      <c r="I112" s="123" t="e">
        <f>IF(ISNA(Tableau6[[#This Row],[Position 2022]]),Tableau6[[#This Row],[Position 2022]],Tableau6[[#This Row],[2022]]-H$2)</f>
        <v>#N/A</v>
      </c>
      <c r="J112" s="102" t="e">
        <f>MATCH(Tableau6[Jours Mois]&amp;"/"&amp;Tableau6[[#Headers],[2023]],tabSuiviConso[Jour Mois Année],0)</f>
        <v>#N/A</v>
      </c>
      <c r="K112" s="102" t="e">
        <f>Tableau6[[#This Row],[Cumul 2022]]-Tableau6[[#This Row],[Cumul 2021]]</f>
        <v>#N/A</v>
      </c>
      <c r="L112" s="104" t="e">
        <f>Tableau6[[#This Row],[Ecart 2021 2022]]/Tableau6[[#This Row],[Cumul 2021]]</f>
        <v>#N/A</v>
      </c>
      <c r="M112" s="102" t="str">
        <f>IF(ISNA(Tableau6[[#This Row],[Position 2023]]),"",INDEX(tabSuiviConso[HP + HC
cumul],Tableau6[[#This Row],[Position 2023]],1))</f>
        <v/>
      </c>
      <c r="N112" s="123" t="e">
        <f>IF(ISNA(Tableau6[[#This Row],[Position 2023]]),Tableau6[[#This Row],[Position 2023]],Tableau6[[#This Row],[2023]]-M$2)</f>
        <v>#N/A</v>
      </c>
      <c r="O112" s="102" t="e">
        <f>Tableau6[[#This Row],[Cumul 2023]]-Tableau6[[#This Row],[Cumul 2022]]</f>
        <v>#N/A</v>
      </c>
      <c r="P112" s="104" t="e">
        <f>Tableau6[[#This Row],[Ecart 2022 2023]]/Tableau6[[#This Row],[Cumul 2022]]</f>
        <v>#N/A</v>
      </c>
      <c r="Q112" s="102" t="e">
        <f>MATCH(Tableau6[Jours Mois]&amp;"/"&amp;Tableau6[[#Headers],[2024]],tabSuiviConso[Jour Mois Année],0)</f>
        <v>#N/A</v>
      </c>
      <c r="R112" s="102" t="str">
        <f>IF(ISNA(Tableau6[[#This Row],[Position 2024]]),"",INDEX(tabSuiviConso[HP + HC
cumul],Tableau6[[#This Row],[Position 2024]],1))</f>
        <v/>
      </c>
      <c r="S112" s="123" t="e">
        <f>IF(ISNA(Tableau6[[#This Row],[Position 2024]]),Tableau6[[#This Row],[Position 2024]],Tableau6[[#This Row],[2024]]-R$2)</f>
        <v>#N/A</v>
      </c>
      <c r="T112" s="102" t="e">
        <f>Tableau6[[#This Row],[Cumul 2024]]-Tableau6[[#This Row],[Cumul 2023]]</f>
        <v>#N/A</v>
      </c>
      <c r="U112" s="103" t="e">
        <f>Tableau6[[#This Row],[Ecart 2023 2024]]/Tableau6[[#This Row],[Cumul 2023]]</f>
        <v>#N/A</v>
      </c>
    </row>
    <row r="113" spans="1:21" x14ac:dyDescent="0.2">
      <c r="A113" s="102">
        <v>4</v>
      </c>
      <c r="B113" s="102">
        <v>20</v>
      </c>
      <c r="C113" s="102" t="str">
        <f>Tableau6[Jour]&amp;"/"&amp;Tableau6[Mois]</f>
        <v>20/4</v>
      </c>
      <c r="D113" s="102" t="e">
        <f>MATCH(Tableau6[Jours Mois]&amp;"/"&amp;Tableau6[[#Headers],[2021]],tabSuiviConso[Jour Mois Année],0)</f>
        <v>#N/A</v>
      </c>
      <c r="E113" s="102" t="str">
        <f>IF(ISNA(Tableau6[[#This Row],[Position 2021]]),"",INDEX(tabSuiviConso[HP + HC
cumul],Tableau6[[#This Row],[Position 2021]],1))</f>
        <v/>
      </c>
      <c r="F113" s="123" t="e">
        <f>IF(ISNA(Tableau6[[#This Row],[Position 2021]]),Tableau6[[#This Row],[Position 2021]],Tableau6[[#This Row],[2021]]-E$2)</f>
        <v>#N/A</v>
      </c>
      <c r="G113" s="102" t="e">
        <f>MATCH(Tableau6[Jours Mois]&amp;"/"&amp;Tableau6[[#Headers],[2022]],tabSuiviConso[Jour Mois Année],0)</f>
        <v>#N/A</v>
      </c>
      <c r="H113" s="102" t="str">
        <f>IF(ISNA(Tableau6[[#This Row],[Position 2022]]),"",INDEX(tabSuiviConso[HP + HC
cumul],Tableau6[[#This Row],[Position 2022]],1))</f>
        <v/>
      </c>
      <c r="I113" s="123" t="e">
        <f>IF(ISNA(Tableau6[[#This Row],[Position 2022]]),Tableau6[[#This Row],[Position 2022]],Tableau6[[#This Row],[2022]]-H$2)</f>
        <v>#N/A</v>
      </c>
      <c r="J113" s="102" t="e">
        <f>MATCH(Tableau6[Jours Mois]&amp;"/"&amp;Tableau6[[#Headers],[2023]],tabSuiviConso[Jour Mois Année],0)</f>
        <v>#N/A</v>
      </c>
      <c r="K113" s="102" t="e">
        <f>Tableau6[[#This Row],[Cumul 2022]]-Tableau6[[#This Row],[Cumul 2021]]</f>
        <v>#N/A</v>
      </c>
      <c r="L113" s="104" t="e">
        <f>Tableau6[[#This Row],[Ecart 2021 2022]]/Tableau6[[#This Row],[Cumul 2021]]</f>
        <v>#N/A</v>
      </c>
      <c r="M113" s="102" t="str">
        <f>IF(ISNA(Tableau6[[#This Row],[Position 2023]]),"",INDEX(tabSuiviConso[HP + HC
cumul],Tableau6[[#This Row],[Position 2023]],1))</f>
        <v/>
      </c>
      <c r="N113" s="123" t="e">
        <f>IF(ISNA(Tableau6[[#This Row],[Position 2023]]),Tableau6[[#This Row],[Position 2023]],Tableau6[[#This Row],[2023]]-M$2)</f>
        <v>#N/A</v>
      </c>
      <c r="O113" s="102" t="e">
        <f>Tableau6[[#This Row],[Cumul 2023]]-Tableau6[[#This Row],[Cumul 2022]]</f>
        <v>#N/A</v>
      </c>
      <c r="P113" s="104" t="e">
        <f>Tableau6[[#This Row],[Ecart 2022 2023]]/Tableau6[[#This Row],[Cumul 2022]]</f>
        <v>#N/A</v>
      </c>
      <c r="Q113" s="102" t="e">
        <f>MATCH(Tableau6[Jours Mois]&amp;"/"&amp;Tableau6[[#Headers],[2024]],tabSuiviConso[Jour Mois Année],0)</f>
        <v>#N/A</v>
      </c>
      <c r="R113" s="102" t="str">
        <f>IF(ISNA(Tableau6[[#This Row],[Position 2024]]),"",INDEX(tabSuiviConso[HP + HC
cumul],Tableau6[[#This Row],[Position 2024]],1))</f>
        <v/>
      </c>
      <c r="S113" s="123" t="e">
        <f>IF(ISNA(Tableau6[[#This Row],[Position 2024]]),Tableau6[[#This Row],[Position 2024]],Tableau6[[#This Row],[2024]]-R$2)</f>
        <v>#N/A</v>
      </c>
      <c r="T113" s="102" t="e">
        <f>Tableau6[[#This Row],[Cumul 2024]]-Tableau6[[#This Row],[Cumul 2023]]</f>
        <v>#N/A</v>
      </c>
      <c r="U113" s="103" t="e">
        <f>Tableau6[[#This Row],[Ecart 2023 2024]]/Tableau6[[#This Row],[Cumul 2023]]</f>
        <v>#N/A</v>
      </c>
    </row>
    <row r="114" spans="1:21" x14ac:dyDescent="0.2">
      <c r="A114" s="102">
        <v>4</v>
      </c>
      <c r="B114" s="102">
        <v>21</v>
      </c>
      <c r="C114" s="102" t="str">
        <f>Tableau6[Jour]&amp;"/"&amp;Tableau6[Mois]</f>
        <v>21/4</v>
      </c>
      <c r="D114" s="102" t="e">
        <f>MATCH(Tableau6[Jours Mois]&amp;"/"&amp;Tableau6[[#Headers],[2021]],tabSuiviConso[Jour Mois Année],0)</f>
        <v>#N/A</v>
      </c>
      <c r="E114" s="102" t="str">
        <f>IF(ISNA(Tableau6[[#This Row],[Position 2021]]),"",INDEX(tabSuiviConso[HP + HC
cumul],Tableau6[[#This Row],[Position 2021]],1))</f>
        <v/>
      </c>
      <c r="F114" s="123" t="e">
        <f>IF(ISNA(Tableau6[[#This Row],[Position 2021]]),Tableau6[[#This Row],[Position 2021]],Tableau6[[#This Row],[2021]]-E$2)</f>
        <v>#N/A</v>
      </c>
      <c r="G114" s="102" t="e">
        <f>MATCH(Tableau6[Jours Mois]&amp;"/"&amp;Tableau6[[#Headers],[2022]],tabSuiviConso[Jour Mois Année],0)</f>
        <v>#N/A</v>
      </c>
      <c r="H114" s="102" t="str">
        <f>IF(ISNA(Tableau6[[#This Row],[Position 2022]]),"",INDEX(tabSuiviConso[HP + HC
cumul],Tableau6[[#This Row],[Position 2022]],1))</f>
        <v/>
      </c>
      <c r="I114" s="123" t="e">
        <f>IF(ISNA(Tableau6[[#This Row],[Position 2022]]),Tableau6[[#This Row],[Position 2022]],Tableau6[[#This Row],[2022]]-H$2)</f>
        <v>#N/A</v>
      </c>
      <c r="J114" s="102" t="e">
        <f>MATCH(Tableau6[Jours Mois]&amp;"/"&amp;Tableau6[[#Headers],[2023]],tabSuiviConso[Jour Mois Année],0)</f>
        <v>#N/A</v>
      </c>
      <c r="K114" s="102" t="e">
        <f>Tableau6[[#This Row],[Cumul 2022]]-Tableau6[[#This Row],[Cumul 2021]]</f>
        <v>#N/A</v>
      </c>
      <c r="L114" s="104" t="e">
        <f>Tableau6[[#This Row],[Ecart 2021 2022]]/Tableau6[[#This Row],[Cumul 2021]]</f>
        <v>#N/A</v>
      </c>
      <c r="M114" s="102" t="str">
        <f>IF(ISNA(Tableau6[[#This Row],[Position 2023]]),"",INDEX(tabSuiviConso[HP + HC
cumul],Tableau6[[#This Row],[Position 2023]],1))</f>
        <v/>
      </c>
      <c r="N114" s="123" t="e">
        <f>IF(ISNA(Tableau6[[#This Row],[Position 2023]]),Tableau6[[#This Row],[Position 2023]],Tableau6[[#This Row],[2023]]-M$2)</f>
        <v>#N/A</v>
      </c>
      <c r="O114" s="102" t="e">
        <f>Tableau6[[#This Row],[Cumul 2023]]-Tableau6[[#This Row],[Cumul 2022]]</f>
        <v>#N/A</v>
      </c>
      <c r="P114" s="104" t="e">
        <f>Tableau6[[#This Row],[Ecart 2022 2023]]/Tableau6[[#This Row],[Cumul 2022]]</f>
        <v>#N/A</v>
      </c>
      <c r="Q114" s="102" t="e">
        <f>MATCH(Tableau6[Jours Mois]&amp;"/"&amp;Tableau6[[#Headers],[2024]],tabSuiviConso[Jour Mois Année],0)</f>
        <v>#N/A</v>
      </c>
      <c r="R114" s="102" t="str">
        <f>IF(ISNA(Tableau6[[#This Row],[Position 2024]]),"",INDEX(tabSuiviConso[HP + HC
cumul],Tableau6[[#This Row],[Position 2024]],1))</f>
        <v/>
      </c>
      <c r="S114" s="123" t="e">
        <f>IF(ISNA(Tableau6[[#This Row],[Position 2024]]),Tableau6[[#This Row],[Position 2024]],Tableau6[[#This Row],[2024]]-R$2)</f>
        <v>#N/A</v>
      </c>
      <c r="T114" s="102" t="e">
        <f>Tableau6[[#This Row],[Cumul 2024]]-Tableau6[[#This Row],[Cumul 2023]]</f>
        <v>#N/A</v>
      </c>
      <c r="U114" s="103" t="e">
        <f>Tableau6[[#This Row],[Ecart 2023 2024]]/Tableau6[[#This Row],[Cumul 2023]]</f>
        <v>#N/A</v>
      </c>
    </row>
    <row r="115" spans="1:21" x14ac:dyDescent="0.2">
      <c r="A115" s="102">
        <v>4</v>
      </c>
      <c r="B115" s="102">
        <v>22</v>
      </c>
      <c r="C115" s="102" t="str">
        <f>Tableau6[Jour]&amp;"/"&amp;Tableau6[Mois]</f>
        <v>22/4</v>
      </c>
      <c r="D115" s="102" t="e">
        <f>MATCH(Tableau6[Jours Mois]&amp;"/"&amp;Tableau6[[#Headers],[2021]],tabSuiviConso[Jour Mois Année],0)</f>
        <v>#N/A</v>
      </c>
      <c r="E115" s="102" t="str">
        <f>IF(ISNA(Tableau6[[#This Row],[Position 2021]]),"",INDEX(tabSuiviConso[HP + HC
cumul],Tableau6[[#This Row],[Position 2021]],1))</f>
        <v/>
      </c>
      <c r="F115" s="123" t="e">
        <f>IF(ISNA(Tableau6[[#This Row],[Position 2021]]),Tableau6[[#This Row],[Position 2021]],Tableau6[[#This Row],[2021]]-E$2)</f>
        <v>#N/A</v>
      </c>
      <c r="G115" s="102" t="e">
        <f>MATCH(Tableau6[Jours Mois]&amp;"/"&amp;Tableau6[[#Headers],[2022]],tabSuiviConso[Jour Mois Année],0)</f>
        <v>#N/A</v>
      </c>
      <c r="H115" s="102" t="str">
        <f>IF(ISNA(Tableau6[[#This Row],[Position 2022]]),"",INDEX(tabSuiviConso[HP + HC
cumul],Tableau6[[#This Row],[Position 2022]],1))</f>
        <v/>
      </c>
      <c r="I115" s="123" t="e">
        <f>IF(ISNA(Tableau6[[#This Row],[Position 2022]]),Tableau6[[#This Row],[Position 2022]],Tableau6[[#This Row],[2022]]-H$2)</f>
        <v>#N/A</v>
      </c>
      <c r="J115" s="102" t="e">
        <f>MATCH(Tableau6[Jours Mois]&amp;"/"&amp;Tableau6[[#Headers],[2023]],tabSuiviConso[Jour Mois Année],0)</f>
        <v>#N/A</v>
      </c>
      <c r="K115" s="102" t="e">
        <f>Tableau6[[#This Row],[Cumul 2022]]-Tableau6[[#This Row],[Cumul 2021]]</f>
        <v>#N/A</v>
      </c>
      <c r="L115" s="104" t="e">
        <f>Tableau6[[#This Row],[Ecart 2021 2022]]/Tableau6[[#This Row],[Cumul 2021]]</f>
        <v>#N/A</v>
      </c>
      <c r="M115" s="102" t="str">
        <f>IF(ISNA(Tableau6[[#This Row],[Position 2023]]),"",INDEX(tabSuiviConso[HP + HC
cumul],Tableau6[[#This Row],[Position 2023]],1))</f>
        <v/>
      </c>
      <c r="N115" s="123" t="e">
        <f>IF(ISNA(Tableau6[[#This Row],[Position 2023]]),Tableau6[[#This Row],[Position 2023]],Tableau6[[#This Row],[2023]]-M$2)</f>
        <v>#N/A</v>
      </c>
      <c r="O115" s="102" t="e">
        <f>Tableau6[[#This Row],[Cumul 2023]]-Tableau6[[#This Row],[Cumul 2022]]</f>
        <v>#N/A</v>
      </c>
      <c r="P115" s="104" t="e">
        <f>Tableau6[[#This Row],[Ecart 2022 2023]]/Tableau6[[#This Row],[Cumul 2022]]</f>
        <v>#N/A</v>
      </c>
      <c r="Q115" s="102" t="e">
        <f>MATCH(Tableau6[Jours Mois]&amp;"/"&amp;Tableau6[[#Headers],[2024]],tabSuiviConso[Jour Mois Année],0)</f>
        <v>#N/A</v>
      </c>
      <c r="R115" s="102" t="str">
        <f>IF(ISNA(Tableau6[[#This Row],[Position 2024]]),"",INDEX(tabSuiviConso[HP + HC
cumul],Tableau6[[#This Row],[Position 2024]],1))</f>
        <v/>
      </c>
      <c r="S115" s="123" t="e">
        <f>IF(ISNA(Tableau6[[#This Row],[Position 2024]]),Tableau6[[#This Row],[Position 2024]],Tableau6[[#This Row],[2024]]-R$2)</f>
        <v>#N/A</v>
      </c>
      <c r="T115" s="102" t="e">
        <f>Tableau6[[#This Row],[Cumul 2024]]-Tableau6[[#This Row],[Cumul 2023]]</f>
        <v>#N/A</v>
      </c>
      <c r="U115" s="103" t="e">
        <f>Tableau6[[#This Row],[Ecart 2023 2024]]/Tableau6[[#This Row],[Cumul 2023]]</f>
        <v>#N/A</v>
      </c>
    </row>
    <row r="116" spans="1:21" x14ac:dyDescent="0.2">
      <c r="A116" s="102">
        <v>4</v>
      </c>
      <c r="B116" s="102">
        <v>23</v>
      </c>
      <c r="C116" s="102" t="str">
        <f>Tableau6[Jour]&amp;"/"&amp;Tableau6[Mois]</f>
        <v>23/4</v>
      </c>
      <c r="D116" s="102" t="e">
        <f>MATCH(Tableau6[Jours Mois]&amp;"/"&amp;Tableau6[[#Headers],[2021]],tabSuiviConso[Jour Mois Année],0)</f>
        <v>#N/A</v>
      </c>
      <c r="E116" s="102" t="str">
        <f>IF(ISNA(Tableau6[[#This Row],[Position 2021]]),"",INDEX(tabSuiviConso[HP + HC
cumul],Tableau6[[#This Row],[Position 2021]],1))</f>
        <v/>
      </c>
      <c r="F116" s="123" t="e">
        <f>IF(ISNA(Tableau6[[#This Row],[Position 2021]]),Tableau6[[#This Row],[Position 2021]],Tableau6[[#This Row],[2021]]-E$2)</f>
        <v>#N/A</v>
      </c>
      <c r="G116" s="102" t="e">
        <f>MATCH(Tableau6[Jours Mois]&amp;"/"&amp;Tableau6[[#Headers],[2022]],tabSuiviConso[Jour Mois Année],0)</f>
        <v>#N/A</v>
      </c>
      <c r="H116" s="102" t="str">
        <f>IF(ISNA(Tableau6[[#This Row],[Position 2022]]),"",INDEX(tabSuiviConso[HP + HC
cumul],Tableau6[[#This Row],[Position 2022]],1))</f>
        <v/>
      </c>
      <c r="I116" s="123" t="e">
        <f>IF(ISNA(Tableau6[[#This Row],[Position 2022]]),Tableau6[[#This Row],[Position 2022]],Tableau6[[#This Row],[2022]]-H$2)</f>
        <v>#N/A</v>
      </c>
      <c r="J116" s="102" t="e">
        <f>MATCH(Tableau6[Jours Mois]&amp;"/"&amp;Tableau6[[#Headers],[2023]],tabSuiviConso[Jour Mois Année],0)</f>
        <v>#N/A</v>
      </c>
      <c r="K116" s="102" t="e">
        <f>Tableau6[[#This Row],[Cumul 2022]]-Tableau6[[#This Row],[Cumul 2021]]</f>
        <v>#N/A</v>
      </c>
      <c r="L116" s="104" t="e">
        <f>Tableau6[[#This Row],[Ecart 2021 2022]]/Tableau6[[#This Row],[Cumul 2021]]</f>
        <v>#N/A</v>
      </c>
      <c r="M116" s="102" t="str">
        <f>IF(ISNA(Tableau6[[#This Row],[Position 2023]]),"",INDEX(tabSuiviConso[HP + HC
cumul],Tableau6[[#This Row],[Position 2023]],1))</f>
        <v/>
      </c>
      <c r="N116" s="123" t="e">
        <f>IF(ISNA(Tableau6[[#This Row],[Position 2023]]),Tableau6[[#This Row],[Position 2023]],Tableau6[[#This Row],[2023]]-M$2)</f>
        <v>#N/A</v>
      </c>
      <c r="O116" s="102" t="e">
        <f>Tableau6[[#This Row],[Cumul 2023]]-Tableau6[[#This Row],[Cumul 2022]]</f>
        <v>#N/A</v>
      </c>
      <c r="P116" s="104" t="e">
        <f>Tableau6[[#This Row],[Ecart 2022 2023]]/Tableau6[[#This Row],[Cumul 2022]]</f>
        <v>#N/A</v>
      </c>
      <c r="Q116" s="102" t="e">
        <f>MATCH(Tableau6[Jours Mois]&amp;"/"&amp;Tableau6[[#Headers],[2024]],tabSuiviConso[Jour Mois Année],0)</f>
        <v>#N/A</v>
      </c>
      <c r="R116" s="102" t="str">
        <f>IF(ISNA(Tableau6[[#This Row],[Position 2024]]),"",INDEX(tabSuiviConso[HP + HC
cumul],Tableau6[[#This Row],[Position 2024]],1))</f>
        <v/>
      </c>
      <c r="S116" s="123" t="e">
        <f>IF(ISNA(Tableau6[[#This Row],[Position 2024]]),Tableau6[[#This Row],[Position 2024]],Tableau6[[#This Row],[2024]]-R$2)</f>
        <v>#N/A</v>
      </c>
      <c r="T116" s="102" t="e">
        <f>Tableau6[[#This Row],[Cumul 2024]]-Tableau6[[#This Row],[Cumul 2023]]</f>
        <v>#N/A</v>
      </c>
      <c r="U116" s="103" t="e">
        <f>Tableau6[[#This Row],[Ecart 2023 2024]]/Tableau6[[#This Row],[Cumul 2023]]</f>
        <v>#N/A</v>
      </c>
    </row>
    <row r="117" spans="1:21" x14ac:dyDescent="0.2">
      <c r="A117" s="102">
        <v>4</v>
      </c>
      <c r="B117" s="102">
        <v>24</v>
      </c>
      <c r="C117" s="102" t="str">
        <f>Tableau6[Jour]&amp;"/"&amp;Tableau6[Mois]</f>
        <v>24/4</v>
      </c>
      <c r="D117" s="102" t="e">
        <f>MATCH(Tableau6[Jours Mois]&amp;"/"&amp;Tableau6[[#Headers],[2021]],tabSuiviConso[Jour Mois Année],0)</f>
        <v>#N/A</v>
      </c>
      <c r="E117" s="102" t="str">
        <f>IF(ISNA(Tableau6[[#This Row],[Position 2021]]),"",INDEX(tabSuiviConso[HP + HC
cumul],Tableau6[[#This Row],[Position 2021]],1))</f>
        <v/>
      </c>
      <c r="F117" s="123" t="e">
        <f>IF(ISNA(Tableau6[[#This Row],[Position 2021]]),Tableau6[[#This Row],[Position 2021]],Tableau6[[#This Row],[2021]]-E$2)</f>
        <v>#N/A</v>
      </c>
      <c r="G117" s="102" t="e">
        <f>MATCH(Tableau6[Jours Mois]&amp;"/"&amp;Tableau6[[#Headers],[2022]],tabSuiviConso[Jour Mois Année],0)</f>
        <v>#N/A</v>
      </c>
      <c r="H117" s="102" t="str">
        <f>IF(ISNA(Tableau6[[#This Row],[Position 2022]]),"",INDEX(tabSuiviConso[HP + HC
cumul],Tableau6[[#This Row],[Position 2022]],1))</f>
        <v/>
      </c>
      <c r="I117" s="123" t="e">
        <f>IF(ISNA(Tableau6[[#This Row],[Position 2022]]),Tableau6[[#This Row],[Position 2022]],Tableau6[[#This Row],[2022]]-H$2)</f>
        <v>#N/A</v>
      </c>
      <c r="J117" s="102" t="e">
        <f>MATCH(Tableau6[Jours Mois]&amp;"/"&amp;Tableau6[[#Headers],[2023]],tabSuiviConso[Jour Mois Année],0)</f>
        <v>#N/A</v>
      </c>
      <c r="K117" s="102" t="e">
        <f>Tableau6[[#This Row],[Cumul 2022]]-Tableau6[[#This Row],[Cumul 2021]]</f>
        <v>#N/A</v>
      </c>
      <c r="L117" s="104" t="e">
        <f>Tableau6[[#This Row],[Ecart 2021 2022]]/Tableau6[[#This Row],[Cumul 2021]]</f>
        <v>#N/A</v>
      </c>
      <c r="M117" s="102" t="str">
        <f>IF(ISNA(Tableau6[[#This Row],[Position 2023]]),"",INDEX(tabSuiviConso[HP + HC
cumul],Tableau6[[#This Row],[Position 2023]],1))</f>
        <v/>
      </c>
      <c r="N117" s="123" t="e">
        <f>IF(ISNA(Tableau6[[#This Row],[Position 2023]]),Tableau6[[#This Row],[Position 2023]],Tableau6[[#This Row],[2023]]-M$2)</f>
        <v>#N/A</v>
      </c>
      <c r="O117" s="102" t="e">
        <f>Tableau6[[#This Row],[Cumul 2023]]-Tableau6[[#This Row],[Cumul 2022]]</f>
        <v>#N/A</v>
      </c>
      <c r="P117" s="104" t="e">
        <f>Tableau6[[#This Row],[Ecart 2022 2023]]/Tableau6[[#This Row],[Cumul 2022]]</f>
        <v>#N/A</v>
      </c>
      <c r="Q117" s="102" t="e">
        <f>MATCH(Tableau6[Jours Mois]&amp;"/"&amp;Tableau6[[#Headers],[2024]],tabSuiviConso[Jour Mois Année],0)</f>
        <v>#N/A</v>
      </c>
      <c r="R117" s="102" t="str">
        <f>IF(ISNA(Tableau6[[#This Row],[Position 2024]]),"",INDEX(tabSuiviConso[HP + HC
cumul],Tableau6[[#This Row],[Position 2024]],1))</f>
        <v/>
      </c>
      <c r="S117" s="123" t="e">
        <f>IF(ISNA(Tableau6[[#This Row],[Position 2024]]),Tableau6[[#This Row],[Position 2024]],Tableau6[[#This Row],[2024]]-R$2)</f>
        <v>#N/A</v>
      </c>
      <c r="T117" s="102" t="e">
        <f>Tableau6[[#This Row],[Cumul 2024]]-Tableau6[[#This Row],[Cumul 2023]]</f>
        <v>#N/A</v>
      </c>
      <c r="U117" s="103" t="e">
        <f>Tableau6[[#This Row],[Ecart 2023 2024]]/Tableau6[[#This Row],[Cumul 2023]]</f>
        <v>#N/A</v>
      </c>
    </row>
    <row r="118" spans="1:21" x14ac:dyDescent="0.2">
      <c r="A118" s="102">
        <v>4</v>
      </c>
      <c r="B118" s="102">
        <v>25</v>
      </c>
      <c r="C118" s="102" t="str">
        <f>Tableau6[Jour]&amp;"/"&amp;Tableau6[Mois]</f>
        <v>25/4</v>
      </c>
      <c r="D118" s="102" t="e">
        <f>MATCH(Tableau6[Jours Mois]&amp;"/"&amp;Tableau6[[#Headers],[2021]],tabSuiviConso[Jour Mois Année],0)</f>
        <v>#N/A</v>
      </c>
      <c r="E118" s="102" t="str">
        <f>IF(ISNA(Tableau6[[#This Row],[Position 2021]]),"",INDEX(tabSuiviConso[HP + HC
cumul],Tableau6[[#This Row],[Position 2021]],1))</f>
        <v/>
      </c>
      <c r="F118" s="123" t="e">
        <f>IF(ISNA(Tableau6[[#This Row],[Position 2021]]),Tableau6[[#This Row],[Position 2021]],Tableau6[[#This Row],[2021]]-E$2)</f>
        <v>#N/A</v>
      </c>
      <c r="G118" s="102" t="e">
        <f>MATCH(Tableau6[Jours Mois]&amp;"/"&amp;Tableau6[[#Headers],[2022]],tabSuiviConso[Jour Mois Année],0)</f>
        <v>#N/A</v>
      </c>
      <c r="H118" s="102" t="str">
        <f>IF(ISNA(Tableau6[[#This Row],[Position 2022]]),"",INDEX(tabSuiviConso[HP + HC
cumul],Tableau6[[#This Row],[Position 2022]],1))</f>
        <v/>
      </c>
      <c r="I118" s="123" t="e">
        <f>IF(ISNA(Tableau6[[#This Row],[Position 2022]]),Tableau6[[#This Row],[Position 2022]],Tableau6[[#This Row],[2022]]-H$2)</f>
        <v>#N/A</v>
      </c>
      <c r="J118" s="102" t="e">
        <f>MATCH(Tableau6[Jours Mois]&amp;"/"&amp;Tableau6[[#Headers],[2023]],tabSuiviConso[Jour Mois Année],0)</f>
        <v>#N/A</v>
      </c>
      <c r="K118" s="102" t="e">
        <f>Tableau6[[#This Row],[Cumul 2022]]-Tableau6[[#This Row],[Cumul 2021]]</f>
        <v>#N/A</v>
      </c>
      <c r="L118" s="104" t="e">
        <f>Tableau6[[#This Row],[Ecart 2021 2022]]/Tableau6[[#This Row],[Cumul 2021]]</f>
        <v>#N/A</v>
      </c>
      <c r="M118" s="102" t="str">
        <f>IF(ISNA(Tableau6[[#This Row],[Position 2023]]),"",INDEX(tabSuiviConso[HP + HC
cumul],Tableau6[[#This Row],[Position 2023]],1))</f>
        <v/>
      </c>
      <c r="N118" s="123" t="e">
        <f>IF(ISNA(Tableau6[[#This Row],[Position 2023]]),Tableau6[[#This Row],[Position 2023]],Tableau6[[#This Row],[2023]]-M$2)</f>
        <v>#N/A</v>
      </c>
      <c r="O118" s="102" t="e">
        <f>Tableau6[[#This Row],[Cumul 2023]]-Tableau6[[#This Row],[Cumul 2022]]</f>
        <v>#N/A</v>
      </c>
      <c r="P118" s="104" t="e">
        <f>Tableau6[[#This Row],[Ecart 2022 2023]]/Tableau6[[#This Row],[Cumul 2022]]</f>
        <v>#N/A</v>
      </c>
      <c r="Q118" s="102" t="e">
        <f>MATCH(Tableau6[Jours Mois]&amp;"/"&amp;Tableau6[[#Headers],[2024]],tabSuiviConso[Jour Mois Année],0)</f>
        <v>#N/A</v>
      </c>
      <c r="R118" s="102" t="str">
        <f>IF(ISNA(Tableau6[[#This Row],[Position 2024]]),"",INDEX(tabSuiviConso[HP + HC
cumul],Tableau6[[#This Row],[Position 2024]],1))</f>
        <v/>
      </c>
      <c r="S118" s="123" t="e">
        <f>IF(ISNA(Tableau6[[#This Row],[Position 2024]]),Tableau6[[#This Row],[Position 2024]],Tableau6[[#This Row],[2024]]-R$2)</f>
        <v>#N/A</v>
      </c>
      <c r="T118" s="102" t="e">
        <f>Tableau6[[#This Row],[Cumul 2024]]-Tableau6[[#This Row],[Cumul 2023]]</f>
        <v>#N/A</v>
      </c>
      <c r="U118" s="103" t="e">
        <f>Tableau6[[#This Row],[Ecart 2023 2024]]/Tableau6[[#This Row],[Cumul 2023]]</f>
        <v>#N/A</v>
      </c>
    </row>
    <row r="119" spans="1:21" x14ac:dyDescent="0.2">
      <c r="A119" s="102">
        <v>4</v>
      </c>
      <c r="B119" s="102">
        <v>26</v>
      </c>
      <c r="C119" s="102" t="str">
        <f>Tableau6[Jour]&amp;"/"&amp;Tableau6[Mois]</f>
        <v>26/4</v>
      </c>
      <c r="D119" s="102" t="e">
        <f>MATCH(Tableau6[Jours Mois]&amp;"/"&amp;Tableau6[[#Headers],[2021]],tabSuiviConso[Jour Mois Année],0)</f>
        <v>#N/A</v>
      </c>
      <c r="E119" s="102" t="str">
        <f>IF(ISNA(Tableau6[[#This Row],[Position 2021]]),"",INDEX(tabSuiviConso[HP + HC
cumul],Tableau6[[#This Row],[Position 2021]],1))</f>
        <v/>
      </c>
      <c r="F119" s="123" t="e">
        <f>IF(ISNA(Tableau6[[#This Row],[Position 2021]]),Tableau6[[#This Row],[Position 2021]],Tableau6[[#This Row],[2021]]-E$2)</f>
        <v>#N/A</v>
      </c>
      <c r="G119" s="102" t="e">
        <f>MATCH(Tableau6[Jours Mois]&amp;"/"&amp;Tableau6[[#Headers],[2022]],tabSuiviConso[Jour Mois Année],0)</f>
        <v>#N/A</v>
      </c>
      <c r="H119" s="102" t="str">
        <f>IF(ISNA(Tableau6[[#This Row],[Position 2022]]),"",INDEX(tabSuiviConso[HP + HC
cumul],Tableau6[[#This Row],[Position 2022]],1))</f>
        <v/>
      </c>
      <c r="I119" s="123" t="e">
        <f>IF(ISNA(Tableau6[[#This Row],[Position 2022]]),Tableau6[[#This Row],[Position 2022]],Tableau6[[#This Row],[2022]]-H$2)</f>
        <v>#N/A</v>
      </c>
      <c r="J119" s="102" t="e">
        <f>MATCH(Tableau6[Jours Mois]&amp;"/"&amp;Tableau6[[#Headers],[2023]],tabSuiviConso[Jour Mois Année],0)</f>
        <v>#N/A</v>
      </c>
      <c r="K119" s="102" t="e">
        <f>Tableau6[[#This Row],[Cumul 2022]]-Tableau6[[#This Row],[Cumul 2021]]</f>
        <v>#N/A</v>
      </c>
      <c r="L119" s="104" t="e">
        <f>Tableau6[[#This Row],[Ecart 2021 2022]]/Tableau6[[#This Row],[Cumul 2021]]</f>
        <v>#N/A</v>
      </c>
      <c r="M119" s="102" t="str">
        <f>IF(ISNA(Tableau6[[#This Row],[Position 2023]]),"",INDEX(tabSuiviConso[HP + HC
cumul],Tableau6[[#This Row],[Position 2023]],1))</f>
        <v/>
      </c>
      <c r="N119" s="123" t="e">
        <f>IF(ISNA(Tableau6[[#This Row],[Position 2023]]),Tableau6[[#This Row],[Position 2023]],Tableau6[[#This Row],[2023]]-M$2)</f>
        <v>#N/A</v>
      </c>
      <c r="O119" s="102" t="e">
        <f>Tableau6[[#This Row],[Cumul 2023]]-Tableau6[[#This Row],[Cumul 2022]]</f>
        <v>#N/A</v>
      </c>
      <c r="P119" s="104" t="e">
        <f>Tableau6[[#This Row],[Ecart 2022 2023]]/Tableau6[[#This Row],[Cumul 2022]]</f>
        <v>#N/A</v>
      </c>
      <c r="Q119" s="102" t="e">
        <f>MATCH(Tableau6[Jours Mois]&amp;"/"&amp;Tableau6[[#Headers],[2024]],tabSuiviConso[Jour Mois Année],0)</f>
        <v>#N/A</v>
      </c>
      <c r="R119" s="102" t="str">
        <f>IF(ISNA(Tableau6[[#This Row],[Position 2024]]),"",INDEX(tabSuiviConso[HP + HC
cumul],Tableau6[[#This Row],[Position 2024]],1))</f>
        <v/>
      </c>
      <c r="S119" s="123" t="e">
        <f>IF(ISNA(Tableau6[[#This Row],[Position 2024]]),Tableau6[[#This Row],[Position 2024]],Tableau6[[#This Row],[2024]]-R$2)</f>
        <v>#N/A</v>
      </c>
      <c r="T119" s="102" t="e">
        <f>Tableau6[[#This Row],[Cumul 2024]]-Tableau6[[#This Row],[Cumul 2023]]</f>
        <v>#N/A</v>
      </c>
      <c r="U119" s="103" t="e">
        <f>Tableau6[[#This Row],[Ecart 2023 2024]]/Tableau6[[#This Row],[Cumul 2023]]</f>
        <v>#N/A</v>
      </c>
    </row>
    <row r="120" spans="1:21" x14ac:dyDescent="0.2">
      <c r="A120" s="102">
        <v>4</v>
      </c>
      <c r="B120" s="102">
        <v>27</v>
      </c>
      <c r="C120" s="102" t="str">
        <f>Tableau6[Jour]&amp;"/"&amp;Tableau6[Mois]</f>
        <v>27/4</v>
      </c>
      <c r="D120" s="102" t="e">
        <f>MATCH(Tableau6[Jours Mois]&amp;"/"&amp;Tableau6[[#Headers],[2021]],tabSuiviConso[Jour Mois Année],0)</f>
        <v>#N/A</v>
      </c>
      <c r="E120" s="102" t="str">
        <f>IF(ISNA(Tableau6[[#This Row],[Position 2021]]),"",INDEX(tabSuiviConso[HP + HC
cumul],Tableau6[[#This Row],[Position 2021]],1))</f>
        <v/>
      </c>
      <c r="F120" s="123" t="e">
        <f>IF(ISNA(Tableau6[[#This Row],[Position 2021]]),Tableau6[[#This Row],[Position 2021]],Tableau6[[#This Row],[2021]]-E$2)</f>
        <v>#N/A</v>
      </c>
      <c r="G120" s="102" t="e">
        <f>MATCH(Tableau6[Jours Mois]&amp;"/"&amp;Tableau6[[#Headers],[2022]],tabSuiviConso[Jour Mois Année],0)</f>
        <v>#N/A</v>
      </c>
      <c r="H120" s="102" t="str">
        <f>IF(ISNA(Tableau6[[#This Row],[Position 2022]]),"",INDEX(tabSuiviConso[HP + HC
cumul],Tableau6[[#This Row],[Position 2022]],1))</f>
        <v/>
      </c>
      <c r="I120" s="123" t="e">
        <f>IF(ISNA(Tableau6[[#This Row],[Position 2022]]),Tableau6[[#This Row],[Position 2022]],Tableau6[[#This Row],[2022]]-H$2)</f>
        <v>#N/A</v>
      </c>
      <c r="J120" s="102" t="e">
        <f>MATCH(Tableau6[Jours Mois]&amp;"/"&amp;Tableau6[[#Headers],[2023]],tabSuiviConso[Jour Mois Année],0)</f>
        <v>#N/A</v>
      </c>
      <c r="K120" s="102" t="e">
        <f>Tableau6[[#This Row],[Cumul 2022]]-Tableau6[[#This Row],[Cumul 2021]]</f>
        <v>#N/A</v>
      </c>
      <c r="L120" s="104" t="e">
        <f>Tableau6[[#This Row],[Ecart 2021 2022]]/Tableau6[[#This Row],[Cumul 2021]]</f>
        <v>#N/A</v>
      </c>
      <c r="M120" s="102" t="str">
        <f>IF(ISNA(Tableau6[[#This Row],[Position 2023]]),"",INDEX(tabSuiviConso[HP + HC
cumul],Tableau6[[#This Row],[Position 2023]],1))</f>
        <v/>
      </c>
      <c r="N120" s="123" t="e">
        <f>IF(ISNA(Tableau6[[#This Row],[Position 2023]]),Tableau6[[#This Row],[Position 2023]],Tableau6[[#This Row],[2023]]-M$2)</f>
        <v>#N/A</v>
      </c>
      <c r="O120" s="102" t="e">
        <f>Tableau6[[#This Row],[Cumul 2023]]-Tableau6[[#This Row],[Cumul 2022]]</f>
        <v>#N/A</v>
      </c>
      <c r="P120" s="104" t="e">
        <f>Tableau6[[#This Row],[Ecart 2022 2023]]/Tableau6[[#This Row],[Cumul 2022]]</f>
        <v>#N/A</v>
      </c>
      <c r="Q120" s="102" t="e">
        <f>MATCH(Tableau6[Jours Mois]&amp;"/"&amp;Tableau6[[#Headers],[2024]],tabSuiviConso[Jour Mois Année],0)</f>
        <v>#N/A</v>
      </c>
      <c r="R120" s="102" t="str">
        <f>IF(ISNA(Tableau6[[#This Row],[Position 2024]]),"",INDEX(tabSuiviConso[HP + HC
cumul],Tableau6[[#This Row],[Position 2024]],1))</f>
        <v/>
      </c>
      <c r="S120" s="123" t="e">
        <f>IF(ISNA(Tableau6[[#This Row],[Position 2024]]),Tableau6[[#This Row],[Position 2024]],Tableau6[[#This Row],[2024]]-R$2)</f>
        <v>#N/A</v>
      </c>
      <c r="T120" s="102" t="e">
        <f>Tableau6[[#This Row],[Cumul 2024]]-Tableau6[[#This Row],[Cumul 2023]]</f>
        <v>#N/A</v>
      </c>
      <c r="U120" s="103" t="e">
        <f>Tableau6[[#This Row],[Ecart 2023 2024]]/Tableau6[[#This Row],[Cumul 2023]]</f>
        <v>#N/A</v>
      </c>
    </row>
    <row r="121" spans="1:21" x14ac:dyDescent="0.2">
      <c r="A121" s="102">
        <v>4</v>
      </c>
      <c r="B121" s="102">
        <v>28</v>
      </c>
      <c r="C121" s="102" t="str">
        <f>Tableau6[Jour]&amp;"/"&amp;Tableau6[Mois]</f>
        <v>28/4</v>
      </c>
      <c r="D121" s="102" t="e">
        <f>MATCH(Tableau6[Jours Mois]&amp;"/"&amp;Tableau6[[#Headers],[2021]],tabSuiviConso[Jour Mois Année],0)</f>
        <v>#N/A</v>
      </c>
      <c r="E121" s="102" t="str">
        <f>IF(ISNA(Tableau6[[#This Row],[Position 2021]]),"",INDEX(tabSuiviConso[HP + HC
cumul],Tableau6[[#This Row],[Position 2021]],1))</f>
        <v/>
      </c>
      <c r="F121" s="123" t="e">
        <f>IF(ISNA(Tableau6[[#This Row],[Position 2021]]),Tableau6[[#This Row],[Position 2021]],Tableau6[[#This Row],[2021]]-E$2)</f>
        <v>#N/A</v>
      </c>
      <c r="G121" s="102" t="e">
        <f>MATCH(Tableau6[Jours Mois]&amp;"/"&amp;Tableau6[[#Headers],[2022]],tabSuiviConso[Jour Mois Année],0)</f>
        <v>#N/A</v>
      </c>
      <c r="H121" s="102" t="str">
        <f>IF(ISNA(Tableau6[[#This Row],[Position 2022]]),"",INDEX(tabSuiviConso[HP + HC
cumul],Tableau6[[#This Row],[Position 2022]],1))</f>
        <v/>
      </c>
      <c r="I121" s="123" t="e">
        <f>IF(ISNA(Tableau6[[#This Row],[Position 2022]]),Tableau6[[#This Row],[Position 2022]],Tableau6[[#This Row],[2022]]-H$2)</f>
        <v>#N/A</v>
      </c>
      <c r="J121" s="102" t="e">
        <f>MATCH(Tableau6[Jours Mois]&amp;"/"&amp;Tableau6[[#Headers],[2023]],tabSuiviConso[Jour Mois Année],0)</f>
        <v>#N/A</v>
      </c>
      <c r="K121" s="102" t="e">
        <f>Tableau6[[#This Row],[Cumul 2022]]-Tableau6[[#This Row],[Cumul 2021]]</f>
        <v>#N/A</v>
      </c>
      <c r="L121" s="104" t="e">
        <f>Tableau6[[#This Row],[Ecart 2021 2022]]/Tableau6[[#This Row],[Cumul 2021]]</f>
        <v>#N/A</v>
      </c>
      <c r="M121" s="102" t="str">
        <f>IF(ISNA(Tableau6[[#This Row],[Position 2023]]),"",INDEX(tabSuiviConso[HP + HC
cumul],Tableau6[[#This Row],[Position 2023]],1))</f>
        <v/>
      </c>
      <c r="N121" s="123" t="e">
        <f>IF(ISNA(Tableau6[[#This Row],[Position 2023]]),Tableau6[[#This Row],[Position 2023]],Tableau6[[#This Row],[2023]]-M$2)</f>
        <v>#N/A</v>
      </c>
      <c r="O121" s="102" t="e">
        <f>Tableau6[[#This Row],[Cumul 2023]]-Tableau6[[#This Row],[Cumul 2022]]</f>
        <v>#N/A</v>
      </c>
      <c r="P121" s="104" t="e">
        <f>Tableau6[[#This Row],[Ecart 2022 2023]]/Tableau6[[#This Row],[Cumul 2022]]</f>
        <v>#N/A</v>
      </c>
      <c r="Q121" s="102" t="e">
        <f>MATCH(Tableau6[Jours Mois]&amp;"/"&amp;Tableau6[[#Headers],[2024]],tabSuiviConso[Jour Mois Année],0)</f>
        <v>#N/A</v>
      </c>
      <c r="R121" s="102" t="str">
        <f>IF(ISNA(Tableau6[[#This Row],[Position 2024]]),"",INDEX(tabSuiviConso[HP + HC
cumul],Tableau6[[#This Row],[Position 2024]],1))</f>
        <v/>
      </c>
      <c r="S121" s="123" t="e">
        <f>IF(ISNA(Tableau6[[#This Row],[Position 2024]]),Tableau6[[#This Row],[Position 2024]],Tableau6[[#This Row],[2024]]-R$2)</f>
        <v>#N/A</v>
      </c>
      <c r="T121" s="102" t="e">
        <f>Tableau6[[#This Row],[Cumul 2024]]-Tableau6[[#This Row],[Cumul 2023]]</f>
        <v>#N/A</v>
      </c>
      <c r="U121" s="103" t="e">
        <f>Tableau6[[#This Row],[Ecart 2023 2024]]/Tableau6[[#This Row],[Cumul 2023]]</f>
        <v>#N/A</v>
      </c>
    </row>
    <row r="122" spans="1:21" x14ac:dyDescent="0.2">
      <c r="A122" s="102">
        <v>4</v>
      </c>
      <c r="B122" s="102">
        <v>29</v>
      </c>
      <c r="C122" s="102" t="str">
        <f>Tableau6[Jour]&amp;"/"&amp;Tableau6[Mois]</f>
        <v>29/4</v>
      </c>
      <c r="D122" s="102" t="e">
        <f>MATCH(Tableau6[Jours Mois]&amp;"/"&amp;Tableau6[[#Headers],[2021]],tabSuiviConso[Jour Mois Année],0)</f>
        <v>#N/A</v>
      </c>
      <c r="E122" s="102" t="str">
        <f>IF(ISNA(Tableau6[[#This Row],[Position 2021]]),"",INDEX(tabSuiviConso[HP + HC
cumul],Tableau6[[#This Row],[Position 2021]],1))</f>
        <v/>
      </c>
      <c r="F122" s="123" t="e">
        <f>IF(ISNA(Tableau6[[#This Row],[Position 2021]]),Tableau6[[#This Row],[Position 2021]],Tableau6[[#This Row],[2021]]-E$2)</f>
        <v>#N/A</v>
      </c>
      <c r="G122" s="102" t="e">
        <f>MATCH(Tableau6[Jours Mois]&amp;"/"&amp;Tableau6[[#Headers],[2022]],tabSuiviConso[Jour Mois Année],0)</f>
        <v>#N/A</v>
      </c>
      <c r="H122" s="102" t="str">
        <f>IF(ISNA(Tableau6[[#This Row],[Position 2022]]),"",INDEX(tabSuiviConso[HP + HC
cumul],Tableau6[[#This Row],[Position 2022]],1))</f>
        <v/>
      </c>
      <c r="I122" s="123" t="e">
        <f>IF(ISNA(Tableau6[[#This Row],[Position 2022]]),Tableau6[[#This Row],[Position 2022]],Tableau6[[#This Row],[2022]]-H$2)</f>
        <v>#N/A</v>
      </c>
      <c r="J122" s="102" t="e">
        <f>MATCH(Tableau6[Jours Mois]&amp;"/"&amp;Tableau6[[#Headers],[2023]],tabSuiviConso[Jour Mois Année],0)</f>
        <v>#N/A</v>
      </c>
      <c r="K122" s="102" t="e">
        <f>Tableau6[[#This Row],[Cumul 2022]]-Tableau6[[#This Row],[Cumul 2021]]</f>
        <v>#N/A</v>
      </c>
      <c r="L122" s="104" t="e">
        <f>Tableau6[[#This Row],[Ecart 2021 2022]]/Tableau6[[#This Row],[Cumul 2021]]</f>
        <v>#N/A</v>
      </c>
      <c r="M122" s="102" t="str">
        <f>IF(ISNA(Tableau6[[#This Row],[Position 2023]]),"",INDEX(tabSuiviConso[HP + HC
cumul],Tableau6[[#This Row],[Position 2023]],1))</f>
        <v/>
      </c>
      <c r="N122" s="123" t="e">
        <f>IF(ISNA(Tableau6[[#This Row],[Position 2023]]),Tableau6[[#This Row],[Position 2023]],Tableau6[[#This Row],[2023]]-M$2)</f>
        <v>#N/A</v>
      </c>
      <c r="O122" s="102" t="e">
        <f>Tableau6[[#This Row],[Cumul 2023]]-Tableau6[[#This Row],[Cumul 2022]]</f>
        <v>#N/A</v>
      </c>
      <c r="P122" s="104" t="e">
        <f>Tableau6[[#This Row],[Ecart 2022 2023]]/Tableau6[[#This Row],[Cumul 2022]]</f>
        <v>#N/A</v>
      </c>
      <c r="Q122" s="102" t="e">
        <f>MATCH(Tableau6[Jours Mois]&amp;"/"&amp;Tableau6[[#Headers],[2024]],tabSuiviConso[Jour Mois Année],0)</f>
        <v>#N/A</v>
      </c>
      <c r="R122" s="102" t="str">
        <f>IF(ISNA(Tableau6[[#This Row],[Position 2024]]),"",INDEX(tabSuiviConso[HP + HC
cumul],Tableau6[[#This Row],[Position 2024]],1))</f>
        <v/>
      </c>
      <c r="S122" s="123" t="e">
        <f>IF(ISNA(Tableau6[[#This Row],[Position 2024]]),Tableau6[[#This Row],[Position 2024]],Tableau6[[#This Row],[2024]]-R$2)</f>
        <v>#N/A</v>
      </c>
      <c r="T122" s="102" t="e">
        <f>Tableau6[[#This Row],[Cumul 2024]]-Tableau6[[#This Row],[Cumul 2023]]</f>
        <v>#N/A</v>
      </c>
      <c r="U122" s="103" t="e">
        <f>Tableau6[[#This Row],[Ecart 2023 2024]]/Tableau6[[#This Row],[Cumul 2023]]</f>
        <v>#N/A</v>
      </c>
    </row>
    <row r="123" spans="1:21" x14ac:dyDescent="0.2">
      <c r="A123" s="102">
        <v>4</v>
      </c>
      <c r="B123" s="102">
        <v>30</v>
      </c>
      <c r="C123" s="102" t="str">
        <f>Tableau6[Jour]&amp;"/"&amp;Tableau6[Mois]</f>
        <v>30/4</v>
      </c>
      <c r="D123" s="102" t="e">
        <f>MATCH(Tableau6[Jours Mois]&amp;"/"&amp;Tableau6[[#Headers],[2021]],tabSuiviConso[Jour Mois Année],0)</f>
        <v>#N/A</v>
      </c>
      <c r="E123" s="102" t="str">
        <f>IF(ISNA(Tableau6[[#This Row],[Position 2021]]),"",INDEX(tabSuiviConso[HP + HC
cumul],Tableau6[[#This Row],[Position 2021]],1))</f>
        <v/>
      </c>
      <c r="F123" s="123" t="e">
        <f>IF(ISNA(Tableau6[[#This Row],[Position 2021]]),Tableau6[[#This Row],[Position 2021]],Tableau6[[#This Row],[2021]]-E$2)</f>
        <v>#N/A</v>
      </c>
      <c r="G123" s="102" t="e">
        <f>MATCH(Tableau6[Jours Mois]&amp;"/"&amp;Tableau6[[#Headers],[2022]],tabSuiviConso[Jour Mois Année],0)</f>
        <v>#N/A</v>
      </c>
      <c r="H123" s="102" t="str">
        <f>IF(ISNA(Tableau6[[#This Row],[Position 2022]]),"",INDEX(tabSuiviConso[HP + HC
cumul],Tableau6[[#This Row],[Position 2022]],1))</f>
        <v/>
      </c>
      <c r="I123" s="123" t="e">
        <f>IF(ISNA(Tableau6[[#This Row],[Position 2022]]),Tableau6[[#This Row],[Position 2022]],Tableau6[[#This Row],[2022]]-H$2)</f>
        <v>#N/A</v>
      </c>
      <c r="J123" s="102" t="e">
        <f>MATCH(Tableau6[Jours Mois]&amp;"/"&amp;Tableau6[[#Headers],[2023]],tabSuiviConso[Jour Mois Année],0)</f>
        <v>#N/A</v>
      </c>
      <c r="K123" s="102" t="e">
        <f>Tableau6[[#This Row],[Cumul 2022]]-Tableau6[[#This Row],[Cumul 2021]]</f>
        <v>#N/A</v>
      </c>
      <c r="L123" s="104" t="e">
        <f>Tableau6[[#This Row],[Ecart 2021 2022]]/Tableau6[[#This Row],[Cumul 2021]]</f>
        <v>#N/A</v>
      </c>
      <c r="M123" s="102" t="str">
        <f>IF(ISNA(Tableau6[[#This Row],[Position 2023]]),"",INDEX(tabSuiviConso[HP + HC
cumul],Tableau6[[#This Row],[Position 2023]],1))</f>
        <v/>
      </c>
      <c r="N123" s="123" t="e">
        <f>IF(ISNA(Tableau6[[#This Row],[Position 2023]]),Tableau6[[#This Row],[Position 2023]],Tableau6[[#This Row],[2023]]-M$2)</f>
        <v>#N/A</v>
      </c>
      <c r="O123" s="102" t="e">
        <f>Tableau6[[#This Row],[Cumul 2023]]-Tableau6[[#This Row],[Cumul 2022]]</f>
        <v>#N/A</v>
      </c>
      <c r="P123" s="104" t="e">
        <f>Tableau6[[#This Row],[Ecart 2022 2023]]/Tableau6[[#This Row],[Cumul 2022]]</f>
        <v>#N/A</v>
      </c>
      <c r="Q123" s="102" t="e">
        <f>MATCH(Tableau6[Jours Mois]&amp;"/"&amp;Tableau6[[#Headers],[2024]],tabSuiviConso[Jour Mois Année],0)</f>
        <v>#N/A</v>
      </c>
      <c r="R123" s="102" t="str">
        <f>IF(ISNA(Tableau6[[#This Row],[Position 2024]]),"",INDEX(tabSuiviConso[HP + HC
cumul],Tableau6[[#This Row],[Position 2024]],1))</f>
        <v/>
      </c>
      <c r="S123" s="123" t="e">
        <f>IF(ISNA(Tableau6[[#This Row],[Position 2024]]),Tableau6[[#This Row],[Position 2024]],Tableau6[[#This Row],[2024]]-R$2)</f>
        <v>#N/A</v>
      </c>
      <c r="T123" s="102" t="e">
        <f>Tableau6[[#This Row],[Cumul 2024]]-Tableau6[[#This Row],[Cumul 2023]]</f>
        <v>#N/A</v>
      </c>
      <c r="U123" s="103" t="e">
        <f>Tableau6[[#This Row],[Ecart 2023 2024]]/Tableau6[[#This Row],[Cumul 2023]]</f>
        <v>#N/A</v>
      </c>
    </row>
    <row r="124" spans="1:21" x14ac:dyDescent="0.2">
      <c r="A124" s="102">
        <v>5</v>
      </c>
      <c r="B124" s="102">
        <v>1</v>
      </c>
      <c r="C124" s="102" t="str">
        <f>Tableau6[Jour]&amp;"/"&amp;Tableau6[Mois]</f>
        <v>1/5</v>
      </c>
      <c r="D124" s="102" t="e">
        <f>MATCH(Tableau6[Jours Mois]&amp;"/"&amp;Tableau6[[#Headers],[2021]],tabSuiviConso[Jour Mois Année],0)</f>
        <v>#N/A</v>
      </c>
      <c r="E124" s="102" t="str">
        <f>IF(ISNA(Tableau6[[#This Row],[Position 2021]]),"",INDEX(tabSuiviConso[HP + HC
cumul],Tableau6[[#This Row],[Position 2021]],1))</f>
        <v/>
      </c>
      <c r="F124" s="123" t="e">
        <f>IF(ISNA(Tableau6[[#This Row],[Position 2021]]),Tableau6[[#This Row],[Position 2021]],Tableau6[[#This Row],[2021]]-E$2)</f>
        <v>#N/A</v>
      </c>
      <c r="G124" s="102" t="e">
        <f>MATCH(Tableau6[Jours Mois]&amp;"/"&amp;Tableau6[[#Headers],[2022]],tabSuiviConso[Jour Mois Année],0)</f>
        <v>#N/A</v>
      </c>
      <c r="H124" s="102" t="str">
        <f>IF(ISNA(Tableau6[[#This Row],[Position 2022]]),"",INDEX(tabSuiviConso[HP + HC
cumul],Tableau6[[#This Row],[Position 2022]],1))</f>
        <v/>
      </c>
      <c r="I124" s="123" t="e">
        <f>IF(ISNA(Tableau6[[#This Row],[Position 2022]]),Tableau6[[#This Row],[Position 2022]],Tableau6[[#This Row],[2022]]-H$2)</f>
        <v>#N/A</v>
      </c>
      <c r="J124" s="102" t="e">
        <f>MATCH(Tableau6[Jours Mois]&amp;"/"&amp;Tableau6[[#Headers],[2023]],tabSuiviConso[Jour Mois Année],0)</f>
        <v>#N/A</v>
      </c>
      <c r="K124" s="102" t="e">
        <f>Tableau6[[#This Row],[Cumul 2022]]-Tableau6[[#This Row],[Cumul 2021]]</f>
        <v>#N/A</v>
      </c>
      <c r="L124" s="104" t="e">
        <f>Tableau6[[#This Row],[Ecart 2021 2022]]/Tableau6[[#This Row],[Cumul 2021]]</f>
        <v>#N/A</v>
      </c>
      <c r="M124" s="102" t="str">
        <f>IF(ISNA(Tableau6[[#This Row],[Position 2023]]),"",INDEX(tabSuiviConso[HP + HC
cumul],Tableau6[[#This Row],[Position 2023]],1))</f>
        <v/>
      </c>
      <c r="N124" s="123" t="e">
        <f>IF(ISNA(Tableau6[[#This Row],[Position 2023]]),Tableau6[[#This Row],[Position 2023]],Tableau6[[#This Row],[2023]]-M$2)</f>
        <v>#N/A</v>
      </c>
      <c r="O124" s="102" t="e">
        <f>Tableau6[[#This Row],[Cumul 2023]]-Tableau6[[#This Row],[Cumul 2022]]</f>
        <v>#N/A</v>
      </c>
      <c r="P124" s="104" t="e">
        <f>Tableau6[[#This Row],[Ecart 2022 2023]]/Tableau6[[#This Row],[Cumul 2022]]</f>
        <v>#N/A</v>
      </c>
      <c r="Q124" s="102" t="e">
        <f>MATCH(Tableau6[Jours Mois]&amp;"/"&amp;Tableau6[[#Headers],[2024]],tabSuiviConso[Jour Mois Année],0)</f>
        <v>#N/A</v>
      </c>
      <c r="R124" s="102" t="str">
        <f>IF(ISNA(Tableau6[[#This Row],[Position 2024]]),"",INDEX(tabSuiviConso[HP + HC
cumul],Tableau6[[#This Row],[Position 2024]],1))</f>
        <v/>
      </c>
      <c r="S124" s="123" t="e">
        <f>IF(ISNA(Tableau6[[#This Row],[Position 2024]]),Tableau6[[#This Row],[Position 2024]],Tableau6[[#This Row],[2024]]-R$2)</f>
        <v>#N/A</v>
      </c>
      <c r="T124" s="102" t="e">
        <f>Tableau6[[#This Row],[Cumul 2024]]-Tableau6[[#This Row],[Cumul 2023]]</f>
        <v>#N/A</v>
      </c>
      <c r="U124" s="103" t="e">
        <f>Tableau6[[#This Row],[Ecart 2023 2024]]/Tableau6[[#This Row],[Cumul 2023]]</f>
        <v>#N/A</v>
      </c>
    </row>
    <row r="125" spans="1:21" x14ac:dyDescent="0.2">
      <c r="A125" s="102">
        <v>5</v>
      </c>
      <c r="B125" s="102">
        <v>2</v>
      </c>
      <c r="C125" s="102" t="str">
        <f>Tableau6[Jour]&amp;"/"&amp;Tableau6[Mois]</f>
        <v>2/5</v>
      </c>
      <c r="D125" s="102" t="e">
        <f>MATCH(Tableau6[Jours Mois]&amp;"/"&amp;Tableau6[[#Headers],[2021]],tabSuiviConso[Jour Mois Année],0)</f>
        <v>#N/A</v>
      </c>
      <c r="E125" s="102" t="str">
        <f>IF(ISNA(Tableau6[[#This Row],[Position 2021]]),"",INDEX(tabSuiviConso[HP + HC
cumul],Tableau6[[#This Row],[Position 2021]],1))</f>
        <v/>
      </c>
      <c r="F125" s="123" t="e">
        <f>IF(ISNA(Tableau6[[#This Row],[Position 2021]]),Tableau6[[#This Row],[Position 2021]],Tableau6[[#This Row],[2021]]-E$2)</f>
        <v>#N/A</v>
      </c>
      <c r="G125" s="102" t="e">
        <f>MATCH(Tableau6[Jours Mois]&amp;"/"&amp;Tableau6[[#Headers],[2022]],tabSuiviConso[Jour Mois Année],0)</f>
        <v>#N/A</v>
      </c>
      <c r="H125" s="102" t="str">
        <f>IF(ISNA(Tableau6[[#This Row],[Position 2022]]),"",INDEX(tabSuiviConso[HP + HC
cumul],Tableau6[[#This Row],[Position 2022]],1))</f>
        <v/>
      </c>
      <c r="I125" s="123" t="e">
        <f>IF(ISNA(Tableau6[[#This Row],[Position 2022]]),Tableau6[[#This Row],[Position 2022]],Tableau6[[#This Row],[2022]]-H$2)</f>
        <v>#N/A</v>
      </c>
      <c r="J125" s="102" t="e">
        <f>MATCH(Tableau6[Jours Mois]&amp;"/"&amp;Tableau6[[#Headers],[2023]],tabSuiviConso[Jour Mois Année],0)</f>
        <v>#N/A</v>
      </c>
      <c r="K125" s="102" t="e">
        <f>Tableau6[[#This Row],[Cumul 2022]]-Tableau6[[#This Row],[Cumul 2021]]</f>
        <v>#N/A</v>
      </c>
      <c r="L125" s="104" t="e">
        <f>Tableau6[[#This Row],[Ecart 2021 2022]]/Tableau6[[#This Row],[Cumul 2021]]</f>
        <v>#N/A</v>
      </c>
      <c r="M125" s="102" t="str">
        <f>IF(ISNA(Tableau6[[#This Row],[Position 2023]]),"",INDEX(tabSuiviConso[HP + HC
cumul],Tableau6[[#This Row],[Position 2023]],1))</f>
        <v/>
      </c>
      <c r="N125" s="123" t="e">
        <f>IF(ISNA(Tableau6[[#This Row],[Position 2023]]),Tableau6[[#This Row],[Position 2023]],Tableau6[[#This Row],[2023]]-M$2)</f>
        <v>#N/A</v>
      </c>
      <c r="O125" s="102" t="e">
        <f>Tableau6[[#This Row],[Cumul 2023]]-Tableau6[[#This Row],[Cumul 2022]]</f>
        <v>#N/A</v>
      </c>
      <c r="P125" s="104" t="e">
        <f>Tableau6[[#This Row],[Ecart 2022 2023]]/Tableau6[[#This Row],[Cumul 2022]]</f>
        <v>#N/A</v>
      </c>
      <c r="Q125" s="102" t="e">
        <f>MATCH(Tableau6[Jours Mois]&amp;"/"&amp;Tableau6[[#Headers],[2024]],tabSuiviConso[Jour Mois Année],0)</f>
        <v>#N/A</v>
      </c>
      <c r="R125" s="102" t="str">
        <f>IF(ISNA(Tableau6[[#This Row],[Position 2024]]),"",INDEX(tabSuiviConso[HP + HC
cumul],Tableau6[[#This Row],[Position 2024]],1))</f>
        <v/>
      </c>
      <c r="S125" s="123" t="e">
        <f>IF(ISNA(Tableau6[[#This Row],[Position 2024]]),Tableau6[[#This Row],[Position 2024]],Tableau6[[#This Row],[2024]]-R$2)</f>
        <v>#N/A</v>
      </c>
      <c r="T125" s="102" t="e">
        <f>Tableau6[[#This Row],[Cumul 2024]]-Tableau6[[#This Row],[Cumul 2023]]</f>
        <v>#N/A</v>
      </c>
      <c r="U125" s="103" t="e">
        <f>Tableau6[[#This Row],[Ecart 2023 2024]]/Tableau6[[#This Row],[Cumul 2023]]</f>
        <v>#N/A</v>
      </c>
    </row>
    <row r="126" spans="1:21" x14ac:dyDescent="0.2">
      <c r="A126" s="102">
        <v>5</v>
      </c>
      <c r="B126" s="102">
        <v>3</v>
      </c>
      <c r="C126" s="102" t="str">
        <f>Tableau6[Jour]&amp;"/"&amp;Tableau6[Mois]</f>
        <v>3/5</v>
      </c>
      <c r="D126" s="102" t="e">
        <f>MATCH(Tableau6[Jours Mois]&amp;"/"&amp;Tableau6[[#Headers],[2021]],tabSuiviConso[Jour Mois Année],0)</f>
        <v>#N/A</v>
      </c>
      <c r="E126" s="102" t="str">
        <f>IF(ISNA(Tableau6[[#This Row],[Position 2021]]),"",INDEX(tabSuiviConso[HP + HC
cumul],Tableau6[[#This Row],[Position 2021]],1))</f>
        <v/>
      </c>
      <c r="F126" s="123" t="e">
        <f>IF(ISNA(Tableau6[[#This Row],[Position 2021]]),Tableau6[[#This Row],[Position 2021]],Tableau6[[#This Row],[2021]]-E$2)</f>
        <v>#N/A</v>
      </c>
      <c r="G126" s="102" t="e">
        <f>MATCH(Tableau6[Jours Mois]&amp;"/"&amp;Tableau6[[#Headers],[2022]],tabSuiviConso[Jour Mois Année],0)</f>
        <v>#N/A</v>
      </c>
      <c r="H126" s="102" t="str">
        <f>IF(ISNA(Tableau6[[#This Row],[Position 2022]]),"",INDEX(tabSuiviConso[HP + HC
cumul],Tableau6[[#This Row],[Position 2022]],1))</f>
        <v/>
      </c>
      <c r="I126" s="123" t="e">
        <f>IF(ISNA(Tableau6[[#This Row],[Position 2022]]),Tableau6[[#This Row],[Position 2022]],Tableau6[[#This Row],[2022]]-H$2)</f>
        <v>#N/A</v>
      </c>
      <c r="J126" s="102" t="e">
        <f>MATCH(Tableau6[Jours Mois]&amp;"/"&amp;Tableau6[[#Headers],[2023]],tabSuiviConso[Jour Mois Année],0)</f>
        <v>#N/A</v>
      </c>
      <c r="K126" s="102" t="e">
        <f>Tableau6[[#This Row],[Cumul 2022]]-Tableau6[[#This Row],[Cumul 2021]]</f>
        <v>#N/A</v>
      </c>
      <c r="L126" s="104" t="e">
        <f>Tableau6[[#This Row],[Ecart 2021 2022]]/Tableau6[[#This Row],[Cumul 2021]]</f>
        <v>#N/A</v>
      </c>
      <c r="M126" s="102" t="str">
        <f>IF(ISNA(Tableau6[[#This Row],[Position 2023]]),"",INDEX(tabSuiviConso[HP + HC
cumul],Tableau6[[#This Row],[Position 2023]],1))</f>
        <v/>
      </c>
      <c r="N126" s="123" t="e">
        <f>IF(ISNA(Tableau6[[#This Row],[Position 2023]]),Tableau6[[#This Row],[Position 2023]],Tableau6[[#This Row],[2023]]-M$2)</f>
        <v>#N/A</v>
      </c>
      <c r="O126" s="102" t="e">
        <f>Tableau6[[#This Row],[Cumul 2023]]-Tableau6[[#This Row],[Cumul 2022]]</f>
        <v>#N/A</v>
      </c>
      <c r="P126" s="104" t="e">
        <f>Tableau6[[#This Row],[Ecart 2022 2023]]/Tableau6[[#This Row],[Cumul 2022]]</f>
        <v>#N/A</v>
      </c>
      <c r="Q126" s="102" t="e">
        <f>MATCH(Tableau6[Jours Mois]&amp;"/"&amp;Tableau6[[#Headers],[2024]],tabSuiviConso[Jour Mois Année],0)</f>
        <v>#N/A</v>
      </c>
      <c r="R126" s="102" t="str">
        <f>IF(ISNA(Tableau6[[#This Row],[Position 2024]]),"",INDEX(tabSuiviConso[HP + HC
cumul],Tableau6[[#This Row],[Position 2024]],1))</f>
        <v/>
      </c>
      <c r="S126" s="123" t="e">
        <f>IF(ISNA(Tableau6[[#This Row],[Position 2024]]),Tableau6[[#This Row],[Position 2024]],Tableau6[[#This Row],[2024]]-R$2)</f>
        <v>#N/A</v>
      </c>
      <c r="T126" s="102" t="e">
        <f>Tableau6[[#This Row],[Cumul 2024]]-Tableau6[[#This Row],[Cumul 2023]]</f>
        <v>#N/A</v>
      </c>
      <c r="U126" s="103" t="e">
        <f>Tableau6[[#This Row],[Ecart 2023 2024]]/Tableau6[[#This Row],[Cumul 2023]]</f>
        <v>#N/A</v>
      </c>
    </row>
    <row r="127" spans="1:21" x14ac:dyDescent="0.2">
      <c r="A127" s="102">
        <v>5</v>
      </c>
      <c r="B127" s="102">
        <v>4</v>
      </c>
      <c r="C127" s="102" t="str">
        <f>Tableau6[Jour]&amp;"/"&amp;Tableau6[Mois]</f>
        <v>4/5</v>
      </c>
      <c r="D127" s="102" t="e">
        <f>MATCH(Tableau6[Jours Mois]&amp;"/"&amp;Tableau6[[#Headers],[2021]],tabSuiviConso[Jour Mois Année],0)</f>
        <v>#N/A</v>
      </c>
      <c r="E127" s="102" t="str">
        <f>IF(ISNA(Tableau6[[#This Row],[Position 2021]]),"",INDEX(tabSuiviConso[HP + HC
cumul],Tableau6[[#This Row],[Position 2021]],1))</f>
        <v/>
      </c>
      <c r="F127" s="123" t="e">
        <f>IF(ISNA(Tableau6[[#This Row],[Position 2021]]),Tableau6[[#This Row],[Position 2021]],Tableau6[[#This Row],[2021]]-E$2)</f>
        <v>#N/A</v>
      </c>
      <c r="G127" s="102" t="e">
        <f>MATCH(Tableau6[Jours Mois]&amp;"/"&amp;Tableau6[[#Headers],[2022]],tabSuiviConso[Jour Mois Année],0)</f>
        <v>#N/A</v>
      </c>
      <c r="H127" s="102" t="str">
        <f>IF(ISNA(Tableau6[[#This Row],[Position 2022]]),"",INDEX(tabSuiviConso[HP + HC
cumul],Tableau6[[#This Row],[Position 2022]],1))</f>
        <v/>
      </c>
      <c r="I127" s="123" t="e">
        <f>IF(ISNA(Tableau6[[#This Row],[Position 2022]]),Tableau6[[#This Row],[Position 2022]],Tableau6[[#This Row],[2022]]-H$2)</f>
        <v>#N/A</v>
      </c>
      <c r="J127" s="102" t="e">
        <f>MATCH(Tableau6[Jours Mois]&amp;"/"&amp;Tableau6[[#Headers],[2023]],tabSuiviConso[Jour Mois Année],0)</f>
        <v>#N/A</v>
      </c>
      <c r="K127" s="102" t="e">
        <f>Tableau6[[#This Row],[Cumul 2022]]-Tableau6[[#This Row],[Cumul 2021]]</f>
        <v>#N/A</v>
      </c>
      <c r="L127" s="104" t="e">
        <f>Tableau6[[#This Row],[Ecart 2021 2022]]/Tableau6[[#This Row],[Cumul 2021]]</f>
        <v>#N/A</v>
      </c>
      <c r="M127" s="102" t="str">
        <f>IF(ISNA(Tableau6[[#This Row],[Position 2023]]),"",INDEX(tabSuiviConso[HP + HC
cumul],Tableau6[[#This Row],[Position 2023]],1))</f>
        <v/>
      </c>
      <c r="N127" s="123" t="e">
        <f>IF(ISNA(Tableau6[[#This Row],[Position 2023]]),Tableau6[[#This Row],[Position 2023]],Tableau6[[#This Row],[2023]]-M$2)</f>
        <v>#N/A</v>
      </c>
      <c r="O127" s="102" t="e">
        <f>Tableau6[[#This Row],[Cumul 2023]]-Tableau6[[#This Row],[Cumul 2022]]</f>
        <v>#N/A</v>
      </c>
      <c r="P127" s="104" t="e">
        <f>Tableau6[[#This Row],[Ecart 2022 2023]]/Tableau6[[#This Row],[Cumul 2022]]</f>
        <v>#N/A</v>
      </c>
      <c r="Q127" s="102" t="e">
        <f>MATCH(Tableau6[Jours Mois]&amp;"/"&amp;Tableau6[[#Headers],[2024]],tabSuiviConso[Jour Mois Année],0)</f>
        <v>#N/A</v>
      </c>
      <c r="R127" s="102" t="str">
        <f>IF(ISNA(Tableau6[[#This Row],[Position 2024]]),"",INDEX(tabSuiviConso[HP + HC
cumul],Tableau6[[#This Row],[Position 2024]],1))</f>
        <v/>
      </c>
      <c r="S127" s="123" t="e">
        <f>IF(ISNA(Tableau6[[#This Row],[Position 2024]]),Tableau6[[#This Row],[Position 2024]],Tableau6[[#This Row],[2024]]-R$2)</f>
        <v>#N/A</v>
      </c>
      <c r="T127" s="102" t="e">
        <f>Tableau6[[#This Row],[Cumul 2024]]-Tableau6[[#This Row],[Cumul 2023]]</f>
        <v>#N/A</v>
      </c>
      <c r="U127" s="103" t="e">
        <f>Tableau6[[#This Row],[Ecart 2023 2024]]/Tableau6[[#This Row],[Cumul 2023]]</f>
        <v>#N/A</v>
      </c>
    </row>
    <row r="128" spans="1:21" x14ac:dyDescent="0.2">
      <c r="A128" s="102">
        <v>5</v>
      </c>
      <c r="B128" s="102">
        <v>5</v>
      </c>
      <c r="C128" s="102" t="str">
        <f>Tableau6[Jour]&amp;"/"&amp;Tableau6[Mois]</f>
        <v>5/5</v>
      </c>
      <c r="D128" s="102" t="e">
        <f>MATCH(Tableau6[Jours Mois]&amp;"/"&amp;Tableau6[[#Headers],[2021]],tabSuiviConso[Jour Mois Année],0)</f>
        <v>#N/A</v>
      </c>
      <c r="E128" s="102" t="str">
        <f>IF(ISNA(Tableau6[[#This Row],[Position 2021]]),"",INDEX(tabSuiviConso[HP + HC
cumul],Tableau6[[#This Row],[Position 2021]],1))</f>
        <v/>
      </c>
      <c r="F128" s="123" t="e">
        <f>IF(ISNA(Tableau6[[#This Row],[Position 2021]]),Tableau6[[#This Row],[Position 2021]],Tableau6[[#This Row],[2021]]-E$2)</f>
        <v>#N/A</v>
      </c>
      <c r="G128" s="102" t="e">
        <f>MATCH(Tableau6[Jours Mois]&amp;"/"&amp;Tableau6[[#Headers],[2022]],tabSuiviConso[Jour Mois Année],0)</f>
        <v>#N/A</v>
      </c>
      <c r="H128" s="102" t="str">
        <f>IF(ISNA(Tableau6[[#This Row],[Position 2022]]),"",INDEX(tabSuiviConso[HP + HC
cumul],Tableau6[[#This Row],[Position 2022]],1))</f>
        <v/>
      </c>
      <c r="I128" s="123" t="e">
        <f>IF(ISNA(Tableau6[[#This Row],[Position 2022]]),Tableau6[[#This Row],[Position 2022]],Tableau6[[#This Row],[2022]]-H$2)</f>
        <v>#N/A</v>
      </c>
      <c r="J128" s="102" t="e">
        <f>MATCH(Tableau6[Jours Mois]&amp;"/"&amp;Tableau6[[#Headers],[2023]],tabSuiviConso[Jour Mois Année],0)</f>
        <v>#N/A</v>
      </c>
      <c r="K128" s="102" t="e">
        <f>Tableau6[[#This Row],[Cumul 2022]]-Tableau6[[#This Row],[Cumul 2021]]</f>
        <v>#N/A</v>
      </c>
      <c r="L128" s="104" t="e">
        <f>Tableau6[[#This Row],[Ecart 2021 2022]]/Tableau6[[#This Row],[Cumul 2021]]</f>
        <v>#N/A</v>
      </c>
      <c r="M128" s="102" t="str">
        <f>IF(ISNA(Tableau6[[#This Row],[Position 2023]]),"",INDEX(tabSuiviConso[HP + HC
cumul],Tableau6[[#This Row],[Position 2023]],1))</f>
        <v/>
      </c>
      <c r="N128" s="123" t="e">
        <f>IF(ISNA(Tableau6[[#This Row],[Position 2023]]),Tableau6[[#This Row],[Position 2023]],Tableau6[[#This Row],[2023]]-M$2)</f>
        <v>#N/A</v>
      </c>
      <c r="O128" s="102" t="e">
        <f>Tableau6[[#This Row],[Cumul 2023]]-Tableau6[[#This Row],[Cumul 2022]]</f>
        <v>#N/A</v>
      </c>
      <c r="P128" s="104" t="e">
        <f>Tableau6[[#This Row],[Ecart 2022 2023]]/Tableau6[[#This Row],[Cumul 2022]]</f>
        <v>#N/A</v>
      </c>
      <c r="Q128" s="102" t="e">
        <f>MATCH(Tableau6[Jours Mois]&amp;"/"&amp;Tableau6[[#Headers],[2024]],tabSuiviConso[Jour Mois Année],0)</f>
        <v>#N/A</v>
      </c>
      <c r="R128" s="102" t="str">
        <f>IF(ISNA(Tableau6[[#This Row],[Position 2024]]),"",INDEX(tabSuiviConso[HP + HC
cumul],Tableau6[[#This Row],[Position 2024]],1))</f>
        <v/>
      </c>
      <c r="S128" s="123" t="e">
        <f>IF(ISNA(Tableau6[[#This Row],[Position 2024]]),Tableau6[[#This Row],[Position 2024]],Tableau6[[#This Row],[2024]]-R$2)</f>
        <v>#N/A</v>
      </c>
      <c r="T128" s="102" t="e">
        <f>Tableau6[[#This Row],[Cumul 2024]]-Tableau6[[#This Row],[Cumul 2023]]</f>
        <v>#N/A</v>
      </c>
      <c r="U128" s="103" t="e">
        <f>Tableau6[[#This Row],[Ecart 2023 2024]]/Tableau6[[#This Row],[Cumul 2023]]</f>
        <v>#N/A</v>
      </c>
    </row>
    <row r="129" spans="1:21" x14ac:dyDescent="0.2">
      <c r="A129" s="102">
        <v>5</v>
      </c>
      <c r="B129" s="102">
        <v>6</v>
      </c>
      <c r="C129" s="102" t="str">
        <f>Tableau6[Jour]&amp;"/"&amp;Tableau6[Mois]</f>
        <v>6/5</v>
      </c>
      <c r="D129" s="102" t="e">
        <f>MATCH(Tableau6[Jours Mois]&amp;"/"&amp;Tableau6[[#Headers],[2021]],tabSuiviConso[Jour Mois Année],0)</f>
        <v>#N/A</v>
      </c>
      <c r="E129" s="102" t="str">
        <f>IF(ISNA(Tableau6[[#This Row],[Position 2021]]),"",INDEX(tabSuiviConso[HP + HC
cumul],Tableau6[[#This Row],[Position 2021]],1))</f>
        <v/>
      </c>
      <c r="F129" s="123" t="e">
        <f>IF(ISNA(Tableau6[[#This Row],[Position 2021]]),Tableau6[[#This Row],[Position 2021]],Tableau6[[#This Row],[2021]]-E$2)</f>
        <v>#N/A</v>
      </c>
      <c r="G129" s="102" t="e">
        <f>MATCH(Tableau6[Jours Mois]&amp;"/"&amp;Tableau6[[#Headers],[2022]],tabSuiviConso[Jour Mois Année],0)</f>
        <v>#N/A</v>
      </c>
      <c r="H129" s="102" t="str">
        <f>IF(ISNA(Tableau6[[#This Row],[Position 2022]]),"",INDEX(tabSuiviConso[HP + HC
cumul],Tableau6[[#This Row],[Position 2022]],1))</f>
        <v/>
      </c>
      <c r="I129" s="123" t="e">
        <f>IF(ISNA(Tableau6[[#This Row],[Position 2022]]),Tableau6[[#This Row],[Position 2022]],Tableau6[[#This Row],[2022]]-H$2)</f>
        <v>#N/A</v>
      </c>
      <c r="J129" s="102" t="e">
        <f>MATCH(Tableau6[Jours Mois]&amp;"/"&amp;Tableau6[[#Headers],[2023]],tabSuiviConso[Jour Mois Année],0)</f>
        <v>#N/A</v>
      </c>
      <c r="K129" s="102" t="e">
        <f>Tableau6[[#This Row],[Cumul 2022]]-Tableau6[[#This Row],[Cumul 2021]]</f>
        <v>#N/A</v>
      </c>
      <c r="L129" s="104" t="e">
        <f>Tableau6[[#This Row],[Ecart 2021 2022]]/Tableau6[[#This Row],[Cumul 2021]]</f>
        <v>#N/A</v>
      </c>
      <c r="M129" s="102" t="str">
        <f>IF(ISNA(Tableau6[[#This Row],[Position 2023]]),"",INDEX(tabSuiviConso[HP + HC
cumul],Tableau6[[#This Row],[Position 2023]],1))</f>
        <v/>
      </c>
      <c r="N129" s="123" t="e">
        <f>IF(ISNA(Tableau6[[#This Row],[Position 2023]]),Tableau6[[#This Row],[Position 2023]],Tableau6[[#This Row],[2023]]-M$2)</f>
        <v>#N/A</v>
      </c>
      <c r="O129" s="102" t="e">
        <f>Tableau6[[#This Row],[Cumul 2023]]-Tableau6[[#This Row],[Cumul 2022]]</f>
        <v>#N/A</v>
      </c>
      <c r="P129" s="104" t="e">
        <f>Tableau6[[#This Row],[Ecart 2022 2023]]/Tableau6[[#This Row],[Cumul 2022]]</f>
        <v>#N/A</v>
      </c>
      <c r="Q129" s="102" t="e">
        <f>MATCH(Tableau6[Jours Mois]&amp;"/"&amp;Tableau6[[#Headers],[2024]],tabSuiviConso[Jour Mois Année],0)</f>
        <v>#N/A</v>
      </c>
      <c r="R129" s="102" t="str">
        <f>IF(ISNA(Tableau6[[#This Row],[Position 2024]]),"",INDEX(tabSuiviConso[HP + HC
cumul],Tableau6[[#This Row],[Position 2024]],1))</f>
        <v/>
      </c>
      <c r="S129" s="123" t="e">
        <f>IF(ISNA(Tableau6[[#This Row],[Position 2024]]),Tableau6[[#This Row],[Position 2024]],Tableau6[[#This Row],[2024]]-R$2)</f>
        <v>#N/A</v>
      </c>
      <c r="T129" s="102" t="e">
        <f>Tableau6[[#This Row],[Cumul 2024]]-Tableau6[[#This Row],[Cumul 2023]]</f>
        <v>#N/A</v>
      </c>
      <c r="U129" s="103" t="e">
        <f>Tableau6[[#This Row],[Ecart 2023 2024]]/Tableau6[[#This Row],[Cumul 2023]]</f>
        <v>#N/A</v>
      </c>
    </row>
    <row r="130" spans="1:21" x14ac:dyDescent="0.2">
      <c r="A130" s="102">
        <v>5</v>
      </c>
      <c r="B130" s="102">
        <v>7</v>
      </c>
      <c r="C130" s="102" t="str">
        <f>Tableau6[Jour]&amp;"/"&amp;Tableau6[Mois]</f>
        <v>7/5</v>
      </c>
      <c r="D130" s="102" t="e">
        <f>MATCH(Tableau6[Jours Mois]&amp;"/"&amp;Tableau6[[#Headers],[2021]],tabSuiviConso[Jour Mois Année],0)</f>
        <v>#N/A</v>
      </c>
      <c r="E130" s="102" t="str">
        <f>IF(ISNA(Tableau6[[#This Row],[Position 2021]]),"",INDEX(tabSuiviConso[HP + HC
cumul],Tableau6[[#This Row],[Position 2021]],1))</f>
        <v/>
      </c>
      <c r="F130" s="123" t="e">
        <f>IF(ISNA(Tableau6[[#This Row],[Position 2021]]),Tableau6[[#This Row],[Position 2021]],Tableau6[[#This Row],[2021]]-E$2)</f>
        <v>#N/A</v>
      </c>
      <c r="G130" s="102" t="e">
        <f>MATCH(Tableau6[Jours Mois]&amp;"/"&amp;Tableau6[[#Headers],[2022]],tabSuiviConso[Jour Mois Année],0)</f>
        <v>#N/A</v>
      </c>
      <c r="H130" s="102" t="str">
        <f>IF(ISNA(Tableau6[[#This Row],[Position 2022]]),"",INDEX(tabSuiviConso[HP + HC
cumul],Tableau6[[#This Row],[Position 2022]],1))</f>
        <v/>
      </c>
      <c r="I130" s="123" t="e">
        <f>IF(ISNA(Tableau6[[#This Row],[Position 2022]]),Tableau6[[#This Row],[Position 2022]],Tableau6[[#This Row],[2022]]-H$2)</f>
        <v>#N/A</v>
      </c>
      <c r="J130" s="102" t="e">
        <f>MATCH(Tableau6[Jours Mois]&amp;"/"&amp;Tableau6[[#Headers],[2023]],tabSuiviConso[Jour Mois Année],0)</f>
        <v>#N/A</v>
      </c>
      <c r="K130" s="102" t="e">
        <f>Tableau6[[#This Row],[Cumul 2022]]-Tableau6[[#This Row],[Cumul 2021]]</f>
        <v>#N/A</v>
      </c>
      <c r="L130" s="104" t="e">
        <f>Tableau6[[#This Row],[Ecart 2021 2022]]/Tableau6[[#This Row],[Cumul 2021]]</f>
        <v>#N/A</v>
      </c>
      <c r="M130" s="102" t="str">
        <f>IF(ISNA(Tableau6[[#This Row],[Position 2023]]),"",INDEX(tabSuiviConso[HP + HC
cumul],Tableau6[[#This Row],[Position 2023]],1))</f>
        <v/>
      </c>
      <c r="N130" s="123" t="e">
        <f>IF(ISNA(Tableau6[[#This Row],[Position 2023]]),Tableau6[[#This Row],[Position 2023]],Tableau6[[#This Row],[2023]]-M$2)</f>
        <v>#N/A</v>
      </c>
      <c r="O130" s="102" t="e">
        <f>Tableau6[[#This Row],[Cumul 2023]]-Tableau6[[#This Row],[Cumul 2022]]</f>
        <v>#N/A</v>
      </c>
      <c r="P130" s="104" t="e">
        <f>Tableau6[[#This Row],[Ecart 2022 2023]]/Tableau6[[#This Row],[Cumul 2022]]</f>
        <v>#N/A</v>
      </c>
      <c r="Q130" s="102" t="e">
        <f>MATCH(Tableau6[Jours Mois]&amp;"/"&amp;Tableau6[[#Headers],[2024]],tabSuiviConso[Jour Mois Année],0)</f>
        <v>#N/A</v>
      </c>
      <c r="R130" s="102" t="str">
        <f>IF(ISNA(Tableau6[[#This Row],[Position 2024]]),"",INDEX(tabSuiviConso[HP + HC
cumul],Tableau6[[#This Row],[Position 2024]],1))</f>
        <v/>
      </c>
      <c r="S130" s="123" t="e">
        <f>IF(ISNA(Tableau6[[#This Row],[Position 2024]]),Tableau6[[#This Row],[Position 2024]],Tableau6[[#This Row],[2024]]-R$2)</f>
        <v>#N/A</v>
      </c>
      <c r="T130" s="102" t="e">
        <f>Tableau6[[#This Row],[Cumul 2024]]-Tableau6[[#This Row],[Cumul 2023]]</f>
        <v>#N/A</v>
      </c>
      <c r="U130" s="103" t="e">
        <f>Tableau6[[#This Row],[Ecart 2023 2024]]/Tableau6[[#This Row],[Cumul 2023]]</f>
        <v>#N/A</v>
      </c>
    </row>
    <row r="131" spans="1:21" x14ac:dyDescent="0.2">
      <c r="A131" s="102">
        <v>5</v>
      </c>
      <c r="B131" s="102">
        <v>8</v>
      </c>
      <c r="C131" s="102" t="str">
        <f>Tableau6[Jour]&amp;"/"&amp;Tableau6[Mois]</f>
        <v>8/5</v>
      </c>
      <c r="D131" s="102" t="e">
        <f>MATCH(Tableau6[Jours Mois]&amp;"/"&amp;Tableau6[[#Headers],[2021]],tabSuiviConso[Jour Mois Année],0)</f>
        <v>#N/A</v>
      </c>
      <c r="E131" s="102" t="str">
        <f>IF(ISNA(Tableau6[[#This Row],[Position 2021]]),"",INDEX(tabSuiviConso[HP + HC
cumul],Tableau6[[#This Row],[Position 2021]],1))</f>
        <v/>
      </c>
      <c r="F131" s="123" t="e">
        <f>IF(ISNA(Tableau6[[#This Row],[Position 2021]]),Tableau6[[#This Row],[Position 2021]],Tableau6[[#This Row],[2021]]-E$2)</f>
        <v>#N/A</v>
      </c>
      <c r="G131" s="102" t="e">
        <f>MATCH(Tableau6[Jours Mois]&amp;"/"&amp;Tableau6[[#Headers],[2022]],tabSuiviConso[Jour Mois Année],0)</f>
        <v>#N/A</v>
      </c>
      <c r="H131" s="102" t="str">
        <f>IF(ISNA(Tableau6[[#This Row],[Position 2022]]),"",INDEX(tabSuiviConso[HP + HC
cumul],Tableau6[[#This Row],[Position 2022]],1))</f>
        <v/>
      </c>
      <c r="I131" s="123" t="e">
        <f>IF(ISNA(Tableau6[[#This Row],[Position 2022]]),Tableau6[[#This Row],[Position 2022]],Tableau6[[#This Row],[2022]]-H$2)</f>
        <v>#N/A</v>
      </c>
      <c r="J131" s="102" t="e">
        <f>MATCH(Tableau6[Jours Mois]&amp;"/"&amp;Tableau6[[#Headers],[2023]],tabSuiviConso[Jour Mois Année],0)</f>
        <v>#N/A</v>
      </c>
      <c r="K131" s="102" t="e">
        <f>Tableau6[[#This Row],[Cumul 2022]]-Tableau6[[#This Row],[Cumul 2021]]</f>
        <v>#N/A</v>
      </c>
      <c r="L131" s="104" t="e">
        <f>Tableau6[[#This Row],[Ecart 2021 2022]]/Tableau6[[#This Row],[Cumul 2021]]</f>
        <v>#N/A</v>
      </c>
      <c r="M131" s="102" t="str">
        <f>IF(ISNA(Tableau6[[#This Row],[Position 2023]]),"",INDEX(tabSuiviConso[HP + HC
cumul],Tableau6[[#This Row],[Position 2023]],1))</f>
        <v/>
      </c>
      <c r="N131" s="123" t="e">
        <f>IF(ISNA(Tableau6[[#This Row],[Position 2023]]),Tableau6[[#This Row],[Position 2023]],Tableau6[[#This Row],[2023]]-M$2)</f>
        <v>#N/A</v>
      </c>
      <c r="O131" s="102" t="e">
        <f>Tableau6[[#This Row],[Cumul 2023]]-Tableau6[[#This Row],[Cumul 2022]]</f>
        <v>#N/A</v>
      </c>
      <c r="P131" s="104" t="e">
        <f>Tableau6[[#This Row],[Ecart 2022 2023]]/Tableau6[[#This Row],[Cumul 2022]]</f>
        <v>#N/A</v>
      </c>
      <c r="Q131" s="102" t="e">
        <f>MATCH(Tableau6[Jours Mois]&amp;"/"&amp;Tableau6[[#Headers],[2024]],tabSuiviConso[Jour Mois Année],0)</f>
        <v>#N/A</v>
      </c>
      <c r="R131" s="102" t="str">
        <f>IF(ISNA(Tableau6[[#This Row],[Position 2024]]),"",INDEX(tabSuiviConso[HP + HC
cumul],Tableau6[[#This Row],[Position 2024]],1))</f>
        <v/>
      </c>
      <c r="S131" s="123" t="e">
        <f>IF(ISNA(Tableau6[[#This Row],[Position 2024]]),Tableau6[[#This Row],[Position 2024]],Tableau6[[#This Row],[2024]]-R$2)</f>
        <v>#N/A</v>
      </c>
      <c r="T131" s="102" t="e">
        <f>Tableau6[[#This Row],[Cumul 2024]]-Tableau6[[#This Row],[Cumul 2023]]</f>
        <v>#N/A</v>
      </c>
      <c r="U131" s="103" t="e">
        <f>Tableau6[[#This Row],[Ecart 2023 2024]]/Tableau6[[#This Row],[Cumul 2023]]</f>
        <v>#N/A</v>
      </c>
    </row>
    <row r="132" spans="1:21" x14ac:dyDescent="0.2">
      <c r="A132" s="102">
        <v>5</v>
      </c>
      <c r="B132" s="102">
        <v>9</v>
      </c>
      <c r="C132" s="102" t="str">
        <f>Tableau6[Jour]&amp;"/"&amp;Tableau6[Mois]</f>
        <v>9/5</v>
      </c>
      <c r="D132" s="102" t="e">
        <f>MATCH(Tableau6[Jours Mois]&amp;"/"&amp;Tableau6[[#Headers],[2021]],tabSuiviConso[Jour Mois Année],0)</f>
        <v>#N/A</v>
      </c>
      <c r="E132" s="102" t="str">
        <f>IF(ISNA(Tableau6[[#This Row],[Position 2021]]),"",INDEX(tabSuiviConso[HP + HC
cumul],Tableau6[[#This Row],[Position 2021]],1))</f>
        <v/>
      </c>
      <c r="F132" s="123" t="e">
        <f>IF(ISNA(Tableau6[[#This Row],[Position 2021]]),Tableau6[[#This Row],[Position 2021]],Tableau6[[#This Row],[2021]]-E$2)</f>
        <v>#N/A</v>
      </c>
      <c r="G132" s="102" t="e">
        <f>MATCH(Tableau6[Jours Mois]&amp;"/"&amp;Tableau6[[#Headers],[2022]],tabSuiviConso[Jour Mois Année],0)</f>
        <v>#N/A</v>
      </c>
      <c r="H132" s="102" t="str">
        <f>IF(ISNA(Tableau6[[#This Row],[Position 2022]]),"",INDEX(tabSuiviConso[HP + HC
cumul],Tableau6[[#This Row],[Position 2022]],1))</f>
        <v/>
      </c>
      <c r="I132" s="123" t="e">
        <f>IF(ISNA(Tableau6[[#This Row],[Position 2022]]),Tableau6[[#This Row],[Position 2022]],Tableau6[[#This Row],[2022]]-H$2)</f>
        <v>#N/A</v>
      </c>
      <c r="J132" s="102" t="e">
        <f>MATCH(Tableau6[Jours Mois]&amp;"/"&amp;Tableau6[[#Headers],[2023]],tabSuiviConso[Jour Mois Année],0)</f>
        <v>#N/A</v>
      </c>
      <c r="K132" s="102" t="e">
        <f>Tableau6[[#This Row],[Cumul 2022]]-Tableau6[[#This Row],[Cumul 2021]]</f>
        <v>#N/A</v>
      </c>
      <c r="L132" s="104" t="e">
        <f>Tableau6[[#This Row],[Ecart 2021 2022]]/Tableau6[[#This Row],[Cumul 2021]]</f>
        <v>#N/A</v>
      </c>
      <c r="M132" s="102" t="str">
        <f>IF(ISNA(Tableau6[[#This Row],[Position 2023]]),"",INDEX(tabSuiviConso[HP + HC
cumul],Tableau6[[#This Row],[Position 2023]],1))</f>
        <v/>
      </c>
      <c r="N132" s="123" t="e">
        <f>IF(ISNA(Tableau6[[#This Row],[Position 2023]]),Tableau6[[#This Row],[Position 2023]],Tableau6[[#This Row],[2023]]-M$2)</f>
        <v>#N/A</v>
      </c>
      <c r="O132" s="102" t="e">
        <f>Tableau6[[#This Row],[Cumul 2023]]-Tableau6[[#This Row],[Cumul 2022]]</f>
        <v>#N/A</v>
      </c>
      <c r="P132" s="104" t="e">
        <f>Tableau6[[#This Row],[Ecart 2022 2023]]/Tableau6[[#This Row],[Cumul 2022]]</f>
        <v>#N/A</v>
      </c>
      <c r="Q132" s="102" t="e">
        <f>MATCH(Tableau6[Jours Mois]&amp;"/"&amp;Tableau6[[#Headers],[2024]],tabSuiviConso[Jour Mois Année],0)</f>
        <v>#N/A</v>
      </c>
      <c r="R132" s="102" t="str">
        <f>IF(ISNA(Tableau6[[#This Row],[Position 2024]]),"",INDEX(tabSuiviConso[HP + HC
cumul],Tableau6[[#This Row],[Position 2024]],1))</f>
        <v/>
      </c>
      <c r="S132" s="123" t="e">
        <f>IF(ISNA(Tableau6[[#This Row],[Position 2024]]),Tableau6[[#This Row],[Position 2024]],Tableau6[[#This Row],[2024]]-R$2)</f>
        <v>#N/A</v>
      </c>
      <c r="T132" s="102" t="e">
        <f>Tableau6[[#This Row],[Cumul 2024]]-Tableau6[[#This Row],[Cumul 2023]]</f>
        <v>#N/A</v>
      </c>
      <c r="U132" s="103" t="e">
        <f>Tableau6[[#This Row],[Ecart 2023 2024]]/Tableau6[[#This Row],[Cumul 2023]]</f>
        <v>#N/A</v>
      </c>
    </row>
    <row r="133" spans="1:21" x14ac:dyDescent="0.2">
      <c r="A133" s="102">
        <v>5</v>
      </c>
      <c r="B133" s="102">
        <v>10</v>
      </c>
      <c r="C133" s="102" t="str">
        <f>Tableau6[Jour]&amp;"/"&amp;Tableau6[Mois]</f>
        <v>10/5</v>
      </c>
      <c r="D133" s="102" t="e">
        <f>MATCH(Tableau6[Jours Mois]&amp;"/"&amp;Tableau6[[#Headers],[2021]],tabSuiviConso[Jour Mois Année],0)</f>
        <v>#N/A</v>
      </c>
      <c r="E133" s="102" t="str">
        <f>IF(ISNA(Tableau6[[#This Row],[Position 2021]]),"",INDEX(tabSuiviConso[HP + HC
cumul],Tableau6[[#This Row],[Position 2021]],1))</f>
        <v/>
      </c>
      <c r="F133" s="123" t="e">
        <f>IF(ISNA(Tableau6[[#This Row],[Position 2021]]),Tableau6[[#This Row],[Position 2021]],Tableau6[[#This Row],[2021]]-E$2)</f>
        <v>#N/A</v>
      </c>
      <c r="G133" s="102" t="e">
        <f>MATCH(Tableau6[Jours Mois]&amp;"/"&amp;Tableau6[[#Headers],[2022]],tabSuiviConso[Jour Mois Année],0)</f>
        <v>#N/A</v>
      </c>
      <c r="H133" s="102" t="str">
        <f>IF(ISNA(Tableau6[[#This Row],[Position 2022]]),"",INDEX(tabSuiviConso[HP + HC
cumul],Tableau6[[#This Row],[Position 2022]],1))</f>
        <v/>
      </c>
      <c r="I133" s="123" t="e">
        <f>IF(ISNA(Tableau6[[#This Row],[Position 2022]]),Tableau6[[#This Row],[Position 2022]],Tableau6[[#This Row],[2022]]-H$2)</f>
        <v>#N/A</v>
      </c>
      <c r="J133" s="102" t="e">
        <f>MATCH(Tableau6[Jours Mois]&amp;"/"&amp;Tableau6[[#Headers],[2023]],tabSuiviConso[Jour Mois Année],0)</f>
        <v>#N/A</v>
      </c>
      <c r="K133" s="102" t="e">
        <f>Tableau6[[#This Row],[Cumul 2022]]-Tableau6[[#This Row],[Cumul 2021]]</f>
        <v>#N/A</v>
      </c>
      <c r="L133" s="104" t="e">
        <f>Tableau6[[#This Row],[Ecart 2021 2022]]/Tableau6[[#This Row],[Cumul 2021]]</f>
        <v>#N/A</v>
      </c>
      <c r="M133" s="102" t="str">
        <f>IF(ISNA(Tableau6[[#This Row],[Position 2023]]),"",INDEX(tabSuiviConso[HP + HC
cumul],Tableau6[[#This Row],[Position 2023]],1))</f>
        <v/>
      </c>
      <c r="N133" s="123" t="e">
        <f>IF(ISNA(Tableau6[[#This Row],[Position 2023]]),Tableau6[[#This Row],[Position 2023]],Tableau6[[#This Row],[2023]]-M$2)</f>
        <v>#N/A</v>
      </c>
      <c r="O133" s="102" t="e">
        <f>Tableau6[[#This Row],[Cumul 2023]]-Tableau6[[#This Row],[Cumul 2022]]</f>
        <v>#N/A</v>
      </c>
      <c r="P133" s="104" t="e">
        <f>Tableau6[[#This Row],[Ecart 2022 2023]]/Tableau6[[#This Row],[Cumul 2022]]</f>
        <v>#N/A</v>
      </c>
      <c r="Q133" s="102" t="e">
        <f>MATCH(Tableau6[Jours Mois]&amp;"/"&amp;Tableau6[[#Headers],[2024]],tabSuiviConso[Jour Mois Année],0)</f>
        <v>#N/A</v>
      </c>
      <c r="R133" s="102" t="str">
        <f>IF(ISNA(Tableau6[[#This Row],[Position 2024]]),"",INDEX(tabSuiviConso[HP + HC
cumul],Tableau6[[#This Row],[Position 2024]],1))</f>
        <v/>
      </c>
      <c r="S133" s="123" t="e">
        <f>IF(ISNA(Tableau6[[#This Row],[Position 2024]]),Tableau6[[#This Row],[Position 2024]],Tableau6[[#This Row],[2024]]-R$2)</f>
        <v>#N/A</v>
      </c>
      <c r="T133" s="102" t="e">
        <f>Tableau6[[#This Row],[Cumul 2024]]-Tableau6[[#This Row],[Cumul 2023]]</f>
        <v>#N/A</v>
      </c>
      <c r="U133" s="103" t="e">
        <f>Tableau6[[#This Row],[Ecart 2023 2024]]/Tableau6[[#This Row],[Cumul 2023]]</f>
        <v>#N/A</v>
      </c>
    </row>
    <row r="134" spans="1:21" x14ac:dyDescent="0.2">
      <c r="A134" s="102">
        <v>5</v>
      </c>
      <c r="B134" s="102">
        <v>11</v>
      </c>
      <c r="C134" s="102" t="str">
        <f>Tableau6[Jour]&amp;"/"&amp;Tableau6[Mois]</f>
        <v>11/5</v>
      </c>
      <c r="D134" s="102" t="e">
        <f>MATCH(Tableau6[Jours Mois]&amp;"/"&amp;Tableau6[[#Headers],[2021]],tabSuiviConso[Jour Mois Année],0)</f>
        <v>#N/A</v>
      </c>
      <c r="E134" s="102" t="str">
        <f>IF(ISNA(Tableau6[[#This Row],[Position 2021]]),"",INDEX(tabSuiviConso[HP + HC
cumul],Tableau6[[#This Row],[Position 2021]],1))</f>
        <v/>
      </c>
      <c r="F134" s="123" t="e">
        <f>IF(ISNA(Tableau6[[#This Row],[Position 2021]]),Tableau6[[#This Row],[Position 2021]],Tableau6[[#This Row],[2021]]-E$2)</f>
        <v>#N/A</v>
      </c>
      <c r="G134" s="102" t="e">
        <f>MATCH(Tableau6[Jours Mois]&amp;"/"&amp;Tableau6[[#Headers],[2022]],tabSuiviConso[Jour Mois Année],0)</f>
        <v>#N/A</v>
      </c>
      <c r="H134" s="102" t="str">
        <f>IF(ISNA(Tableau6[[#This Row],[Position 2022]]),"",INDEX(tabSuiviConso[HP + HC
cumul],Tableau6[[#This Row],[Position 2022]],1))</f>
        <v/>
      </c>
      <c r="I134" s="123" t="e">
        <f>IF(ISNA(Tableau6[[#This Row],[Position 2022]]),Tableau6[[#This Row],[Position 2022]],Tableau6[[#This Row],[2022]]-H$2)</f>
        <v>#N/A</v>
      </c>
      <c r="J134" s="102" t="e">
        <f>MATCH(Tableau6[Jours Mois]&amp;"/"&amp;Tableau6[[#Headers],[2023]],tabSuiviConso[Jour Mois Année],0)</f>
        <v>#N/A</v>
      </c>
      <c r="K134" s="102" t="e">
        <f>Tableau6[[#This Row],[Cumul 2022]]-Tableau6[[#This Row],[Cumul 2021]]</f>
        <v>#N/A</v>
      </c>
      <c r="L134" s="104" t="e">
        <f>Tableau6[[#This Row],[Ecart 2021 2022]]/Tableau6[[#This Row],[Cumul 2021]]</f>
        <v>#N/A</v>
      </c>
      <c r="M134" s="102" t="str">
        <f>IF(ISNA(Tableau6[[#This Row],[Position 2023]]),"",INDEX(tabSuiviConso[HP + HC
cumul],Tableau6[[#This Row],[Position 2023]],1))</f>
        <v/>
      </c>
      <c r="N134" s="123" t="e">
        <f>IF(ISNA(Tableau6[[#This Row],[Position 2023]]),Tableau6[[#This Row],[Position 2023]],Tableau6[[#This Row],[2023]]-M$2)</f>
        <v>#N/A</v>
      </c>
      <c r="O134" s="102" t="e">
        <f>Tableau6[[#This Row],[Cumul 2023]]-Tableau6[[#This Row],[Cumul 2022]]</f>
        <v>#N/A</v>
      </c>
      <c r="P134" s="104" t="e">
        <f>Tableau6[[#This Row],[Ecart 2022 2023]]/Tableau6[[#This Row],[Cumul 2022]]</f>
        <v>#N/A</v>
      </c>
      <c r="Q134" s="102" t="e">
        <f>MATCH(Tableau6[Jours Mois]&amp;"/"&amp;Tableau6[[#Headers],[2024]],tabSuiviConso[Jour Mois Année],0)</f>
        <v>#N/A</v>
      </c>
      <c r="R134" s="102" t="str">
        <f>IF(ISNA(Tableau6[[#This Row],[Position 2024]]),"",INDEX(tabSuiviConso[HP + HC
cumul],Tableau6[[#This Row],[Position 2024]],1))</f>
        <v/>
      </c>
      <c r="S134" s="123" t="e">
        <f>IF(ISNA(Tableau6[[#This Row],[Position 2024]]),Tableau6[[#This Row],[Position 2024]],Tableau6[[#This Row],[2024]]-R$2)</f>
        <v>#N/A</v>
      </c>
      <c r="T134" s="102" t="e">
        <f>Tableau6[[#This Row],[Cumul 2024]]-Tableau6[[#This Row],[Cumul 2023]]</f>
        <v>#N/A</v>
      </c>
      <c r="U134" s="103" t="e">
        <f>Tableau6[[#This Row],[Ecart 2023 2024]]/Tableau6[[#This Row],[Cumul 2023]]</f>
        <v>#N/A</v>
      </c>
    </row>
    <row r="135" spans="1:21" x14ac:dyDescent="0.2">
      <c r="A135" s="102">
        <v>5</v>
      </c>
      <c r="B135" s="102">
        <v>12</v>
      </c>
      <c r="C135" s="102" t="str">
        <f>Tableau6[Jour]&amp;"/"&amp;Tableau6[Mois]</f>
        <v>12/5</v>
      </c>
      <c r="D135" s="102" t="e">
        <f>MATCH(Tableau6[Jours Mois]&amp;"/"&amp;Tableau6[[#Headers],[2021]],tabSuiviConso[Jour Mois Année],0)</f>
        <v>#N/A</v>
      </c>
      <c r="E135" s="102" t="str">
        <f>IF(ISNA(Tableau6[[#This Row],[Position 2021]]),"",INDEX(tabSuiviConso[HP + HC
cumul],Tableau6[[#This Row],[Position 2021]],1))</f>
        <v/>
      </c>
      <c r="F135" s="123" t="e">
        <f>IF(ISNA(Tableau6[[#This Row],[Position 2021]]),Tableau6[[#This Row],[Position 2021]],Tableau6[[#This Row],[2021]]-E$2)</f>
        <v>#N/A</v>
      </c>
      <c r="G135" s="102" t="e">
        <f>MATCH(Tableau6[Jours Mois]&amp;"/"&amp;Tableau6[[#Headers],[2022]],tabSuiviConso[Jour Mois Année],0)</f>
        <v>#N/A</v>
      </c>
      <c r="H135" s="102" t="str">
        <f>IF(ISNA(Tableau6[[#This Row],[Position 2022]]),"",INDEX(tabSuiviConso[HP + HC
cumul],Tableau6[[#This Row],[Position 2022]],1))</f>
        <v/>
      </c>
      <c r="I135" s="123" t="e">
        <f>IF(ISNA(Tableau6[[#This Row],[Position 2022]]),Tableau6[[#This Row],[Position 2022]],Tableau6[[#This Row],[2022]]-H$2)</f>
        <v>#N/A</v>
      </c>
      <c r="J135" s="102" t="e">
        <f>MATCH(Tableau6[Jours Mois]&amp;"/"&amp;Tableau6[[#Headers],[2023]],tabSuiviConso[Jour Mois Année],0)</f>
        <v>#N/A</v>
      </c>
      <c r="K135" s="102" t="e">
        <f>Tableau6[[#This Row],[Cumul 2022]]-Tableau6[[#This Row],[Cumul 2021]]</f>
        <v>#N/A</v>
      </c>
      <c r="L135" s="104" t="e">
        <f>Tableau6[[#This Row],[Ecart 2021 2022]]/Tableau6[[#This Row],[Cumul 2021]]</f>
        <v>#N/A</v>
      </c>
      <c r="M135" s="102" t="str">
        <f>IF(ISNA(Tableau6[[#This Row],[Position 2023]]),"",INDEX(tabSuiviConso[HP + HC
cumul],Tableau6[[#This Row],[Position 2023]],1))</f>
        <v/>
      </c>
      <c r="N135" s="123" t="e">
        <f>IF(ISNA(Tableau6[[#This Row],[Position 2023]]),Tableau6[[#This Row],[Position 2023]],Tableau6[[#This Row],[2023]]-M$2)</f>
        <v>#N/A</v>
      </c>
      <c r="O135" s="102" t="e">
        <f>Tableau6[[#This Row],[Cumul 2023]]-Tableau6[[#This Row],[Cumul 2022]]</f>
        <v>#N/A</v>
      </c>
      <c r="P135" s="104" t="e">
        <f>Tableau6[[#This Row],[Ecart 2022 2023]]/Tableau6[[#This Row],[Cumul 2022]]</f>
        <v>#N/A</v>
      </c>
      <c r="Q135" s="102" t="e">
        <f>MATCH(Tableau6[Jours Mois]&amp;"/"&amp;Tableau6[[#Headers],[2024]],tabSuiviConso[Jour Mois Année],0)</f>
        <v>#N/A</v>
      </c>
      <c r="R135" s="102" t="str">
        <f>IF(ISNA(Tableau6[[#This Row],[Position 2024]]),"",INDEX(tabSuiviConso[HP + HC
cumul],Tableau6[[#This Row],[Position 2024]],1))</f>
        <v/>
      </c>
      <c r="S135" s="123" t="e">
        <f>IF(ISNA(Tableau6[[#This Row],[Position 2024]]),Tableau6[[#This Row],[Position 2024]],Tableau6[[#This Row],[2024]]-R$2)</f>
        <v>#N/A</v>
      </c>
      <c r="T135" s="102" t="e">
        <f>Tableau6[[#This Row],[Cumul 2024]]-Tableau6[[#This Row],[Cumul 2023]]</f>
        <v>#N/A</v>
      </c>
      <c r="U135" s="103" t="e">
        <f>Tableau6[[#This Row],[Ecart 2023 2024]]/Tableau6[[#This Row],[Cumul 2023]]</f>
        <v>#N/A</v>
      </c>
    </row>
    <row r="136" spans="1:21" x14ac:dyDescent="0.2">
      <c r="A136" s="102">
        <v>5</v>
      </c>
      <c r="B136" s="102">
        <v>13</v>
      </c>
      <c r="C136" s="102" t="str">
        <f>Tableau6[Jour]&amp;"/"&amp;Tableau6[Mois]</f>
        <v>13/5</v>
      </c>
      <c r="D136" s="102" t="e">
        <f>MATCH(Tableau6[Jours Mois]&amp;"/"&amp;Tableau6[[#Headers],[2021]],tabSuiviConso[Jour Mois Année],0)</f>
        <v>#N/A</v>
      </c>
      <c r="E136" s="102" t="str">
        <f>IF(ISNA(Tableau6[[#This Row],[Position 2021]]),"",INDEX(tabSuiviConso[HP + HC
cumul],Tableau6[[#This Row],[Position 2021]],1))</f>
        <v/>
      </c>
      <c r="F136" s="123" t="e">
        <f>IF(ISNA(Tableau6[[#This Row],[Position 2021]]),Tableau6[[#This Row],[Position 2021]],Tableau6[[#This Row],[2021]]-E$2)</f>
        <v>#N/A</v>
      </c>
      <c r="G136" s="102" t="e">
        <f>MATCH(Tableau6[Jours Mois]&amp;"/"&amp;Tableau6[[#Headers],[2022]],tabSuiviConso[Jour Mois Année],0)</f>
        <v>#N/A</v>
      </c>
      <c r="H136" s="102" t="str">
        <f>IF(ISNA(Tableau6[[#This Row],[Position 2022]]),"",INDEX(tabSuiviConso[HP + HC
cumul],Tableau6[[#This Row],[Position 2022]],1))</f>
        <v/>
      </c>
      <c r="I136" s="123" t="e">
        <f>IF(ISNA(Tableau6[[#This Row],[Position 2022]]),Tableau6[[#This Row],[Position 2022]],Tableau6[[#This Row],[2022]]-H$2)</f>
        <v>#N/A</v>
      </c>
      <c r="J136" s="102" t="e">
        <f>MATCH(Tableau6[Jours Mois]&amp;"/"&amp;Tableau6[[#Headers],[2023]],tabSuiviConso[Jour Mois Année],0)</f>
        <v>#N/A</v>
      </c>
      <c r="K136" s="102" t="e">
        <f>Tableau6[[#This Row],[Cumul 2022]]-Tableau6[[#This Row],[Cumul 2021]]</f>
        <v>#N/A</v>
      </c>
      <c r="L136" s="104" t="e">
        <f>Tableau6[[#This Row],[Ecart 2021 2022]]/Tableau6[[#This Row],[Cumul 2021]]</f>
        <v>#N/A</v>
      </c>
      <c r="M136" s="102" t="str">
        <f>IF(ISNA(Tableau6[[#This Row],[Position 2023]]),"",INDEX(tabSuiviConso[HP + HC
cumul],Tableau6[[#This Row],[Position 2023]],1))</f>
        <v/>
      </c>
      <c r="N136" s="123" t="e">
        <f>IF(ISNA(Tableau6[[#This Row],[Position 2023]]),Tableau6[[#This Row],[Position 2023]],Tableau6[[#This Row],[2023]]-M$2)</f>
        <v>#N/A</v>
      </c>
      <c r="O136" s="102" t="e">
        <f>Tableau6[[#This Row],[Cumul 2023]]-Tableau6[[#This Row],[Cumul 2022]]</f>
        <v>#N/A</v>
      </c>
      <c r="P136" s="104" t="e">
        <f>Tableau6[[#This Row],[Ecart 2022 2023]]/Tableau6[[#This Row],[Cumul 2022]]</f>
        <v>#N/A</v>
      </c>
      <c r="Q136" s="102" t="e">
        <f>MATCH(Tableau6[Jours Mois]&amp;"/"&amp;Tableau6[[#Headers],[2024]],tabSuiviConso[Jour Mois Année],0)</f>
        <v>#N/A</v>
      </c>
      <c r="R136" s="102" t="str">
        <f>IF(ISNA(Tableau6[[#This Row],[Position 2024]]),"",INDEX(tabSuiviConso[HP + HC
cumul],Tableau6[[#This Row],[Position 2024]],1))</f>
        <v/>
      </c>
      <c r="S136" s="123" t="e">
        <f>IF(ISNA(Tableau6[[#This Row],[Position 2024]]),Tableau6[[#This Row],[Position 2024]],Tableau6[[#This Row],[2024]]-R$2)</f>
        <v>#N/A</v>
      </c>
      <c r="T136" s="102" t="e">
        <f>Tableau6[[#This Row],[Cumul 2024]]-Tableau6[[#This Row],[Cumul 2023]]</f>
        <v>#N/A</v>
      </c>
      <c r="U136" s="103" t="e">
        <f>Tableau6[[#This Row],[Ecart 2023 2024]]/Tableau6[[#This Row],[Cumul 2023]]</f>
        <v>#N/A</v>
      </c>
    </row>
    <row r="137" spans="1:21" x14ac:dyDescent="0.2">
      <c r="A137" s="102">
        <v>5</v>
      </c>
      <c r="B137" s="102">
        <v>14</v>
      </c>
      <c r="C137" s="102" t="str">
        <f>Tableau6[Jour]&amp;"/"&amp;Tableau6[Mois]</f>
        <v>14/5</v>
      </c>
      <c r="D137" s="102" t="e">
        <f>MATCH(Tableau6[Jours Mois]&amp;"/"&amp;Tableau6[[#Headers],[2021]],tabSuiviConso[Jour Mois Année],0)</f>
        <v>#N/A</v>
      </c>
      <c r="E137" s="102" t="str">
        <f>IF(ISNA(Tableau6[[#This Row],[Position 2021]]),"",INDEX(tabSuiviConso[HP + HC
cumul],Tableau6[[#This Row],[Position 2021]],1))</f>
        <v/>
      </c>
      <c r="F137" s="123" t="e">
        <f>IF(ISNA(Tableau6[[#This Row],[Position 2021]]),Tableau6[[#This Row],[Position 2021]],Tableau6[[#This Row],[2021]]-E$2)</f>
        <v>#N/A</v>
      </c>
      <c r="G137" s="102" t="e">
        <f>MATCH(Tableau6[Jours Mois]&amp;"/"&amp;Tableau6[[#Headers],[2022]],tabSuiviConso[Jour Mois Année],0)</f>
        <v>#N/A</v>
      </c>
      <c r="H137" s="102" t="str">
        <f>IF(ISNA(Tableau6[[#This Row],[Position 2022]]),"",INDEX(tabSuiviConso[HP + HC
cumul],Tableau6[[#This Row],[Position 2022]],1))</f>
        <v/>
      </c>
      <c r="I137" s="123" t="e">
        <f>IF(ISNA(Tableau6[[#This Row],[Position 2022]]),Tableau6[[#This Row],[Position 2022]],Tableau6[[#This Row],[2022]]-H$2)</f>
        <v>#N/A</v>
      </c>
      <c r="J137" s="102" t="e">
        <f>MATCH(Tableau6[Jours Mois]&amp;"/"&amp;Tableau6[[#Headers],[2023]],tabSuiviConso[Jour Mois Année],0)</f>
        <v>#N/A</v>
      </c>
      <c r="K137" s="102" t="e">
        <f>Tableau6[[#This Row],[Cumul 2022]]-Tableau6[[#This Row],[Cumul 2021]]</f>
        <v>#N/A</v>
      </c>
      <c r="L137" s="104" t="e">
        <f>Tableau6[[#This Row],[Ecart 2021 2022]]/Tableau6[[#This Row],[Cumul 2021]]</f>
        <v>#N/A</v>
      </c>
      <c r="M137" s="102" t="str">
        <f>IF(ISNA(Tableau6[[#This Row],[Position 2023]]),"",INDEX(tabSuiviConso[HP + HC
cumul],Tableau6[[#This Row],[Position 2023]],1))</f>
        <v/>
      </c>
      <c r="N137" s="123" t="e">
        <f>IF(ISNA(Tableau6[[#This Row],[Position 2023]]),Tableau6[[#This Row],[Position 2023]],Tableau6[[#This Row],[2023]]-M$2)</f>
        <v>#N/A</v>
      </c>
      <c r="O137" s="102" t="e">
        <f>Tableau6[[#This Row],[Cumul 2023]]-Tableau6[[#This Row],[Cumul 2022]]</f>
        <v>#N/A</v>
      </c>
      <c r="P137" s="104" t="e">
        <f>Tableau6[[#This Row],[Ecart 2022 2023]]/Tableau6[[#This Row],[Cumul 2022]]</f>
        <v>#N/A</v>
      </c>
      <c r="Q137" s="102" t="e">
        <f>MATCH(Tableau6[Jours Mois]&amp;"/"&amp;Tableau6[[#Headers],[2024]],tabSuiviConso[Jour Mois Année],0)</f>
        <v>#N/A</v>
      </c>
      <c r="R137" s="102" t="str">
        <f>IF(ISNA(Tableau6[[#This Row],[Position 2024]]),"",INDEX(tabSuiviConso[HP + HC
cumul],Tableau6[[#This Row],[Position 2024]],1))</f>
        <v/>
      </c>
      <c r="S137" s="123" t="e">
        <f>IF(ISNA(Tableau6[[#This Row],[Position 2024]]),Tableau6[[#This Row],[Position 2024]],Tableau6[[#This Row],[2024]]-R$2)</f>
        <v>#N/A</v>
      </c>
      <c r="T137" s="102" t="e">
        <f>Tableau6[[#This Row],[Cumul 2024]]-Tableau6[[#This Row],[Cumul 2023]]</f>
        <v>#N/A</v>
      </c>
      <c r="U137" s="103" t="e">
        <f>Tableau6[[#This Row],[Ecart 2023 2024]]/Tableau6[[#This Row],[Cumul 2023]]</f>
        <v>#N/A</v>
      </c>
    </row>
    <row r="138" spans="1:21" x14ac:dyDescent="0.2">
      <c r="A138" s="102">
        <v>5</v>
      </c>
      <c r="B138" s="102">
        <v>15</v>
      </c>
      <c r="C138" s="102" t="str">
        <f>Tableau6[Jour]&amp;"/"&amp;Tableau6[Mois]</f>
        <v>15/5</v>
      </c>
      <c r="D138" s="102" t="e">
        <f>MATCH(Tableau6[Jours Mois]&amp;"/"&amp;Tableau6[[#Headers],[2021]],tabSuiviConso[Jour Mois Année],0)</f>
        <v>#N/A</v>
      </c>
      <c r="E138" s="102" t="str">
        <f>IF(ISNA(Tableau6[[#This Row],[Position 2021]]),"",INDEX(tabSuiviConso[HP + HC
cumul],Tableau6[[#This Row],[Position 2021]],1))</f>
        <v/>
      </c>
      <c r="F138" s="123" t="e">
        <f>IF(ISNA(Tableau6[[#This Row],[Position 2021]]),Tableau6[[#This Row],[Position 2021]],Tableau6[[#This Row],[2021]]-E$2)</f>
        <v>#N/A</v>
      </c>
      <c r="G138" s="102" t="e">
        <f>MATCH(Tableau6[Jours Mois]&amp;"/"&amp;Tableau6[[#Headers],[2022]],tabSuiviConso[Jour Mois Année],0)</f>
        <v>#N/A</v>
      </c>
      <c r="H138" s="102" t="str">
        <f>IF(ISNA(Tableau6[[#This Row],[Position 2022]]),"",INDEX(tabSuiviConso[HP + HC
cumul],Tableau6[[#This Row],[Position 2022]],1))</f>
        <v/>
      </c>
      <c r="I138" s="123" t="e">
        <f>IF(ISNA(Tableau6[[#This Row],[Position 2022]]),Tableau6[[#This Row],[Position 2022]],Tableau6[[#This Row],[2022]]-H$2)</f>
        <v>#N/A</v>
      </c>
      <c r="J138" s="102" t="e">
        <f>MATCH(Tableau6[Jours Mois]&amp;"/"&amp;Tableau6[[#Headers],[2023]],tabSuiviConso[Jour Mois Année],0)</f>
        <v>#N/A</v>
      </c>
      <c r="K138" s="102" t="e">
        <f>Tableau6[[#This Row],[Cumul 2022]]-Tableau6[[#This Row],[Cumul 2021]]</f>
        <v>#N/A</v>
      </c>
      <c r="L138" s="104" t="e">
        <f>Tableau6[[#This Row],[Ecart 2021 2022]]/Tableau6[[#This Row],[Cumul 2021]]</f>
        <v>#N/A</v>
      </c>
      <c r="M138" s="102" t="str">
        <f>IF(ISNA(Tableau6[[#This Row],[Position 2023]]),"",INDEX(tabSuiviConso[HP + HC
cumul],Tableau6[[#This Row],[Position 2023]],1))</f>
        <v/>
      </c>
      <c r="N138" s="123" t="e">
        <f>IF(ISNA(Tableau6[[#This Row],[Position 2023]]),Tableau6[[#This Row],[Position 2023]],Tableau6[[#This Row],[2023]]-M$2)</f>
        <v>#N/A</v>
      </c>
      <c r="O138" s="102" t="e">
        <f>Tableau6[[#This Row],[Cumul 2023]]-Tableau6[[#This Row],[Cumul 2022]]</f>
        <v>#N/A</v>
      </c>
      <c r="P138" s="104" t="e">
        <f>Tableau6[[#This Row],[Ecart 2022 2023]]/Tableau6[[#This Row],[Cumul 2022]]</f>
        <v>#N/A</v>
      </c>
      <c r="Q138" s="102" t="e">
        <f>MATCH(Tableau6[Jours Mois]&amp;"/"&amp;Tableau6[[#Headers],[2024]],tabSuiviConso[Jour Mois Année],0)</f>
        <v>#N/A</v>
      </c>
      <c r="R138" s="102" t="str">
        <f>IF(ISNA(Tableau6[[#This Row],[Position 2024]]),"",INDEX(tabSuiviConso[HP + HC
cumul],Tableau6[[#This Row],[Position 2024]],1))</f>
        <v/>
      </c>
      <c r="S138" s="123" t="e">
        <f>IF(ISNA(Tableau6[[#This Row],[Position 2024]]),Tableau6[[#This Row],[Position 2024]],Tableau6[[#This Row],[2024]]-R$2)</f>
        <v>#N/A</v>
      </c>
      <c r="T138" s="102" t="e">
        <f>Tableau6[[#This Row],[Cumul 2024]]-Tableau6[[#This Row],[Cumul 2023]]</f>
        <v>#N/A</v>
      </c>
      <c r="U138" s="103" t="e">
        <f>Tableau6[[#This Row],[Ecart 2023 2024]]/Tableau6[[#This Row],[Cumul 2023]]</f>
        <v>#N/A</v>
      </c>
    </row>
    <row r="139" spans="1:21" x14ac:dyDescent="0.2">
      <c r="A139" s="102">
        <v>5</v>
      </c>
      <c r="B139" s="102">
        <v>16</v>
      </c>
      <c r="C139" s="102" t="str">
        <f>Tableau6[Jour]&amp;"/"&amp;Tableau6[Mois]</f>
        <v>16/5</v>
      </c>
      <c r="D139" s="102" t="e">
        <f>MATCH(Tableau6[Jours Mois]&amp;"/"&amp;Tableau6[[#Headers],[2021]],tabSuiviConso[Jour Mois Année],0)</f>
        <v>#N/A</v>
      </c>
      <c r="E139" s="102" t="str">
        <f>IF(ISNA(Tableau6[[#This Row],[Position 2021]]),"",INDEX(tabSuiviConso[HP + HC
cumul],Tableau6[[#This Row],[Position 2021]],1))</f>
        <v/>
      </c>
      <c r="F139" s="123" t="e">
        <f>IF(ISNA(Tableau6[[#This Row],[Position 2021]]),Tableau6[[#This Row],[Position 2021]],Tableau6[[#This Row],[2021]]-E$2)</f>
        <v>#N/A</v>
      </c>
      <c r="G139" s="102" t="e">
        <f>MATCH(Tableau6[Jours Mois]&amp;"/"&amp;Tableau6[[#Headers],[2022]],tabSuiviConso[Jour Mois Année],0)</f>
        <v>#N/A</v>
      </c>
      <c r="H139" s="102" t="str">
        <f>IF(ISNA(Tableau6[[#This Row],[Position 2022]]),"",INDEX(tabSuiviConso[HP + HC
cumul],Tableau6[[#This Row],[Position 2022]],1))</f>
        <v/>
      </c>
      <c r="I139" s="123" t="e">
        <f>IF(ISNA(Tableau6[[#This Row],[Position 2022]]),Tableau6[[#This Row],[Position 2022]],Tableau6[[#This Row],[2022]]-H$2)</f>
        <v>#N/A</v>
      </c>
      <c r="J139" s="102" t="e">
        <f>MATCH(Tableau6[Jours Mois]&amp;"/"&amp;Tableau6[[#Headers],[2023]],tabSuiviConso[Jour Mois Année],0)</f>
        <v>#N/A</v>
      </c>
      <c r="K139" s="102" t="e">
        <f>Tableau6[[#This Row],[Cumul 2022]]-Tableau6[[#This Row],[Cumul 2021]]</f>
        <v>#N/A</v>
      </c>
      <c r="L139" s="104" t="e">
        <f>Tableau6[[#This Row],[Ecart 2021 2022]]/Tableau6[[#This Row],[Cumul 2021]]</f>
        <v>#N/A</v>
      </c>
      <c r="M139" s="102" t="str">
        <f>IF(ISNA(Tableau6[[#This Row],[Position 2023]]),"",INDEX(tabSuiviConso[HP + HC
cumul],Tableau6[[#This Row],[Position 2023]],1))</f>
        <v/>
      </c>
      <c r="N139" s="123" t="e">
        <f>IF(ISNA(Tableau6[[#This Row],[Position 2023]]),Tableau6[[#This Row],[Position 2023]],Tableau6[[#This Row],[2023]]-M$2)</f>
        <v>#N/A</v>
      </c>
      <c r="O139" s="102" t="e">
        <f>Tableau6[[#This Row],[Cumul 2023]]-Tableau6[[#This Row],[Cumul 2022]]</f>
        <v>#N/A</v>
      </c>
      <c r="P139" s="104" t="e">
        <f>Tableau6[[#This Row],[Ecart 2022 2023]]/Tableau6[[#This Row],[Cumul 2022]]</f>
        <v>#N/A</v>
      </c>
      <c r="Q139" s="102" t="e">
        <f>MATCH(Tableau6[Jours Mois]&amp;"/"&amp;Tableau6[[#Headers],[2024]],tabSuiviConso[Jour Mois Année],0)</f>
        <v>#N/A</v>
      </c>
      <c r="R139" s="102" t="str">
        <f>IF(ISNA(Tableau6[[#This Row],[Position 2024]]),"",INDEX(tabSuiviConso[HP + HC
cumul],Tableau6[[#This Row],[Position 2024]],1))</f>
        <v/>
      </c>
      <c r="S139" s="123" t="e">
        <f>IF(ISNA(Tableau6[[#This Row],[Position 2024]]),Tableau6[[#This Row],[Position 2024]],Tableau6[[#This Row],[2024]]-R$2)</f>
        <v>#N/A</v>
      </c>
      <c r="T139" s="102" t="e">
        <f>Tableau6[[#This Row],[Cumul 2024]]-Tableau6[[#This Row],[Cumul 2023]]</f>
        <v>#N/A</v>
      </c>
      <c r="U139" s="103" t="e">
        <f>Tableau6[[#This Row],[Ecart 2023 2024]]/Tableau6[[#This Row],[Cumul 2023]]</f>
        <v>#N/A</v>
      </c>
    </row>
    <row r="140" spans="1:21" x14ac:dyDescent="0.2">
      <c r="A140" s="102">
        <v>5</v>
      </c>
      <c r="B140" s="102">
        <v>17</v>
      </c>
      <c r="C140" s="102" t="str">
        <f>Tableau6[Jour]&amp;"/"&amp;Tableau6[Mois]</f>
        <v>17/5</v>
      </c>
      <c r="D140" s="102" t="e">
        <f>MATCH(Tableau6[Jours Mois]&amp;"/"&amp;Tableau6[[#Headers],[2021]],tabSuiviConso[Jour Mois Année],0)</f>
        <v>#N/A</v>
      </c>
      <c r="E140" s="102" t="str">
        <f>IF(ISNA(Tableau6[[#This Row],[Position 2021]]),"",INDEX(tabSuiviConso[HP + HC
cumul],Tableau6[[#This Row],[Position 2021]],1))</f>
        <v/>
      </c>
      <c r="F140" s="123" t="e">
        <f>IF(ISNA(Tableau6[[#This Row],[Position 2021]]),Tableau6[[#This Row],[Position 2021]],Tableau6[[#This Row],[2021]]-E$2)</f>
        <v>#N/A</v>
      </c>
      <c r="G140" s="102" t="e">
        <f>MATCH(Tableau6[Jours Mois]&amp;"/"&amp;Tableau6[[#Headers],[2022]],tabSuiviConso[Jour Mois Année],0)</f>
        <v>#N/A</v>
      </c>
      <c r="H140" s="102" t="str">
        <f>IF(ISNA(Tableau6[[#This Row],[Position 2022]]),"",INDEX(tabSuiviConso[HP + HC
cumul],Tableau6[[#This Row],[Position 2022]],1))</f>
        <v/>
      </c>
      <c r="I140" s="123" t="e">
        <f>IF(ISNA(Tableau6[[#This Row],[Position 2022]]),Tableau6[[#This Row],[Position 2022]],Tableau6[[#This Row],[2022]]-H$2)</f>
        <v>#N/A</v>
      </c>
      <c r="J140" s="102" t="e">
        <f>MATCH(Tableau6[Jours Mois]&amp;"/"&amp;Tableau6[[#Headers],[2023]],tabSuiviConso[Jour Mois Année],0)</f>
        <v>#N/A</v>
      </c>
      <c r="K140" s="102" t="e">
        <f>Tableau6[[#This Row],[Cumul 2022]]-Tableau6[[#This Row],[Cumul 2021]]</f>
        <v>#N/A</v>
      </c>
      <c r="L140" s="104" t="e">
        <f>Tableau6[[#This Row],[Ecart 2021 2022]]/Tableau6[[#This Row],[Cumul 2021]]</f>
        <v>#N/A</v>
      </c>
      <c r="M140" s="102" t="str">
        <f>IF(ISNA(Tableau6[[#This Row],[Position 2023]]),"",INDEX(tabSuiviConso[HP + HC
cumul],Tableau6[[#This Row],[Position 2023]],1))</f>
        <v/>
      </c>
      <c r="N140" s="123" t="e">
        <f>IF(ISNA(Tableau6[[#This Row],[Position 2023]]),Tableau6[[#This Row],[Position 2023]],Tableau6[[#This Row],[2023]]-M$2)</f>
        <v>#N/A</v>
      </c>
      <c r="O140" s="102" t="e">
        <f>Tableau6[[#This Row],[Cumul 2023]]-Tableau6[[#This Row],[Cumul 2022]]</f>
        <v>#N/A</v>
      </c>
      <c r="P140" s="104" t="e">
        <f>Tableau6[[#This Row],[Ecart 2022 2023]]/Tableau6[[#This Row],[Cumul 2022]]</f>
        <v>#N/A</v>
      </c>
      <c r="Q140" s="102" t="e">
        <f>MATCH(Tableau6[Jours Mois]&amp;"/"&amp;Tableau6[[#Headers],[2024]],tabSuiviConso[Jour Mois Année],0)</f>
        <v>#N/A</v>
      </c>
      <c r="R140" s="102" t="str">
        <f>IF(ISNA(Tableau6[[#This Row],[Position 2024]]),"",INDEX(tabSuiviConso[HP + HC
cumul],Tableau6[[#This Row],[Position 2024]],1))</f>
        <v/>
      </c>
      <c r="S140" s="123" t="e">
        <f>IF(ISNA(Tableau6[[#This Row],[Position 2024]]),Tableau6[[#This Row],[Position 2024]],Tableau6[[#This Row],[2024]]-R$2)</f>
        <v>#N/A</v>
      </c>
      <c r="T140" s="102" t="e">
        <f>Tableau6[[#This Row],[Cumul 2024]]-Tableau6[[#This Row],[Cumul 2023]]</f>
        <v>#N/A</v>
      </c>
      <c r="U140" s="103" t="e">
        <f>Tableau6[[#This Row],[Ecart 2023 2024]]/Tableau6[[#This Row],[Cumul 2023]]</f>
        <v>#N/A</v>
      </c>
    </row>
    <row r="141" spans="1:21" x14ac:dyDescent="0.2">
      <c r="A141" s="102">
        <v>5</v>
      </c>
      <c r="B141" s="102">
        <v>18</v>
      </c>
      <c r="C141" s="102" t="str">
        <f>Tableau6[Jour]&amp;"/"&amp;Tableau6[Mois]</f>
        <v>18/5</v>
      </c>
      <c r="D141" s="102" t="e">
        <f>MATCH(Tableau6[Jours Mois]&amp;"/"&amp;Tableau6[[#Headers],[2021]],tabSuiviConso[Jour Mois Année],0)</f>
        <v>#N/A</v>
      </c>
      <c r="E141" s="102" t="str">
        <f>IF(ISNA(Tableau6[[#This Row],[Position 2021]]),"",INDEX(tabSuiviConso[HP + HC
cumul],Tableau6[[#This Row],[Position 2021]],1))</f>
        <v/>
      </c>
      <c r="F141" s="123" t="e">
        <f>IF(ISNA(Tableau6[[#This Row],[Position 2021]]),Tableau6[[#This Row],[Position 2021]],Tableau6[[#This Row],[2021]]-E$2)</f>
        <v>#N/A</v>
      </c>
      <c r="G141" s="102" t="e">
        <f>MATCH(Tableau6[Jours Mois]&amp;"/"&amp;Tableau6[[#Headers],[2022]],tabSuiviConso[Jour Mois Année],0)</f>
        <v>#N/A</v>
      </c>
      <c r="H141" s="102" t="str">
        <f>IF(ISNA(Tableau6[[#This Row],[Position 2022]]),"",INDEX(tabSuiviConso[HP + HC
cumul],Tableau6[[#This Row],[Position 2022]],1))</f>
        <v/>
      </c>
      <c r="I141" s="123" t="e">
        <f>IF(ISNA(Tableau6[[#This Row],[Position 2022]]),Tableau6[[#This Row],[Position 2022]],Tableau6[[#This Row],[2022]]-H$2)</f>
        <v>#N/A</v>
      </c>
      <c r="J141" s="102" t="e">
        <f>MATCH(Tableau6[Jours Mois]&amp;"/"&amp;Tableau6[[#Headers],[2023]],tabSuiviConso[Jour Mois Année],0)</f>
        <v>#N/A</v>
      </c>
      <c r="K141" s="102" t="e">
        <f>Tableau6[[#This Row],[Cumul 2022]]-Tableau6[[#This Row],[Cumul 2021]]</f>
        <v>#N/A</v>
      </c>
      <c r="L141" s="104" t="e">
        <f>Tableau6[[#This Row],[Ecart 2021 2022]]/Tableau6[[#This Row],[Cumul 2021]]</f>
        <v>#N/A</v>
      </c>
      <c r="M141" s="102" t="str">
        <f>IF(ISNA(Tableau6[[#This Row],[Position 2023]]),"",INDEX(tabSuiviConso[HP + HC
cumul],Tableau6[[#This Row],[Position 2023]],1))</f>
        <v/>
      </c>
      <c r="N141" s="123" t="e">
        <f>IF(ISNA(Tableau6[[#This Row],[Position 2023]]),Tableau6[[#This Row],[Position 2023]],Tableau6[[#This Row],[2023]]-M$2)</f>
        <v>#N/A</v>
      </c>
      <c r="O141" s="102" t="e">
        <f>Tableau6[[#This Row],[Cumul 2023]]-Tableau6[[#This Row],[Cumul 2022]]</f>
        <v>#N/A</v>
      </c>
      <c r="P141" s="104" t="e">
        <f>Tableau6[[#This Row],[Ecart 2022 2023]]/Tableau6[[#This Row],[Cumul 2022]]</f>
        <v>#N/A</v>
      </c>
      <c r="Q141" s="102" t="e">
        <f>MATCH(Tableau6[Jours Mois]&amp;"/"&amp;Tableau6[[#Headers],[2024]],tabSuiviConso[Jour Mois Année],0)</f>
        <v>#N/A</v>
      </c>
      <c r="R141" s="102" t="str">
        <f>IF(ISNA(Tableau6[[#This Row],[Position 2024]]),"",INDEX(tabSuiviConso[HP + HC
cumul],Tableau6[[#This Row],[Position 2024]],1))</f>
        <v/>
      </c>
      <c r="S141" s="123" t="e">
        <f>IF(ISNA(Tableau6[[#This Row],[Position 2024]]),Tableau6[[#This Row],[Position 2024]],Tableau6[[#This Row],[2024]]-R$2)</f>
        <v>#N/A</v>
      </c>
      <c r="T141" s="102" t="e">
        <f>Tableau6[[#This Row],[Cumul 2024]]-Tableau6[[#This Row],[Cumul 2023]]</f>
        <v>#N/A</v>
      </c>
      <c r="U141" s="103" t="e">
        <f>Tableau6[[#This Row],[Ecart 2023 2024]]/Tableau6[[#This Row],[Cumul 2023]]</f>
        <v>#N/A</v>
      </c>
    </row>
    <row r="142" spans="1:21" x14ac:dyDescent="0.2">
      <c r="A142" s="102">
        <v>5</v>
      </c>
      <c r="B142" s="102">
        <v>19</v>
      </c>
      <c r="C142" s="102" t="str">
        <f>Tableau6[Jour]&amp;"/"&amp;Tableau6[Mois]</f>
        <v>19/5</v>
      </c>
      <c r="D142" s="102" t="e">
        <f>MATCH(Tableau6[Jours Mois]&amp;"/"&amp;Tableau6[[#Headers],[2021]],tabSuiviConso[Jour Mois Année],0)</f>
        <v>#N/A</v>
      </c>
      <c r="E142" s="102" t="str">
        <f>IF(ISNA(Tableau6[[#This Row],[Position 2021]]),"",INDEX(tabSuiviConso[HP + HC
cumul],Tableau6[[#This Row],[Position 2021]],1))</f>
        <v/>
      </c>
      <c r="F142" s="123" t="e">
        <f>IF(ISNA(Tableau6[[#This Row],[Position 2021]]),Tableau6[[#This Row],[Position 2021]],Tableau6[[#This Row],[2021]]-E$2)</f>
        <v>#N/A</v>
      </c>
      <c r="G142" s="102" t="e">
        <f>MATCH(Tableau6[Jours Mois]&amp;"/"&amp;Tableau6[[#Headers],[2022]],tabSuiviConso[Jour Mois Année],0)</f>
        <v>#N/A</v>
      </c>
      <c r="H142" s="102" t="str">
        <f>IF(ISNA(Tableau6[[#This Row],[Position 2022]]),"",INDEX(tabSuiviConso[HP + HC
cumul],Tableau6[[#This Row],[Position 2022]],1))</f>
        <v/>
      </c>
      <c r="I142" s="123" t="e">
        <f>IF(ISNA(Tableau6[[#This Row],[Position 2022]]),Tableau6[[#This Row],[Position 2022]],Tableau6[[#This Row],[2022]]-H$2)</f>
        <v>#N/A</v>
      </c>
      <c r="J142" s="102" t="e">
        <f>MATCH(Tableau6[Jours Mois]&amp;"/"&amp;Tableau6[[#Headers],[2023]],tabSuiviConso[Jour Mois Année],0)</f>
        <v>#N/A</v>
      </c>
      <c r="K142" s="102" t="e">
        <f>Tableau6[[#This Row],[Cumul 2022]]-Tableau6[[#This Row],[Cumul 2021]]</f>
        <v>#N/A</v>
      </c>
      <c r="L142" s="104" t="e">
        <f>Tableau6[[#This Row],[Ecart 2021 2022]]/Tableau6[[#This Row],[Cumul 2021]]</f>
        <v>#N/A</v>
      </c>
      <c r="M142" s="102" t="str">
        <f>IF(ISNA(Tableau6[[#This Row],[Position 2023]]),"",INDEX(tabSuiviConso[HP + HC
cumul],Tableau6[[#This Row],[Position 2023]],1))</f>
        <v/>
      </c>
      <c r="N142" s="123" t="e">
        <f>IF(ISNA(Tableau6[[#This Row],[Position 2023]]),Tableau6[[#This Row],[Position 2023]],Tableau6[[#This Row],[2023]]-M$2)</f>
        <v>#N/A</v>
      </c>
      <c r="O142" s="102" t="e">
        <f>Tableau6[[#This Row],[Cumul 2023]]-Tableau6[[#This Row],[Cumul 2022]]</f>
        <v>#N/A</v>
      </c>
      <c r="P142" s="104" t="e">
        <f>Tableau6[[#This Row],[Ecart 2022 2023]]/Tableau6[[#This Row],[Cumul 2022]]</f>
        <v>#N/A</v>
      </c>
      <c r="Q142" s="102" t="e">
        <f>MATCH(Tableau6[Jours Mois]&amp;"/"&amp;Tableau6[[#Headers],[2024]],tabSuiviConso[Jour Mois Année],0)</f>
        <v>#N/A</v>
      </c>
      <c r="R142" s="102" t="str">
        <f>IF(ISNA(Tableau6[[#This Row],[Position 2024]]),"",INDEX(tabSuiviConso[HP + HC
cumul],Tableau6[[#This Row],[Position 2024]],1))</f>
        <v/>
      </c>
      <c r="S142" s="123" t="e">
        <f>IF(ISNA(Tableau6[[#This Row],[Position 2024]]),Tableau6[[#This Row],[Position 2024]],Tableau6[[#This Row],[2024]]-R$2)</f>
        <v>#N/A</v>
      </c>
      <c r="T142" s="102" t="e">
        <f>Tableau6[[#This Row],[Cumul 2024]]-Tableau6[[#This Row],[Cumul 2023]]</f>
        <v>#N/A</v>
      </c>
      <c r="U142" s="103" t="e">
        <f>Tableau6[[#This Row],[Ecart 2023 2024]]/Tableau6[[#This Row],[Cumul 2023]]</f>
        <v>#N/A</v>
      </c>
    </row>
    <row r="143" spans="1:21" x14ac:dyDescent="0.2">
      <c r="A143" s="102">
        <v>5</v>
      </c>
      <c r="B143" s="102">
        <v>20</v>
      </c>
      <c r="C143" s="102" t="str">
        <f>Tableau6[Jour]&amp;"/"&amp;Tableau6[Mois]</f>
        <v>20/5</v>
      </c>
      <c r="D143" s="102" t="e">
        <f>MATCH(Tableau6[Jours Mois]&amp;"/"&amp;Tableau6[[#Headers],[2021]],tabSuiviConso[Jour Mois Année],0)</f>
        <v>#N/A</v>
      </c>
      <c r="E143" s="102" t="str">
        <f>IF(ISNA(Tableau6[[#This Row],[Position 2021]]),"",INDEX(tabSuiviConso[HP + HC
cumul],Tableau6[[#This Row],[Position 2021]],1))</f>
        <v/>
      </c>
      <c r="F143" s="123" t="e">
        <f>IF(ISNA(Tableau6[[#This Row],[Position 2021]]),Tableau6[[#This Row],[Position 2021]],Tableau6[[#This Row],[2021]]-E$2)</f>
        <v>#N/A</v>
      </c>
      <c r="G143" s="102" t="e">
        <f>MATCH(Tableau6[Jours Mois]&amp;"/"&amp;Tableau6[[#Headers],[2022]],tabSuiviConso[Jour Mois Année],0)</f>
        <v>#N/A</v>
      </c>
      <c r="H143" s="102" t="str">
        <f>IF(ISNA(Tableau6[[#This Row],[Position 2022]]),"",INDEX(tabSuiviConso[HP + HC
cumul],Tableau6[[#This Row],[Position 2022]],1))</f>
        <v/>
      </c>
      <c r="I143" s="123" t="e">
        <f>IF(ISNA(Tableau6[[#This Row],[Position 2022]]),Tableau6[[#This Row],[Position 2022]],Tableau6[[#This Row],[2022]]-H$2)</f>
        <v>#N/A</v>
      </c>
      <c r="J143" s="102" t="e">
        <f>MATCH(Tableau6[Jours Mois]&amp;"/"&amp;Tableau6[[#Headers],[2023]],tabSuiviConso[Jour Mois Année],0)</f>
        <v>#N/A</v>
      </c>
      <c r="K143" s="102" t="e">
        <f>Tableau6[[#This Row],[Cumul 2022]]-Tableau6[[#This Row],[Cumul 2021]]</f>
        <v>#N/A</v>
      </c>
      <c r="L143" s="104" t="e">
        <f>Tableau6[[#This Row],[Ecart 2021 2022]]/Tableau6[[#This Row],[Cumul 2021]]</f>
        <v>#N/A</v>
      </c>
      <c r="M143" s="102" t="str">
        <f>IF(ISNA(Tableau6[[#This Row],[Position 2023]]),"",INDEX(tabSuiviConso[HP + HC
cumul],Tableau6[[#This Row],[Position 2023]],1))</f>
        <v/>
      </c>
      <c r="N143" s="123" t="e">
        <f>IF(ISNA(Tableau6[[#This Row],[Position 2023]]),Tableau6[[#This Row],[Position 2023]],Tableau6[[#This Row],[2023]]-M$2)</f>
        <v>#N/A</v>
      </c>
      <c r="O143" s="102" t="e">
        <f>Tableau6[[#This Row],[Cumul 2023]]-Tableau6[[#This Row],[Cumul 2022]]</f>
        <v>#N/A</v>
      </c>
      <c r="P143" s="104" t="e">
        <f>Tableau6[[#This Row],[Ecart 2022 2023]]/Tableau6[[#This Row],[Cumul 2022]]</f>
        <v>#N/A</v>
      </c>
      <c r="Q143" s="102" t="e">
        <f>MATCH(Tableau6[Jours Mois]&amp;"/"&amp;Tableau6[[#Headers],[2024]],tabSuiviConso[Jour Mois Année],0)</f>
        <v>#N/A</v>
      </c>
      <c r="R143" s="102" t="str">
        <f>IF(ISNA(Tableau6[[#This Row],[Position 2024]]),"",INDEX(tabSuiviConso[HP + HC
cumul],Tableau6[[#This Row],[Position 2024]],1))</f>
        <v/>
      </c>
      <c r="S143" s="123" t="e">
        <f>IF(ISNA(Tableau6[[#This Row],[Position 2024]]),Tableau6[[#This Row],[Position 2024]],Tableau6[[#This Row],[2024]]-R$2)</f>
        <v>#N/A</v>
      </c>
      <c r="T143" s="102" t="e">
        <f>Tableau6[[#This Row],[Cumul 2024]]-Tableau6[[#This Row],[Cumul 2023]]</f>
        <v>#N/A</v>
      </c>
      <c r="U143" s="103" t="e">
        <f>Tableau6[[#This Row],[Ecart 2023 2024]]/Tableau6[[#This Row],[Cumul 2023]]</f>
        <v>#N/A</v>
      </c>
    </row>
    <row r="144" spans="1:21" x14ac:dyDescent="0.2">
      <c r="A144" s="102">
        <v>5</v>
      </c>
      <c r="B144" s="102">
        <v>21</v>
      </c>
      <c r="C144" s="102" t="str">
        <f>Tableau6[Jour]&amp;"/"&amp;Tableau6[Mois]</f>
        <v>21/5</v>
      </c>
      <c r="D144" s="102" t="e">
        <f>MATCH(Tableau6[Jours Mois]&amp;"/"&amp;Tableau6[[#Headers],[2021]],tabSuiviConso[Jour Mois Année],0)</f>
        <v>#N/A</v>
      </c>
      <c r="E144" s="102" t="str">
        <f>IF(ISNA(Tableau6[[#This Row],[Position 2021]]),"",INDEX(tabSuiviConso[HP + HC
cumul],Tableau6[[#This Row],[Position 2021]],1))</f>
        <v/>
      </c>
      <c r="F144" s="123" t="e">
        <f>IF(ISNA(Tableau6[[#This Row],[Position 2021]]),Tableau6[[#This Row],[Position 2021]],Tableau6[[#This Row],[2021]]-E$2)</f>
        <v>#N/A</v>
      </c>
      <c r="G144" s="102" t="e">
        <f>MATCH(Tableau6[Jours Mois]&amp;"/"&amp;Tableau6[[#Headers],[2022]],tabSuiviConso[Jour Mois Année],0)</f>
        <v>#N/A</v>
      </c>
      <c r="H144" s="102" t="str">
        <f>IF(ISNA(Tableau6[[#This Row],[Position 2022]]),"",INDEX(tabSuiviConso[HP + HC
cumul],Tableau6[[#This Row],[Position 2022]],1))</f>
        <v/>
      </c>
      <c r="I144" s="123" t="e">
        <f>IF(ISNA(Tableau6[[#This Row],[Position 2022]]),Tableau6[[#This Row],[Position 2022]],Tableau6[[#This Row],[2022]]-H$2)</f>
        <v>#N/A</v>
      </c>
      <c r="J144" s="102" t="e">
        <f>MATCH(Tableau6[Jours Mois]&amp;"/"&amp;Tableau6[[#Headers],[2023]],tabSuiviConso[Jour Mois Année],0)</f>
        <v>#N/A</v>
      </c>
      <c r="K144" s="102" t="e">
        <f>Tableau6[[#This Row],[Cumul 2022]]-Tableau6[[#This Row],[Cumul 2021]]</f>
        <v>#N/A</v>
      </c>
      <c r="L144" s="104" t="e">
        <f>Tableau6[[#This Row],[Ecart 2021 2022]]/Tableau6[[#This Row],[Cumul 2021]]</f>
        <v>#N/A</v>
      </c>
      <c r="M144" s="102" t="str">
        <f>IF(ISNA(Tableau6[[#This Row],[Position 2023]]),"",INDEX(tabSuiviConso[HP + HC
cumul],Tableau6[[#This Row],[Position 2023]],1))</f>
        <v/>
      </c>
      <c r="N144" s="123" t="e">
        <f>IF(ISNA(Tableau6[[#This Row],[Position 2023]]),Tableau6[[#This Row],[Position 2023]],Tableau6[[#This Row],[2023]]-M$2)</f>
        <v>#N/A</v>
      </c>
      <c r="O144" s="102" t="e">
        <f>Tableau6[[#This Row],[Cumul 2023]]-Tableau6[[#This Row],[Cumul 2022]]</f>
        <v>#N/A</v>
      </c>
      <c r="P144" s="104" t="e">
        <f>Tableau6[[#This Row],[Ecart 2022 2023]]/Tableau6[[#This Row],[Cumul 2022]]</f>
        <v>#N/A</v>
      </c>
      <c r="Q144" s="102" t="e">
        <f>MATCH(Tableau6[Jours Mois]&amp;"/"&amp;Tableau6[[#Headers],[2024]],tabSuiviConso[Jour Mois Année],0)</f>
        <v>#N/A</v>
      </c>
      <c r="R144" s="102" t="str">
        <f>IF(ISNA(Tableau6[[#This Row],[Position 2024]]),"",INDEX(tabSuiviConso[HP + HC
cumul],Tableau6[[#This Row],[Position 2024]],1))</f>
        <v/>
      </c>
      <c r="S144" s="123" t="e">
        <f>IF(ISNA(Tableau6[[#This Row],[Position 2024]]),Tableau6[[#This Row],[Position 2024]],Tableau6[[#This Row],[2024]]-R$2)</f>
        <v>#N/A</v>
      </c>
      <c r="T144" s="102" t="e">
        <f>Tableau6[[#This Row],[Cumul 2024]]-Tableau6[[#This Row],[Cumul 2023]]</f>
        <v>#N/A</v>
      </c>
      <c r="U144" s="103" t="e">
        <f>Tableau6[[#This Row],[Ecart 2023 2024]]/Tableau6[[#This Row],[Cumul 2023]]</f>
        <v>#N/A</v>
      </c>
    </row>
    <row r="145" spans="1:21" x14ac:dyDescent="0.2">
      <c r="A145" s="102">
        <v>5</v>
      </c>
      <c r="B145" s="102">
        <v>22</v>
      </c>
      <c r="C145" s="102" t="str">
        <f>Tableau6[Jour]&amp;"/"&amp;Tableau6[Mois]</f>
        <v>22/5</v>
      </c>
      <c r="D145" s="102" t="e">
        <f>MATCH(Tableau6[Jours Mois]&amp;"/"&amp;Tableau6[[#Headers],[2021]],tabSuiviConso[Jour Mois Année],0)</f>
        <v>#N/A</v>
      </c>
      <c r="E145" s="102" t="str">
        <f>IF(ISNA(Tableau6[[#This Row],[Position 2021]]),"",INDEX(tabSuiviConso[HP + HC
cumul],Tableau6[[#This Row],[Position 2021]],1))</f>
        <v/>
      </c>
      <c r="F145" s="123" t="e">
        <f>IF(ISNA(Tableau6[[#This Row],[Position 2021]]),Tableau6[[#This Row],[Position 2021]],Tableau6[[#This Row],[2021]]-E$2)</f>
        <v>#N/A</v>
      </c>
      <c r="G145" s="102" t="e">
        <f>MATCH(Tableau6[Jours Mois]&amp;"/"&amp;Tableau6[[#Headers],[2022]],tabSuiviConso[Jour Mois Année],0)</f>
        <v>#N/A</v>
      </c>
      <c r="H145" s="102" t="str">
        <f>IF(ISNA(Tableau6[[#This Row],[Position 2022]]),"",INDEX(tabSuiviConso[HP + HC
cumul],Tableau6[[#This Row],[Position 2022]],1))</f>
        <v/>
      </c>
      <c r="I145" s="123" t="e">
        <f>IF(ISNA(Tableau6[[#This Row],[Position 2022]]),Tableau6[[#This Row],[Position 2022]],Tableau6[[#This Row],[2022]]-H$2)</f>
        <v>#N/A</v>
      </c>
      <c r="J145" s="102" t="e">
        <f>MATCH(Tableau6[Jours Mois]&amp;"/"&amp;Tableau6[[#Headers],[2023]],tabSuiviConso[Jour Mois Année],0)</f>
        <v>#N/A</v>
      </c>
      <c r="K145" s="102" t="e">
        <f>Tableau6[[#This Row],[Cumul 2022]]-Tableau6[[#This Row],[Cumul 2021]]</f>
        <v>#N/A</v>
      </c>
      <c r="L145" s="104" t="e">
        <f>Tableau6[[#This Row],[Ecart 2021 2022]]/Tableau6[[#This Row],[Cumul 2021]]</f>
        <v>#N/A</v>
      </c>
      <c r="M145" s="102" t="str">
        <f>IF(ISNA(Tableau6[[#This Row],[Position 2023]]),"",INDEX(tabSuiviConso[HP + HC
cumul],Tableau6[[#This Row],[Position 2023]],1))</f>
        <v/>
      </c>
      <c r="N145" s="123" t="e">
        <f>IF(ISNA(Tableau6[[#This Row],[Position 2023]]),Tableau6[[#This Row],[Position 2023]],Tableau6[[#This Row],[2023]]-M$2)</f>
        <v>#N/A</v>
      </c>
      <c r="O145" s="102" t="e">
        <f>Tableau6[[#This Row],[Cumul 2023]]-Tableau6[[#This Row],[Cumul 2022]]</f>
        <v>#N/A</v>
      </c>
      <c r="P145" s="104" t="e">
        <f>Tableau6[[#This Row],[Ecart 2022 2023]]/Tableau6[[#This Row],[Cumul 2022]]</f>
        <v>#N/A</v>
      </c>
      <c r="Q145" s="102" t="e">
        <f>MATCH(Tableau6[Jours Mois]&amp;"/"&amp;Tableau6[[#Headers],[2024]],tabSuiviConso[Jour Mois Année],0)</f>
        <v>#N/A</v>
      </c>
      <c r="R145" s="102" t="str">
        <f>IF(ISNA(Tableau6[[#This Row],[Position 2024]]),"",INDEX(tabSuiviConso[HP + HC
cumul],Tableau6[[#This Row],[Position 2024]],1))</f>
        <v/>
      </c>
      <c r="S145" s="123" t="e">
        <f>IF(ISNA(Tableau6[[#This Row],[Position 2024]]),Tableau6[[#This Row],[Position 2024]],Tableau6[[#This Row],[2024]]-R$2)</f>
        <v>#N/A</v>
      </c>
      <c r="T145" s="102" t="e">
        <f>Tableau6[[#This Row],[Cumul 2024]]-Tableau6[[#This Row],[Cumul 2023]]</f>
        <v>#N/A</v>
      </c>
      <c r="U145" s="103" t="e">
        <f>Tableau6[[#This Row],[Ecart 2023 2024]]/Tableau6[[#This Row],[Cumul 2023]]</f>
        <v>#N/A</v>
      </c>
    </row>
    <row r="146" spans="1:21" x14ac:dyDescent="0.2">
      <c r="A146" s="102">
        <v>5</v>
      </c>
      <c r="B146" s="102">
        <v>23</v>
      </c>
      <c r="C146" s="102" t="str">
        <f>Tableau6[Jour]&amp;"/"&amp;Tableau6[Mois]</f>
        <v>23/5</v>
      </c>
      <c r="D146" s="102" t="e">
        <f>MATCH(Tableau6[Jours Mois]&amp;"/"&amp;Tableau6[[#Headers],[2021]],tabSuiviConso[Jour Mois Année],0)</f>
        <v>#N/A</v>
      </c>
      <c r="E146" s="102" t="str">
        <f>IF(ISNA(Tableau6[[#This Row],[Position 2021]]),"",INDEX(tabSuiviConso[HP + HC
cumul],Tableau6[[#This Row],[Position 2021]],1))</f>
        <v/>
      </c>
      <c r="F146" s="123" t="e">
        <f>IF(ISNA(Tableau6[[#This Row],[Position 2021]]),Tableau6[[#This Row],[Position 2021]],Tableau6[[#This Row],[2021]]-E$2)</f>
        <v>#N/A</v>
      </c>
      <c r="G146" s="102" t="e">
        <f>MATCH(Tableau6[Jours Mois]&amp;"/"&amp;Tableau6[[#Headers],[2022]],tabSuiviConso[Jour Mois Année],0)</f>
        <v>#N/A</v>
      </c>
      <c r="H146" s="102" t="str">
        <f>IF(ISNA(Tableau6[[#This Row],[Position 2022]]),"",INDEX(tabSuiviConso[HP + HC
cumul],Tableau6[[#This Row],[Position 2022]],1))</f>
        <v/>
      </c>
      <c r="I146" s="123" t="e">
        <f>IF(ISNA(Tableau6[[#This Row],[Position 2022]]),Tableau6[[#This Row],[Position 2022]],Tableau6[[#This Row],[2022]]-H$2)</f>
        <v>#N/A</v>
      </c>
      <c r="J146" s="102" t="e">
        <f>MATCH(Tableau6[Jours Mois]&amp;"/"&amp;Tableau6[[#Headers],[2023]],tabSuiviConso[Jour Mois Année],0)</f>
        <v>#N/A</v>
      </c>
      <c r="K146" s="102" t="e">
        <f>Tableau6[[#This Row],[Cumul 2022]]-Tableau6[[#This Row],[Cumul 2021]]</f>
        <v>#N/A</v>
      </c>
      <c r="L146" s="104" t="e">
        <f>Tableau6[[#This Row],[Ecart 2021 2022]]/Tableau6[[#This Row],[Cumul 2021]]</f>
        <v>#N/A</v>
      </c>
      <c r="M146" s="102" t="str">
        <f>IF(ISNA(Tableau6[[#This Row],[Position 2023]]),"",INDEX(tabSuiviConso[HP + HC
cumul],Tableau6[[#This Row],[Position 2023]],1))</f>
        <v/>
      </c>
      <c r="N146" s="123" t="e">
        <f>IF(ISNA(Tableau6[[#This Row],[Position 2023]]),Tableau6[[#This Row],[Position 2023]],Tableau6[[#This Row],[2023]]-M$2)</f>
        <v>#N/A</v>
      </c>
      <c r="O146" s="102" t="e">
        <f>Tableau6[[#This Row],[Cumul 2023]]-Tableau6[[#This Row],[Cumul 2022]]</f>
        <v>#N/A</v>
      </c>
      <c r="P146" s="104" t="e">
        <f>Tableau6[[#This Row],[Ecart 2022 2023]]/Tableau6[[#This Row],[Cumul 2022]]</f>
        <v>#N/A</v>
      </c>
      <c r="Q146" s="102" t="e">
        <f>MATCH(Tableau6[Jours Mois]&amp;"/"&amp;Tableau6[[#Headers],[2024]],tabSuiviConso[Jour Mois Année],0)</f>
        <v>#N/A</v>
      </c>
      <c r="R146" s="102" t="str">
        <f>IF(ISNA(Tableau6[[#This Row],[Position 2024]]),"",INDEX(tabSuiviConso[HP + HC
cumul],Tableau6[[#This Row],[Position 2024]],1))</f>
        <v/>
      </c>
      <c r="S146" s="123" t="e">
        <f>IF(ISNA(Tableau6[[#This Row],[Position 2024]]),Tableau6[[#This Row],[Position 2024]],Tableau6[[#This Row],[2024]]-R$2)</f>
        <v>#N/A</v>
      </c>
      <c r="T146" s="102" t="e">
        <f>Tableau6[[#This Row],[Cumul 2024]]-Tableau6[[#This Row],[Cumul 2023]]</f>
        <v>#N/A</v>
      </c>
      <c r="U146" s="103" t="e">
        <f>Tableau6[[#This Row],[Ecart 2023 2024]]/Tableau6[[#This Row],[Cumul 2023]]</f>
        <v>#N/A</v>
      </c>
    </row>
    <row r="147" spans="1:21" x14ac:dyDescent="0.2">
      <c r="A147" s="102">
        <v>5</v>
      </c>
      <c r="B147" s="102">
        <v>24</v>
      </c>
      <c r="C147" s="102" t="str">
        <f>Tableau6[Jour]&amp;"/"&amp;Tableau6[Mois]</f>
        <v>24/5</v>
      </c>
      <c r="D147" s="102" t="e">
        <f>MATCH(Tableau6[Jours Mois]&amp;"/"&amp;Tableau6[[#Headers],[2021]],tabSuiviConso[Jour Mois Année],0)</f>
        <v>#N/A</v>
      </c>
      <c r="E147" s="102" t="str">
        <f>IF(ISNA(Tableau6[[#This Row],[Position 2021]]),"",INDEX(tabSuiviConso[HP + HC
cumul],Tableau6[[#This Row],[Position 2021]],1))</f>
        <v/>
      </c>
      <c r="F147" s="123" t="e">
        <f>IF(ISNA(Tableau6[[#This Row],[Position 2021]]),Tableau6[[#This Row],[Position 2021]],Tableau6[[#This Row],[2021]]-E$2)</f>
        <v>#N/A</v>
      </c>
      <c r="G147" s="102" t="e">
        <f>MATCH(Tableau6[Jours Mois]&amp;"/"&amp;Tableau6[[#Headers],[2022]],tabSuiviConso[Jour Mois Année],0)</f>
        <v>#N/A</v>
      </c>
      <c r="H147" s="102" t="str">
        <f>IF(ISNA(Tableau6[[#This Row],[Position 2022]]),"",INDEX(tabSuiviConso[HP + HC
cumul],Tableau6[[#This Row],[Position 2022]],1))</f>
        <v/>
      </c>
      <c r="I147" s="123" t="e">
        <f>IF(ISNA(Tableau6[[#This Row],[Position 2022]]),Tableau6[[#This Row],[Position 2022]],Tableau6[[#This Row],[2022]]-H$2)</f>
        <v>#N/A</v>
      </c>
      <c r="J147" s="102" t="e">
        <f>MATCH(Tableau6[Jours Mois]&amp;"/"&amp;Tableau6[[#Headers],[2023]],tabSuiviConso[Jour Mois Année],0)</f>
        <v>#N/A</v>
      </c>
      <c r="K147" s="102" t="e">
        <f>Tableau6[[#This Row],[Cumul 2022]]-Tableau6[[#This Row],[Cumul 2021]]</f>
        <v>#N/A</v>
      </c>
      <c r="L147" s="104" t="e">
        <f>Tableau6[[#This Row],[Ecart 2021 2022]]/Tableau6[[#This Row],[Cumul 2021]]</f>
        <v>#N/A</v>
      </c>
      <c r="M147" s="102" t="str">
        <f>IF(ISNA(Tableau6[[#This Row],[Position 2023]]),"",INDEX(tabSuiviConso[HP + HC
cumul],Tableau6[[#This Row],[Position 2023]],1))</f>
        <v/>
      </c>
      <c r="N147" s="123" t="e">
        <f>IF(ISNA(Tableau6[[#This Row],[Position 2023]]),Tableau6[[#This Row],[Position 2023]],Tableau6[[#This Row],[2023]]-M$2)</f>
        <v>#N/A</v>
      </c>
      <c r="O147" s="102" t="e">
        <f>Tableau6[[#This Row],[Cumul 2023]]-Tableau6[[#This Row],[Cumul 2022]]</f>
        <v>#N/A</v>
      </c>
      <c r="P147" s="104" t="e">
        <f>Tableau6[[#This Row],[Ecart 2022 2023]]/Tableau6[[#This Row],[Cumul 2022]]</f>
        <v>#N/A</v>
      </c>
      <c r="Q147" s="102" t="e">
        <f>MATCH(Tableau6[Jours Mois]&amp;"/"&amp;Tableau6[[#Headers],[2024]],tabSuiviConso[Jour Mois Année],0)</f>
        <v>#N/A</v>
      </c>
      <c r="R147" s="102" t="str">
        <f>IF(ISNA(Tableau6[[#This Row],[Position 2024]]),"",INDEX(tabSuiviConso[HP + HC
cumul],Tableau6[[#This Row],[Position 2024]],1))</f>
        <v/>
      </c>
      <c r="S147" s="123" t="e">
        <f>IF(ISNA(Tableau6[[#This Row],[Position 2024]]),Tableau6[[#This Row],[Position 2024]],Tableau6[[#This Row],[2024]]-R$2)</f>
        <v>#N/A</v>
      </c>
      <c r="T147" s="102" t="e">
        <f>Tableau6[[#This Row],[Cumul 2024]]-Tableau6[[#This Row],[Cumul 2023]]</f>
        <v>#N/A</v>
      </c>
      <c r="U147" s="103" t="e">
        <f>Tableau6[[#This Row],[Ecart 2023 2024]]/Tableau6[[#This Row],[Cumul 2023]]</f>
        <v>#N/A</v>
      </c>
    </row>
    <row r="148" spans="1:21" x14ac:dyDescent="0.2">
      <c r="A148" s="102">
        <v>5</v>
      </c>
      <c r="B148" s="102">
        <v>25</v>
      </c>
      <c r="C148" s="102" t="str">
        <f>Tableau6[Jour]&amp;"/"&amp;Tableau6[Mois]</f>
        <v>25/5</v>
      </c>
      <c r="D148" s="102" t="e">
        <f>MATCH(Tableau6[Jours Mois]&amp;"/"&amp;Tableau6[[#Headers],[2021]],tabSuiviConso[Jour Mois Année],0)</f>
        <v>#N/A</v>
      </c>
      <c r="E148" s="102" t="str">
        <f>IF(ISNA(Tableau6[[#This Row],[Position 2021]]),"",INDEX(tabSuiviConso[HP + HC
cumul],Tableau6[[#This Row],[Position 2021]],1))</f>
        <v/>
      </c>
      <c r="F148" s="123" t="e">
        <f>IF(ISNA(Tableau6[[#This Row],[Position 2021]]),Tableau6[[#This Row],[Position 2021]],Tableau6[[#This Row],[2021]]-E$2)</f>
        <v>#N/A</v>
      </c>
      <c r="G148" s="102" t="e">
        <f>MATCH(Tableau6[Jours Mois]&amp;"/"&amp;Tableau6[[#Headers],[2022]],tabSuiviConso[Jour Mois Année],0)</f>
        <v>#N/A</v>
      </c>
      <c r="H148" s="102" t="str">
        <f>IF(ISNA(Tableau6[[#This Row],[Position 2022]]),"",INDEX(tabSuiviConso[HP + HC
cumul],Tableau6[[#This Row],[Position 2022]],1))</f>
        <v/>
      </c>
      <c r="I148" s="123" t="e">
        <f>IF(ISNA(Tableau6[[#This Row],[Position 2022]]),Tableau6[[#This Row],[Position 2022]],Tableau6[[#This Row],[2022]]-H$2)</f>
        <v>#N/A</v>
      </c>
      <c r="J148" s="102" t="e">
        <f>MATCH(Tableau6[Jours Mois]&amp;"/"&amp;Tableau6[[#Headers],[2023]],tabSuiviConso[Jour Mois Année],0)</f>
        <v>#N/A</v>
      </c>
      <c r="K148" s="102" t="e">
        <f>Tableau6[[#This Row],[Cumul 2022]]-Tableau6[[#This Row],[Cumul 2021]]</f>
        <v>#N/A</v>
      </c>
      <c r="L148" s="104" t="e">
        <f>Tableau6[[#This Row],[Ecart 2021 2022]]/Tableau6[[#This Row],[Cumul 2021]]</f>
        <v>#N/A</v>
      </c>
      <c r="M148" s="102" t="str">
        <f>IF(ISNA(Tableau6[[#This Row],[Position 2023]]),"",INDEX(tabSuiviConso[HP + HC
cumul],Tableau6[[#This Row],[Position 2023]],1))</f>
        <v/>
      </c>
      <c r="N148" s="123" t="e">
        <f>IF(ISNA(Tableau6[[#This Row],[Position 2023]]),Tableau6[[#This Row],[Position 2023]],Tableau6[[#This Row],[2023]]-M$2)</f>
        <v>#N/A</v>
      </c>
      <c r="O148" s="102" t="e">
        <f>Tableau6[[#This Row],[Cumul 2023]]-Tableau6[[#This Row],[Cumul 2022]]</f>
        <v>#N/A</v>
      </c>
      <c r="P148" s="104" t="e">
        <f>Tableau6[[#This Row],[Ecart 2022 2023]]/Tableau6[[#This Row],[Cumul 2022]]</f>
        <v>#N/A</v>
      </c>
      <c r="Q148" s="102" t="e">
        <f>MATCH(Tableau6[Jours Mois]&amp;"/"&amp;Tableau6[[#Headers],[2024]],tabSuiviConso[Jour Mois Année],0)</f>
        <v>#N/A</v>
      </c>
      <c r="R148" s="102" t="str">
        <f>IF(ISNA(Tableau6[[#This Row],[Position 2024]]),"",INDEX(tabSuiviConso[HP + HC
cumul],Tableau6[[#This Row],[Position 2024]],1))</f>
        <v/>
      </c>
      <c r="S148" s="123" t="e">
        <f>IF(ISNA(Tableau6[[#This Row],[Position 2024]]),Tableau6[[#This Row],[Position 2024]],Tableau6[[#This Row],[2024]]-R$2)</f>
        <v>#N/A</v>
      </c>
      <c r="T148" s="102" t="e">
        <f>Tableau6[[#This Row],[Cumul 2024]]-Tableau6[[#This Row],[Cumul 2023]]</f>
        <v>#N/A</v>
      </c>
      <c r="U148" s="103" t="e">
        <f>Tableau6[[#This Row],[Ecart 2023 2024]]/Tableau6[[#This Row],[Cumul 2023]]</f>
        <v>#N/A</v>
      </c>
    </row>
    <row r="149" spans="1:21" x14ac:dyDescent="0.2">
      <c r="A149" s="102">
        <v>5</v>
      </c>
      <c r="B149" s="102">
        <v>26</v>
      </c>
      <c r="C149" s="102" t="str">
        <f>Tableau6[Jour]&amp;"/"&amp;Tableau6[Mois]</f>
        <v>26/5</v>
      </c>
      <c r="D149" s="102" t="e">
        <f>MATCH(Tableau6[Jours Mois]&amp;"/"&amp;Tableau6[[#Headers],[2021]],tabSuiviConso[Jour Mois Année],0)</f>
        <v>#N/A</v>
      </c>
      <c r="E149" s="102" t="str">
        <f>IF(ISNA(Tableau6[[#This Row],[Position 2021]]),"",INDEX(tabSuiviConso[HP + HC
cumul],Tableau6[[#This Row],[Position 2021]],1))</f>
        <v/>
      </c>
      <c r="F149" s="123" t="e">
        <f>IF(ISNA(Tableau6[[#This Row],[Position 2021]]),Tableau6[[#This Row],[Position 2021]],Tableau6[[#This Row],[2021]]-E$2)</f>
        <v>#N/A</v>
      </c>
      <c r="G149" s="102" t="e">
        <f>MATCH(Tableau6[Jours Mois]&amp;"/"&amp;Tableau6[[#Headers],[2022]],tabSuiviConso[Jour Mois Année],0)</f>
        <v>#N/A</v>
      </c>
      <c r="H149" s="102" t="str">
        <f>IF(ISNA(Tableau6[[#This Row],[Position 2022]]),"",INDEX(tabSuiviConso[HP + HC
cumul],Tableau6[[#This Row],[Position 2022]],1))</f>
        <v/>
      </c>
      <c r="I149" s="123" t="e">
        <f>IF(ISNA(Tableau6[[#This Row],[Position 2022]]),Tableau6[[#This Row],[Position 2022]],Tableau6[[#This Row],[2022]]-H$2)</f>
        <v>#N/A</v>
      </c>
      <c r="J149" s="102" t="e">
        <f>MATCH(Tableau6[Jours Mois]&amp;"/"&amp;Tableau6[[#Headers],[2023]],tabSuiviConso[Jour Mois Année],0)</f>
        <v>#N/A</v>
      </c>
      <c r="K149" s="102" t="e">
        <f>Tableau6[[#This Row],[Cumul 2022]]-Tableau6[[#This Row],[Cumul 2021]]</f>
        <v>#N/A</v>
      </c>
      <c r="L149" s="104" t="e">
        <f>Tableau6[[#This Row],[Ecart 2021 2022]]/Tableau6[[#This Row],[Cumul 2021]]</f>
        <v>#N/A</v>
      </c>
      <c r="M149" s="102" t="str">
        <f>IF(ISNA(Tableau6[[#This Row],[Position 2023]]),"",INDEX(tabSuiviConso[HP + HC
cumul],Tableau6[[#This Row],[Position 2023]],1))</f>
        <v/>
      </c>
      <c r="N149" s="123" t="e">
        <f>IF(ISNA(Tableau6[[#This Row],[Position 2023]]),Tableau6[[#This Row],[Position 2023]],Tableau6[[#This Row],[2023]]-M$2)</f>
        <v>#N/A</v>
      </c>
      <c r="O149" s="102" t="e">
        <f>Tableau6[[#This Row],[Cumul 2023]]-Tableau6[[#This Row],[Cumul 2022]]</f>
        <v>#N/A</v>
      </c>
      <c r="P149" s="104" t="e">
        <f>Tableau6[[#This Row],[Ecart 2022 2023]]/Tableau6[[#This Row],[Cumul 2022]]</f>
        <v>#N/A</v>
      </c>
      <c r="Q149" s="102" t="e">
        <f>MATCH(Tableau6[Jours Mois]&amp;"/"&amp;Tableau6[[#Headers],[2024]],tabSuiviConso[Jour Mois Année],0)</f>
        <v>#N/A</v>
      </c>
      <c r="R149" s="102" t="str">
        <f>IF(ISNA(Tableau6[[#This Row],[Position 2024]]),"",INDEX(tabSuiviConso[HP + HC
cumul],Tableau6[[#This Row],[Position 2024]],1))</f>
        <v/>
      </c>
      <c r="S149" s="123" t="e">
        <f>IF(ISNA(Tableau6[[#This Row],[Position 2024]]),Tableau6[[#This Row],[Position 2024]],Tableau6[[#This Row],[2024]]-R$2)</f>
        <v>#N/A</v>
      </c>
      <c r="T149" s="102" t="e">
        <f>Tableau6[[#This Row],[Cumul 2024]]-Tableau6[[#This Row],[Cumul 2023]]</f>
        <v>#N/A</v>
      </c>
      <c r="U149" s="103" t="e">
        <f>Tableau6[[#This Row],[Ecart 2023 2024]]/Tableau6[[#This Row],[Cumul 2023]]</f>
        <v>#N/A</v>
      </c>
    </row>
    <row r="150" spans="1:21" x14ac:dyDescent="0.2">
      <c r="A150" s="102">
        <v>5</v>
      </c>
      <c r="B150" s="102">
        <v>27</v>
      </c>
      <c r="C150" s="102" t="str">
        <f>Tableau6[Jour]&amp;"/"&amp;Tableau6[Mois]</f>
        <v>27/5</v>
      </c>
      <c r="D150" s="102" t="e">
        <f>MATCH(Tableau6[Jours Mois]&amp;"/"&amp;Tableau6[[#Headers],[2021]],tabSuiviConso[Jour Mois Année],0)</f>
        <v>#N/A</v>
      </c>
      <c r="E150" s="102" t="str">
        <f>IF(ISNA(Tableau6[[#This Row],[Position 2021]]),"",INDEX(tabSuiviConso[HP + HC
cumul],Tableau6[[#This Row],[Position 2021]],1))</f>
        <v/>
      </c>
      <c r="F150" s="123" t="e">
        <f>IF(ISNA(Tableau6[[#This Row],[Position 2021]]),Tableau6[[#This Row],[Position 2021]],Tableau6[[#This Row],[2021]]-E$2)</f>
        <v>#N/A</v>
      </c>
      <c r="G150" s="102" t="e">
        <f>MATCH(Tableau6[Jours Mois]&amp;"/"&amp;Tableau6[[#Headers],[2022]],tabSuiviConso[Jour Mois Année],0)</f>
        <v>#N/A</v>
      </c>
      <c r="H150" s="102" t="str">
        <f>IF(ISNA(Tableau6[[#This Row],[Position 2022]]),"",INDEX(tabSuiviConso[HP + HC
cumul],Tableau6[[#This Row],[Position 2022]],1))</f>
        <v/>
      </c>
      <c r="I150" s="123" t="e">
        <f>IF(ISNA(Tableau6[[#This Row],[Position 2022]]),Tableau6[[#This Row],[Position 2022]],Tableau6[[#This Row],[2022]]-H$2)</f>
        <v>#N/A</v>
      </c>
      <c r="J150" s="102" t="e">
        <f>MATCH(Tableau6[Jours Mois]&amp;"/"&amp;Tableau6[[#Headers],[2023]],tabSuiviConso[Jour Mois Année],0)</f>
        <v>#N/A</v>
      </c>
      <c r="K150" s="102" t="e">
        <f>Tableau6[[#This Row],[Cumul 2022]]-Tableau6[[#This Row],[Cumul 2021]]</f>
        <v>#N/A</v>
      </c>
      <c r="L150" s="104" t="e">
        <f>Tableau6[[#This Row],[Ecart 2021 2022]]/Tableau6[[#This Row],[Cumul 2021]]</f>
        <v>#N/A</v>
      </c>
      <c r="M150" s="102" t="str">
        <f>IF(ISNA(Tableau6[[#This Row],[Position 2023]]),"",INDEX(tabSuiviConso[HP + HC
cumul],Tableau6[[#This Row],[Position 2023]],1))</f>
        <v/>
      </c>
      <c r="N150" s="123" t="e">
        <f>IF(ISNA(Tableau6[[#This Row],[Position 2023]]),Tableau6[[#This Row],[Position 2023]],Tableau6[[#This Row],[2023]]-M$2)</f>
        <v>#N/A</v>
      </c>
      <c r="O150" s="102" t="e">
        <f>Tableau6[[#This Row],[Cumul 2023]]-Tableau6[[#This Row],[Cumul 2022]]</f>
        <v>#N/A</v>
      </c>
      <c r="P150" s="104" t="e">
        <f>Tableau6[[#This Row],[Ecart 2022 2023]]/Tableau6[[#This Row],[Cumul 2022]]</f>
        <v>#N/A</v>
      </c>
      <c r="Q150" s="102" t="e">
        <f>MATCH(Tableau6[Jours Mois]&amp;"/"&amp;Tableau6[[#Headers],[2024]],tabSuiviConso[Jour Mois Année],0)</f>
        <v>#N/A</v>
      </c>
      <c r="R150" s="102" t="str">
        <f>IF(ISNA(Tableau6[[#This Row],[Position 2024]]),"",INDEX(tabSuiviConso[HP + HC
cumul],Tableau6[[#This Row],[Position 2024]],1))</f>
        <v/>
      </c>
      <c r="S150" s="123" t="e">
        <f>IF(ISNA(Tableau6[[#This Row],[Position 2024]]),Tableau6[[#This Row],[Position 2024]],Tableau6[[#This Row],[2024]]-R$2)</f>
        <v>#N/A</v>
      </c>
      <c r="T150" s="102" t="e">
        <f>Tableau6[[#This Row],[Cumul 2024]]-Tableau6[[#This Row],[Cumul 2023]]</f>
        <v>#N/A</v>
      </c>
      <c r="U150" s="103" t="e">
        <f>Tableau6[[#This Row],[Ecart 2023 2024]]/Tableau6[[#This Row],[Cumul 2023]]</f>
        <v>#N/A</v>
      </c>
    </row>
    <row r="151" spans="1:21" x14ac:dyDescent="0.2">
      <c r="A151" s="102">
        <v>5</v>
      </c>
      <c r="B151" s="102">
        <v>28</v>
      </c>
      <c r="C151" s="102" t="str">
        <f>Tableau6[Jour]&amp;"/"&amp;Tableau6[Mois]</f>
        <v>28/5</v>
      </c>
      <c r="D151" s="102" t="e">
        <f>MATCH(Tableau6[Jours Mois]&amp;"/"&amp;Tableau6[[#Headers],[2021]],tabSuiviConso[Jour Mois Année],0)</f>
        <v>#N/A</v>
      </c>
      <c r="E151" s="102" t="str">
        <f>IF(ISNA(Tableau6[[#This Row],[Position 2021]]),"",INDEX(tabSuiviConso[HP + HC
cumul],Tableau6[[#This Row],[Position 2021]],1))</f>
        <v/>
      </c>
      <c r="F151" s="123" t="e">
        <f>IF(ISNA(Tableau6[[#This Row],[Position 2021]]),Tableau6[[#This Row],[Position 2021]],Tableau6[[#This Row],[2021]]-E$2)</f>
        <v>#N/A</v>
      </c>
      <c r="G151" s="102" t="e">
        <f>MATCH(Tableau6[Jours Mois]&amp;"/"&amp;Tableau6[[#Headers],[2022]],tabSuiviConso[Jour Mois Année],0)</f>
        <v>#N/A</v>
      </c>
      <c r="H151" s="102" t="str">
        <f>IF(ISNA(Tableau6[[#This Row],[Position 2022]]),"",INDEX(tabSuiviConso[HP + HC
cumul],Tableau6[[#This Row],[Position 2022]],1))</f>
        <v/>
      </c>
      <c r="I151" s="123" t="e">
        <f>IF(ISNA(Tableau6[[#This Row],[Position 2022]]),Tableau6[[#This Row],[Position 2022]],Tableau6[[#This Row],[2022]]-H$2)</f>
        <v>#N/A</v>
      </c>
      <c r="J151" s="102" t="e">
        <f>MATCH(Tableau6[Jours Mois]&amp;"/"&amp;Tableau6[[#Headers],[2023]],tabSuiviConso[Jour Mois Année],0)</f>
        <v>#N/A</v>
      </c>
      <c r="K151" s="102" t="e">
        <f>Tableau6[[#This Row],[Cumul 2022]]-Tableau6[[#This Row],[Cumul 2021]]</f>
        <v>#N/A</v>
      </c>
      <c r="L151" s="104" t="e">
        <f>Tableau6[[#This Row],[Ecart 2021 2022]]/Tableau6[[#This Row],[Cumul 2021]]</f>
        <v>#N/A</v>
      </c>
      <c r="M151" s="102" t="str">
        <f>IF(ISNA(Tableau6[[#This Row],[Position 2023]]),"",INDEX(tabSuiviConso[HP + HC
cumul],Tableau6[[#This Row],[Position 2023]],1))</f>
        <v/>
      </c>
      <c r="N151" s="123" t="e">
        <f>IF(ISNA(Tableau6[[#This Row],[Position 2023]]),Tableau6[[#This Row],[Position 2023]],Tableau6[[#This Row],[2023]]-M$2)</f>
        <v>#N/A</v>
      </c>
      <c r="O151" s="102" t="e">
        <f>Tableau6[[#This Row],[Cumul 2023]]-Tableau6[[#This Row],[Cumul 2022]]</f>
        <v>#N/A</v>
      </c>
      <c r="P151" s="104" t="e">
        <f>Tableau6[[#This Row],[Ecart 2022 2023]]/Tableau6[[#This Row],[Cumul 2022]]</f>
        <v>#N/A</v>
      </c>
      <c r="Q151" s="102" t="e">
        <f>MATCH(Tableau6[Jours Mois]&amp;"/"&amp;Tableau6[[#Headers],[2024]],tabSuiviConso[Jour Mois Année],0)</f>
        <v>#N/A</v>
      </c>
      <c r="R151" s="102" t="str">
        <f>IF(ISNA(Tableau6[[#This Row],[Position 2024]]),"",INDEX(tabSuiviConso[HP + HC
cumul],Tableau6[[#This Row],[Position 2024]],1))</f>
        <v/>
      </c>
      <c r="S151" s="123" t="e">
        <f>IF(ISNA(Tableau6[[#This Row],[Position 2024]]),Tableau6[[#This Row],[Position 2024]],Tableau6[[#This Row],[2024]]-R$2)</f>
        <v>#N/A</v>
      </c>
      <c r="T151" s="102" t="e">
        <f>Tableau6[[#This Row],[Cumul 2024]]-Tableau6[[#This Row],[Cumul 2023]]</f>
        <v>#N/A</v>
      </c>
      <c r="U151" s="103" t="e">
        <f>Tableau6[[#This Row],[Ecart 2023 2024]]/Tableau6[[#This Row],[Cumul 2023]]</f>
        <v>#N/A</v>
      </c>
    </row>
    <row r="152" spans="1:21" x14ac:dyDescent="0.2">
      <c r="A152" s="102">
        <v>5</v>
      </c>
      <c r="B152" s="102">
        <v>29</v>
      </c>
      <c r="C152" s="102" t="str">
        <f>Tableau6[Jour]&amp;"/"&amp;Tableau6[Mois]</f>
        <v>29/5</v>
      </c>
      <c r="D152" s="102" t="e">
        <f>MATCH(Tableau6[Jours Mois]&amp;"/"&amp;Tableau6[[#Headers],[2021]],tabSuiviConso[Jour Mois Année],0)</f>
        <v>#N/A</v>
      </c>
      <c r="E152" s="102" t="str">
        <f>IF(ISNA(Tableau6[[#This Row],[Position 2021]]),"",INDEX(tabSuiviConso[HP + HC
cumul],Tableau6[[#This Row],[Position 2021]],1))</f>
        <v/>
      </c>
      <c r="F152" s="123" t="e">
        <f>IF(ISNA(Tableau6[[#This Row],[Position 2021]]),Tableau6[[#This Row],[Position 2021]],Tableau6[[#This Row],[2021]]-E$2)</f>
        <v>#N/A</v>
      </c>
      <c r="G152" s="102" t="e">
        <f>MATCH(Tableau6[Jours Mois]&amp;"/"&amp;Tableau6[[#Headers],[2022]],tabSuiviConso[Jour Mois Année],0)</f>
        <v>#N/A</v>
      </c>
      <c r="H152" s="102" t="str">
        <f>IF(ISNA(Tableau6[[#This Row],[Position 2022]]),"",INDEX(tabSuiviConso[HP + HC
cumul],Tableau6[[#This Row],[Position 2022]],1))</f>
        <v/>
      </c>
      <c r="I152" s="123" t="e">
        <f>IF(ISNA(Tableau6[[#This Row],[Position 2022]]),Tableau6[[#This Row],[Position 2022]],Tableau6[[#This Row],[2022]]-H$2)</f>
        <v>#N/A</v>
      </c>
      <c r="J152" s="102" t="e">
        <f>MATCH(Tableau6[Jours Mois]&amp;"/"&amp;Tableau6[[#Headers],[2023]],tabSuiviConso[Jour Mois Année],0)</f>
        <v>#N/A</v>
      </c>
      <c r="K152" s="102" t="e">
        <f>Tableau6[[#This Row],[Cumul 2022]]-Tableau6[[#This Row],[Cumul 2021]]</f>
        <v>#N/A</v>
      </c>
      <c r="L152" s="104" t="e">
        <f>Tableau6[[#This Row],[Ecart 2021 2022]]/Tableau6[[#This Row],[Cumul 2021]]</f>
        <v>#N/A</v>
      </c>
      <c r="M152" s="102" t="str">
        <f>IF(ISNA(Tableau6[[#This Row],[Position 2023]]),"",INDEX(tabSuiviConso[HP + HC
cumul],Tableau6[[#This Row],[Position 2023]],1))</f>
        <v/>
      </c>
      <c r="N152" s="123" t="e">
        <f>IF(ISNA(Tableau6[[#This Row],[Position 2023]]),Tableau6[[#This Row],[Position 2023]],Tableau6[[#This Row],[2023]]-M$2)</f>
        <v>#N/A</v>
      </c>
      <c r="O152" s="102" t="e">
        <f>Tableau6[[#This Row],[Cumul 2023]]-Tableau6[[#This Row],[Cumul 2022]]</f>
        <v>#N/A</v>
      </c>
      <c r="P152" s="104" t="e">
        <f>Tableau6[[#This Row],[Ecart 2022 2023]]/Tableau6[[#This Row],[Cumul 2022]]</f>
        <v>#N/A</v>
      </c>
      <c r="Q152" s="102" t="e">
        <f>MATCH(Tableau6[Jours Mois]&amp;"/"&amp;Tableau6[[#Headers],[2024]],tabSuiviConso[Jour Mois Année],0)</f>
        <v>#N/A</v>
      </c>
      <c r="R152" s="102" t="str">
        <f>IF(ISNA(Tableau6[[#This Row],[Position 2024]]),"",INDEX(tabSuiviConso[HP + HC
cumul],Tableau6[[#This Row],[Position 2024]],1))</f>
        <v/>
      </c>
      <c r="S152" s="123" t="e">
        <f>IF(ISNA(Tableau6[[#This Row],[Position 2024]]),Tableau6[[#This Row],[Position 2024]],Tableau6[[#This Row],[2024]]-R$2)</f>
        <v>#N/A</v>
      </c>
      <c r="T152" s="102" t="e">
        <f>Tableau6[[#This Row],[Cumul 2024]]-Tableau6[[#This Row],[Cumul 2023]]</f>
        <v>#N/A</v>
      </c>
      <c r="U152" s="103" t="e">
        <f>Tableau6[[#This Row],[Ecart 2023 2024]]/Tableau6[[#This Row],[Cumul 2023]]</f>
        <v>#N/A</v>
      </c>
    </row>
    <row r="153" spans="1:21" x14ac:dyDescent="0.2">
      <c r="A153" s="102">
        <v>5</v>
      </c>
      <c r="B153" s="102">
        <v>30</v>
      </c>
      <c r="C153" s="102" t="str">
        <f>Tableau6[Jour]&amp;"/"&amp;Tableau6[Mois]</f>
        <v>30/5</v>
      </c>
      <c r="D153" s="102" t="e">
        <f>MATCH(Tableau6[Jours Mois]&amp;"/"&amp;Tableau6[[#Headers],[2021]],tabSuiviConso[Jour Mois Année],0)</f>
        <v>#N/A</v>
      </c>
      <c r="E153" s="102" t="str">
        <f>IF(ISNA(Tableau6[[#This Row],[Position 2021]]),"",INDEX(tabSuiviConso[HP + HC
cumul],Tableau6[[#This Row],[Position 2021]],1))</f>
        <v/>
      </c>
      <c r="F153" s="123" t="e">
        <f>IF(ISNA(Tableau6[[#This Row],[Position 2021]]),Tableau6[[#This Row],[Position 2021]],Tableau6[[#This Row],[2021]]-E$2)</f>
        <v>#N/A</v>
      </c>
      <c r="G153" s="102" t="e">
        <f>MATCH(Tableau6[Jours Mois]&amp;"/"&amp;Tableau6[[#Headers],[2022]],tabSuiviConso[Jour Mois Année],0)</f>
        <v>#N/A</v>
      </c>
      <c r="H153" s="102" t="str">
        <f>IF(ISNA(Tableau6[[#This Row],[Position 2022]]),"",INDEX(tabSuiviConso[HP + HC
cumul],Tableau6[[#This Row],[Position 2022]],1))</f>
        <v/>
      </c>
      <c r="I153" s="123" t="e">
        <f>IF(ISNA(Tableau6[[#This Row],[Position 2022]]),Tableau6[[#This Row],[Position 2022]],Tableau6[[#This Row],[2022]]-H$2)</f>
        <v>#N/A</v>
      </c>
      <c r="J153" s="102" t="e">
        <f>MATCH(Tableau6[Jours Mois]&amp;"/"&amp;Tableau6[[#Headers],[2023]],tabSuiviConso[Jour Mois Année],0)</f>
        <v>#N/A</v>
      </c>
      <c r="K153" s="102" t="e">
        <f>Tableau6[[#This Row],[Cumul 2022]]-Tableau6[[#This Row],[Cumul 2021]]</f>
        <v>#N/A</v>
      </c>
      <c r="L153" s="104" t="e">
        <f>Tableau6[[#This Row],[Ecart 2021 2022]]/Tableau6[[#This Row],[Cumul 2021]]</f>
        <v>#N/A</v>
      </c>
      <c r="M153" s="102" t="str">
        <f>IF(ISNA(Tableau6[[#This Row],[Position 2023]]),"",INDEX(tabSuiviConso[HP + HC
cumul],Tableau6[[#This Row],[Position 2023]],1))</f>
        <v/>
      </c>
      <c r="N153" s="123" t="e">
        <f>IF(ISNA(Tableau6[[#This Row],[Position 2023]]),Tableau6[[#This Row],[Position 2023]],Tableau6[[#This Row],[2023]]-M$2)</f>
        <v>#N/A</v>
      </c>
      <c r="O153" s="102" t="e">
        <f>Tableau6[[#This Row],[Cumul 2023]]-Tableau6[[#This Row],[Cumul 2022]]</f>
        <v>#N/A</v>
      </c>
      <c r="P153" s="104" t="e">
        <f>Tableau6[[#This Row],[Ecart 2022 2023]]/Tableau6[[#This Row],[Cumul 2022]]</f>
        <v>#N/A</v>
      </c>
      <c r="Q153" s="102" t="e">
        <f>MATCH(Tableau6[Jours Mois]&amp;"/"&amp;Tableau6[[#Headers],[2024]],tabSuiviConso[Jour Mois Année],0)</f>
        <v>#N/A</v>
      </c>
      <c r="R153" s="102" t="str">
        <f>IF(ISNA(Tableau6[[#This Row],[Position 2024]]),"",INDEX(tabSuiviConso[HP + HC
cumul],Tableau6[[#This Row],[Position 2024]],1))</f>
        <v/>
      </c>
      <c r="S153" s="123" t="e">
        <f>IF(ISNA(Tableau6[[#This Row],[Position 2024]]),Tableau6[[#This Row],[Position 2024]],Tableau6[[#This Row],[2024]]-R$2)</f>
        <v>#N/A</v>
      </c>
      <c r="T153" s="102" t="e">
        <f>Tableau6[[#This Row],[Cumul 2024]]-Tableau6[[#This Row],[Cumul 2023]]</f>
        <v>#N/A</v>
      </c>
      <c r="U153" s="103" t="e">
        <f>Tableau6[[#This Row],[Ecart 2023 2024]]/Tableau6[[#This Row],[Cumul 2023]]</f>
        <v>#N/A</v>
      </c>
    </row>
    <row r="154" spans="1:21" x14ac:dyDescent="0.2">
      <c r="A154" s="102">
        <v>5</v>
      </c>
      <c r="B154" s="102">
        <v>31</v>
      </c>
      <c r="C154" s="102" t="str">
        <f>Tableau6[Jour]&amp;"/"&amp;Tableau6[Mois]</f>
        <v>31/5</v>
      </c>
      <c r="D154" s="102" t="e">
        <f>MATCH(Tableau6[Jours Mois]&amp;"/"&amp;Tableau6[[#Headers],[2021]],tabSuiviConso[Jour Mois Année],0)</f>
        <v>#N/A</v>
      </c>
      <c r="E154" s="102" t="str">
        <f>IF(ISNA(Tableau6[[#This Row],[Position 2021]]),"",INDEX(tabSuiviConso[HP + HC
cumul],Tableau6[[#This Row],[Position 2021]],1))</f>
        <v/>
      </c>
      <c r="F154" s="123" t="e">
        <f>IF(ISNA(Tableau6[[#This Row],[Position 2021]]),Tableau6[[#This Row],[Position 2021]],Tableau6[[#This Row],[2021]]-E$2)</f>
        <v>#N/A</v>
      </c>
      <c r="G154" s="102" t="e">
        <f>MATCH(Tableau6[Jours Mois]&amp;"/"&amp;Tableau6[[#Headers],[2022]],tabSuiviConso[Jour Mois Année],0)</f>
        <v>#N/A</v>
      </c>
      <c r="H154" s="102" t="str">
        <f>IF(ISNA(Tableau6[[#This Row],[Position 2022]]),"",INDEX(tabSuiviConso[HP + HC
cumul],Tableau6[[#This Row],[Position 2022]],1))</f>
        <v/>
      </c>
      <c r="I154" s="123" t="e">
        <f>IF(ISNA(Tableau6[[#This Row],[Position 2022]]),Tableau6[[#This Row],[Position 2022]],Tableau6[[#This Row],[2022]]-H$2)</f>
        <v>#N/A</v>
      </c>
      <c r="J154" s="102" t="e">
        <f>MATCH(Tableau6[Jours Mois]&amp;"/"&amp;Tableau6[[#Headers],[2023]],tabSuiviConso[Jour Mois Année],0)</f>
        <v>#N/A</v>
      </c>
      <c r="K154" s="102" t="e">
        <f>Tableau6[[#This Row],[Cumul 2022]]-Tableau6[[#This Row],[Cumul 2021]]</f>
        <v>#N/A</v>
      </c>
      <c r="L154" s="104" t="e">
        <f>Tableau6[[#This Row],[Ecart 2021 2022]]/Tableau6[[#This Row],[Cumul 2021]]</f>
        <v>#N/A</v>
      </c>
      <c r="M154" s="102" t="str">
        <f>IF(ISNA(Tableau6[[#This Row],[Position 2023]]),"",INDEX(tabSuiviConso[HP + HC
cumul],Tableau6[[#This Row],[Position 2023]],1))</f>
        <v/>
      </c>
      <c r="N154" s="123" t="e">
        <f>IF(ISNA(Tableau6[[#This Row],[Position 2023]]),Tableau6[[#This Row],[Position 2023]],Tableau6[[#This Row],[2023]]-M$2)</f>
        <v>#N/A</v>
      </c>
      <c r="O154" s="102" t="e">
        <f>Tableau6[[#This Row],[Cumul 2023]]-Tableau6[[#This Row],[Cumul 2022]]</f>
        <v>#N/A</v>
      </c>
      <c r="P154" s="104" t="e">
        <f>Tableau6[[#This Row],[Ecart 2022 2023]]/Tableau6[[#This Row],[Cumul 2022]]</f>
        <v>#N/A</v>
      </c>
      <c r="Q154" s="102" t="e">
        <f>MATCH(Tableau6[Jours Mois]&amp;"/"&amp;Tableau6[[#Headers],[2024]],tabSuiviConso[Jour Mois Année],0)</f>
        <v>#N/A</v>
      </c>
      <c r="R154" s="102" t="str">
        <f>IF(ISNA(Tableau6[[#This Row],[Position 2024]]),"",INDEX(tabSuiviConso[HP + HC
cumul],Tableau6[[#This Row],[Position 2024]],1))</f>
        <v/>
      </c>
      <c r="S154" s="123" t="e">
        <f>IF(ISNA(Tableau6[[#This Row],[Position 2024]]),Tableau6[[#This Row],[Position 2024]],Tableau6[[#This Row],[2024]]-R$2)</f>
        <v>#N/A</v>
      </c>
      <c r="T154" s="102" t="e">
        <f>Tableau6[[#This Row],[Cumul 2024]]-Tableau6[[#This Row],[Cumul 2023]]</f>
        <v>#N/A</v>
      </c>
      <c r="U154" s="103" t="e">
        <f>Tableau6[[#This Row],[Ecart 2023 2024]]/Tableau6[[#This Row],[Cumul 2023]]</f>
        <v>#N/A</v>
      </c>
    </row>
    <row r="155" spans="1:21" x14ac:dyDescent="0.2">
      <c r="A155" s="102">
        <v>6</v>
      </c>
      <c r="B155" s="102">
        <v>1</v>
      </c>
      <c r="C155" s="102" t="str">
        <f>Tableau6[Jour]&amp;"/"&amp;Tableau6[Mois]</f>
        <v>1/6</v>
      </c>
      <c r="D155" s="102" t="e">
        <f>MATCH(Tableau6[Jours Mois]&amp;"/"&amp;Tableau6[[#Headers],[2021]],tabSuiviConso[Jour Mois Année],0)</f>
        <v>#N/A</v>
      </c>
      <c r="E155" s="102" t="str">
        <f>IF(ISNA(Tableau6[[#This Row],[Position 2021]]),"",INDEX(tabSuiviConso[HP + HC
cumul],Tableau6[[#This Row],[Position 2021]],1))</f>
        <v/>
      </c>
      <c r="F155" s="123" t="e">
        <f>IF(ISNA(Tableau6[[#This Row],[Position 2021]]),Tableau6[[#This Row],[Position 2021]],Tableau6[[#This Row],[2021]]-E$2)</f>
        <v>#N/A</v>
      </c>
      <c r="G155" s="102" t="e">
        <f>MATCH(Tableau6[Jours Mois]&amp;"/"&amp;Tableau6[[#Headers],[2022]],tabSuiviConso[Jour Mois Année],0)</f>
        <v>#N/A</v>
      </c>
      <c r="H155" s="102" t="str">
        <f>IF(ISNA(Tableau6[[#This Row],[Position 2022]]),"",INDEX(tabSuiviConso[HP + HC
cumul],Tableau6[[#This Row],[Position 2022]],1))</f>
        <v/>
      </c>
      <c r="I155" s="123" t="e">
        <f>IF(ISNA(Tableau6[[#This Row],[Position 2022]]),Tableau6[[#This Row],[Position 2022]],Tableau6[[#This Row],[2022]]-H$2)</f>
        <v>#N/A</v>
      </c>
      <c r="J155" s="102" t="e">
        <f>MATCH(Tableau6[Jours Mois]&amp;"/"&amp;Tableau6[[#Headers],[2023]],tabSuiviConso[Jour Mois Année],0)</f>
        <v>#N/A</v>
      </c>
      <c r="K155" s="102" t="e">
        <f>Tableau6[[#This Row],[Cumul 2022]]-Tableau6[[#This Row],[Cumul 2021]]</f>
        <v>#N/A</v>
      </c>
      <c r="L155" s="104" t="e">
        <f>Tableau6[[#This Row],[Ecart 2021 2022]]/Tableau6[[#This Row],[Cumul 2021]]</f>
        <v>#N/A</v>
      </c>
      <c r="M155" s="102" t="str">
        <f>IF(ISNA(Tableau6[[#This Row],[Position 2023]]),"",INDEX(tabSuiviConso[HP + HC
cumul],Tableau6[[#This Row],[Position 2023]],1))</f>
        <v/>
      </c>
      <c r="N155" s="123" t="e">
        <f>IF(ISNA(Tableau6[[#This Row],[Position 2023]]),Tableau6[[#This Row],[Position 2023]],Tableau6[[#This Row],[2023]]-M$2)</f>
        <v>#N/A</v>
      </c>
      <c r="O155" s="102" t="e">
        <f>Tableau6[[#This Row],[Cumul 2023]]-Tableau6[[#This Row],[Cumul 2022]]</f>
        <v>#N/A</v>
      </c>
      <c r="P155" s="104" t="e">
        <f>Tableau6[[#This Row],[Ecart 2022 2023]]/Tableau6[[#This Row],[Cumul 2022]]</f>
        <v>#N/A</v>
      </c>
      <c r="Q155" s="102" t="e">
        <f>MATCH(Tableau6[Jours Mois]&amp;"/"&amp;Tableau6[[#Headers],[2024]],tabSuiviConso[Jour Mois Année],0)</f>
        <v>#N/A</v>
      </c>
      <c r="R155" s="102" t="str">
        <f>IF(ISNA(Tableau6[[#This Row],[Position 2024]]),"",INDEX(tabSuiviConso[HP + HC
cumul],Tableau6[[#This Row],[Position 2024]],1))</f>
        <v/>
      </c>
      <c r="S155" s="123" t="e">
        <f>IF(ISNA(Tableau6[[#This Row],[Position 2024]]),Tableau6[[#This Row],[Position 2024]],Tableau6[[#This Row],[2024]]-R$2)</f>
        <v>#N/A</v>
      </c>
      <c r="T155" s="102" t="e">
        <f>Tableau6[[#This Row],[Cumul 2024]]-Tableau6[[#This Row],[Cumul 2023]]</f>
        <v>#N/A</v>
      </c>
      <c r="U155" s="103" t="e">
        <f>Tableau6[[#This Row],[Ecart 2023 2024]]/Tableau6[[#This Row],[Cumul 2023]]</f>
        <v>#N/A</v>
      </c>
    </row>
    <row r="156" spans="1:21" x14ac:dyDescent="0.2">
      <c r="A156" s="102">
        <v>6</v>
      </c>
      <c r="B156" s="102">
        <v>2</v>
      </c>
      <c r="C156" s="102" t="str">
        <f>Tableau6[Jour]&amp;"/"&amp;Tableau6[Mois]</f>
        <v>2/6</v>
      </c>
      <c r="D156" s="102" t="e">
        <f>MATCH(Tableau6[Jours Mois]&amp;"/"&amp;Tableau6[[#Headers],[2021]],tabSuiviConso[Jour Mois Année],0)</f>
        <v>#N/A</v>
      </c>
      <c r="E156" s="102" t="str">
        <f>IF(ISNA(Tableau6[[#This Row],[Position 2021]]),"",INDEX(tabSuiviConso[HP + HC
cumul],Tableau6[[#This Row],[Position 2021]],1))</f>
        <v/>
      </c>
      <c r="F156" s="123" t="e">
        <f>IF(ISNA(Tableau6[[#This Row],[Position 2021]]),Tableau6[[#This Row],[Position 2021]],Tableau6[[#This Row],[2021]]-E$2)</f>
        <v>#N/A</v>
      </c>
      <c r="G156" s="102" t="e">
        <f>MATCH(Tableau6[Jours Mois]&amp;"/"&amp;Tableau6[[#Headers],[2022]],tabSuiviConso[Jour Mois Année],0)</f>
        <v>#N/A</v>
      </c>
      <c r="H156" s="102" t="str">
        <f>IF(ISNA(Tableau6[[#This Row],[Position 2022]]),"",INDEX(tabSuiviConso[HP + HC
cumul],Tableau6[[#This Row],[Position 2022]],1))</f>
        <v/>
      </c>
      <c r="I156" s="123" t="e">
        <f>IF(ISNA(Tableau6[[#This Row],[Position 2022]]),Tableau6[[#This Row],[Position 2022]],Tableau6[[#This Row],[2022]]-H$2)</f>
        <v>#N/A</v>
      </c>
      <c r="J156" s="102" t="e">
        <f>MATCH(Tableau6[Jours Mois]&amp;"/"&amp;Tableau6[[#Headers],[2023]],tabSuiviConso[Jour Mois Année],0)</f>
        <v>#N/A</v>
      </c>
      <c r="K156" s="102" t="e">
        <f>Tableau6[[#This Row],[Cumul 2022]]-Tableau6[[#This Row],[Cumul 2021]]</f>
        <v>#N/A</v>
      </c>
      <c r="L156" s="104" t="e">
        <f>Tableau6[[#This Row],[Ecart 2021 2022]]/Tableau6[[#This Row],[Cumul 2021]]</f>
        <v>#N/A</v>
      </c>
      <c r="M156" s="102" t="str">
        <f>IF(ISNA(Tableau6[[#This Row],[Position 2023]]),"",INDEX(tabSuiviConso[HP + HC
cumul],Tableau6[[#This Row],[Position 2023]],1))</f>
        <v/>
      </c>
      <c r="N156" s="123" t="e">
        <f>IF(ISNA(Tableau6[[#This Row],[Position 2023]]),Tableau6[[#This Row],[Position 2023]],Tableau6[[#This Row],[2023]]-M$2)</f>
        <v>#N/A</v>
      </c>
      <c r="O156" s="102" t="e">
        <f>Tableau6[[#This Row],[Cumul 2023]]-Tableau6[[#This Row],[Cumul 2022]]</f>
        <v>#N/A</v>
      </c>
      <c r="P156" s="104" t="e">
        <f>Tableau6[[#This Row],[Ecart 2022 2023]]/Tableau6[[#This Row],[Cumul 2022]]</f>
        <v>#N/A</v>
      </c>
      <c r="Q156" s="102" t="e">
        <f>MATCH(Tableau6[Jours Mois]&amp;"/"&amp;Tableau6[[#Headers],[2024]],tabSuiviConso[Jour Mois Année],0)</f>
        <v>#N/A</v>
      </c>
      <c r="R156" s="102" t="str">
        <f>IF(ISNA(Tableau6[[#This Row],[Position 2024]]),"",INDEX(tabSuiviConso[HP + HC
cumul],Tableau6[[#This Row],[Position 2024]],1))</f>
        <v/>
      </c>
      <c r="S156" s="123" t="e">
        <f>IF(ISNA(Tableau6[[#This Row],[Position 2024]]),Tableau6[[#This Row],[Position 2024]],Tableau6[[#This Row],[2024]]-R$2)</f>
        <v>#N/A</v>
      </c>
      <c r="T156" s="102" t="e">
        <f>Tableau6[[#This Row],[Cumul 2024]]-Tableau6[[#This Row],[Cumul 2023]]</f>
        <v>#N/A</v>
      </c>
      <c r="U156" s="103" t="e">
        <f>Tableau6[[#This Row],[Ecart 2023 2024]]/Tableau6[[#This Row],[Cumul 2023]]</f>
        <v>#N/A</v>
      </c>
    </row>
    <row r="157" spans="1:21" x14ac:dyDescent="0.2">
      <c r="A157" s="102">
        <v>6</v>
      </c>
      <c r="B157" s="102">
        <v>3</v>
      </c>
      <c r="C157" s="102" t="str">
        <f>Tableau6[Jour]&amp;"/"&amp;Tableau6[Mois]</f>
        <v>3/6</v>
      </c>
      <c r="D157" s="102" t="e">
        <f>MATCH(Tableau6[Jours Mois]&amp;"/"&amp;Tableau6[[#Headers],[2021]],tabSuiviConso[Jour Mois Année],0)</f>
        <v>#N/A</v>
      </c>
      <c r="E157" s="102" t="str">
        <f>IF(ISNA(Tableau6[[#This Row],[Position 2021]]),"",INDEX(tabSuiviConso[HP + HC
cumul],Tableau6[[#This Row],[Position 2021]],1))</f>
        <v/>
      </c>
      <c r="F157" s="123" t="e">
        <f>IF(ISNA(Tableau6[[#This Row],[Position 2021]]),Tableau6[[#This Row],[Position 2021]],Tableau6[[#This Row],[2021]]-E$2)</f>
        <v>#N/A</v>
      </c>
      <c r="G157" s="102" t="e">
        <f>MATCH(Tableau6[Jours Mois]&amp;"/"&amp;Tableau6[[#Headers],[2022]],tabSuiviConso[Jour Mois Année],0)</f>
        <v>#N/A</v>
      </c>
      <c r="H157" s="102" t="str">
        <f>IF(ISNA(Tableau6[[#This Row],[Position 2022]]),"",INDEX(tabSuiviConso[HP + HC
cumul],Tableau6[[#This Row],[Position 2022]],1))</f>
        <v/>
      </c>
      <c r="I157" s="123" t="e">
        <f>IF(ISNA(Tableau6[[#This Row],[Position 2022]]),Tableau6[[#This Row],[Position 2022]],Tableau6[[#This Row],[2022]]-H$2)</f>
        <v>#N/A</v>
      </c>
      <c r="J157" s="102" t="e">
        <f>MATCH(Tableau6[Jours Mois]&amp;"/"&amp;Tableau6[[#Headers],[2023]],tabSuiviConso[Jour Mois Année],0)</f>
        <v>#N/A</v>
      </c>
      <c r="K157" s="102" t="e">
        <f>Tableau6[[#This Row],[Cumul 2022]]-Tableau6[[#This Row],[Cumul 2021]]</f>
        <v>#N/A</v>
      </c>
      <c r="L157" s="104" t="e">
        <f>Tableau6[[#This Row],[Ecart 2021 2022]]/Tableau6[[#This Row],[Cumul 2021]]</f>
        <v>#N/A</v>
      </c>
      <c r="M157" s="102" t="str">
        <f>IF(ISNA(Tableau6[[#This Row],[Position 2023]]),"",INDEX(tabSuiviConso[HP + HC
cumul],Tableau6[[#This Row],[Position 2023]],1))</f>
        <v/>
      </c>
      <c r="N157" s="123" t="e">
        <f>IF(ISNA(Tableau6[[#This Row],[Position 2023]]),Tableau6[[#This Row],[Position 2023]],Tableau6[[#This Row],[2023]]-M$2)</f>
        <v>#N/A</v>
      </c>
      <c r="O157" s="102" t="e">
        <f>Tableau6[[#This Row],[Cumul 2023]]-Tableau6[[#This Row],[Cumul 2022]]</f>
        <v>#N/A</v>
      </c>
      <c r="P157" s="104" t="e">
        <f>Tableau6[[#This Row],[Ecart 2022 2023]]/Tableau6[[#This Row],[Cumul 2022]]</f>
        <v>#N/A</v>
      </c>
      <c r="Q157" s="102" t="e">
        <f>MATCH(Tableau6[Jours Mois]&amp;"/"&amp;Tableau6[[#Headers],[2024]],tabSuiviConso[Jour Mois Année],0)</f>
        <v>#N/A</v>
      </c>
      <c r="R157" s="102" t="str">
        <f>IF(ISNA(Tableau6[[#This Row],[Position 2024]]),"",INDEX(tabSuiviConso[HP + HC
cumul],Tableau6[[#This Row],[Position 2024]],1))</f>
        <v/>
      </c>
      <c r="S157" s="123" t="e">
        <f>IF(ISNA(Tableau6[[#This Row],[Position 2024]]),Tableau6[[#This Row],[Position 2024]],Tableau6[[#This Row],[2024]]-R$2)</f>
        <v>#N/A</v>
      </c>
      <c r="T157" s="102" t="e">
        <f>Tableau6[[#This Row],[Cumul 2024]]-Tableau6[[#This Row],[Cumul 2023]]</f>
        <v>#N/A</v>
      </c>
      <c r="U157" s="103" t="e">
        <f>Tableau6[[#This Row],[Ecart 2023 2024]]/Tableau6[[#This Row],[Cumul 2023]]</f>
        <v>#N/A</v>
      </c>
    </row>
    <row r="158" spans="1:21" x14ac:dyDescent="0.2">
      <c r="A158" s="102">
        <v>6</v>
      </c>
      <c r="B158" s="102">
        <v>4</v>
      </c>
      <c r="C158" s="102" t="str">
        <f>Tableau6[Jour]&amp;"/"&amp;Tableau6[Mois]</f>
        <v>4/6</v>
      </c>
      <c r="D158" s="102" t="e">
        <f>MATCH(Tableau6[Jours Mois]&amp;"/"&amp;Tableau6[[#Headers],[2021]],tabSuiviConso[Jour Mois Année],0)</f>
        <v>#N/A</v>
      </c>
      <c r="E158" s="102" t="str">
        <f>IF(ISNA(Tableau6[[#This Row],[Position 2021]]),"",INDEX(tabSuiviConso[HP + HC
cumul],Tableau6[[#This Row],[Position 2021]],1))</f>
        <v/>
      </c>
      <c r="F158" s="123" t="e">
        <f>IF(ISNA(Tableau6[[#This Row],[Position 2021]]),Tableau6[[#This Row],[Position 2021]],Tableau6[[#This Row],[2021]]-E$2)</f>
        <v>#N/A</v>
      </c>
      <c r="G158" s="102" t="e">
        <f>MATCH(Tableau6[Jours Mois]&amp;"/"&amp;Tableau6[[#Headers],[2022]],tabSuiviConso[Jour Mois Année],0)</f>
        <v>#N/A</v>
      </c>
      <c r="H158" s="102" t="str">
        <f>IF(ISNA(Tableau6[[#This Row],[Position 2022]]),"",INDEX(tabSuiviConso[HP + HC
cumul],Tableau6[[#This Row],[Position 2022]],1))</f>
        <v/>
      </c>
      <c r="I158" s="123" t="e">
        <f>IF(ISNA(Tableau6[[#This Row],[Position 2022]]),Tableau6[[#This Row],[Position 2022]],Tableau6[[#This Row],[2022]]-H$2)</f>
        <v>#N/A</v>
      </c>
      <c r="J158" s="102" t="e">
        <f>MATCH(Tableau6[Jours Mois]&amp;"/"&amp;Tableau6[[#Headers],[2023]],tabSuiviConso[Jour Mois Année],0)</f>
        <v>#N/A</v>
      </c>
      <c r="K158" s="102" t="e">
        <f>Tableau6[[#This Row],[Cumul 2022]]-Tableau6[[#This Row],[Cumul 2021]]</f>
        <v>#N/A</v>
      </c>
      <c r="L158" s="104" t="e">
        <f>Tableau6[[#This Row],[Ecart 2021 2022]]/Tableau6[[#This Row],[Cumul 2021]]</f>
        <v>#N/A</v>
      </c>
      <c r="M158" s="102" t="str">
        <f>IF(ISNA(Tableau6[[#This Row],[Position 2023]]),"",INDEX(tabSuiviConso[HP + HC
cumul],Tableau6[[#This Row],[Position 2023]],1))</f>
        <v/>
      </c>
      <c r="N158" s="123" t="e">
        <f>IF(ISNA(Tableau6[[#This Row],[Position 2023]]),Tableau6[[#This Row],[Position 2023]],Tableau6[[#This Row],[2023]]-M$2)</f>
        <v>#N/A</v>
      </c>
      <c r="O158" s="102" t="e">
        <f>Tableau6[[#This Row],[Cumul 2023]]-Tableau6[[#This Row],[Cumul 2022]]</f>
        <v>#N/A</v>
      </c>
      <c r="P158" s="104" t="e">
        <f>Tableau6[[#This Row],[Ecart 2022 2023]]/Tableau6[[#This Row],[Cumul 2022]]</f>
        <v>#N/A</v>
      </c>
      <c r="Q158" s="102" t="e">
        <f>MATCH(Tableau6[Jours Mois]&amp;"/"&amp;Tableau6[[#Headers],[2024]],tabSuiviConso[Jour Mois Année],0)</f>
        <v>#N/A</v>
      </c>
      <c r="R158" s="102" t="str">
        <f>IF(ISNA(Tableau6[[#This Row],[Position 2024]]),"",INDEX(tabSuiviConso[HP + HC
cumul],Tableau6[[#This Row],[Position 2024]],1))</f>
        <v/>
      </c>
      <c r="S158" s="123" t="e">
        <f>IF(ISNA(Tableau6[[#This Row],[Position 2024]]),Tableau6[[#This Row],[Position 2024]],Tableau6[[#This Row],[2024]]-R$2)</f>
        <v>#N/A</v>
      </c>
      <c r="T158" s="102" t="e">
        <f>Tableau6[[#This Row],[Cumul 2024]]-Tableau6[[#This Row],[Cumul 2023]]</f>
        <v>#N/A</v>
      </c>
      <c r="U158" s="103" t="e">
        <f>Tableau6[[#This Row],[Ecart 2023 2024]]/Tableau6[[#This Row],[Cumul 2023]]</f>
        <v>#N/A</v>
      </c>
    </row>
    <row r="159" spans="1:21" x14ac:dyDescent="0.2">
      <c r="A159" s="102">
        <v>6</v>
      </c>
      <c r="B159" s="102">
        <v>5</v>
      </c>
      <c r="C159" s="102" t="str">
        <f>Tableau6[Jour]&amp;"/"&amp;Tableau6[Mois]</f>
        <v>5/6</v>
      </c>
      <c r="D159" s="102" t="e">
        <f>MATCH(Tableau6[Jours Mois]&amp;"/"&amp;Tableau6[[#Headers],[2021]],tabSuiviConso[Jour Mois Année],0)</f>
        <v>#N/A</v>
      </c>
      <c r="E159" s="102" t="str">
        <f>IF(ISNA(Tableau6[[#This Row],[Position 2021]]),"",INDEX(tabSuiviConso[HP + HC
cumul],Tableau6[[#This Row],[Position 2021]],1))</f>
        <v/>
      </c>
      <c r="F159" s="123" t="e">
        <f>IF(ISNA(Tableau6[[#This Row],[Position 2021]]),Tableau6[[#This Row],[Position 2021]],Tableau6[[#This Row],[2021]]-E$2)</f>
        <v>#N/A</v>
      </c>
      <c r="G159" s="102" t="e">
        <f>MATCH(Tableau6[Jours Mois]&amp;"/"&amp;Tableau6[[#Headers],[2022]],tabSuiviConso[Jour Mois Année],0)</f>
        <v>#N/A</v>
      </c>
      <c r="H159" s="102" t="str">
        <f>IF(ISNA(Tableau6[[#This Row],[Position 2022]]),"",INDEX(tabSuiviConso[HP + HC
cumul],Tableau6[[#This Row],[Position 2022]],1))</f>
        <v/>
      </c>
      <c r="I159" s="123" t="e">
        <f>IF(ISNA(Tableau6[[#This Row],[Position 2022]]),Tableau6[[#This Row],[Position 2022]],Tableau6[[#This Row],[2022]]-H$2)</f>
        <v>#N/A</v>
      </c>
      <c r="J159" s="102" t="e">
        <f>MATCH(Tableau6[Jours Mois]&amp;"/"&amp;Tableau6[[#Headers],[2023]],tabSuiviConso[Jour Mois Année],0)</f>
        <v>#N/A</v>
      </c>
      <c r="K159" s="102" t="e">
        <f>Tableau6[[#This Row],[Cumul 2022]]-Tableau6[[#This Row],[Cumul 2021]]</f>
        <v>#N/A</v>
      </c>
      <c r="L159" s="104" t="e">
        <f>Tableau6[[#This Row],[Ecart 2021 2022]]/Tableau6[[#This Row],[Cumul 2021]]</f>
        <v>#N/A</v>
      </c>
      <c r="M159" s="102" t="str">
        <f>IF(ISNA(Tableau6[[#This Row],[Position 2023]]),"",INDEX(tabSuiviConso[HP + HC
cumul],Tableau6[[#This Row],[Position 2023]],1))</f>
        <v/>
      </c>
      <c r="N159" s="123" t="e">
        <f>IF(ISNA(Tableau6[[#This Row],[Position 2023]]),Tableau6[[#This Row],[Position 2023]],Tableau6[[#This Row],[2023]]-M$2)</f>
        <v>#N/A</v>
      </c>
      <c r="O159" s="102" t="e">
        <f>Tableau6[[#This Row],[Cumul 2023]]-Tableau6[[#This Row],[Cumul 2022]]</f>
        <v>#N/A</v>
      </c>
      <c r="P159" s="104" t="e">
        <f>Tableau6[[#This Row],[Ecart 2022 2023]]/Tableau6[[#This Row],[Cumul 2022]]</f>
        <v>#N/A</v>
      </c>
      <c r="Q159" s="102" t="e">
        <f>MATCH(Tableau6[Jours Mois]&amp;"/"&amp;Tableau6[[#Headers],[2024]],tabSuiviConso[Jour Mois Année],0)</f>
        <v>#N/A</v>
      </c>
      <c r="R159" s="102" t="str">
        <f>IF(ISNA(Tableau6[[#This Row],[Position 2024]]),"",INDEX(tabSuiviConso[HP + HC
cumul],Tableau6[[#This Row],[Position 2024]],1))</f>
        <v/>
      </c>
      <c r="S159" s="123" t="e">
        <f>IF(ISNA(Tableau6[[#This Row],[Position 2024]]),Tableau6[[#This Row],[Position 2024]],Tableau6[[#This Row],[2024]]-R$2)</f>
        <v>#N/A</v>
      </c>
      <c r="T159" s="102" t="e">
        <f>Tableau6[[#This Row],[Cumul 2024]]-Tableau6[[#This Row],[Cumul 2023]]</f>
        <v>#N/A</v>
      </c>
      <c r="U159" s="103" t="e">
        <f>Tableau6[[#This Row],[Ecart 2023 2024]]/Tableau6[[#This Row],[Cumul 2023]]</f>
        <v>#N/A</v>
      </c>
    </row>
    <row r="160" spans="1:21" x14ac:dyDescent="0.2">
      <c r="A160" s="102">
        <v>6</v>
      </c>
      <c r="B160" s="102">
        <v>6</v>
      </c>
      <c r="C160" s="102" t="str">
        <f>Tableau6[Jour]&amp;"/"&amp;Tableau6[Mois]</f>
        <v>6/6</v>
      </c>
      <c r="D160" s="102" t="e">
        <f>MATCH(Tableau6[Jours Mois]&amp;"/"&amp;Tableau6[[#Headers],[2021]],tabSuiviConso[Jour Mois Année],0)</f>
        <v>#N/A</v>
      </c>
      <c r="E160" s="102" t="str">
        <f>IF(ISNA(Tableau6[[#This Row],[Position 2021]]),"",INDEX(tabSuiviConso[HP + HC
cumul],Tableau6[[#This Row],[Position 2021]],1))</f>
        <v/>
      </c>
      <c r="F160" s="123" t="e">
        <f>IF(ISNA(Tableau6[[#This Row],[Position 2021]]),Tableau6[[#This Row],[Position 2021]],Tableau6[[#This Row],[2021]]-E$2)</f>
        <v>#N/A</v>
      </c>
      <c r="G160" s="102" t="e">
        <f>MATCH(Tableau6[Jours Mois]&amp;"/"&amp;Tableau6[[#Headers],[2022]],tabSuiviConso[Jour Mois Année],0)</f>
        <v>#N/A</v>
      </c>
      <c r="H160" s="102" t="str">
        <f>IF(ISNA(Tableau6[[#This Row],[Position 2022]]),"",INDEX(tabSuiviConso[HP + HC
cumul],Tableau6[[#This Row],[Position 2022]],1))</f>
        <v/>
      </c>
      <c r="I160" s="123" t="e">
        <f>IF(ISNA(Tableau6[[#This Row],[Position 2022]]),Tableau6[[#This Row],[Position 2022]],Tableau6[[#This Row],[2022]]-H$2)</f>
        <v>#N/A</v>
      </c>
      <c r="J160" s="102" t="e">
        <f>MATCH(Tableau6[Jours Mois]&amp;"/"&amp;Tableau6[[#Headers],[2023]],tabSuiviConso[Jour Mois Année],0)</f>
        <v>#N/A</v>
      </c>
      <c r="K160" s="102" t="e">
        <f>Tableau6[[#This Row],[Cumul 2022]]-Tableau6[[#This Row],[Cumul 2021]]</f>
        <v>#N/A</v>
      </c>
      <c r="L160" s="104" t="e">
        <f>Tableau6[[#This Row],[Ecart 2021 2022]]/Tableau6[[#This Row],[Cumul 2021]]</f>
        <v>#N/A</v>
      </c>
      <c r="M160" s="102" t="str">
        <f>IF(ISNA(Tableau6[[#This Row],[Position 2023]]),"",INDEX(tabSuiviConso[HP + HC
cumul],Tableau6[[#This Row],[Position 2023]],1))</f>
        <v/>
      </c>
      <c r="N160" s="123" t="e">
        <f>IF(ISNA(Tableau6[[#This Row],[Position 2023]]),Tableau6[[#This Row],[Position 2023]],Tableau6[[#This Row],[2023]]-M$2)</f>
        <v>#N/A</v>
      </c>
      <c r="O160" s="102" t="e">
        <f>Tableau6[[#This Row],[Cumul 2023]]-Tableau6[[#This Row],[Cumul 2022]]</f>
        <v>#N/A</v>
      </c>
      <c r="P160" s="104" t="e">
        <f>Tableau6[[#This Row],[Ecart 2022 2023]]/Tableau6[[#This Row],[Cumul 2022]]</f>
        <v>#N/A</v>
      </c>
      <c r="Q160" s="102" t="e">
        <f>MATCH(Tableau6[Jours Mois]&amp;"/"&amp;Tableau6[[#Headers],[2024]],tabSuiviConso[Jour Mois Année],0)</f>
        <v>#N/A</v>
      </c>
      <c r="R160" s="102" t="str">
        <f>IF(ISNA(Tableau6[[#This Row],[Position 2024]]),"",INDEX(tabSuiviConso[HP + HC
cumul],Tableau6[[#This Row],[Position 2024]],1))</f>
        <v/>
      </c>
      <c r="S160" s="123" t="e">
        <f>IF(ISNA(Tableau6[[#This Row],[Position 2024]]),Tableau6[[#This Row],[Position 2024]],Tableau6[[#This Row],[2024]]-R$2)</f>
        <v>#N/A</v>
      </c>
      <c r="T160" s="102" t="e">
        <f>Tableau6[[#This Row],[Cumul 2024]]-Tableau6[[#This Row],[Cumul 2023]]</f>
        <v>#N/A</v>
      </c>
      <c r="U160" s="103" t="e">
        <f>Tableau6[[#This Row],[Ecart 2023 2024]]/Tableau6[[#This Row],[Cumul 2023]]</f>
        <v>#N/A</v>
      </c>
    </row>
    <row r="161" spans="1:21" x14ac:dyDescent="0.2">
      <c r="A161" s="102">
        <v>6</v>
      </c>
      <c r="B161" s="102">
        <v>7</v>
      </c>
      <c r="C161" s="102" t="str">
        <f>Tableau6[Jour]&amp;"/"&amp;Tableau6[Mois]</f>
        <v>7/6</v>
      </c>
      <c r="D161" s="102" t="e">
        <f>MATCH(Tableau6[Jours Mois]&amp;"/"&amp;Tableau6[[#Headers],[2021]],tabSuiviConso[Jour Mois Année],0)</f>
        <v>#N/A</v>
      </c>
      <c r="E161" s="102" t="str">
        <f>IF(ISNA(Tableau6[[#This Row],[Position 2021]]),"",INDEX(tabSuiviConso[HP + HC
cumul],Tableau6[[#This Row],[Position 2021]],1))</f>
        <v/>
      </c>
      <c r="F161" s="123" t="e">
        <f>IF(ISNA(Tableau6[[#This Row],[Position 2021]]),Tableau6[[#This Row],[Position 2021]],Tableau6[[#This Row],[2021]]-E$2)</f>
        <v>#N/A</v>
      </c>
      <c r="G161" s="102" t="e">
        <f>MATCH(Tableau6[Jours Mois]&amp;"/"&amp;Tableau6[[#Headers],[2022]],tabSuiviConso[Jour Mois Année],0)</f>
        <v>#N/A</v>
      </c>
      <c r="H161" s="102" t="str">
        <f>IF(ISNA(Tableau6[[#This Row],[Position 2022]]),"",INDEX(tabSuiviConso[HP + HC
cumul],Tableau6[[#This Row],[Position 2022]],1))</f>
        <v/>
      </c>
      <c r="I161" s="123" t="e">
        <f>IF(ISNA(Tableau6[[#This Row],[Position 2022]]),Tableau6[[#This Row],[Position 2022]],Tableau6[[#This Row],[2022]]-H$2)</f>
        <v>#N/A</v>
      </c>
      <c r="J161" s="102" t="e">
        <f>MATCH(Tableau6[Jours Mois]&amp;"/"&amp;Tableau6[[#Headers],[2023]],tabSuiviConso[Jour Mois Année],0)</f>
        <v>#N/A</v>
      </c>
      <c r="K161" s="102" t="e">
        <f>Tableau6[[#This Row],[Cumul 2022]]-Tableau6[[#This Row],[Cumul 2021]]</f>
        <v>#N/A</v>
      </c>
      <c r="L161" s="104" t="e">
        <f>Tableau6[[#This Row],[Ecart 2021 2022]]/Tableau6[[#This Row],[Cumul 2021]]</f>
        <v>#N/A</v>
      </c>
      <c r="M161" s="102" t="str">
        <f>IF(ISNA(Tableau6[[#This Row],[Position 2023]]),"",INDEX(tabSuiviConso[HP + HC
cumul],Tableau6[[#This Row],[Position 2023]],1))</f>
        <v/>
      </c>
      <c r="N161" s="123" t="e">
        <f>IF(ISNA(Tableau6[[#This Row],[Position 2023]]),Tableau6[[#This Row],[Position 2023]],Tableau6[[#This Row],[2023]]-M$2)</f>
        <v>#N/A</v>
      </c>
      <c r="O161" s="102" t="e">
        <f>Tableau6[[#This Row],[Cumul 2023]]-Tableau6[[#This Row],[Cumul 2022]]</f>
        <v>#N/A</v>
      </c>
      <c r="P161" s="104" t="e">
        <f>Tableau6[[#This Row],[Ecart 2022 2023]]/Tableau6[[#This Row],[Cumul 2022]]</f>
        <v>#N/A</v>
      </c>
      <c r="Q161" s="102" t="e">
        <f>MATCH(Tableau6[Jours Mois]&amp;"/"&amp;Tableau6[[#Headers],[2024]],tabSuiviConso[Jour Mois Année],0)</f>
        <v>#N/A</v>
      </c>
      <c r="R161" s="102" t="str">
        <f>IF(ISNA(Tableau6[[#This Row],[Position 2024]]),"",INDEX(tabSuiviConso[HP + HC
cumul],Tableau6[[#This Row],[Position 2024]],1))</f>
        <v/>
      </c>
      <c r="S161" s="123" t="e">
        <f>IF(ISNA(Tableau6[[#This Row],[Position 2024]]),Tableau6[[#This Row],[Position 2024]],Tableau6[[#This Row],[2024]]-R$2)</f>
        <v>#N/A</v>
      </c>
      <c r="T161" s="102" t="e">
        <f>Tableau6[[#This Row],[Cumul 2024]]-Tableau6[[#This Row],[Cumul 2023]]</f>
        <v>#N/A</v>
      </c>
      <c r="U161" s="103" t="e">
        <f>Tableau6[[#This Row],[Ecart 2023 2024]]/Tableau6[[#This Row],[Cumul 2023]]</f>
        <v>#N/A</v>
      </c>
    </row>
    <row r="162" spans="1:21" x14ac:dyDescent="0.2">
      <c r="A162" s="102">
        <v>6</v>
      </c>
      <c r="B162" s="102">
        <v>8</v>
      </c>
      <c r="C162" s="102" t="str">
        <f>Tableau6[Jour]&amp;"/"&amp;Tableau6[Mois]</f>
        <v>8/6</v>
      </c>
      <c r="D162" s="102" t="e">
        <f>MATCH(Tableau6[Jours Mois]&amp;"/"&amp;Tableau6[[#Headers],[2021]],tabSuiviConso[Jour Mois Année],0)</f>
        <v>#N/A</v>
      </c>
      <c r="E162" s="102" t="str">
        <f>IF(ISNA(Tableau6[[#This Row],[Position 2021]]),"",INDEX(tabSuiviConso[HP + HC
cumul],Tableau6[[#This Row],[Position 2021]],1))</f>
        <v/>
      </c>
      <c r="F162" s="123" t="e">
        <f>IF(ISNA(Tableau6[[#This Row],[Position 2021]]),Tableau6[[#This Row],[Position 2021]],Tableau6[[#This Row],[2021]]-E$2)</f>
        <v>#N/A</v>
      </c>
      <c r="G162" s="102" t="e">
        <f>MATCH(Tableau6[Jours Mois]&amp;"/"&amp;Tableau6[[#Headers],[2022]],tabSuiviConso[Jour Mois Année],0)</f>
        <v>#N/A</v>
      </c>
      <c r="H162" s="102" t="str">
        <f>IF(ISNA(Tableau6[[#This Row],[Position 2022]]),"",INDEX(tabSuiviConso[HP + HC
cumul],Tableau6[[#This Row],[Position 2022]],1))</f>
        <v/>
      </c>
      <c r="I162" s="123" t="e">
        <f>IF(ISNA(Tableau6[[#This Row],[Position 2022]]),Tableau6[[#This Row],[Position 2022]],Tableau6[[#This Row],[2022]]-H$2)</f>
        <v>#N/A</v>
      </c>
      <c r="J162" s="102" t="e">
        <f>MATCH(Tableau6[Jours Mois]&amp;"/"&amp;Tableau6[[#Headers],[2023]],tabSuiviConso[Jour Mois Année],0)</f>
        <v>#N/A</v>
      </c>
      <c r="K162" s="102" t="e">
        <f>Tableau6[[#This Row],[Cumul 2022]]-Tableau6[[#This Row],[Cumul 2021]]</f>
        <v>#N/A</v>
      </c>
      <c r="L162" s="104" t="e">
        <f>Tableau6[[#This Row],[Ecart 2021 2022]]/Tableau6[[#This Row],[Cumul 2021]]</f>
        <v>#N/A</v>
      </c>
      <c r="M162" s="102" t="str">
        <f>IF(ISNA(Tableau6[[#This Row],[Position 2023]]),"",INDEX(tabSuiviConso[HP + HC
cumul],Tableau6[[#This Row],[Position 2023]],1))</f>
        <v/>
      </c>
      <c r="N162" s="123" t="e">
        <f>IF(ISNA(Tableau6[[#This Row],[Position 2023]]),Tableau6[[#This Row],[Position 2023]],Tableau6[[#This Row],[2023]]-M$2)</f>
        <v>#N/A</v>
      </c>
      <c r="O162" s="102" t="e">
        <f>Tableau6[[#This Row],[Cumul 2023]]-Tableau6[[#This Row],[Cumul 2022]]</f>
        <v>#N/A</v>
      </c>
      <c r="P162" s="104" t="e">
        <f>Tableau6[[#This Row],[Ecart 2022 2023]]/Tableau6[[#This Row],[Cumul 2022]]</f>
        <v>#N/A</v>
      </c>
      <c r="Q162" s="102" t="e">
        <f>MATCH(Tableau6[Jours Mois]&amp;"/"&amp;Tableau6[[#Headers],[2024]],tabSuiviConso[Jour Mois Année],0)</f>
        <v>#N/A</v>
      </c>
      <c r="R162" s="102" t="str">
        <f>IF(ISNA(Tableau6[[#This Row],[Position 2024]]),"",INDEX(tabSuiviConso[HP + HC
cumul],Tableau6[[#This Row],[Position 2024]],1))</f>
        <v/>
      </c>
      <c r="S162" s="123" t="e">
        <f>IF(ISNA(Tableau6[[#This Row],[Position 2024]]),Tableau6[[#This Row],[Position 2024]],Tableau6[[#This Row],[2024]]-R$2)</f>
        <v>#N/A</v>
      </c>
      <c r="T162" s="102" t="e">
        <f>Tableau6[[#This Row],[Cumul 2024]]-Tableau6[[#This Row],[Cumul 2023]]</f>
        <v>#N/A</v>
      </c>
      <c r="U162" s="103" t="e">
        <f>Tableau6[[#This Row],[Ecart 2023 2024]]/Tableau6[[#This Row],[Cumul 2023]]</f>
        <v>#N/A</v>
      </c>
    </row>
    <row r="163" spans="1:21" x14ac:dyDescent="0.2">
      <c r="A163" s="102">
        <v>6</v>
      </c>
      <c r="B163" s="102">
        <v>9</v>
      </c>
      <c r="C163" s="102" t="str">
        <f>Tableau6[Jour]&amp;"/"&amp;Tableau6[Mois]</f>
        <v>9/6</v>
      </c>
      <c r="D163" s="102" t="e">
        <f>MATCH(Tableau6[Jours Mois]&amp;"/"&amp;Tableau6[[#Headers],[2021]],tabSuiviConso[Jour Mois Année],0)</f>
        <v>#N/A</v>
      </c>
      <c r="E163" s="102" t="str">
        <f>IF(ISNA(Tableau6[[#This Row],[Position 2021]]),"",INDEX(tabSuiviConso[HP + HC
cumul],Tableau6[[#This Row],[Position 2021]],1))</f>
        <v/>
      </c>
      <c r="F163" s="123" t="e">
        <f>IF(ISNA(Tableau6[[#This Row],[Position 2021]]),Tableau6[[#This Row],[Position 2021]],Tableau6[[#This Row],[2021]]-E$2)</f>
        <v>#N/A</v>
      </c>
      <c r="G163" s="102" t="e">
        <f>MATCH(Tableau6[Jours Mois]&amp;"/"&amp;Tableau6[[#Headers],[2022]],tabSuiviConso[Jour Mois Année],0)</f>
        <v>#N/A</v>
      </c>
      <c r="H163" s="102" t="str">
        <f>IF(ISNA(Tableau6[[#This Row],[Position 2022]]),"",INDEX(tabSuiviConso[HP + HC
cumul],Tableau6[[#This Row],[Position 2022]],1))</f>
        <v/>
      </c>
      <c r="I163" s="123" t="e">
        <f>IF(ISNA(Tableau6[[#This Row],[Position 2022]]),Tableau6[[#This Row],[Position 2022]],Tableau6[[#This Row],[2022]]-H$2)</f>
        <v>#N/A</v>
      </c>
      <c r="J163" s="102" t="e">
        <f>MATCH(Tableau6[Jours Mois]&amp;"/"&amp;Tableau6[[#Headers],[2023]],tabSuiviConso[Jour Mois Année],0)</f>
        <v>#N/A</v>
      </c>
      <c r="K163" s="102" t="e">
        <f>Tableau6[[#This Row],[Cumul 2022]]-Tableau6[[#This Row],[Cumul 2021]]</f>
        <v>#N/A</v>
      </c>
      <c r="L163" s="104" t="e">
        <f>Tableau6[[#This Row],[Ecart 2021 2022]]/Tableau6[[#This Row],[Cumul 2021]]</f>
        <v>#N/A</v>
      </c>
      <c r="M163" s="102" t="str">
        <f>IF(ISNA(Tableau6[[#This Row],[Position 2023]]),"",INDEX(tabSuiviConso[HP + HC
cumul],Tableau6[[#This Row],[Position 2023]],1))</f>
        <v/>
      </c>
      <c r="N163" s="123" t="e">
        <f>IF(ISNA(Tableau6[[#This Row],[Position 2023]]),Tableau6[[#This Row],[Position 2023]],Tableau6[[#This Row],[2023]]-M$2)</f>
        <v>#N/A</v>
      </c>
      <c r="O163" s="102" t="e">
        <f>Tableau6[[#This Row],[Cumul 2023]]-Tableau6[[#This Row],[Cumul 2022]]</f>
        <v>#N/A</v>
      </c>
      <c r="P163" s="104" t="e">
        <f>Tableau6[[#This Row],[Ecart 2022 2023]]/Tableau6[[#This Row],[Cumul 2022]]</f>
        <v>#N/A</v>
      </c>
      <c r="Q163" s="102" t="e">
        <f>MATCH(Tableau6[Jours Mois]&amp;"/"&amp;Tableau6[[#Headers],[2024]],tabSuiviConso[Jour Mois Année],0)</f>
        <v>#N/A</v>
      </c>
      <c r="R163" s="102" t="str">
        <f>IF(ISNA(Tableau6[[#This Row],[Position 2024]]),"",INDEX(tabSuiviConso[HP + HC
cumul],Tableau6[[#This Row],[Position 2024]],1))</f>
        <v/>
      </c>
      <c r="S163" s="123" t="e">
        <f>IF(ISNA(Tableau6[[#This Row],[Position 2024]]),Tableau6[[#This Row],[Position 2024]],Tableau6[[#This Row],[2024]]-R$2)</f>
        <v>#N/A</v>
      </c>
      <c r="T163" s="102" t="e">
        <f>Tableau6[[#This Row],[Cumul 2024]]-Tableau6[[#This Row],[Cumul 2023]]</f>
        <v>#N/A</v>
      </c>
      <c r="U163" s="103" t="e">
        <f>Tableau6[[#This Row],[Ecart 2023 2024]]/Tableau6[[#This Row],[Cumul 2023]]</f>
        <v>#N/A</v>
      </c>
    </row>
    <row r="164" spans="1:21" x14ac:dyDescent="0.2">
      <c r="A164" s="102">
        <v>6</v>
      </c>
      <c r="B164" s="102">
        <v>10</v>
      </c>
      <c r="C164" s="102" t="str">
        <f>Tableau6[Jour]&amp;"/"&amp;Tableau6[Mois]</f>
        <v>10/6</v>
      </c>
      <c r="D164" s="102" t="e">
        <f>MATCH(Tableau6[Jours Mois]&amp;"/"&amp;Tableau6[[#Headers],[2021]],tabSuiviConso[Jour Mois Année],0)</f>
        <v>#N/A</v>
      </c>
      <c r="E164" s="102" t="str">
        <f>IF(ISNA(Tableau6[[#This Row],[Position 2021]]),"",INDEX(tabSuiviConso[HP + HC
cumul],Tableau6[[#This Row],[Position 2021]],1))</f>
        <v/>
      </c>
      <c r="F164" s="123" t="e">
        <f>IF(ISNA(Tableau6[[#This Row],[Position 2021]]),Tableau6[[#This Row],[Position 2021]],Tableau6[[#This Row],[2021]]-E$2)</f>
        <v>#N/A</v>
      </c>
      <c r="G164" s="102" t="e">
        <f>MATCH(Tableau6[Jours Mois]&amp;"/"&amp;Tableau6[[#Headers],[2022]],tabSuiviConso[Jour Mois Année],0)</f>
        <v>#N/A</v>
      </c>
      <c r="H164" s="102" t="str">
        <f>IF(ISNA(Tableau6[[#This Row],[Position 2022]]),"",INDEX(tabSuiviConso[HP + HC
cumul],Tableau6[[#This Row],[Position 2022]],1))</f>
        <v/>
      </c>
      <c r="I164" s="123" t="e">
        <f>IF(ISNA(Tableau6[[#This Row],[Position 2022]]),Tableau6[[#This Row],[Position 2022]],Tableau6[[#This Row],[2022]]-H$2)</f>
        <v>#N/A</v>
      </c>
      <c r="J164" s="102" t="e">
        <f>MATCH(Tableau6[Jours Mois]&amp;"/"&amp;Tableau6[[#Headers],[2023]],tabSuiviConso[Jour Mois Année],0)</f>
        <v>#N/A</v>
      </c>
      <c r="K164" s="102" t="e">
        <f>Tableau6[[#This Row],[Cumul 2022]]-Tableau6[[#This Row],[Cumul 2021]]</f>
        <v>#N/A</v>
      </c>
      <c r="L164" s="104" t="e">
        <f>Tableau6[[#This Row],[Ecart 2021 2022]]/Tableau6[[#This Row],[Cumul 2021]]</f>
        <v>#N/A</v>
      </c>
      <c r="M164" s="102" t="str">
        <f>IF(ISNA(Tableau6[[#This Row],[Position 2023]]),"",INDEX(tabSuiviConso[HP + HC
cumul],Tableau6[[#This Row],[Position 2023]],1))</f>
        <v/>
      </c>
      <c r="N164" s="123" t="e">
        <f>IF(ISNA(Tableau6[[#This Row],[Position 2023]]),Tableau6[[#This Row],[Position 2023]],Tableau6[[#This Row],[2023]]-M$2)</f>
        <v>#N/A</v>
      </c>
      <c r="O164" s="102" t="e">
        <f>Tableau6[[#This Row],[Cumul 2023]]-Tableau6[[#This Row],[Cumul 2022]]</f>
        <v>#N/A</v>
      </c>
      <c r="P164" s="104" t="e">
        <f>Tableau6[[#This Row],[Ecart 2022 2023]]/Tableau6[[#This Row],[Cumul 2022]]</f>
        <v>#N/A</v>
      </c>
      <c r="Q164" s="102" t="e">
        <f>MATCH(Tableau6[Jours Mois]&amp;"/"&amp;Tableau6[[#Headers],[2024]],tabSuiviConso[Jour Mois Année],0)</f>
        <v>#N/A</v>
      </c>
      <c r="R164" s="102" t="str">
        <f>IF(ISNA(Tableau6[[#This Row],[Position 2024]]),"",INDEX(tabSuiviConso[HP + HC
cumul],Tableau6[[#This Row],[Position 2024]],1))</f>
        <v/>
      </c>
      <c r="S164" s="123" t="e">
        <f>IF(ISNA(Tableau6[[#This Row],[Position 2024]]),Tableau6[[#This Row],[Position 2024]],Tableau6[[#This Row],[2024]]-R$2)</f>
        <v>#N/A</v>
      </c>
      <c r="T164" s="102" t="e">
        <f>Tableau6[[#This Row],[Cumul 2024]]-Tableau6[[#This Row],[Cumul 2023]]</f>
        <v>#N/A</v>
      </c>
      <c r="U164" s="103" t="e">
        <f>Tableau6[[#This Row],[Ecart 2023 2024]]/Tableau6[[#This Row],[Cumul 2023]]</f>
        <v>#N/A</v>
      </c>
    </row>
    <row r="165" spans="1:21" x14ac:dyDescent="0.2">
      <c r="A165" s="102">
        <v>6</v>
      </c>
      <c r="B165" s="102">
        <v>11</v>
      </c>
      <c r="C165" s="102" t="str">
        <f>Tableau6[Jour]&amp;"/"&amp;Tableau6[Mois]</f>
        <v>11/6</v>
      </c>
      <c r="D165" s="102" t="e">
        <f>MATCH(Tableau6[Jours Mois]&amp;"/"&amp;Tableau6[[#Headers],[2021]],tabSuiviConso[Jour Mois Année],0)</f>
        <v>#N/A</v>
      </c>
      <c r="E165" s="102" t="str">
        <f>IF(ISNA(Tableau6[[#This Row],[Position 2021]]),"",INDEX(tabSuiviConso[HP + HC
cumul],Tableau6[[#This Row],[Position 2021]],1))</f>
        <v/>
      </c>
      <c r="F165" s="123" t="e">
        <f>IF(ISNA(Tableau6[[#This Row],[Position 2021]]),Tableau6[[#This Row],[Position 2021]],Tableau6[[#This Row],[2021]]-E$2)</f>
        <v>#N/A</v>
      </c>
      <c r="G165" s="102" t="e">
        <f>MATCH(Tableau6[Jours Mois]&amp;"/"&amp;Tableau6[[#Headers],[2022]],tabSuiviConso[Jour Mois Année],0)</f>
        <v>#N/A</v>
      </c>
      <c r="H165" s="102" t="str">
        <f>IF(ISNA(Tableau6[[#This Row],[Position 2022]]),"",INDEX(tabSuiviConso[HP + HC
cumul],Tableau6[[#This Row],[Position 2022]],1))</f>
        <v/>
      </c>
      <c r="I165" s="123" t="e">
        <f>IF(ISNA(Tableau6[[#This Row],[Position 2022]]),Tableau6[[#This Row],[Position 2022]],Tableau6[[#This Row],[2022]]-H$2)</f>
        <v>#N/A</v>
      </c>
      <c r="J165" s="102" t="e">
        <f>MATCH(Tableau6[Jours Mois]&amp;"/"&amp;Tableau6[[#Headers],[2023]],tabSuiviConso[Jour Mois Année],0)</f>
        <v>#N/A</v>
      </c>
      <c r="K165" s="102" t="e">
        <f>Tableau6[[#This Row],[Cumul 2022]]-Tableau6[[#This Row],[Cumul 2021]]</f>
        <v>#N/A</v>
      </c>
      <c r="L165" s="104" t="e">
        <f>Tableau6[[#This Row],[Ecart 2021 2022]]/Tableau6[[#This Row],[Cumul 2021]]</f>
        <v>#N/A</v>
      </c>
      <c r="M165" s="102" t="str">
        <f>IF(ISNA(Tableau6[[#This Row],[Position 2023]]),"",INDEX(tabSuiviConso[HP + HC
cumul],Tableau6[[#This Row],[Position 2023]],1))</f>
        <v/>
      </c>
      <c r="N165" s="123" t="e">
        <f>IF(ISNA(Tableau6[[#This Row],[Position 2023]]),Tableau6[[#This Row],[Position 2023]],Tableau6[[#This Row],[2023]]-M$2)</f>
        <v>#N/A</v>
      </c>
      <c r="O165" s="102" t="e">
        <f>Tableau6[[#This Row],[Cumul 2023]]-Tableau6[[#This Row],[Cumul 2022]]</f>
        <v>#N/A</v>
      </c>
      <c r="P165" s="104" t="e">
        <f>Tableau6[[#This Row],[Ecart 2022 2023]]/Tableau6[[#This Row],[Cumul 2022]]</f>
        <v>#N/A</v>
      </c>
      <c r="Q165" s="102" t="e">
        <f>MATCH(Tableau6[Jours Mois]&amp;"/"&amp;Tableau6[[#Headers],[2024]],tabSuiviConso[Jour Mois Année],0)</f>
        <v>#N/A</v>
      </c>
      <c r="R165" s="102" t="str">
        <f>IF(ISNA(Tableau6[[#This Row],[Position 2024]]),"",INDEX(tabSuiviConso[HP + HC
cumul],Tableau6[[#This Row],[Position 2024]],1))</f>
        <v/>
      </c>
      <c r="S165" s="123" t="e">
        <f>IF(ISNA(Tableau6[[#This Row],[Position 2024]]),Tableau6[[#This Row],[Position 2024]],Tableau6[[#This Row],[2024]]-R$2)</f>
        <v>#N/A</v>
      </c>
      <c r="T165" s="102" t="e">
        <f>Tableau6[[#This Row],[Cumul 2024]]-Tableau6[[#This Row],[Cumul 2023]]</f>
        <v>#N/A</v>
      </c>
      <c r="U165" s="103" t="e">
        <f>Tableau6[[#This Row],[Ecart 2023 2024]]/Tableau6[[#This Row],[Cumul 2023]]</f>
        <v>#N/A</v>
      </c>
    </row>
    <row r="166" spans="1:21" x14ac:dyDescent="0.2">
      <c r="A166" s="102">
        <v>6</v>
      </c>
      <c r="B166" s="102">
        <v>12</v>
      </c>
      <c r="C166" s="102" t="str">
        <f>Tableau6[Jour]&amp;"/"&amp;Tableau6[Mois]</f>
        <v>12/6</v>
      </c>
      <c r="D166" s="102" t="e">
        <f>MATCH(Tableau6[Jours Mois]&amp;"/"&amp;Tableau6[[#Headers],[2021]],tabSuiviConso[Jour Mois Année],0)</f>
        <v>#N/A</v>
      </c>
      <c r="E166" s="102" t="str">
        <f>IF(ISNA(Tableau6[[#This Row],[Position 2021]]),"",INDEX(tabSuiviConso[HP + HC
cumul],Tableau6[[#This Row],[Position 2021]],1))</f>
        <v/>
      </c>
      <c r="F166" s="123" t="e">
        <f>IF(ISNA(Tableau6[[#This Row],[Position 2021]]),Tableau6[[#This Row],[Position 2021]],Tableau6[[#This Row],[2021]]-E$2)</f>
        <v>#N/A</v>
      </c>
      <c r="G166" s="102" t="e">
        <f>MATCH(Tableau6[Jours Mois]&amp;"/"&amp;Tableau6[[#Headers],[2022]],tabSuiviConso[Jour Mois Année],0)</f>
        <v>#N/A</v>
      </c>
      <c r="H166" s="102" t="str">
        <f>IF(ISNA(Tableau6[[#This Row],[Position 2022]]),"",INDEX(tabSuiviConso[HP + HC
cumul],Tableau6[[#This Row],[Position 2022]],1))</f>
        <v/>
      </c>
      <c r="I166" s="123" t="e">
        <f>IF(ISNA(Tableau6[[#This Row],[Position 2022]]),Tableau6[[#This Row],[Position 2022]],Tableau6[[#This Row],[2022]]-H$2)</f>
        <v>#N/A</v>
      </c>
      <c r="J166" s="102" t="e">
        <f>MATCH(Tableau6[Jours Mois]&amp;"/"&amp;Tableau6[[#Headers],[2023]],tabSuiviConso[Jour Mois Année],0)</f>
        <v>#N/A</v>
      </c>
      <c r="K166" s="102" t="e">
        <f>Tableau6[[#This Row],[Cumul 2022]]-Tableau6[[#This Row],[Cumul 2021]]</f>
        <v>#N/A</v>
      </c>
      <c r="L166" s="104" t="e">
        <f>Tableau6[[#This Row],[Ecart 2021 2022]]/Tableau6[[#This Row],[Cumul 2021]]</f>
        <v>#N/A</v>
      </c>
      <c r="M166" s="102" t="str">
        <f>IF(ISNA(Tableau6[[#This Row],[Position 2023]]),"",INDEX(tabSuiviConso[HP + HC
cumul],Tableau6[[#This Row],[Position 2023]],1))</f>
        <v/>
      </c>
      <c r="N166" s="123" t="e">
        <f>IF(ISNA(Tableau6[[#This Row],[Position 2023]]),Tableau6[[#This Row],[Position 2023]],Tableau6[[#This Row],[2023]]-M$2)</f>
        <v>#N/A</v>
      </c>
      <c r="O166" s="102" t="e">
        <f>Tableau6[[#This Row],[Cumul 2023]]-Tableau6[[#This Row],[Cumul 2022]]</f>
        <v>#N/A</v>
      </c>
      <c r="P166" s="104" t="e">
        <f>Tableau6[[#This Row],[Ecart 2022 2023]]/Tableau6[[#This Row],[Cumul 2022]]</f>
        <v>#N/A</v>
      </c>
      <c r="Q166" s="102" t="e">
        <f>MATCH(Tableau6[Jours Mois]&amp;"/"&amp;Tableau6[[#Headers],[2024]],tabSuiviConso[Jour Mois Année],0)</f>
        <v>#N/A</v>
      </c>
      <c r="R166" s="102" t="str">
        <f>IF(ISNA(Tableau6[[#This Row],[Position 2024]]),"",INDEX(tabSuiviConso[HP + HC
cumul],Tableau6[[#This Row],[Position 2024]],1))</f>
        <v/>
      </c>
      <c r="S166" s="123" t="e">
        <f>IF(ISNA(Tableau6[[#This Row],[Position 2024]]),Tableau6[[#This Row],[Position 2024]],Tableau6[[#This Row],[2024]]-R$2)</f>
        <v>#N/A</v>
      </c>
      <c r="T166" s="102" t="e">
        <f>Tableau6[[#This Row],[Cumul 2024]]-Tableau6[[#This Row],[Cumul 2023]]</f>
        <v>#N/A</v>
      </c>
      <c r="U166" s="103" t="e">
        <f>Tableau6[[#This Row],[Ecart 2023 2024]]/Tableau6[[#This Row],[Cumul 2023]]</f>
        <v>#N/A</v>
      </c>
    </row>
    <row r="167" spans="1:21" x14ac:dyDescent="0.2">
      <c r="A167" s="102">
        <v>6</v>
      </c>
      <c r="B167" s="102">
        <v>13</v>
      </c>
      <c r="C167" s="102" t="str">
        <f>Tableau6[Jour]&amp;"/"&amp;Tableau6[Mois]</f>
        <v>13/6</v>
      </c>
      <c r="D167" s="102" t="e">
        <f>MATCH(Tableau6[Jours Mois]&amp;"/"&amp;Tableau6[[#Headers],[2021]],tabSuiviConso[Jour Mois Année],0)</f>
        <v>#N/A</v>
      </c>
      <c r="E167" s="102" t="str">
        <f>IF(ISNA(Tableau6[[#This Row],[Position 2021]]),"",INDEX(tabSuiviConso[HP + HC
cumul],Tableau6[[#This Row],[Position 2021]],1))</f>
        <v/>
      </c>
      <c r="F167" s="123" t="e">
        <f>IF(ISNA(Tableau6[[#This Row],[Position 2021]]),Tableau6[[#This Row],[Position 2021]],Tableau6[[#This Row],[2021]]-E$2)</f>
        <v>#N/A</v>
      </c>
      <c r="G167" s="102" t="e">
        <f>MATCH(Tableau6[Jours Mois]&amp;"/"&amp;Tableau6[[#Headers],[2022]],tabSuiviConso[Jour Mois Année],0)</f>
        <v>#N/A</v>
      </c>
      <c r="H167" s="102" t="str">
        <f>IF(ISNA(Tableau6[[#This Row],[Position 2022]]),"",INDEX(tabSuiviConso[HP + HC
cumul],Tableau6[[#This Row],[Position 2022]],1))</f>
        <v/>
      </c>
      <c r="I167" s="123" t="e">
        <f>IF(ISNA(Tableau6[[#This Row],[Position 2022]]),Tableau6[[#This Row],[Position 2022]],Tableau6[[#This Row],[2022]]-H$2)</f>
        <v>#N/A</v>
      </c>
      <c r="J167" s="102" t="e">
        <f>MATCH(Tableau6[Jours Mois]&amp;"/"&amp;Tableau6[[#Headers],[2023]],tabSuiviConso[Jour Mois Année],0)</f>
        <v>#N/A</v>
      </c>
      <c r="K167" s="102" t="e">
        <f>Tableau6[[#This Row],[Cumul 2022]]-Tableau6[[#This Row],[Cumul 2021]]</f>
        <v>#N/A</v>
      </c>
      <c r="L167" s="104" t="e">
        <f>Tableau6[[#This Row],[Ecart 2021 2022]]/Tableau6[[#This Row],[Cumul 2021]]</f>
        <v>#N/A</v>
      </c>
      <c r="M167" s="102" t="str">
        <f>IF(ISNA(Tableau6[[#This Row],[Position 2023]]),"",INDEX(tabSuiviConso[HP + HC
cumul],Tableau6[[#This Row],[Position 2023]],1))</f>
        <v/>
      </c>
      <c r="N167" s="123" t="e">
        <f>IF(ISNA(Tableau6[[#This Row],[Position 2023]]),Tableau6[[#This Row],[Position 2023]],Tableau6[[#This Row],[2023]]-M$2)</f>
        <v>#N/A</v>
      </c>
      <c r="O167" s="102" t="e">
        <f>Tableau6[[#This Row],[Cumul 2023]]-Tableau6[[#This Row],[Cumul 2022]]</f>
        <v>#N/A</v>
      </c>
      <c r="P167" s="104" t="e">
        <f>Tableau6[[#This Row],[Ecart 2022 2023]]/Tableau6[[#This Row],[Cumul 2022]]</f>
        <v>#N/A</v>
      </c>
      <c r="Q167" s="102" t="e">
        <f>MATCH(Tableau6[Jours Mois]&amp;"/"&amp;Tableau6[[#Headers],[2024]],tabSuiviConso[Jour Mois Année],0)</f>
        <v>#N/A</v>
      </c>
      <c r="R167" s="102" t="str">
        <f>IF(ISNA(Tableau6[[#This Row],[Position 2024]]),"",INDEX(tabSuiviConso[HP + HC
cumul],Tableau6[[#This Row],[Position 2024]],1))</f>
        <v/>
      </c>
      <c r="S167" s="123" t="e">
        <f>IF(ISNA(Tableau6[[#This Row],[Position 2024]]),Tableau6[[#This Row],[Position 2024]],Tableau6[[#This Row],[2024]]-R$2)</f>
        <v>#N/A</v>
      </c>
      <c r="T167" s="102" t="e">
        <f>Tableau6[[#This Row],[Cumul 2024]]-Tableau6[[#This Row],[Cumul 2023]]</f>
        <v>#N/A</v>
      </c>
      <c r="U167" s="103" t="e">
        <f>Tableau6[[#This Row],[Ecart 2023 2024]]/Tableau6[[#This Row],[Cumul 2023]]</f>
        <v>#N/A</v>
      </c>
    </row>
    <row r="168" spans="1:21" x14ac:dyDescent="0.2">
      <c r="A168" s="102">
        <v>6</v>
      </c>
      <c r="B168" s="102">
        <v>14</v>
      </c>
      <c r="C168" s="102" t="str">
        <f>Tableau6[Jour]&amp;"/"&amp;Tableau6[Mois]</f>
        <v>14/6</v>
      </c>
      <c r="D168" s="102" t="e">
        <f>MATCH(Tableau6[Jours Mois]&amp;"/"&amp;Tableau6[[#Headers],[2021]],tabSuiviConso[Jour Mois Année],0)</f>
        <v>#N/A</v>
      </c>
      <c r="E168" s="102" t="str">
        <f>IF(ISNA(Tableau6[[#This Row],[Position 2021]]),"",INDEX(tabSuiviConso[HP + HC
cumul],Tableau6[[#This Row],[Position 2021]],1))</f>
        <v/>
      </c>
      <c r="F168" s="123" t="e">
        <f>IF(ISNA(Tableau6[[#This Row],[Position 2021]]),Tableau6[[#This Row],[Position 2021]],Tableau6[[#This Row],[2021]]-E$2)</f>
        <v>#N/A</v>
      </c>
      <c r="G168" s="102" t="e">
        <f>MATCH(Tableau6[Jours Mois]&amp;"/"&amp;Tableau6[[#Headers],[2022]],tabSuiviConso[Jour Mois Année],0)</f>
        <v>#N/A</v>
      </c>
      <c r="H168" s="102" t="str">
        <f>IF(ISNA(Tableau6[[#This Row],[Position 2022]]),"",INDEX(tabSuiviConso[HP + HC
cumul],Tableau6[[#This Row],[Position 2022]],1))</f>
        <v/>
      </c>
      <c r="I168" s="123" t="e">
        <f>IF(ISNA(Tableau6[[#This Row],[Position 2022]]),Tableau6[[#This Row],[Position 2022]],Tableau6[[#This Row],[2022]]-H$2)</f>
        <v>#N/A</v>
      </c>
      <c r="J168" s="102" t="e">
        <f>MATCH(Tableau6[Jours Mois]&amp;"/"&amp;Tableau6[[#Headers],[2023]],tabSuiviConso[Jour Mois Année],0)</f>
        <v>#N/A</v>
      </c>
      <c r="K168" s="102" t="e">
        <f>Tableau6[[#This Row],[Cumul 2022]]-Tableau6[[#This Row],[Cumul 2021]]</f>
        <v>#N/A</v>
      </c>
      <c r="L168" s="104" t="e">
        <f>Tableau6[[#This Row],[Ecart 2021 2022]]/Tableau6[[#This Row],[Cumul 2021]]</f>
        <v>#N/A</v>
      </c>
      <c r="M168" s="102" t="str">
        <f>IF(ISNA(Tableau6[[#This Row],[Position 2023]]),"",INDEX(tabSuiviConso[HP + HC
cumul],Tableau6[[#This Row],[Position 2023]],1))</f>
        <v/>
      </c>
      <c r="N168" s="123" t="e">
        <f>IF(ISNA(Tableau6[[#This Row],[Position 2023]]),Tableau6[[#This Row],[Position 2023]],Tableau6[[#This Row],[2023]]-M$2)</f>
        <v>#N/A</v>
      </c>
      <c r="O168" s="102" t="e">
        <f>Tableau6[[#This Row],[Cumul 2023]]-Tableau6[[#This Row],[Cumul 2022]]</f>
        <v>#N/A</v>
      </c>
      <c r="P168" s="104" t="e">
        <f>Tableau6[[#This Row],[Ecart 2022 2023]]/Tableau6[[#This Row],[Cumul 2022]]</f>
        <v>#N/A</v>
      </c>
      <c r="Q168" s="102" t="e">
        <f>MATCH(Tableau6[Jours Mois]&amp;"/"&amp;Tableau6[[#Headers],[2024]],tabSuiviConso[Jour Mois Année],0)</f>
        <v>#N/A</v>
      </c>
      <c r="R168" s="102" t="str">
        <f>IF(ISNA(Tableau6[[#This Row],[Position 2024]]),"",INDEX(tabSuiviConso[HP + HC
cumul],Tableau6[[#This Row],[Position 2024]],1))</f>
        <v/>
      </c>
      <c r="S168" s="123" t="e">
        <f>IF(ISNA(Tableau6[[#This Row],[Position 2024]]),Tableau6[[#This Row],[Position 2024]],Tableau6[[#This Row],[2024]]-R$2)</f>
        <v>#N/A</v>
      </c>
      <c r="T168" s="102" t="e">
        <f>Tableau6[[#This Row],[Cumul 2024]]-Tableau6[[#This Row],[Cumul 2023]]</f>
        <v>#N/A</v>
      </c>
      <c r="U168" s="103" t="e">
        <f>Tableau6[[#This Row],[Ecart 2023 2024]]/Tableau6[[#This Row],[Cumul 2023]]</f>
        <v>#N/A</v>
      </c>
    </row>
    <row r="169" spans="1:21" x14ac:dyDescent="0.2">
      <c r="A169" s="102">
        <v>6</v>
      </c>
      <c r="B169" s="102">
        <v>15</v>
      </c>
      <c r="C169" s="102" t="str">
        <f>Tableau6[Jour]&amp;"/"&amp;Tableau6[Mois]</f>
        <v>15/6</v>
      </c>
      <c r="D169" s="102" t="e">
        <f>MATCH(Tableau6[Jours Mois]&amp;"/"&amp;Tableau6[[#Headers],[2021]],tabSuiviConso[Jour Mois Année],0)</f>
        <v>#N/A</v>
      </c>
      <c r="E169" s="102" t="str">
        <f>IF(ISNA(Tableau6[[#This Row],[Position 2021]]),"",INDEX(tabSuiviConso[HP + HC
cumul],Tableau6[[#This Row],[Position 2021]],1))</f>
        <v/>
      </c>
      <c r="F169" s="123" t="e">
        <f>IF(ISNA(Tableau6[[#This Row],[Position 2021]]),Tableau6[[#This Row],[Position 2021]],Tableau6[[#This Row],[2021]]-E$2)</f>
        <v>#N/A</v>
      </c>
      <c r="G169" s="102" t="e">
        <f>MATCH(Tableau6[Jours Mois]&amp;"/"&amp;Tableau6[[#Headers],[2022]],tabSuiviConso[Jour Mois Année],0)</f>
        <v>#N/A</v>
      </c>
      <c r="H169" s="102" t="str">
        <f>IF(ISNA(Tableau6[[#This Row],[Position 2022]]),"",INDEX(tabSuiviConso[HP + HC
cumul],Tableau6[[#This Row],[Position 2022]],1))</f>
        <v/>
      </c>
      <c r="I169" s="123" t="e">
        <f>IF(ISNA(Tableau6[[#This Row],[Position 2022]]),Tableau6[[#This Row],[Position 2022]],Tableau6[[#This Row],[2022]]-H$2)</f>
        <v>#N/A</v>
      </c>
      <c r="J169" s="102" t="e">
        <f>MATCH(Tableau6[Jours Mois]&amp;"/"&amp;Tableau6[[#Headers],[2023]],tabSuiviConso[Jour Mois Année],0)</f>
        <v>#N/A</v>
      </c>
      <c r="K169" s="102" t="e">
        <f>Tableau6[[#This Row],[Cumul 2022]]-Tableau6[[#This Row],[Cumul 2021]]</f>
        <v>#N/A</v>
      </c>
      <c r="L169" s="104" t="e">
        <f>Tableau6[[#This Row],[Ecart 2021 2022]]/Tableau6[[#This Row],[Cumul 2021]]</f>
        <v>#N/A</v>
      </c>
      <c r="M169" s="102" t="str">
        <f>IF(ISNA(Tableau6[[#This Row],[Position 2023]]),"",INDEX(tabSuiviConso[HP + HC
cumul],Tableau6[[#This Row],[Position 2023]],1))</f>
        <v/>
      </c>
      <c r="N169" s="123" t="e">
        <f>IF(ISNA(Tableau6[[#This Row],[Position 2023]]),Tableau6[[#This Row],[Position 2023]],Tableau6[[#This Row],[2023]]-M$2)</f>
        <v>#N/A</v>
      </c>
      <c r="O169" s="102" t="e">
        <f>Tableau6[[#This Row],[Cumul 2023]]-Tableau6[[#This Row],[Cumul 2022]]</f>
        <v>#N/A</v>
      </c>
      <c r="P169" s="104" t="e">
        <f>Tableau6[[#This Row],[Ecart 2022 2023]]/Tableau6[[#This Row],[Cumul 2022]]</f>
        <v>#N/A</v>
      </c>
      <c r="Q169" s="102" t="e">
        <f>MATCH(Tableau6[Jours Mois]&amp;"/"&amp;Tableau6[[#Headers],[2024]],tabSuiviConso[Jour Mois Année],0)</f>
        <v>#N/A</v>
      </c>
      <c r="R169" s="102" t="str">
        <f>IF(ISNA(Tableau6[[#This Row],[Position 2024]]),"",INDEX(tabSuiviConso[HP + HC
cumul],Tableau6[[#This Row],[Position 2024]],1))</f>
        <v/>
      </c>
      <c r="S169" s="123" t="e">
        <f>IF(ISNA(Tableau6[[#This Row],[Position 2024]]),Tableau6[[#This Row],[Position 2024]],Tableau6[[#This Row],[2024]]-R$2)</f>
        <v>#N/A</v>
      </c>
      <c r="T169" s="102" t="e">
        <f>Tableau6[[#This Row],[Cumul 2024]]-Tableau6[[#This Row],[Cumul 2023]]</f>
        <v>#N/A</v>
      </c>
      <c r="U169" s="103" t="e">
        <f>Tableau6[[#This Row],[Ecart 2023 2024]]/Tableau6[[#This Row],[Cumul 2023]]</f>
        <v>#N/A</v>
      </c>
    </row>
    <row r="170" spans="1:21" x14ac:dyDescent="0.2">
      <c r="A170" s="102">
        <v>6</v>
      </c>
      <c r="B170" s="102">
        <v>16</v>
      </c>
      <c r="C170" s="102" t="str">
        <f>Tableau6[Jour]&amp;"/"&amp;Tableau6[Mois]</f>
        <v>16/6</v>
      </c>
      <c r="D170" s="102" t="e">
        <f>MATCH(Tableau6[Jours Mois]&amp;"/"&amp;Tableau6[[#Headers],[2021]],tabSuiviConso[Jour Mois Année],0)</f>
        <v>#N/A</v>
      </c>
      <c r="E170" s="102" t="str">
        <f>IF(ISNA(Tableau6[[#This Row],[Position 2021]]),"",INDEX(tabSuiviConso[HP + HC
cumul],Tableau6[[#This Row],[Position 2021]],1))</f>
        <v/>
      </c>
      <c r="F170" s="123" t="e">
        <f>IF(ISNA(Tableau6[[#This Row],[Position 2021]]),Tableau6[[#This Row],[Position 2021]],Tableau6[[#This Row],[2021]]-E$2)</f>
        <v>#N/A</v>
      </c>
      <c r="G170" s="102" t="e">
        <f>MATCH(Tableau6[Jours Mois]&amp;"/"&amp;Tableau6[[#Headers],[2022]],tabSuiviConso[Jour Mois Année],0)</f>
        <v>#N/A</v>
      </c>
      <c r="H170" s="102" t="str">
        <f>IF(ISNA(Tableau6[[#This Row],[Position 2022]]),"",INDEX(tabSuiviConso[HP + HC
cumul],Tableau6[[#This Row],[Position 2022]],1))</f>
        <v/>
      </c>
      <c r="I170" s="123" t="e">
        <f>IF(ISNA(Tableau6[[#This Row],[Position 2022]]),Tableau6[[#This Row],[Position 2022]],Tableau6[[#This Row],[2022]]-H$2)</f>
        <v>#N/A</v>
      </c>
      <c r="J170" s="102" t="e">
        <f>MATCH(Tableau6[Jours Mois]&amp;"/"&amp;Tableau6[[#Headers],[2023]],tabSuiviConso[Jour Mois Année],0)</f>
        <v>#N/A</v>
      </c>
      <c r="K170" s="102" t="e">
        <f>Tableau6[[#This Row],[Cumul 2022]]-Tableau6[[#This Row],[Cumul 2021]]</f>
        <v>#N/A</v>
      </c>
      <c r="L170" s="104" t="e">
        <f>Tableau6[[#This Row],[Ecart 2021 2022]]/Tableau6[[#This Row],[Cumul 2021]]</f>
        <v>#N/A</v>
      </c>
      <c r="M170" s="102" t="str">
        <f>IF(ISNA(Tableau6[[#This Row],[Position 2023]]),"",INDEX(tabSuiviConso[HP + HC
cumul],Tableau6[[#This Row],[Position 2023]],1))</f>
        <v/>
      </c>
      <c r="N170" s="123" t="e">
        <f>IF(ISNA(Tableau6[[#This Row],[Position 2023]]),Tableau6[[#This Row],[Position 2023]],Tableau6[[#This Row],[2023]]-M$2)</f>
        <v>#N/A</v>
      </c>
      <c r="O170" s="102" t="e">
        <f>Tableau6[[#This Row],[Cumul 2023]]-Tableau6[[#This Row],[Cumul 2022]]</f>
        <v>#N/A</v>
      </c>
      <c r="P170" s="104" t="e">
        <f>Tableau6[[#This Row],[Ecart 2022 2023]]/Tableau6[[#This Row],[Cumul 2022]]</f>
        <v>#N/A</v>
      </c>
      <c r="Q170" s="102" t="e">
        <f>MATCH(Tableau6[Jours Mois]&amp;"/"&amp;Tableau6[[#Headers],[2024]],tabSuiviConso[Jour Mois Année],0)</f>
        <v>#N/A</v>
      </c>
      <c r="R170" s="102" t="str">
        <f>IF(ISNA(Tableau6[[#This Row],[Position 2024]]),"",INDEX(tabSuiviConso[HP + HC
cumul],Tableau6[[#This Row],[Position 2024]],1))</f>
        <v/>
      </c>
      <c r="S170" s="123" t="e">
        <f>IF(ISNA(Tableau6[[#This Row],[Position 2024]]),Tableau6[[#This Row],[Position 2024]],Tableau6[[#This Row],[2024]]-R$2)</f>
        <v>#N/A</v>
      </c>
      <c r="T170" s="102" t="e">
        <f>Tableau6[[#This Row],[Cumul 2024]]-Tableau6[[#This Row],[Cumul 2023]]</f>
        <v>#N/A</v>
      </c>
      <c r="U170" s="103" t="e">
        <f>Tableau6[[#This Row],[Ecart 2023 2024]]/Tableau6[[#This Row],[Cumul 2023]]</f>
        <v>#N/A</v>
      </c>
    </row>
    <row r="171" spans="1:21" x14ac:dyDescent="0.2">
      <c r="A171" s="102">
        <v>6</v>
      </c>
      <c r="B171" s="102">
        <v>17</v>
      </c>
      <c r="C171" s="102" t="str">
        <f>Tableau6[Jour]&amp;"/"&amp;Tableau6[Mois]</f>
        <v>17/6</v>
      </c>
      <c r="D171" s="102" t="e">
        <f>MATCH(Tableau6[Jours Mois]&amp;"/"&amp;Tableau6[[#Headers],[2021]],tabSuiviConso[Jour Mois Année],0)</f>
        <v>#N/A</v>
      </c>
      <c r="E171" s="102" t="str">
        <f>IF(ISNA(Tableau6[[#This Row],[Position 2021]]),"",INDEX(tabSuiviConso[HP + HC
cumul],Tableau6[[#This Row],[Position 2021]],1))</f>
        <v/>
      </c>
      <c r="F171" s="123" t="e">
        <f>IF(ISNA(Tableau6[[#This Row],[Position 2021]]),Tableau6[[#This Row],[Position 2021]],Tableau6[[#This Row],[2021]]-E$2)</f>
        <v>#N/A</v>
      </c>
      <c r="G171" s="102" t="e">
        <f>MATCH(Tableau6[Jours Mois]&amp;"/"&amp;Tableau6[[#Headers],[2022]],tabSuiviConso[Jour Mois Année],0)</f>
        <v>#N/A</v>
      </c>
      <c r="H171" s="102" t="str">
        <f>IF(ISNA(Tableau6[[#This Row],[Position 2022]]),"",INDEX(tabSuiviConso[HP + HC
cumul],Tableau6[[#This Row],[Position 2022]],1))</f>
        <v/>
      </c>
      <c r="I171" s="123" t="e">
        <f>IF(ISNA(Tableau6[[#This Row],[Position 2022]]),Tableau6[[#This Row],[Position 2022]],Tableau6[[#This Row],[2022]]-H$2)</f>
        <v>#N/A</v>
      </c>
      <c r="J171" s="102" t="e">
        <f>MATCH(Tableau6[Jours Mois]&amp;"/"&amp;Tableau6[[#Headers],[2023]],tabSuiviConso[Jour Mois Année],0)</f>
        <v>#N/A</v>
      </c>
      <c r="K171" s="102" t="e">
        <f>Tableau6[[#This Row],[Cumul 2022]]-Tableau6[[#This Row],[Cumul 2021]]</f>
        <v>#N/A</v>
      </c>
      <c r="L171" s="104" t="e">
        <f>Tableau6[[#This Row],[Ecart 2021 2022]]/Tableau6[[#This Row],[Cumul 2021]]</f>
        <v>#N/A</v>
      </c>
      <c r="M171" s="102" t="str">
        <f>IF(ISNA(Tableau6[[#This Row],[Position 2023]]),"",INDEX(tabSuiviConso[HP + HC
cumul],Tableau6[[#This Row],[Position 2023]],1))</f>
        <v/>
      </c>
      <c r="N171" s="123" t="e">
        <f>IF(ISNA(Tableau6[[#This Row],[Position 2023]]),Tableau6[[#This Row],[Position 2023]],Tableau6[[#This Row],[2023]]-M$2)</f>
        <v>#N/A</v>
      </c>
      <c r="O171" s="102" t="e">
        <f>Tableau6[[#This Row],[Cumul 2023]]-Tableau6[[#This Row],[Cumul 2022]]</f>
        <v>#N/A</v>
      </c>
      <c r="P171" s="104" t="e">
        <f>Tableau6[[#This Row],[Ecart 2022 2023]]/Tableau6[[#This Row],[Cumul 2022]]</f>
        <v>#N/A</v>
      </c>
      <c r="Q171" s="102" t="e">
        <f>MATCH(Tableau6[Jours Mois]&amp;"/"&amp;Tableau6[[#Headers],[2024]],tabSuiviConso[Jour Mois Année],0)</f>
        <v>#N/A</v>
      </c>
      <c r="R171" s="102" t="str">
        <f>IF(ISNA(Tableau6[[#This Row],[Position 2024]]),"",INDEX(tabSuiviConso[HP + HC
cumul],Tableau6[[#This Row],[Position 2024]],1))</f>
        <v/>
      </c>
      <c r="S171" s="123" t="e">
        <f>IF(ISNA(Tableau6[[#This Row],[Position 2024]]),Tableau6[[#This Row],[Position 2024]],Tableau6[[#This Row],[2024]]-R$2)</f>
        <v>#N/A</v>
      </c>
      <c r="T171" s="102" t="e">
        <f>Tableau6[[#This Row],[Cumul 2024]]-Tableau6[[#This Row],[Cumul 2023]]</f>
        <v>#N/A</v>
      </c>
      <c r="U171" s="103" t="e">
        <f>Tableau6[[#This Row],[Ecart 2023 2024]]/Tableau6[[#This Row],[Cumul 2023]]</f>
        <v>#N/A</v>
      </c>
    </row>
    <row r="172" spans="1:21" x14ac:dyDescent="0.2">
      <c r="A172" s="102">
        <v>6</v>
      </c>
      <c r="B172" s="102">
        <v>18</v>
      </c>
      <c r="C172" s="102" t="str">
        <f>Tableau6[Jour]&amp;"/"&amp;Tableau6[Mois]</f>
        <v>18/6</v>
      </c>
      <c r="D172" s="102" t="e">
        <f>MATCH(Tableau6[Jours Mois]&amp;"/"&amp;Tableau6[[#Headers],[2021]],tabSuiviConso[Jour Mois Année],0)</f>
        <v>#N/A</v>
      </c>
      <c r="E172" s="102" t="str">
        <f>IF(ISNA(Tableau6[[#This Row],[Position 2021]]),"",INDEX(tabSuiviConso[HP + HC
cumul],Tableau6[[#This Row],[Position 2021]],1))</f>
        <v/>
      </c>
      <c r="F172" s="123" t="e">
        <f>IF(ISNA(Tableau6[[#This Row],[Position 2021]]),Tableau6[[#This Row],[Position 2021]],Tableau6[[#This Row],[2021]]-E$2)</f>
        <v>#N/A</v>
      </c>
      <c r="G172" s="102" t="e">
        <f>MATCH(Tableau6[Jours Mois]&amp;"/"&amp;Tableau6[[#Headers],[2022]],tabSuiviConso[Jour Mois Année],0)</f>
        <v>#N/A</v>
      </c>
      <c r="H172" s="102" t="str">
        <f>IF(ISNA(Tableau6[[#This Row],[Position 2022]]),"",INDEX(tabSuiviConso[HP + HC
cumul],Tableau6[[#This Row],[Position 2022]],1))</f>
        <v/>
      </c>
      <c r="I172" s="123" t="e">
        <f>IF(ISNA(Tableau6[[#This Row],[Position 2022]]),Tableau6[[#This Row],[Position 2022]],Tableau6[[#This Row],[2022]]-H$2)</f>
        <v>#N/A</v>
      </c>
      <c r="J172" s="102" t="e">
        <f>MATCH(Tableau6[Jours Mois]&amp;"/"&amp;Tableau6[[#Headers],[2023]],tabSuiviConso[Jour Mois Année],0)</f>
        <v>#N/A</v>
      </c>
      <c r="K172" s="102" t="e">
        <f>Tableau6[[#This Row],[Cumul 2022]]-Tableau6[[#This Row],[Cumul 2021]]</f>
        <v>#N/A</v>
      </c>
      <c r="L172" s="104" t="e">
        <f>Tableau6[[#This Row],[Ecart 2021 2022]]/Tableau6[[#This Row],[Cumul 2021]]</f>
        <v>#N/A</v>
      </c>
      <c r="M172" s="102" t="str">
        <f>IF(ISNA(Tableau6[[#This Row],[Position 2023]]),"",INDEX(tabSuiviConso[HP + HC
cumul],Tableau6[[#This Row],[Position 2023]],1))</f>
        <v/>
      </c>
      <c r="N172" s="123" t="e">
        <f>IF(ISNA(Tableau6[[#This Row],[Position 2023]]),Tableau6[[#This Row],[Position 2023]],Tableau6[[#This Row],[2023]]-M$2)</f>
        <v>#N/A</v>
      </c>
      <c r="O172" s="102" t="e">
        <f>Tableau6[[#This Row],[Cumul 2023]]-Tableau6[[#This Row],[Cumul 2022]]</f>
        <v>#N/A</v>
      </c>
      <c r="P172" s="104" t="e">
        <f>Tableau6[[#This Row],[Ecart 2022 2023]]/Tableau6[[#This Row],[Cumul 2022]]</f>
        <v>#N/A</v>
      </c>
      <c r="Q172" s="102" t="e">
        <f>MATCH(Tableau6[Jours Mois]&amp;"/"&amp;Tableau6[[#Headers],[2024]],tabSuiviConso[Jour Mois Année],0)</f>
        <v>#N/A</v>
      </c>
      <c r="R172" s="102" t="str">
        <f>IF(ISNA(Tableau6[[#This Row],[Position 2024]]),"",INDEX(tabSuiviConso[HP + HC
cumul],Tableau6[[#This Row],[Position 2024]],1))</f>
        <v/>
      </c>
      <c r="S172" s="123" t="e">
        <f>IF(ISNA(Tableau6[[#This Row],[Position 2024]]),Tableau6[[#This Row],[Position 2024]],Tableau6[[#This Row],[2024]]-R$2)</f>
        <v>#N/A</v>
      </c>
      <c r="T172" s="102" t="e">
        <f>Tableau6[[#This Row],[Cumul 2024]]-Tableau6[[#This Row],[Cumul 2023]]</f>
        <v>#N/A</v>
      </c>
      <c r="U172" s="103" t="e">
        <f>Tableau6[[#This Row],[Ecart 2023 2024]]/Tableau6[[#This Row],[Cumul 2023]]</f>
        <v>#N/A</v>
      </c>
    </row>
    <row r="173" spans="1:21" x14ac:dyDescent="0.2">
      <c r="A173" s="102">
        <v>6</v>
      </c>
      <c r="B173" s="102">
        <v>19</v>
      </c>
      <c r="C173" s="102" t="str">
        <f>Tableau6[Jour]&amp;"/"&amp;Tableau6[Mois]</f>
        <v>19/6</v>
      </c>
      <c r="D173" s="102" t="e">
        <f>MATCH(Tableau6[Jours Mois]&amp;"/"&amp;Tableau6[[#Headers],[2021]],tabSuiviConso[Jour Mois Année],0)</f>
        <v>#N/A</v>
      </c>
      <c r="E173" s="102" t="str">
        <f>IF(ISNA(Tableau6[[#This Row],[Position 2021]]),"",INDEX(tabSuiviConso[HP + HC
cumul],Tableau6[[#This Row],[Position 2021]],1))</f>
        <v/>
      </c>
      <c r="F173" s="123" t="e">
        <f>IF(ISNA(Tableau6[[#This Row],[Position 2021]]),Tableau6[[#This Row],[Position 2021]],Tableau6[[#This Row],[2021]]-E$2)</f>
        <v>#N/A</v>
      </c>
      <c r="G173" s="102" t="e">
        <f>MATCH(Tableau6[Jours Mois]&amp;"/"&amp;Tableau6[[#Headers],[2022]],tabSuiviConso[Jour Mois Année],0)</f>
        <v>#N/A</v>
      </c>
      <c r="H173" s="102" t="str">
        <f>IF(ISNA(Tableau6[[#This Row],[Position 2022]]),"",INDEX(tabSuiviConso[HP + HC
cumul],Tableau6[[#This Row],[Position 2022]],1))</f>
        <v/>
      </c>
      <c r="I173" s="123" t="e">
        <f>IF(ISNA(Tableau6[[#This Row],[Position 2022]]),Tableau6[[#This Row],[Position 2022]],Tableau6[[#This Row],[2022]]-H$2)</f>
        <v>#N/A</v>
      </c>
      <c r="J173" s="102" t="e">
        <f>MATCH(Tableau6[Jours Mois]&amp;"/"&amp;Tableau6[[#Headers],[2023]],tabSuiviConso[Jour Mois Année],0)</f>
        <v>#N/A</v>
      </c>
      <c r="K173" s="102" t="e">
        <f>Tableau6[[#This Row],[Cumul 2022]]-Tableau6[[#This Row],[Cumul 2021]]</f>
        <v>#N/A</v>
      </c>
      <c r="L173" s="104" t="e">
        <f>Tableau6[[#This Row],[Ecart 2021 2022]]/Tableau6[[#This Row],[Cumul 2021]]</f>
        <v>#N/A</v>
      </c>
      <c r="M173" s="102" t="str">
        <f>IF(ISNA(Tableau6[[#This Row],[Position 2023]]),"",INDEX(tabSuiviConso[HP + HC
cumul],Tableau6[[#This Row],[Position 2023]],1))</f>
        <v/>
      </c>
      <c r="N173" s="123" t="e">
        <f>IF(ISNA(Tableau6[[#This Row],[Position 2023]]),Tableau6[[#This Row],[Position 2023]],Tableau6[[#This Row],[2023]]-M$2)</f>
        <v>#N/A</v>
      </c>
      <c r="O173" s="102" t="e">
        <f>Tableau6[[#This Row],[Cumul 2023]]-Tableau6[[#This Row],[Cumul 2022]]</f>
        <v>#N/A</v>
      </c>
      <c r="P173" s="104" t="e">
        <f>Tableau6[[#This Row],[Ecart 2022 2023]]/Tableau6[[#This Row],[Cumul 2022]]</f>
        <v>#N/A</v>
      </c>
      <c r="Q173" s="102" t="e">
        <f>MATCH(Tableau6[Jours Mois]&amp;"/"&amp;Tableau6[[#Headers],[2024]],tabSuiviConso[Jour Mois Année],0)</f>
        <v>#N/A</v>
      </c>
      <c r="R173" s="102" t="str">
        <f>IF(ISNA(Tableau6[[#This Row],[Position 2024]]),"",INDEX(tabSuiviConso[HP + HC
cumul],Tableau6[[#This Row],[Position 2024]],1))</f>
        <v/>
      </c>
      <c r="S173" s="123" t="e">
        <f>IF(ISNA(Tableau6[[#This Row],[Position 2024]]),Tableau6[[#This Row],[Position 2024]],Tableau6[[#This Row],[2024]]-R$2)</f>
        <v>#N/A</v>
      </c>
      <c r="T173" s="102" t="e">
        <f>Tableau6[[#This Row],[Cumul 2024]]-Tableau6[[#This Row],[Cumul 2023]]</f>
        <v>#N/A</v>
      </c>
      <c r="U173" s="103" t="e">
        <f>Tableau6[[#This Row],[Ecart 2023 2024]]/Tableau6[[#This Row],[Cumul 2023]]</f>
        <v>#N/A</v>
      </c>
    </row>
    <row r="174" spans="1:21" x14ac:dyDescent="0.2">
      <c r="A174" s="102">
        <v>6</v>
      </c>
      <c r="B174" s="102">
        <v>20</v>
      </c>
      <c r="C174" s="102" t="str">
        <f>Tableau6[Jour]&amp;"/"&amp;Tableau6[Mois]</f>
        <v>20/6</v>
      </c>
      <c r="D174" s="102" t="e">
        <f>MATCH(Tableau6[Jours Mois]&amp;"/"&amp;Tableau6[[#Headers],[2021]],tabSuiviConso[Jour Mois Année],0)</f>
        <v>#N/A</v>
      </c>
      <c r="E174" s="102" t="str">
        <f>IF(ISNA(Tableau6[[#This Row],[Position 2021]]),"",INDEX(tabSuiviConso[HP + HC
cumul],Tableau6[[#This Row],[Position 2021]],1))</f>
        <v/>
      </c>
      <c r="F174" s="123" t="e">
        <f>IF(ISNA(Tableau6[[#This Row],[Position 2021]]),Tableau6[[#This Row],[Position 2021]],Tableau6[[#This Row],[2021]]-E$2)</f>
        <v>#N/A</v>
      </c>
      <c r="G174" s="102" t="e">
        <f>MATCH(Tableau6[Jours Mois]&amp;"/"&amp;Tableau6[[#Headers],[2022]],tabSuiviConso[Jour Mois Année],0)</f>
        <v>#N/A</v>
      </c>
      <c r="H174" s="102" t="str">
        <f>IF(ISNA(Tableau6[[#This Row],[Position 2022]]),"",INDEX(tabSuiviConso[HP + HC
cumul],Tableau6[[#This Row],[Position 2022]],1))</f>
        <v/>
      </c>
      <c r="I174" s="123" t="e">
        <f>IF(ISNA(Tableau6[[#This Row],[Position 2022]]),Tableau6[[#This Row],[Position 2022]],Tableau6[[#This Row],[2022]]-H$2)</f>
        <v>#N/A</v>
      </c>
      <c r="J174" s="102" t="e">
        <f>MATCH(Tableau6[Jours Mois]&amp;"/"&amp;Tableau6[[#Headers],[2023]],tabSuiviConso[Jour Mois Année],0)</f>
        <v>#N/A</v>
      </c>
      <c r="K174" s="102" t="e">
        <f>Tableau6[[#This Row],[Cumul 2022]]-Tableau6[[#This Row],[Cumul 2021]]</f>
        <v>#N/A</v>
      </c>
      <c r="L174" s="104" t="e">
        <f>Tableau6[[#This Row],[Ecart 2021 2022]]/Tableau6[[#This Row],[Cumul 2021]]</f>
        <v>#N/A</v>
      </c>
      <c r="M174" s="102" t="str">
        <f>IF(ISNA(Tableau6[[#This Row],[Position 2023]]),"",INDEX(tabSuiviConso[HP + HC
cumul],Tableau6[[#This Row],[Position 2023]],1))</f>
        <v/>
      </c>
      <c r="N174" s="123" t="e">
        <f>IF(ISNA(Tableau6[[#This Row],[Position 2023]]),Tableau6[[#This Row],[Position 2023]],Tableau6[[#This Row],[2023]]-M$2)</f>
        <v>#N/A</v>
      </c>
      <c r="O174" s="102" t="e">
        <f>Tableau6[[#This Row],[Cumul 2023]]-Tableau6[[#This Row],[Cumul 2022]]</f>
        <v>#N/A</v>
      </c>
      <c r="P174" s="104" t="e">
        <f>Tableau6[[#This Row],[Ecart 2022 2023]]/Tableau6[[#This Row],[Cumul 2022]]</f>
        <v>#N/A</v>
      </c>
      <c r="Q174" s="102" t="e">
        <f>MATCH(Tableau6[Jours Mois]&amp;"/"&amp;Tableau6[[#Headers],[2024]],tabSuiviConso[Jour Mois Année],0)</f>
        <v>#N/A</v>
      </c>
      <c r="R174" s="102" t="str">
        <f>IF(ISNA(Tableau6[[#This Row],[Position 2024]]),"",INDEX(tabSuiviConso[HP + HC
cumul],Tableau6[[#This Row],[Position 2024]],1))</f>
        <v/>
      </c>
      <c r="S174" s="123" t="e">
        <f>IF(ISNA(Tableau6[[#This Row],[Position 2024]]),Tableau6[[#This Row],[Position 2024]],Tableau6[[#This Row],[2024]]-R$2)</f>
        <v>#N/A</v>
      </c>
      <c r="T174" s="102" t="e">
        <f>Tableau6[[#This Row],[Cumul 2024]]-Tableau6[[#This Row],[Cumul 2023]]</f>
        <v>#N/A</v>
      </c>
      <c r="U174" s="103" t="e">
        <f>Tableau6[[#This Row],[Ecart 2023 2024]]/Tableau6[[#This Row],[Cumul 2023]]</f>
        <v>#N/A</v>
      </c>
    </row>
    <row r="175" spans="1:21" x14ac:dyDescent="0.2">
      <c r="A175" s="102">
        <v>6</v>
      </c>
      <c r="B175" s="102">
        <v>21</v>
      </c>
      <c r="C175" s="102" t="str">
        <f>Tableau6[Jour]&amp;"/"&amp;Tableau6[Mois]</f>
        <v>21/6</v>
      </c>
      <c r="D175" s="102" t="e">
        <f>MATCH(Tableau6[Jours Mois]&amp;"/"&amp;Tableau6[[#Headers],[2021]],tabSuiviConso[Jour Mois Année],0)</f>
        <v>#N/A</v>
      </c>
      <c r="E175" s="102" t="str">
        <f>IF(ISNA(Tableau6[[#This Row],[Position 2021]]),"",INDEX(tabSuiviConso[HP + HC
cumul],Tableau6[[#This Row],[Position 2021]],1))</f>
        <v/>
      </c>
      <c r="F175" s="123" t="e">
        <f>IF(ISNA(Tableau6[[#This Row],[Position 2021]]),Tableau6[[#This Row],[Position 2021]],Tableau6[[#This Row],[2021]]-E$2)</f>
        <v>#N/A</v>
      </c>
      <c r="G175" s="102" t="e">
        <f>MATCH(Tableau6[Jours Mois]&amp;"/"&amp;Tableau6[[#Headers],[2022]],tabSuiviConso[Jour Mois Année],0)</f>
        <v>#N/A</v>
      </c>
      <c r="H175" s="102" t="str">
        <f>IF(ISNA(Tableau6[[#This Row],[Position 2022]]),"",INDEX(tabSuiviConso[HP + HC
cumul],Tableau6[[#This Row],[Position 2022]],1))</f>
        <v/>
      </c>
      <c r="I175" s="123" t="e">
        <f>IF(ISNA(Tableau6[[#This Row],[Position 2022]]),Tableau6[[#This Row],[Position 2022]],Tableau6[[#This Row],[2022]]-H$2)</f>
        <v>#N/A</v>
      </c>
      <c r="J175" s="102" t="e">
        <f>MATCH(Tableau6[Jours Mois]&amp;"/"&amp;Tableau6[[#Headers],[2023]],tabSuiviConso[Jour Mois Année],0)</f>
        <v>#N/A</v>
      </c>
      <c r="K175" s="102" t="e">
        <f>Tableau6[[#This Row],[Cumul 2022]]-Tableau6[[#This Row],[Cumul 2021]]</f>
        <v>#N/A</v>
      </c>
      <c r="L175" s="104" t="e">
        <f>Tableau6[[#This Row],[Ecart 2021 2022]]/Tableau6[[#This Row],[Cumul 2021]]</f>
        <v>#N/A</v>
      </c>
      <c r="M175" s="102" t="str">
        <f>IF(ISNA(Tableau6[[#This Row],[Position 2023]]),"",INDEX(tabSuiviConso[HP + HC
cumul],Tableau6[[#This Row],[Position 2023]],1))</f>
        <v/>
      </c>
      <c r="N175" s="123" t="e">
        <f>IF(ISNA(Tableau6[[#This Row],[Position 2023]]),Tableau6[[#This Row],[Position 2023]],Tableau6[[#This Row],[2023]]-M$2)</f>
        <v>#N/A</v>
      </c>
      <c r="O175" s="102" t="e">
        <f>Tableau6[[#This Row],[Cumul 2023]]-Tableau6[[#This Row],[Cumul 2022]]</f>
        <v>#N/A</v>
      </c>
      <c r="P175" s="104" t="e">
        <f>Tableau6[[#This Row],[Ecart 2022 2023]]/Tableau6[[#This Row],[Cumul 2022]]</f>
        <v>#N/A</v>
      </c>
      <c r="Q175" s="102" t="e">
        <f>MATCH(Tableau6[Jours Mois]&amp;"/"&amp;Tableau6[[#Headers],[2024]],tabSuiviConso[Jour Mois Année],0)</f>
        <v>#N/A</v>
      </c>
      <c r="R175" s="102" t="str">
        <f>IF(ISNA(Tableau6[[#This Row],[Position 2024]]),"",INDEX(tabSuiviConso[HP + HC
cumul],Tableau6[[#This Row],[Position 2024]],1))</f>
        <v/>
      </c>
      <c r="S175" s="123" t="e">
        <f>IF(ISNA(Tableau6[[#This Row],[Position 2024]]),Tableau6[[#This Row],[Position 2024]],Tableau6[[#This Row],[2024]]-R$2)</f>
        <v>#N/A</v>
      </c>
      <c r="T175" s="102" t="e">
        <f>Tableau6[[#This Row],[Cumul 2024]]-Tableau6[[#This Row],[Cumul 2023]]</f>
        <v>#N/A</v>
      </c>
      <c r="U175" s="103" t="e">
        <f>Tableau6[[#This Row],[Ecart 2023 2024]]/Tableau6[[#This Row],[Cumul 2023]]</f>
        <v>#N/A</v>
      </c>
    </row>
    <row r="176" spans="1:21" x14ac:dyDescent="0.2">
      <c r="A176" s="102">
        <v>6</v>
      </c>
      <c r="B176" s="102">
        <v>22</v>
      </c>
      <c r="C176" s="102" t="str">
        <f>Tableau6[Jour]&amp;"/"&amp;Tableau6[Mois]</f>
        <v>22/6</v>
      </c>
      <c r="D176" s="102" t="e">
        <f>MATCH(Tableau6[Jours Mois]&amp;"/"&amp;Tableau6[[#Headers],[2021]],tabSuiviConso[Jour Mois Année],0)</f>
        <v>#N/A</v>
      </c>
      <c r="E176" s="102" t="str">
        <f>IF(ISNA(Tableau6[[#This Row],[Position 2021]]),"",INDEX(tabSuiviConso[HP + HC
cumul],Tableau6[[#This Row],[Position 2021]],1))</f>
        <v/>
      </c>
      <c r="F176" s="123" t="e">
        <f>IF(ISNA(Tableau6[[#This Row],[Position 2021]]),Tableau6[[#This Row],[Position 2021]],Tableau6[[#This Row],[2021]]-E$2)</f>
        <v>#N/A</v>
      </c>
      <c r="G176" s="102" t="e">
        <f>MATCH(Tableau6[Jours Mois]&amp;"/"&amp;Tableau6[[#Headers],[2022]],tabSuiviConso[Jour Mois Année],0)</f>
        <v>#N/A</v>
      </c>
      <c r="H176" s="102" t="str">
        <f>IF(ISNA(Tableau6[[#This Row],[Position 2022]]),"",INDEX(tabSuiviConso[HP + HC
cumul],Tableau6[[#This Row],[Position 2022]],1))</f>
        <v/>
      </c>
      <c r="I176" s="123" t="e">
        <f>IF(ISNA(Tableau6[[#This Row],[Position 2022]]),Tableau6[[#This Row],[Position 2022]],Tableau6[[#This Row],[2022]]-H$2)</f>
        <v>#N/A</v>
      </c>
      <c r="J176" s="102" t="e">
        <f>MATCH(Tableau6[Jours Mois]&amp;"/"&amp;Tableau6[[#Headers],[2023]],tabSuiviConso[Jour Mois Année],0)</f>
        <v>#N/A</v>
      </c>
      <c r="K176" s="102" t="e">
        <f>Tableau6[[#This Row],[Cumul 2022]]-Tableau6[[#This Row],[Cumul 2021]]</f>
        <v>#N/A</v>
      </c>
      <c r="L176" s="104" t="e">
        <f>Tableau6[[#This Row],[Ecart 2021 2022]]/Tableau6[[#This Row],[Cumul 2021]]</f>
        <v>#N/A</v>
      </c>
      <c r="M176" s="102" t="str">
        <f>IF(ISNA(Tableau6[[#This Row],[Position 2023]]),"",INDEX(tabSuiviConso[HP + HC
cumul],Tableau6[[#This Row],[Position 2023]],1))</f>
        <v/>
      </c>
      <c r="N176" s="123" t="e">
        <f>IF(ISNA(Tableau6[[#This Row],[Position 2023]]),Tableau6[[#This Row],[Position 2023]],Tableau6[[#This Row],[2023]]-M$2)</f>
        <v>#N/A</v>
      </c>
      <c r="O176" s="102" t="e">
        <f>Tableau6[[#This Row],[Cumul 2023]]-Tableau6[[#This Row],[Cumul 2022]]</f>
        <v>#N/A</v>
      </c>
      <c r="P176" s="104" t="e">
        <f>Tableau6[[#This Row],[Ecart 2022 2023]]/Tableau6[[#This Row],[Cumul 2022]]</f>
        <v>#N/A</v>
      </c>
      <c r="Q176" s="102" t="e">
        <f>MATCH(Tableau6[Jours Mois]&amp;"/"&amp;Tableau6[[#Headers],[2024]],tabSuiviConso[Jour Mois Année],0)</f>
        <v>#N/A</v>
      </c>
      <c r="R176" s="102" t="str">
        <f>IF(ISNA(Tableau6[[#This Row],[Position 2024]]),"",INDEX(tabSuiviConso[HP + HC
cumul],Tableau6[[#This Row],[Position 2024]],1))</f>
        <v/>
      </c>
      <c r="S176" s="123" t="e">
        <f>IF(ISNA(Tableau6[[#This Row],[Position 2024]]),Tableau6[[#This Row],[Position 2024]],Tableau6[[#This Row],[2024]]-R$2)</f>
        <v>#N/A</v>
      </c>
      <c r="T176" s="102" t="e">
        <f>Tableau6[[#This Row],[Cumul 2024]]-Tableau6[[#This Row],[Cumul 2023]]</f>
        <v>#N/A</v>
      </c>
      <c r="U176" s="103" t="e">
        <f>Tableau6[[#This Row],[Ecart 2023 2024]]/Tableau6[[#This Row],[Cumul 2023]]</f>
        <v>#N/A</v>
      </c>
    </row>
    <row r="177" spans="1:21" x14ac:dyDescent="0.2">
      <c r="A177" s="102">
        <v>6</v>
      </c>
      <c r="B177" s="102">
        <v>23</v>
      </c>
      <c r="C177" s="102" t="str">
        <f>Tableau6[Jour]&amp;"/"&amp;Tableau6[Mois]</f>
        <v>23/6</v>
      </c>
      <c r="D177" s="102" t="e">
        <f>MATCH(Tableau6[Jours Mois]&amp;"/"&amp;Tableau6[[#Headers],[2021]],tabSuiviConso[Jour Mois Année],0)</f>
        <v>#N/A</v>
      </c>
      <c r="E177" s="102" t="str">
        <f>IF(ISNA(Tableau6[[#This Row],[Position 2021]]),"",INDEX(tabSuiviConso[HP + HC
cumul],Tableau6[[#This Row],[Position 2021]],1))</f>
        <v/>
      </c>
      <c r="F177" s="123" t="e">
        <f>IF(ISNA(Tableau6[[#This Row],[Position 2021]]),Tableau6[[#This Row],[Position 2021]],Tableau6[[#This Row],[2021]]-E$2)</f>
        <v>#N/A</v>
      </c>
      <c r="G177" s="102" t="e">
        <f>MATCH(Tableau6[Jours Mois]&amp;"/"&amp;Tableau6[[#Headers],[2022]],tabSuiviConso[Jour Mois Année],0)</f>
        <v>#N/A</v>
      </c>
      <c r="H177" s="102" t="str">
        <f>IF(ISNA(Tableau6[[#This Row],[Position 2022]]),"",INDEX(tabSuiviConso[HP + HC
cumul],Tableau6[[#This Row],[Position 2022]],1))</f>
        <v/>
      </c>
      <c r="I177" s="123" t="e">
        <f>IF(ISNA(Tableau6[[#This Row],[Position 2022]]),Tableau6[[#This Row],[Position 2022]],Tableau6[[#This Row],[2022]]-H$2)</f>
        <v>#N/A</v>
      </c>
      <c r="J177" s="102" t="e">
        <f>MATCH(Tableau6[Jours Mois]&amp;"/"&amp;Tableau6[[#Headers],[2023]],tabSuiviConso[Jour Mois Année],0)</f>
        <v>#N/A</v>
      </c>
      <c r="K177" s="102" t="e">
        <f>Tableau6[[#This Row],[Cumul 2022]]-Tableau6[[#This Row],[Cumul 2021]]</f>
        <v>#N/A</v>
      </c>
      <c r="L177" s="104" t="e">
        <f>Tableau6[[#This Row],[Ecart 2021 2022]]/Tableau6[[#This Row],[Cumul 2021]]</f>
        <v>#N/A</v>
      </c>
      <c r="M177" s="102" t="str">
        <f>IF(ISNA(Tableau6[[#This Row],[Position 2023]]),"",INDEX(tabSuiviConso[HP + HC
cumul],Tableau6[[#This Row],[Position 2023]],1))</f>
        <v/>
      </c>
      <c r="N177" s="123" t="e">
        <f>IF(ISNA(Tableau6[[#This Row],[Position 2023]]),Tableau6[[#This Row],[Position 2023]],Tableau6[[#This Row],[2023]]-M$2)</f>
        <v>#N/A</v>
      </c>
      <c r="O177" s="102" t="e">
        <f>Tableau6[[#This Row],[Cumul 2023]]-Tableau6[[#This Row],[Cumul 2022]]</f>
        <v>#N/A</v>
      </c>
      <c r="P177" s="104" t="e">
        <f>Tableau6[[#This Row],[Ecart 2022 2023]]/Tableau6[[#This Row],[Cumul 2022]]</f>
        <v>#N/A</v>
      </c>
      <c r="Q177" s="102" t="e">
        <f>MATCH(Tableau6[Jours Mois]&amp;"/"&amp;Tableau6[[#Headers],[2024]],tabSuiviConso[Jour Mois Année],0)</f>
        <v>#N/A</v>
      </c>
      <c r="R177" s="102" t="str">
        <f>IF(ISNA(Tableau6[[#This Row],[Position 2024]]),"",INDEX(tabSuiviConso[HP + HC
cumul],Tableau6[[#This Row],[Position 2024]],1))</f>
        <v/>
      </c>
      <c r="S177" s="123" t="e">
        <f>IF(ISNA(Tableau6[[#This Row],[Position 2024]]),Tableau6[[#This Row],[Position 2024]],Tableau6[[#This Row],[2024]]-R$2)</f>
        <v>#N/A</v>
      </c>
      <c r="T177" s="102" t="e">
        <f>Tableau6[[#This Row],[Cumul 2024]]-Tableau6[[#This Row],[Cumul 2023]]</f>
        <v>#N/A</v>
      </c>
      <c r="U177" s="103" t="e">
        <f>Tableau6[[#This Row],[Ecart 2023 2024]]/Tableau6[[#This Row],[Cumul 2023]]</f>
        <v>#N/A</v>
      </c>
    </row>
    <row r="178" spans="1:21" x14ac:dyDescent="0.2">
      <c r="A178" s="102">
        <v>6</v>
      </c>
      <c r="B178" s="102">
        <v>24</v>
      </c>
      <c r="C178" s="102" t="str">
        <f>Tableau6[Jour]&amp;"/"&amp;Tableau6[Mois]</f>
        <v>24/6</v>
      </c>
      <c r="D178" s="102" t="e">
        <f>MATCH(Tableau6[Jours Mois]&amp;"/"&amp;Tableau6[[#Headers],[2021]],tabSuiviConso[Jour Mois Année],0)</f>
        <v>#N/A</v>
      </c>
      <c r="E178" s="102" t="str">
        <f>IF(ISNA(Tableau6[[#This Row],[Position 2021]]),"",INDEX(tabSuiviConso[HP + HC
cumul],Tableau6[[#This Row],[Position 2021]],1))</f>
        <v/>
      </c>
      <c r="F178" s="123" t="e">
        <f>IF(ISNA(Tableau6[[#This Row],[Position 2021]]),Tableau6[[#This Row],[Position 2021]],Tableau6[[#This Row],[2021]]-E$2)</f>
        <v>#N/A</v>
      </c>
      <c r="G178" s="102" t="e">
        <f>MATCH(Tableau6[Jours Mois]&amp;"/"&amp;Tableau6[[#Headers],[2022]],tabSuiviConso[Jour Mois Année],0)</f>
        <v>#N/A</v>
      </c>
      <c r="H178" s="102" t="str">
        <f>IF(ISNA(Tableau6[[#This Row],[Position 2022]]),"",INDEX(tabSuiviConso[HP + HC
cumul],Tableau6[[#This Row],[Position 2022]],1))</f>
        <v/>
      </c>
      <c r="I178" s="123" t="e">
        <f>IF(ISNA(Tableau6[[#This Row],[Position 2022]]),Tableau6[[#This Row],[Position 2022]],Tableau6[[#This Row],[2022]]-H$2)</f>
        <v>#N/A</v>
      </c>
      <c r="J178" s="102" t="e">
        <f>MATCH(Tableau6[Jours Mois]&amp;"/"&amp;Tableau6[[#Headers],[2023]],tabSuiviConso[Jour Mois Année],0)</f>
        <v>#N/A</v>
      </c>
      <c r="K178" s="102" t="e">
        <f>Tableau6[[#This Row],[Cumul 2022]]-Tableau6[[#This Row],[Cumul 2021]]</f>
        <v>#N/A</v>
      </c>
      <c r="L178" s="104" t="e">
        <f>Tableau6[[#This Row],[Ecart 2021 2022]]/Tableau6[[#This Row],[Cumul 2021]]</f>
        <v>#N/A</v>
      </c>
      <c r="M178" s="102" t="str">
        <f>IF(ISNA(Tableau6[[#This Row],[Position 2023]]),"",INDEX(tabSuiviConso[HP + HC
cumul],Tableau6[[#This Row],[Position 2023]],1))</f>
        <v/>
      </c>
      <c r="N178" s="123" t="e">
        <f>IF(ISNA(Tableau6[[#This Row],[Position 2023]]),Tableau6[[#This Row],[Position 2023]],Tableau6[[#This Row],[2023]]-M$2)</f>
        <v>#N/A</v>
      </c>
      <c r="O178" s="102" t="e">
        <f>Tableau6[[#This Row],[Cumul 2023]]-Tableau6[[#This Row],[Cumul 2022]]</f>
        <v>#N/A</v>
      </c>
      <c r="P178" s="104" t="e">
        <f>Tableau6[[#This Row],[Ecart 2022 2023]]/Tableau6[[#This Row],[Cumul 2022]]</f>
        <v>#N/A</v>
      </c>
      <c r="Q178" s="102" t="e">
        <f>MATCH(Tableau6[Jours Mois]&amp;"/"&amp;Tableau6[[#Headers],[2024]],tabSuiviConso[Jour Mois Année],0)</f>
        <v>#N/A</v>
      </c>
      <c r="R178" s="102" t="str">
        <f>IF(ISNA(Tableau6[[#This Row],[Position 2024]]),"",INDEX(tabSuiviConso[HP + HC
cumul],Tableau6[[#This Row],[Position 2024]],1))</f>
        <v/>
      </c>
      <c r="S178" s="123" t="e">
        <f>IF(ISNA(Tableau6[[#This Row],[Position 2024]]),Tableau6[[#This Row],[Position 2024]],Tableau6[[#This Row],[2024]]-R$2)</f>
        <v>#N/A</v>
      </c>
      <c r="T178" s="102" t="e">
        <f>Tableau6[[#This Row],[Cumul 2024]]-Tableau6[[#This Row],[Cumul 2023]]</f>
        <v>#N/A</v>
      </c>
      <c r="U178" s="103" t="e">
        <f>Tableau6[[#This Row],[Ecart 2023 2024]]/Tableau6[[#This Row],[Cumul 2023]]</f>
        <v>#N/A</v>
      </c>
    </row>
    <row r="179" spans="1:21" x14ac:dyDescent="0.2">
      <c r="A179" s="102">
        <v>6</v>
      </c>
      <c r="B179" s="102">
        <v>25</v>
      </c>
      <c r="C179" s="102" t="str">
        <f>Tableau6[Jour]&amp;"/"&amp;Tableau6[Mois]</f>
        <v>25/6</v>
      </c>
      <c r="D179" s="102" t="e">
        <f>MATCH(Tableau6[Jours Mois]&amp;"/"&amp;Tableau6[[#Headers],[2021]],tabSuiviConso[Jour Mois Année],0)</f>
        <v>#N/A</v>
      </c>
      <c r="E179" s="102" t="str">
        <f>IF(ISNA(Tableau6[[#This Row],[Position 2021]]),"",INDEX(tabSuiviConso[HP + HC
cumul],Tableau6[[#This Row],[Position 2021]],1))</f>
        <v/>
      </c>
      <c r="F179" s="123" t="e">
        <f>IF(ISNA(Tableau6[[#This Row],[Position 2021]]),Tableau6[[#This Row],[Position 2021]],Tableau6[[#This Row],[2021]]-E$2)</f>
        <v>#N/A</v>
      </c>
      <c r="G179" s="102" t="e">
        <f>MATCH(Tableau6[Jours Mois]&amp;"/"&amp;Tableau6[[#Headers],[2022]],tabSuiviConso[Jour Mois Année],0)</f>
        <v>#N/A</v>
      </c>
      <c r="H179" s="102" t="str">
        <f>IF(ISNA(Tableau6[[#This Row],[Position 2022]]),"",INDEX(tabSuiviConso[HP + HC
cumul],Tableau6[[#This Row],[Position 2022]],1))</f>
        <v/>
      </c>
      <c r="I179" s="123" t="e">
        <f>IF(ISNA(Tableau6[[#This Row],[Position 2022]]),Tableau6[[#This Row],[Position 2022]],Tableau6[[#This Row],[2022]]-H$2)</f>
        <v>#N/A</v>
      </c>
      <c r="J179" s="102" t="e">
        <f>MATCH(Tableau6[Jours Mois]&amp;"/"&amp;Tableau6[[#Headers],[2023]],tabSuiviConso[Jour Mois Année],0)</f>
        <v>#N/A</v>
      </c>
      <c r="K179" s="102" t="e">
        <f>Tableau6[[#This Row],[Cumul 2022]]-Tableau6[[#This Row],[Cumul 2021]]</f>
        <v>#N/A</v>
      </c>
      <c r="L179" s="104" t="e">
        <f>Tableau6[[#This Row],[Ecart 2021 2022]]/Tableau6[[#This Row],[Cumul 2021]]</f>
        <v>#N/A</v>
      </c>
      <c r="M179" s="102" t="str">
        <f>IF(ISNA(Tableau6[[#This Row],[Position 2023]]),"",INDEX(tabSuiviConso[HP + HC
cumul],Tableau6[[#This Row],[Position 2023]],1))</f>
        <v/>
      </c>
      <c r="N179" s="123" t="e">
        <f>IF(ISNA(Tableau6[[#This Row],[Position 2023]]),Tableau6[[#This Row],[Position 2023]],Tableau6[[#This Row],[2023]]-M$2)</f>
        <v>#N/A</v>
      </c>
      <c r="O179" s="102" t="e">
        <f>Tableau6[[#This Row],[Cumul 2023]]-Tableau6[[#This Row],[Cumul 2022]]</f>
        <v>#N/A</v>
      </c>
      <c r="P179" s="104" t="e">
        <f>Tableau6[[#This Row],[Ecart 2022 2023]]/Tableau6[[#This Row],[Cumul 2022]]</f>
        <v>#N/A</v>
      </c>
      <c r="Q179" s="102" t="e">
        <f>MATCH(Tableau6[Jours Mois]&amp;"/"&amp;Tableau6[[#Headers],[2024]],tabSuiviConso[Jour Mois Année],0)</f>
        <v>#N/A</v>
      </c>
      <c r="R179" s="102" t="str">
        <f>IF(ISNA(Tableau6[[#This Row],[Position 2024]]),"",INDEX(tabSuiviConso[HP + HC
cumul],Tableau6[[#This Row],[Position 2024]],1))</f>
        <v/>
      </c>
      <c r="S179" s="123" t="e">
        <f>IF(ISNA(Tableau6[[#This Row],[Position 2024]]),Tableau6[[#This Row],[Position 2024]],Tableau6[[#This Row],[2024]]-R$2)</f>
        <v>#N/A</v>
      </c>
      <c r="T179" s="102" t="e">
        <f>Tableau6[[#This Row],[Cumul 2024]]-Tableau6[[#This Row],[Cumul 2023]]</f>
        <v>#N/A</v>
      </c>
      <c r="U179" s="103" t="e">
        <f>Tableau6[[#This Row],[Ecart 2023 2024]]/Tableau6[[#This Row],[Cumul 2023]]</f>
        <v>#N/A</v>
      </c>
    </row>
    <row r="180" spans="1:21" x14ac:dyDescent="0.2">
      <c r="A180" s="102">
        <v>6</v>
      </c>
      <c r="B180" s="102">
        <v>26</v>
      </c>
      <c r="C180" s="102" t="str">
        <f>Tableau6[Jour]&amp;"/"&amp;Tableau6[Mois]</f>
        <v>26/6</v>
      </c>
      <c r="D180" s="102" t="e">
        <f>MATCH(Tableau6[Jours Mois]&amp;"/"&amp;Tableau6[[#Headers],[2021]],tabSuiviConso[Jour Mois Année],0)</f>
        <v>#N/A</v>
      </c>
      <c r="E180" s="102" t="str">
        <f>IF(ISNA(Tableau6[[#This Row],[Position 2021]]),"",INDEX(tabSuiviConso[HP + HC
cumul],Tableau6[[#This Row],[Position 2021]],1))</f>
        <v/>
      </c>
      <c r="F180" s="123" t="e">
        <f>IF(ISNA(Tableau6[[#This Row],[Position 2021]]),Tableau6[[#This Row],[Position 2021]],Tableau6[[#This Row],[2021]]-E$2)</f>
        <v>#N/A</v>
      </c>
      <c r="G180" s="102" t="e">
        <f>MATCH(Tableau6[Jours Mois]&amp;"/"&amp;Tableau6[[#Headers],[2022]],tabSuiviConso[Jour Mois Année],0)</f>
        <v>#N/A</v>
      </c>
      <c r="H180" s="102" t="str">
        <f>IF(ISNA(Tableau6[[#This Row],[Position 2022]]),"",INDEX(tabSuiviConso[HP + HC
cumul],Tableau6[[#This Row],[Position 2022]],1))</f>
        <v/>
      </c>
      <c r="I180" s="123" t="e">
        <f>IF(ISNA(Tableau6[[#This Row],[Position 2022]]),Tableau6[[#This Row],[Position 2022]],Tableau6[[#This Row],[2022]]-H$2)</f>
        <v>#N/A</v>
      </c>
      <c r="J180" s="102" t="e">
        <f>MATCH(Tableau6[Jours Mois]&amp;"/"&amp;Tableau6[[#Headers],[2023]],tabSuiviConso[Jour Mois Année],0)</f>
        <v>#N/A</v>
      </c>
      <c r="K180" s="102" t="e">
        <f>Tableau6[[#This Row],[Cumul 2022]]-Tableau6[[#This Row],[Cumul 2021]]</f>
        <v>#N/A</v>
      </c>
      <c r="L180" s="104" t="e">
        <f>Tableau6[[#This Row],[Ecart 2021 2022]]/Tableau6[[#This Row],[Cumul 2021]]</f>
        <v>#N/A</v>
      </c>
      <c r="M180" s="102" t="str">
        <f>IF(ISNA(Tableau6[[#This Row],[Position 2023]]),"",INDEX(tabSuiviConso[HP + HC
cumul],Tableau6[[#This Row],[Position 2023]],1))</f>
        <v/>
      </c>
      <c r="N180" s="123" t="e">
        <f>IF(ISNA(Tableau6[[#This Row],[Position 2023]]),Tableau6[[#This Row],[Position 2023]],Tableau6[[#This Row],[2023]]-M$2)</f>
        <v>#N/A</v>
      </c>
      <c r="O180" s="102" t="e">
        <f>Tableau6[[#This Row],[Cumul 2023]]-Tableau6[[#This Row],[Cumul 2022]]</f>
        <v>#N/A</v>
      </c>
      <c r="P180" s="104" t="e">
        <f>Tableau6[[#This Row],[Ecart 2022 2023]]/Tableau6[[#This Row],[Cumul 2022]]</f>
        <v>#N/A</v>
      </c>
      <c r="Q180" s="102" t="e">
        <f>MATCH(Tableau6[Jours Mois]&amp;"/"&amp;Tableau6[[#Headers],[2024]],tabSuiviConso[Jour Mois Année],0)</f>
        <v>#N/A</v>
      </c>
      <c r="R180" s="102" t="str">
        <f>IF(ISNA(Tableau6[[#This Row],[Position 2024]]),"",INDEX(tabSuiviConso[HP + HC
cumul],Tableau6[[#This Row],[Position 2024]],1))</f>
        <v/>
      </c>
      <c r="S180" s="123" t="e">
        <f>IF(ISNA(Tableau6[[#This Row],[Position 2024]]),Tableau6[[#This Row],[Position 2024]],Tableau6[[#This Row],[2024]]-R$2)</f>
        <v>#N/A</v>
      </c>
      <c r="T180" s="102" t="e">
        <f>Tableau6[[#This Row],[Cumul 2024]]-Tableau6[[#This Row],[Cumul 2023]]</f>
        <v>#N/A</v>
      </c>
      <c r="U180" s="103" t="e">
        <f>Tableau6[[#This Row],[Ecart 2023 2024]]/Tableau6[[#This Row],[Cumul 2023]]</f>
        <v>#N/A</v>
      </c>
    </row>
    <row r="181" spans="1:21" x14ac:dyDescent="0.2">
      <c r="A181" s="102">
        <v>6</v>
      </c>
      <c r="B181" s="102">
        <v>27</v>
      </c>
      <c r="C181" s="102" t="str">
        <f>Tableau6[Jour]&amp;"/"&amp;Tableau6[Mois]</f>
        <v>27/6</v>
      </c>
      <c r="D181" s="102" t="e">
        <f>MATCH(Tableau6[Jours Mois]&amp;"/"&amp;Tableau6[[#Headers],[2021]],tabSuiviConso[Jour Mois Année],0)</f>
        <v>#N/A</v>
      </c>
      <c r="E181" s="102" t="str">
        <f>IF(ISNA(Tableau6[[#This Row],[Position 2021]]),"",INDEX(tabSuiviConso[HP + HC
cumul],Tableau6[[#This Row],[Position 2021]],1))</f>
        <v/>
      </c>
      <c r="F181" s="123" t="e">
        <f>IF(ISNA(Tableau6[[#This Row],[Position 2021]]),Tableau6[[#This Row],[Position 2021]],Tableau6[[#This Row],[2021]]-E$2)</f>
        <v>#N/A</v>
      </c>
      <c r="G181" s="102" t="e">
        <f>MATCH(Tableau6[Jours Mois]&amp;"/"&amp;Tableau6[[#Headers],[2022]],tabSuiviConso[Jour Mois Année],0)</f>
        <v>#N/A</v>
      </c>
      <c r="H181" s="102" t="str">
        <f>IF(ISNA(Tableau6[[#This Row],[Position 2022]]),"",INDEX(tabSuiviConso[HP + HC
cumul],Tableau6[[#This Row],[Position 2022]],1))</f>
        <v/>
      </c>
      <c r="I181" s="123" t="e">
        <f>IF(ISNA(Tableau6[[#This Row],[Position 2022]]),Tableau6[[#This Row],[Position 2022]],Tableau6[[#This Row],[2022]]-H$2)</f>
        <v>#N/A</v>
      </c>
      <c r="J181" s="102" t="e">
        <f>MATCH(Tableau6[Jours Mois]&amp;"/"&amp;Tableau6[[#Headers],[2023]],tabSuiviConso[Jour Mois Année],0)</f>
        <v>#N/A</v>
      </c>
      <c r="K181" s="102" t="e">
        <f>Tableau6[[#This Row],[Cumul 2022]]-Tableau6[[#This Row],[Cumul 2021]]</f>
        <v>#N/A</v>
      </c>
      <c r="L181" s="104" t="e">
        <f>Tableau6[[#This Row],[Ecart 2021 2022]]/Tableau6[[#This Row],[Cumul 2021]]</f>
        <v>#N/A</v>
      </c>
      <c r="M181" s="102" t="str">
        <f>IF(ISNA(Tableau6[[#This Row],[Position 2023]]),"",INDEX(tabSuiviConso[HP + HC
cumul],Tableau6[[#This Row],[Position 2023]],1))</f>
        <v/>
      </c>
      <c r="N181" s="123" t="e">
        <f>IF(ISNA(Tableau6[[#This Row],[Position 2023]]),Tableau6[[#This Row],[Position 2023]],Tableau6[[#This Row],[2023]]-M$2)</f>
        <v>#N/A</v>
      </c>
      <c r="O181" s="102" t="e">
        <f>Tableau6[[#This Row],[Cumul 2023]]-Tableau6[[#This Row],[Cumul 2022]]</f>
        <v>#N/A</v>
      </c>
      <c r="P181" s="104" t="e">
        <f>Tableau6[[#This Row],[Ecart 2022 2023]]/Tableau6[[#This Row],[Cumul 2022]]</f>
        <v>#N/A</v>
      </c>
      <c r="Q181" s="102" t="e">
        <f>MATCH(Tableau6[Jours Mois]&amp;"/"&amp;Tableau6[[#Headers],[2024]],tabSuiviConso[Jour Mois Année],0)</f>
        <v>#N/A</v>
      </c>
      <c r="R181" s="102" t="str">
        <f>IF(ISNA(Tableau6[[#This Row],[Position 2024]]),"",INDEX(tabSuiviConso[HP + HC
cumul],Tableau6[[#This Row],[Position 2024]],1))</f>
        <v/>
      </c>
      <c r="S181" s="123" t="e">
        <f>IF(ISNA(Tableau6[[#This Row],[Position 2024]]),Tableau6[[#This Row],[Position 2024]],Tableau6[[#This Row],[2024]]-R$2)</f>
        <v>#N/A</v>
      </c>
      <c r="T181" s="102" t="e">
        <f>Tableau6[[#This Row],[Cumul 2024]]-Tableau6[[#This Row],[Cumul 2023]]</f>
        <v>#N/A</v>
      </c>
      <c r="U181" s="103" t="e">
        <f>Tableau6[[#This Row],[Ecart 2023 2024]]/Tableau6[[#This Row],[Cumul 2023]]</f>
        <v>#N/A</v>
      </c>
    </row>
    <row r="182" spans="1:21" x14ac:dyDescent="0.2">
      <c r="A182" s="102">
        <v>6</v>
      </c>
      <c r="B182" s="102">
        <v>28</v>
      </c>
      <c r="C182" s="102" t="str">
        <f>Tableau6[Jour]&amp;"/"&amp;Tableau6[Mois]</f>
        <v>28/6</v>
      </c>
      <c r="D182" s="102" t="e">
        <f>MATCH(Tableau6[Jours Mois]&amp;"/"&amp;Tableau6[[#Headers],[2021]],tabSuiviConso[Jour Mois Année],0)</f>
        <v>#N/A</v>
      </c>
      <c r="E182" s="102" t="str">
        <f>IF(ISNA(Tableau6[[#This Row],[Position 2021]]),"",INDEX(tabSuiviConso[HP + HC
cumul],Tableau6[[#This Row],[Position 2021]],1))</f>
        <v/>
      </c>
      <c r="F182" s="123" t="e">
        <f>IF(ISNA(Tableau6[[#This Row],[Position 2021]]),Tableau6[[#This Row],[Position 2021]],Tableau6[[#This Row],[2021]]-E$2)</f>
        <v>#N/A</v>
      </c>
      <c r="G182" s="102" t="e">
        <f>MATCH(Tableau6[Jours Mois]&amp;"/"&amp;Tableau6[[#Headers],[2022]],tabSuiviConso[Jour Mois Année],0)</f>
        <v>#N/A</v>
      </c>
      <c r="H182" s="102" t="str">
        <f>IF(ISNA(Tableau6[[#This Row],[Position 2022]]),"",INDEX(tabSuiviConso[HP + HC
cumul],Tableau6[[#This Row],[Position 2022]],1))</f>
        <v/>
      </c>
      <c r="I182" s="123" t="e">
        <f>IF(ISNA(Tableau6[[#This Row],[Position 2022]]),Tableau6[[#This Row],[Position 2022]],Tableau6[[#This Row],[2022]]-H$2)</f>
        <v>#N/A</v>
      </c>
      <c r="J182" s="102" t="e">
        <f>MATCH(Tableau6[Jours Mois]&amp;"/"&amp;Tableau6[[#Headers],[2023]],tabSuiviConso[Jour Mois Année],0)</f>
        <v>#N/A</v>
      </c>
      <c r="K182" s="102" t="e">
        <f>Tableau6[[#This Row],[Cumul 2022]]-Tableau6[[#This Row],[Cumul 2021]]</f>
        <v>#N/A</v>
      </c>
      <c r="L182" s="104" t="e">
        <f>Tableau6[[#This Row],[Ecart 2021 2022]]/Tableau6[[#This Row],[Cumul 2021]]</f>
        <v>#N/A</v>
      </c>
      <c r="M182" s="102" t="str">
        <f>IF(ISNA(Tableau6[[#This Row],[Position 2023]]),"",INDEX(tabSuiviConso[HP + HC
cumul],Tableau6[[#This Row],[Position 2023]],1))</f>
        <v/>
      </c>
      <c r="N182" s="123" t="e">
        <f>IF(ISNA(Tableau6[[#This Row],[Position 2023]]),Tableau6[[#This Row],[Position 2023]],Tableau6[[#This Row],[2023]]-M$2)</f>
        <v>#N/A</v>
      </c>
      <c r="O182" s="102" t="e">
        <f>Tableau6[[#This Row],[Cumul 2023]]-Tableau6[[#This Row],[Cumul 2022]]</f>
        <v>#N/A</v>
      </c>
      <c r="P182" s="104" t="e">
        <f>Tableau6[[#This Row],[Ecart 2022 2023]]/Tableau6[[#This Row],[Cumul 2022]]</f>
        <v>#N/A</v>
      </c>
      <c r="Q182" s="102" t="e">
        <f>MATCH(Tableau6[Jours Mois]&amp;"/"&amp;Tableau6[[#Headers],[2024]],tabSuiviConso[Jour Mois Année],0)</f>
        <v>#N/A</v>
      </c>
      <c r="R182" s="102" t="str">
        <f>IF(ISNA(Tableau6[[#This Row],[Position 2024]]),"",INDEX(tabSuiviConso[HP + HC
cumul],Tableau6[[#This Row],[Position 2024]],1))</f>
        <v/>
      </c>
      <c r="S182" s="123" t="e">
        <f>IF(ISNA(Tableau6[[#This Row],[Position 2024]]),Tableau6[[#This Row],[Position 2024]],Tableau6[[#This Row],[2024]]-R$2)</f>
        <v>#N/A</v>
      </c>
      <c r="T182" s="102" t="e">
        <f>Tableau6[[#This Row],[Cumul 2024]]-Tableau6[[#This Row],[Cumul 2023]]</f>
        <v>#N/A</v>
      </c>
      <c r="U182" s="103" t="e">
        <f>Tableau6[[#This Row],[Ecart 2023 2024]]/Tableau6[[#This Row],[Cumul 2023]]</f>
        <v>#N/A</v>
      </c>
    </row>
    <row r="183" spans="1:21" x14ac:dyDescent="0.2">
      <c r="A183" s="102">
        <v>6</v>
      </c>
      <c r="B183" s="102">
        <v>29</v>
      </c>
      <c r="C183" s="102" t="str">
        <f>Tableau6[Jour]&amp;"/"&amp;Tableau6[Mois]</f>
        <v>29/6</v>
      </c>
      <c r="D183" s="102" t="e">
        <f>MATCH(Tableau6[Jours Mois]&amp;"/"&amp;Tableau6[[#Headers],[2021]],tabSuiviConso[Jour Mois Année],0)</f>
        <v>#N/A</v>
      </c>
      <c r="E183" s="102" t="str">
        <f>IF(ISNA(Tableau6[[#This Row],[Position 2021]]),"",INDEX(tabSuiviConso[HP + HC
cumul],Tableau6[[#This Row],[Position 2021]],1))</f>
        <v/>
      </c>
      <c r="F183" s="123" t="e">
        <f>IF(ISNA(Tableau6[[#This Row],[Position 2021]]),Tableau6[[#This Row],[Position 2021]],Tableau6[[#This Row],[2021]]-E$2)</f>
        <v>#N/A</v>
      </c>
      <c r="G183" s="102" t="e">
        <f>MATCH(Tableau6[Jours Mois]&amp;"/"&amp;Tableau6[[#Headers],[2022]],tabSuiviConso[Jour Mois Année],0)</f>
        <v>#N/A</v>
      </c>
      <c r="H183" s="102" t="str">
        <f>IF(ISNA(Tableau6[[#This Row],[Position 2022]]),"",INDEX(tabSuiviConso[HP + HC
cumul],Tableau6[[#This Row],[Position 2022]],1))</f>
        <v/>
      </c>
      <c r="I183" s="123" t="e">
        <f>IF(ISNA(Tableau6[[#This Row],[Position 2022]]),Tableau6[[#This Row],[Position 2022]],Tableau6[[#This Row],[2022]]-H$2)</f>
        <v>#N/A</v>
      </c>
      <c r="J183" s="102" t="e">
        <f>MATCH(Tableau6[Jours Mois]&amp;"/"&amp;Tableau6[[#Headers],[2023]],tabSuiviConso[Jour Mois Année],0)</f>
        <v>#N/A</v>
      </c>
      <c r="K183" s="102" t="e">
        <f>Tableau6[[#This Row],[Cumul 2022]]-Tableau6[[#This Row],[Cumul 2021]]</f>
        <v>#N/A</v>
      </c>
      <c r="L183" s="104" t="e">
        <f>Tableau6[[#This Row],[Ecart 2021 2022]]/Tableau6[[#This Row],[Cumul 2021]]</f>
        <v>#N/A</v>
      </c>
      <c r="M183" s="102" t="str">
        <f>IF(ISNA(Tableau6[[#This Row],[Position 2023]]),"",INDEX(tabSuiviConso[HP + HC
cumul],Tableau6[[#This Row],[Position 2023]],1))</f>
        <v/>
      </c>
      <c r="N183" s="123" t="e">
        <f>IF(ISNA(Tableau6[[#This Row],[Position 2023]]),Tableau6[[#This Row],[Position 2023]],Tableau6[[#This Row],[2023]]-M$2)</f>
        <v>#N/A</v>
      </c>
      <c r="O183" s="102" t="e">
        <f>Tableau6[[#This Row],[Cumul 2023]]-Tableau6[[#This Row],[Cumul 2022]]</f>
        <v>#N/A</v>
      </c>
      <c r="P183" s="104" t="e">
        <f>Tableau6[[#This Row],[Ecart 2022 2023]]/Tableau6[[#This Row],[Cumul 2022]]</f>
        <v>#N/A</v>
      </c>
      <c r="Q183" s="102" t="e">
        <f>MATCH(Tableau6[Jours Mois]&amp;"/"&amp;Tableau6[[#Headers],[2024]],tabSuiviConso[Jour Mois Année],0)</f>
        <v>#N/A</v>
      </c>
      <c r="R183" s="102" t="str">
        <f>IF(ISNA(Tableau6[[#This Row],[Position 2024]]),"",INDEX(tabSuiviConso[HP + HC
cumul],Tableau6[[#This Row],[Position 2024]],1))</f>
        <v/>
      </c>
      <c r="S183" s="123" t="e">
        <f>IF(ISNA(Tableau6[[#This Row],[Position 2024]]),Tableau6[[#This Row],[Position 2024]],Tableau6[[#This Row],[2024]]-R$2)</f>
        <v>#N/A</v>
      </c>
      <c r="T183" s="102" t="e">
        <f>Tableau6[[#This Row],[Cumul 2024]]-Tableau6[[#This Row],[Cumul 2023]]</f>
        <v>#N/A</v>
      </c>
      <c r="U183" s="103" t="e">
        <f>Tableau6[[#This Row],[Ecart 2023 2024]]/Tableau6[[#This Row],[Cumul 2023]]</f>
        <v>#N/A</v>
      </c>
    </row>
    <row r="184" spans="1:21" x14ac:dyDescent="0.2">
      <c r="A184" s="102">
        <v>6</v>
      </c>
      <c r="B184" s="102">
        <v>30</v>
      </c>
      <c r="C184" s="102" t="str">
        <f>Tableau6[Jour]&amp;"/"&amp;Tableau6[Mois]</f>
        <v>30/6</v>
      </c>
      <c r="D184" s="102" t="e">
        <f>MATCH(Tableau6[Jours Mois]&amp;"/"&amp;Tableau6[[#Headers],[2021]],tabSuiviConso[Jour Mois Année],0)</f>
        <v>#N/A</v>
      </c>
      <c r="E184" s="102" t="str">
        <f>IF(ISNA(Tableau6[[#This Row],[Position 2021]]),"",INDEX(tabSuiviConso[HP + HC
cumul],Tableau6[[#This Row],[Position 2021]],1))</f>
        <v/>
      </c>
      <c r="F184" s="123" t="e">
        <f>IF(ISNA(Tableau6[[#This Row],[Position 2021]]),Tableau6[[#This Row],[Position 2021]],Tableau6[[#This Row],[2021]]-E$2)</f>
        <v>#N/A</v>
      </c>
      <c r="G184" s="102" t="e">
        <f>MATCH(Tableau6[Jours Mois]&amp;"/"&amp;Tableau6[[#Headers],[2022]],tabSuiviConso[Jour Mois Année],0)</f>
        <v>#N/A</v>
      </c>
      <c r="H184" s="102" t="str">
        <f>IF(ISNA(Tableau6[[#This Row],[Position 2022]]),"",INDEX(tabSuiviConso[HP + HC
cumul],Tableau6[[#This Row],[Position 2022]],1))</f>
        <v/>
      </c>
      <c r="I184" s="123" t="e">
        <f>IF(ISNA(Tableau6[[#This Row],[Position 2022]]),Tableau6[[#This Row],[Position 2022]],Tableau6[[#This Row],[2022]]-H$2)</f>
        <v>#N/A</v>
      </c>
      <c r="J184" s="102" t="e">
        <f>MATCH(Tableau6[Jours Mois]&amp;"/"&amp;Tableau6[[#Headers],[2023]],tabSuiviConso[Jour Mois Année],0)</f>
        <v>#N/A</v>
      </c>
      <c r="K184" s="102" t="e">
        <f>Tableau6[[#This Row],[Cumul 2022]]-Tableau6[[#This Row],[Cumul 2021]]</f>
        <v>#N/A</v>
      </c>
      <c r="L184" s="104" t="e">
        <f>Tableau6[[#This Row],[Ecart 2021 2022]]/Tableau6[[#This Row],[Cumul 2021]]</f>
        <v>#N/A</v>
      </c>
      <c r="M184" s="102" t="str">
        <f>IF(ISNA(Tableau6[[#This Row],[Position 2023]]),"",INDEX(tabSuiviConso[HP + HC
cumul],Tableau6[[#This Row],[Position 2023]],1))</f>
        <v/>
      </c>
      <c r="N184" s="123" t="e">
        <f>IF(ISNA(Tableau6[[#This Row],[Position 2023]]),Tableau6[[#This Row],[Position 2023]],Tableau6[[#This Row],[2023]]-M$2)</f>
        <v>#N/A</v>
      </c>
      <c r="O184" s="102" t="e">
        <f>Tableau6[[#This Row],[Cumul 2023]]-Tableau6[[#This Row],[Cumul 2022]]</f>
        <v>#N/A</v>
      </c>
      <c r="P184" s="104" t="e">
        <f>Tableau6[[#This Row],[Ecart 2022 2023]]/Tableau6[[#This Row],[Cumul 2022]]</f>
        <v>#N/A</v>
      </c>
      <c r="Q184" s="102" t="e">
        <f>MATCH(Tableau6[Jours Mois]&amp;"/"&amp;Tableau6[[#Headers],[2024]],tabSuiviConso[Jour Mois Année],0)</f>
        <v>#N/A</v>
      </c>
      <c r="R184" s="102" t="str">
        <f>IF(ISNA(Tableau6[[#This Row],[Position 2024]]),"",INDEX(tabSuiviConso[HP + HC
cumul],Tableau6[[#This Row],[Position 2024]],1))</f>
        <v/>
      </c>
      <c r="S184" s="123" t="e">
        <f>IF(ISNA(Tableau6[[#This Row],[Position 2024]]),Tableau6[[#This Row],[Position 2024]],Tableau6[[#This Row],[2024]]-R$2)</f>
        <v>#N/A</v>
      </c>
      <c r="T184" s="102" t="e">
        <f>Tableau6[[#This Row],[Cumul 2024]]-Tableau6[[#This Row],[Cumul 2023]]</f>
        <v>#N/A</v>
      </c>
      <c r="U184" s="103" t="e">
        <f>Tableau6[[#This Row],[Ecart 2023 2024]]/Tableau6[[#This Row],[Cumul 2023]]</f>
        <v>#N/A</v>
      </c>
    </row>
    <row r="185" spans="1:21" x14ac:dyDescent="0.2">
      <c r="A185" s="102">
        <v>7</v>
      </c>
      <c r="B185" s="102">
        <v>1</v>
      </c>
      <c r="C185" s="102" t="str">
        <f>Tableau6[Jour]&amp;"/"&amp;Tableau6[Mois]</f>
        <v>1/7</v>
      </c>
      <c r="D185" s="102" t="e">
        <f>MATCH(Tableau6[Jours Mois]&amp;"/"&amp;Tableau6[[#Headers],[2021]],tabSuiviConso[Jour Mois Année],0)</f>
        <v>#N/A</v>
      </c>
      <c r="E185" s="102" t="str">
        <f>IF(ISNA(Tableau6[[#This Row],[Position 2021]]),"",INDEX(tabSuiviConso[HP + HC
cumul],Tableau6[[#This Row],[Position 2021]],1))</f>
        <v/>
      </c>
      <c r="F185" s="123" t="e">
        <f>IF(ISNA(Tableau6[[#This Row],[Position 2021]]),Tableau6[[#This Row],[Position 2021]],Tableau6[[#This Row],[2021]]-E$2)</f>
        <v>#N/A</v>
      </c>
      <c r="G185" s="102" t="e">
        <f>MATCH(Tableau6[Jours Mois]&amp;"/"&amp;Tableau6[[#Headers],[2022]],tabSuiviConso[Jour Mois Année],0)</f>
        <v>#N/A</v>
      </c>
      <c r="H185" s="102" t="str">
        <f>IF(ISNA(Tableau6[[#This Row],[Position 2022]]),"",INDEX(tabSuiviConso[HP + HC
cumul],Tableau6[[#This Row],[Position 2022]],1))</f>
        <v/>
      </c>
      <c r="I185" s="123" t="e">
        <f>IF(ISNA(Tableau6[[#This Row],[Position 2022]]),Tableau6[[#This Row],[Position 2022]],Tableau6[[#This Row],[2022]]-H$2)</f>
        <v>#N/A</v>
      </c>
      <c r="J185" s="102" t="e">
        <f>MATCH(Tableau6[Jours Mois]&amp;"/"&amp;Tableau6[[#Headers],[2023]],tabSuiviConso[Jour Mois Année],0)</f>
        <v>#N/A</v>
      </c>
      <c r="K185" s="102" t="e">
        <f>Tableau6[[#This Row],[Cumul 2022]]-Tableau6[[#This Row],[Cumul 2021]]</f>
        <v>#N/A</v>
      </c>
      <c r="L185" s="104" t="e">
        <f>Tableau6[[#This Row],[Ecart 2021 2022]]/Tableau6[[#This Row],[Cumul 2021]]</f>
        <v>#N/A</v>
      </c>
      <c r="M185" s="102" t="str">
        <f>IF(ISNA(Tableau6[[#This Row],[Position 2023]]),"",INDEX(tabSuiviConso[HP + HC
cumul],Tableau6[[#This Row],[Position 2023]],1))</f>
        <v/>
      </c>
      <c r="N185" s="123" t="e">
        <f>IF(ISNA(Tableau6[[#This Row],[Position 2023]]),Tableau6[[#This Row],[Position 2023]],Tableau6[[#This Row],[2023]]-M$2)</f>
        <v>#N/A</v>
      </c>
      <c r="O185" s="102" t="e">
        <f>Tableau6[[#This Row],[Cumul 2023]]-Tableau6[[#This Row],[Cumul 2022]]</f>
        <v>#N/A</v>
      </c>
      <c r="P185" s="104" t="e">
        <f>Tableau6[[#This Row],[Ecart 2022 2023]]/Tableau6[[#This Row],[Cumul 2022]]</f>
        <v>#N/A</v>
      </c>
      <c r="Q185" s="102" t="e">
        <f>MATCH(Tableau6[Jours Mois]&amp;"/"&amp;Tableau6[[#Headers],[2024]],tabSuiviConso[Jour Mois Année],0)</f>
        <v>#N/A</v>
      </c>
      <c r="R185" s="102" t="str">
        <f>IF(ISNA(Tableau6[[#This Row],[Position 2024]]),"",INDEX(tabSuiviConso[HP + HC
cumul],Tableau6[[#This Row],[Position 2024]],1))</f>
        <v/>
      </c>
      <c r="S185" s="123" t="e">
        <f>IF(ISNA(Tableau6[[#This Row],[Position 2024]]),Tableau6[[#This Row],[Position 2024]],Tableau6[[#This Row],[2024]]-R$2)</f>
        <v>#N/A</v>
      </c>
      <c r="T185" s="102" t="e">
        <f>Tableau6[[#This Row],[Cumul 2024]]-Tableau6[[#This Row],[Cumul 2023]]</f>
        <v>#N/A</v>
      </c>
      <c r="U185" s="103" t="e">
        <f>Tableau6[[#This Row],[Ecart 2023 2024]]/Tableau6[[#This Row],[Cumul 2023]]</f>
        <v>#N/A</v>
      </c>
    </row>
    <row r="186" spans="1:21" x14ac:dyDescent="0.2">
      <c r="A186" s="102">
        <v>7</v>
      </c>
      <c r="B186" s="102">
        <v>2</v>
      </c>
      <c r="C186" s="102" t="str">
        <f>Tableau6[Jour]&amp;"/"&amp;Tableau6[Mois]</f>
        <v>2/7</v>
      </c>
      <c r="D186" s="102" t="e">
        <f>MATCH(Tableau6[Jours Mois]&amp;"/"&amp;Tableau6[[#Headers],[2021]],tabSuiviConso[Jour Mois Année],0)</f>
        <v>#N/A</v>
      </c>
      <c r="E186" s="102" t="str">
        <f>IF(ISNA(Tableau6[[#This Row],[Position 2021]]),"",INDEX(tabSuiviConso[HP + HC
cumul],Tableau6[[#This Row],[Position 2021]],1))</f>
        <v/>
      </c>
      <c r="F186" s="123" t="e">
        <f>IF(ISNA(Tableau6[[#This Row],[Position 2021]]),Tableau6[[#This Row],[Position 2021]],Tableau6[[#This Row],[2021]]-E$2)</f>
        <v>#N/A</v>
      </c>
      <c r="G186" s="102" t="e">
        <f>MATCH(Tableau6[Jours Mois]&amp;"/"&amp;Tableau6[[#Headers],[2022]],tabSuiviConso[Jour Mois Année],0)</f>
        <v>#N/A</v>
      </c>
      <c r="H186" s="102" t="str">
        <f>IF(ISNA(Tableau6[[#This Row],[Position 2022]]),"",INDEX(tabSuiviConso[HP + HC
cumul],Tableau6[[#This Row],[Position 2022]],1))</f>
        <v/>
      </c>
      <c r="I186" s="123" t="e">
        <f>IF(ISNA(Tableau6[[#This Row],[Position 2022]]),Tableau6[[#This Row],[Position 2022]],Tableau6[[#This Row],[2022]]-H$2)</f>
        <v>#N/A</v>
      </c>
      <c r="J186" s="102" t="e">
        <f>MATCH(Tableau6[Jours Mois]&amp;"/"&amp;Tableau6[[#Headers],[2023]],tabSuiviConso[Jour Mois Année],0)</f>
        <v>#N/A</v>
      </c>
      <c r="K186" s="102" t="e">
        <f>Tableau6[[#This Row],[Cumul 2022]]-Tableau6[[#This Row],[Cumul 2021]]</f>
        <v>#N/A</v>
      </c>
      <c r="L186" s="104" t="e">
        <f>Tableau6[[#This Row],[Ecart 2021 2022]]/Tableau6[[#This Row],[Cumul 2021]]</f>
        <v>#N/A</v>
      </c>
      <c r="M186" s="102" t="str">
        <f>IF(ISNA(Tableau6[[#This Row],[Position 2023]]),"",INDEX(tabSuiviConso[HP + HC
cumul],Tableau6[[#This Row],[Position 2023]],1))</f>
        <v/>
      </c>
      <c r="N186" s="123" t="e">
        <f>IF(ISNA(Tableau6[[#This Row],[Position 2023]]),Tableau6[[#This Row],[Position 2023]],Tableau6[[#This Row],[2023]]-M$2)</f>
        <v>#N/A</v>
      </c>
      <c r="O186" s="102" t="e">
        <f>Tableau6[[#This Row],[Cumul 2023]]-Tableau6[[#This Row],[Cumul 2022]]</f>
        <v>#N/A</v>
      </c>
      <c r="P186" s="104" t="e">
        <f>Tableau6[[#This Row],[Ecart 2022 2023]]/Tableau6[[#This Row],[Cumul 2022]]</f>
        <v>#N/A</v>
      </c>
      <c r="Q186" s="102" t="e">
        <f>MATCH(Tableau6[Jours Mois]&amp;"/"&amp;Tableau6[[#Headers],[2024]],tabSuiviConso[Jour Mois Année],0)</f>
        <v>#N/A</v>
      </c>
      <c r="R186" s="102" t="str">
        <f>IF(ISNA(Tableau6[[#This Row],[Position 2024]]),"",INDEX(tabSuiviConso[HP + HC
cumul],Tableau6[[#This Row],[Position 2024]],1))</f>
        <v/>
      </c>
      <c r="S186" s="123" t="e">
        <f>IF(ISNA(Tableau6[[#This Row],[Position 2024]]),Tableau6[[#This Row],[Position 2024]],Tableau6[[#This Row],[2024]]-R$2)</f>
        <v>#N/A</v>
      </c>
      <c r="T186" s="102" t="e">
        <f>Tableau6[[#This Row],[Cumul 2024]]-Tableau6[[#This Row],[Cumul 2023]]</f>
        <v>#N/A</v>
      </c>
      <c r="U186" s="103" t="e">
        <f>Tableau6[[#This Row],[Ecart 2023 2024]]/Tableau6[[#This Row],[Cumul 2023]]</f>
        <v>#N/A</v>
      </c>
    </row>
    <row r="187" spans="1:21" x14ac:dyDescent="0.2">
      <c r="A187" s="102">
        <v>7</v>
      </c>
      <c r="B187" s="102">
        <v>3</v>
      </c>
      <c r="C187" s="102" t="str">
        <f>Tableau6[Jour]&amp;"/"&amp;Tableau6[Mois]</f>
        <v>3/7</v>
      </c>
      <c r="D187" s="102" t="e">
        <f>MATCH(Tableau6[Jours Mois]&amp;"/"&amp;Tableau6[[#Headers],[2021]],tabSuiviConso[Jour Mois Année],0)</f>
        <v>#N/A</v>
      </c>
      <c r="E187" s="102" t="str">
        <f>IF(ISNA(Tableau6[[#This Row],[Position 2021]]),"",INDEX(tabSuiviConso[HP + HC
cumul],Tableau6[[#This Row],[Position 2021]],1))</f>
        <v/>
      </c>
      <c r="F187" s="123" t="e">
        <f>IF(ISNA(Tableau6[[#This Row],[Position 2021]]),Tableau6[[#This Row],[Position 2021]],Tableau6[[#This Row],[2021]]-E$2)</f>
        <v>#N/A</v>
      </c>
      <c r="G187" s="102" t="e">
        <f>MATCH(Tableau6[Jours Mois]&amp;"/"&amp;Tableau6[[#Headers],[2022]],tabSuiviConso[Jour Mois Année],0)</f>
        <v>#N/A</v>
      </c>
      <c r="H187" s="102" t="str">
        <f>IF(ISNA(Tableau6[[#This Row],[Position 2022]]),"",INDEX(tabSuiviConso[HP + HC
cumul],Tableau6[[#This Row],[Position 2022]],1))</f>
        <v/>
      </c>
      <c r="I187" s="123" t="e">
        <f>IF(ISNA(Tableau6[[#This Row],[Position 2022]]),Tableau6[[#This Row],[Position 2022]],Tableau6[[#This Row],[2022]]-H$2)</f>
        <v>#N/A</v>
      </c>
      <c r="J187" s="102" t="e">
        <f>MATCH(Tableau6[Jours Mois]&amp;"/"&amp;Tableau6[[#Headers],[2023]],tabSuiviConso[Jour Mois Année],0)</f>
        <v>#N/A</v>
      </c>
      <c r="K187" s="102" t="e">
        <f>Tableau6[[#This Row],[Cumul 2022]]-Tableau6[[#This Row],[Cumul 2021]]</f>
        <v>#N/A</v>
      </c>
      <c r="L187" s="104" t="e">
        <f>Tableau6[[#This Row],[Ecart 2021 2022]]/Tableau6[[#This Row],[Cumul 2021]]</f>
        <v>#N/A</v>
      </c>
      <c r="M187" s="102" t="str">
        <f>IF(ISNA(Tableau6[[#This Row],[Position 2023]]),"",INDEX(tabSuiviConso[HP + HC
cumul],Tableau6[[#This Row],[Position 2023]],1))</f>
        <v/>
      </c>
      <c r="N187" s="123" t="e">
        <f>IF(ISNA(Tableau6[[#This Row],[Position 2023]]),Tableau6[[#This Row],[Position 2023]],Tableau6[[#This Row],[2023]]-M$2)</f>
        <v>#N/A</v>
      </c>
      <c r="O187" s="102" t="e">
        <f>Tableau6[[#This Row],[Cumul 2023]]-Tableau6[[#This Row],[Cumul 2022]]</f>
        <v>#N/A</v>
      </c>
      <c r="P187" s="104" t="e">
        <f>Tableau6[[#This Row],[Ecart 2022 2023]]/Tableau6[[#This Row],[Cumul 2022]]</f>
        <v>#N/A</v>
      </c>
      <c r="Q187" s="102" t="e">
        <f>MATCH(Tableau6[Jours Mois]&amp;"/"&amp;Tableau6[[#Headers],[2024]],tabSuiviConso[Jour Mois Année],0)</f>
        <v>#N/A</v>
      </c>
      <c r="R187" s="102" t="str">
        <f>IF(ISNA(Tableau6[[#This Row],[Position 2024]]),"",INDEX(tabSuiviConso[HP + HC
cumul],Tableau6[[#This Row],[Position 2024]],1))</f>
        <v/>
      </c>
      <c r="S187" s="123" t="e">
        <f>IF(ISNA(Tableau6[[#This Row],[Position 2024]]),Tableau6[[#This Row],[Position 2024]],Tableau6[[#This Row],[2024]]-R$2)</f>
        <v>#N/A</v>
      </c>
      <c r="T187" s="102" t="e">
        <f>Tableau6[[#This Row],[Cumul 2024]]-Tableau6[[#This Row],[Cumul 2023]]</f>
        <v>#N/A</v>
      </c>
      <c r="U187" s="103" t="e">
        <f>Tableau6[[#This Row],[Ecart 2023 2024]]/Tableau6[[#This Row],[Cumul 2023]]</f>
        <v>#N/A</v>
      </c>
    </row>
    <row r="188" spans="1:21" x14ac:dyDescent="0.2">
      <c r="A188" s="102">
        <v>7</v>
      </c>
      <c r="B188" s="102">
        <v>4</v>
      </c>
      <c r="C188" s="102" t="str">
        <f>Tableau6[Jour]&amp;"/"&amp;Tableau6[Mois]</f>
        <v>4/7</v>
      </c>
      <c r="D188" s="102" t="e">
        <f>MATCH(Tableau6[Jours Mois]&amp;"/"&amp;Tableau6[[#Headers],[2021]],tabSuiviConso[Jour Mois Année],0)</f>
        <v>#N/A</v>
      </c>
      <c r="E188" s="102" t="str">
        <f>IF(ISNA(Tableau6[[#This Row],[Position 2021]]),"",INDEX(tabSuiviConso[HP + HC
cumul],Tableau6[[#This Row],[Position 2021]],1))</f>
        <v/>
      </c>
      <c r="F188" s="123" t="e">
        <f>IF(ISNA(Tableau6[[#This Row],[Position 2021]]),Tableau6[[#This Row],[Position 2021]],Tableau6[[#This Row],[2021]]-E$2)</f>
        <v>#N/A</v>
      </c>
      <c r="G188" s="102" t="e">
        <f>MATCH(Tableau6[Jours Mois]&amp;"/"&amp;Tableau6[[#Headers],[2022]],tabSuiviConso[Jour Mois Année],0)</f>
        <v>#N/A</v>
      </c>
      <c r="H188" s="102" t="str">
        <f>IF(ISNA(Tableau6[[#This Row],[Position 2022]]),"",INDEX(tabSuiviConso[HP + HC
cumul],Tableau6[[#This Row],[Position 2022]],1))</f>
        <v/>
      </c>
      <c r="I188" s="123" t="e">
        <f>IF(ISNA(Tableau6[[#This Row],[Position 2022]]),Tableau6[[#This Row],[Position 2022]],Tableau6[[#This Row],[2022]]-H$2)</f>
        <v>#N/A</v>
      </c>
      <c r="J188" s="102" t="e">
        <f>MATCH(Tableau6[Jours Mois]&amp;"/"&amp;Tableau6[[#Headers],[2023]],tabSuiviConso[Jour Mois Année],0)</f>
        <v>#N/A</v>
      </c>
      <c r="K188" s="102" t="e">
        <f>Tableau6[[#This Row],[Cumul 2022]]-Tableau6[[#This Row],[Cumul 2021]]</f>
        <v>#N/A</v>
      </c>
      <c r="L188" s="104" t="e">
        <f>Tableau6[[#This Row],[Ecart 2021 2022]]/Tableau6[[#This Row],[Cumul 2021]]</f>
        <v>#N/A</v>
      </c>
      <c r="M188" s="102" t="str">
        <f>IF(ISNA(Tableau6[[#This Row],[Position 2023]]),"",INDEX(tabSuiviConso[HP + HC
cumul],Tableau6[[#This Row],[Position 2023]],1))</f>
        <v/>
      </c>
      <c r="N188" s="123" t="e">
        <f>IF(ISNA(Tableau6[[#This Row],[Position 2023]]),Tableau6[[#This Row],[Position 2023]],Tableau6[[#This Row],[2023]]-M$2)</f>
        <v>#N/A</v>
      </c>
      <c r="O188" s="102" t="e">
        <f>Tableau6[[#This Row],[Cumul 2023]]-Tableau6[[#This Row],[Cumul 2022]]</f>
        <v>#N/A</v>
      </c>
      <c r="P188" s="104" t="e">
        <f>Tableau6[[#This Row],[Ecart 2022 2023]]/Tableau6[[#This Row],[Cumul 2022]]</f>
        <v>#N/A</v>
      </c>
      <c r="Q188" s="102" t="e">
        <f>MATCH(Tableau6[Jours Mois]&amp;"/"&amp;Tableau6[[#Headers],[2024]],tabSuiviConso[Jour Mois Année],0)</f>
        <v>#N/A</v>
      </c>
      <c r="R188" s="102" t="str">
        <f>IF(ISNA(Tableau6[[#This Row],[Position 2024]]),"",INDEX(tabSuiviConso[HP + HC
cumul],Tableau6[[#This Row],[Position 2024]],1))</f>
        <v/>
      </c>
      <c r="S188" s="123" t="e">
        <f>IF(ISNA(Tableau6[[#This Row],[Position 2024]]),Tableau6[[#This Row],[Position 2024]],Tableau6[[#This Row],[2024]]-R$2)</f>
        <v>#N/A</v>
      </c>
      <c r="T188" s="102" t="e">
        <f>Tableau6[[#This Row],[Cumul 2024]]-Tableau6[[#This Row],[Cumul 2023]]</f>
        <v>#N/A</v>
      </c>
      <c r="U188" s="103" t="e">
        <f>Tableau6[[#This Row],[Ecart 2023 2024]]/Tableau6[[#This Row],[Cumul 2023]]</f>
        <v>#N/A</v>
      </c>
    </row>
    <row r="189" spans="1:21" x14ac:dyDescent="0.2">
      <c r="A189" s="102">
        <v>7</v>
      </c>
      <c r="B189" s="102">
        <v>5</v>
      </c>
      <c r="C189" s="102" t="str">
        <f>Tableau6[Jour]&amp;"/"&amp;Tableau6[Mois]</f>
        <v>5/7</v>
      </c>
      <c r="D189" s="102" t="e">
        <f>MATCH(Tableau6[Jours Mois]&amp;"/"&amp;Tableau6[[#Headers],[2021]],tabSuiviConso[Jour Mois Année],0)</f>
        <v>#N/A</v>
      </c>
      <c r="E189" s="102" t="str">
        <f>IF(ISNA(Tableau6[[#This Row],[Position 2021]]),"",INDEX(tabSuiviConso[HP + HC
cumul],Tableau6[[#This Row],[Position 2021]],1))</f>
        <v/>
      </c>
      <c r="F189" s="123" t="e">
        <f>IF(ISNA(Tableau6[[#This Row],[Position 2021]]),Tableau6[[#This Row],[Position 2021]],Tableau6[[#This Row],[2021]]-E$2)</f>
        <v>#N/A</v>
      </c>
      <c r="G189" s="102" t="e">
        <f>MATCH(Tableau6[Jours Mois]&amp;"/"&amp;Tableau6[[#Headers],[2022]],tabSuiviConso[Jour Mois Année],0)</f>
        <v>#N/A</v>
      </c>
      <c r="H189" s="102" t="str">
        <f>IF(ISNA(Tableau6[[#This Row],[Position 2022]]),"",INDEX(tabSuiviConso[HP + HC
cumul],Tableau6[[#This Row],[Position 2022]],1))</f>
        <v/>
      </c>
      <c r="I189" s="123" t="e">
        <f>IF(ISNA(Tableau6[[#This Row],[Position 2022]]),Tableau6[[#This Row],[Position 2022]],Tableau6[[#This Row],[2022]]-H$2)</f>
        <v>#N/A</v>
      </c>
      <c r="J189" s="102" t="e">
        <f>MATCH(Tableau6[Jours Mois]&amp;"/"&amp;Tableau6[[#Headers],[2023]],tabSuiviConso[Jour Mois Année],0)</f>
        <v>#N/A</v>
      </c>
      <c r="K189" s="102" t="e">
        <f>Tableau6[[#This Row],[Cumul 2022]]-Tableau6[[#This Row],[Cumul 2021]]</f>
        <v>#N/A</v>
      </c>
      <c r="L189" s="104" t="e">
        <f>Tableau6[[#This Row],[Ecart 2021 2022]]/Tableau6[[#This Row],[Cumul 2021]]</f>
        <v>#N/A</v>
      </c>
      <c r="M189" s="102" t="str">
        <f>IF(ISNA(Tableau6[[#This Row],[Position 2023]]),"",INDEX(tabSuiviConso[HP + HC
cumul],Tableau6[[#This Row],[Position 2023]],1))</f>
        <v/>
      </c>
      <c r="N189" s="123" t="e">
        <f>IF(ISNA(Tableau6[[#This Row],[Position 2023]]),Tableau6[[#This Row],[Position 2023]],Tableau6[[#This Row],[2023]]-M$2)</f>
        <v>#N/A</v>
      </c>
      <c r="O189" s="102" t="e">
        <f>Tableau6[[#This Row],[Cumul 2023]]-Tableau6[[#This Row],[Cumul 2022]]</f>
        <v>#N/A</v>
      </c>
      <c r="P189" s="104" t="e">
        <f>Tableau6[[#This Row],[Ecart 2022 2023]]/Tableau6[[#This Row],[Cumul 2022]]</f>
        <v>#N/A</v>
      </c>
      <c r="Q189" s="102" t="e">
        <f>MATCH(Tableau6[Jours Mois]&amp;"/"&amp;Tableau6[[#Headers],[2024]],tabSuiviConso[Jour Mois Année],0)</f>
        <v>#N/A</v>
      </c>
      <c r="R189" s="102" t="str">
        <f>IF(ISNA(Tableau6[[#This Row],[Position 2024]]),"",INDEX(tabSuiviConso[HP + HC
cumul],Tableau6[[#This Row],[Position 2024]],1))</f>
        <v/>
      </c>
      <c r="S189" s="123" t="e">
        <f>IF(ISNA(Tableau6[[#This Row],[Position 2024]]),Tableau6[[#This Row],[Position 2024]],Tableau6[[#This Row],[2024]]-R$2)</f>
        <v>#N/A</v>
      </c>
      <c r="T189" s="102" t="e">
        <f>Tableau6[[#This Row],[Cumul 2024]]-Tableau6[[#This Row],[Cumul 2023]]</f>
        <v>#N/A</v>
      </c>
      <c r="U189" s="103" t="e">
        <f>Tableau6[[#This Row],[Ecart 2023 2024]]/Tableau6[[#This Row],[Cumul 2023]]</f>
        <v>#N/A</v>
      </c>
    </row>
    <row r="190" spans="1:21" x14ac:dyDescent="0.2">
      <c r="A190" s="102">
        <v>7</v>
      </c>
      <c r="B190" s="102">
        <v>6</v>
      </c>
      <c r="C190" s="102" t="str">
        <f>Tableau6[Jour]&amp;"/"&amp;Tableau6[Mois]</f>
        <v>6/7</v>
      </c>
      <c r="D190" s="102" t="e">
        <f>MATCH(Tableau6[Jours Mois]&amp;"/"&amp;Tableau6[[#Headers],[2021]],tabSuiviConso[Jour Mois Année],0)</f>
        <v>#N/A</v>
      </c>
      <c r="E190" s="102" t="str">
        <f>IF(ISNA(Tableau6[[#This Row],[Position 2021]]),"",INDEX(tabSuiviConso[HP + HC
cumul],Tableau6[[#This Row],[Position 2021]],1))</f>
        <v/>
      </c>
      <c r="F190" s="123" t="e">
        <f>IF(ISNA(Tableau6[[#This Row],[Position 2021]]),Tableau6[[#This Row],[Position 2021]],Tableau6[[#This Row],[2021]]-E$2)</f>
        <v>#N/A</v>
      </c>
      <c r="G190" s="102" t="e">
        <f>MATCH(Tableau6[Jours Mois]&amp;"/"&amp;Tableau6[[#Headers],[2022]],tabSuiviConso[Jour Mois Année],0)</f>
        <v>#N/A</v>
      </c>
      <c r="H190" s="102" t="str">
        <f>IF(ISNA(Tableau6[[#This Row],[Position 2022]]),"",INDEX(tabSuiviConso[HP + HC
cumul],Tableau6[[#This Row],[Position 2022]],1))</f>
        <v/>
      </c>
      <c r="I190" s="123" t="e">
        <f>IF(ISNA(Tableau6[[#This Row],[Position 2022]]),Tableau6[[#This Row],[Position 2022]],Tableau6[[#This Row],[2022]]-H$2)</f>
        <v>#N/A</v>
      </c>
      <c r="J190" s="102" t="e">
        <f>MATCH(Tableau6[Jours Mois]&amp;"/"&amp;Tableau6[[#Headers],[2023]],tabSuiviConso[Jour Mois Année],0)</f>
        <v>#N/A</v>
      </c>
      <c r="K190" s="102" t="e">
        <f>Tableau6[[#This Row],[Cumul 2022]]-Tableau6[[#This Row],[Cumul 2021]]</f>
        <v>#N/A</v>
      </c>
      <c r="L190" s="104" t="e">
        <f>Tableau6[[#This Row],[Ecart 2021 2022]]/Tableau6[[#This Row],[Cumul 2021]]</f>
        <v>#N/A</v>
      </c>
      <c r="M190" s="102" t="str">
        <f>IF(ISNA(Tableau6[[#This Row],[Position 2023]]),"",INDEX(tabSuiviConso[HP + HC
cumul],Tableau6[[#This Row],[Position 2023]],1))</f>
        <v/>
      </c>
      <c r="N190" s="123" t="e">
        <f>IF(ISNA(Tableau6[[#This Row],[Position 2023]]),Tableau6[[#This Row],[Position 2023]],Tableau6[[#This Row],[2023]]-M$2)</f>
        <v>#N/A</v>
      </c>
      <c r="O190" s="102" t="e">
        <f>Tableau6[[#This Row],[Cumul 2023]]-Tableau6[[#This Row],[Cumul 2022]]</f>
        <v>#N/A</v>
      </c>
      <c r="P190" s="104" t="e">
        <f>Tableau6[[#This Row],[Ecart 2022 2023]]/Tableau6[[#This Row],[Cumul 2022]]</f>
        <v>#N/A</v>
      </c>
      <c r="Q190" s="102" t="e">
        <f>MATCH(Tableau6[Jours Mois]&amp;"/"&amp;Tableau6[[#Headers],[2024]],tabSuiviConso[Jour Mois Année],0)</f>
        <v>#N/A</v>
      </c>
      <c r="R190" s="102" t="str">
        <f>IF(ISNA(Tableau6[[#This Row],[Position 2024]]),"",INDEX(tabSuiviConso[HP + HC
cumul],Tableau6[[#This Row],[Position 2024]],1))</f>
        <v/>
      </c>
      <c r="S190" s="123" t="e">
        <f>IF(ISNA(Tableau6[[#This Row],[Position 2024]]),Tableau6[[#This Row],[Position 2024]],Tableau6[[#This Row],[2024]]-R$2)</f>
        <v>#N/A</v>
      </c>
      <c r="T190" s="102" t="e">
        <f>Tableau6[[#This Row],[Cumul 2024]]-Tableau6[[#This Row],[Cumul 2023]]</f>
        <v>#N/A</v>
      </c>
      <c r="U190" s="103" t="e">
        <f>Tableau6[[#This Row],[Ecart 2023 2024]]/Tableau6[[#This Row],[Cumul 2023]]</f>
        <v>#N/A</v>
      </c>
    </row>
    <row r="191" spans="1:21" x14ac:dyDescent="0.2">
      <c r="A191" s="102">
        <v>7</v>
      </c>
      <c r="B191" s="102">
        <v>7</v>
      </c>
      <c r="C191" s="102" t="str">
        <f>Tableau6[Jour]&amp;"/"&amp;Tableau6[Mois]</f>
        <v>7/7</v>
      </c>
      <c r="D191" s="102" t="e">
        <f>MATCH(Tableau6[Jours Mois]&amp;"/"&amp;Tableau6[[#Headers],[2021]],tabSuiviConso[Jour Mois Année],0)</f>
        <v>#N/A</v>
      </c>
      <c r="E191" s="102" t="str">
        <f>IF(ISNA(Tableau6[[#This Row],[Position 2021]]),"",INDEX(tabSuiviConso[HP + HC
cumul],Tableau6[[#This Row],[Position 2021]],1))</f>
        <v/>
      </c>
      <c r="F191" s="123" t="e">
        <f>IF(ISNA(Tableau6[[#This Row],[Position 2021]]),Tableau6[[#This Row],[Position 2021]],Tableau6[[#This Row],[2021]]-E$2)</f>
        <v>#N/A</v>
      </c>
      <c r="G191" s="102" t="e">
        <f>MATCH(Tableau6[Jours Mois]&amp;"/"&amp;Tableau6[[#Headers],[2022]],tabSuiviConso[Jour Mois Année],0)</f>
        <v>#N/A</v>
      </c>
      <c r="H191" s="102" t="str">
        <f>IF(ISNA(Tableau6[[#This Row],[Position 2022]]),"",INDEX(tabSuiviConso[HP + HC
cumul],Tableau6[[#This Row],[Position 2022]],1))</f>
        <v/>
      </c>
      <c r="I191" s="123" t="e">
        <f>IF(ISNA(Tableau6[[#This Row],[Position 2022]]),Tableau6[[#This Row],[Position 2022]],Tableau6[[#This Row],[2022]]-H$2)</f>
        <v>#N/A</v>
      </c>
      <c r="J191" s="102" t="e">
        <f>MATCH(Tableau6[Jours Mois]&amp;"/"&amp;Tableau6[[#Headers],[2023]],tabSuiviConso[Jour Mois Année],0)</f>
        <v>#N/A</v>
      </c>
      <c r="K191" s="102" t="e">
        <f>Tableau6[[#This Row],[Cumul 2022]]-Tableau6[[#This Row],[Cumul 2021]]</f>
        <v>#N/A</v>
      </c>
      <c r="L191" s="104" t="e">
        <f>Tableau6[[#This Row],[Ecart 2021 2022]]/Tableau6[[#This Row],[Cumul 2021]]</f>
        <v>#N/A</v>
      </c>
      <c r="M191" s="102" t="str">
        <f>IF(ISNA(Tableau6[[#This Row],[Position 2023]]),"",INDEX(tabSuiviConso[HP + HC
cumul],Tableau6[[#This Row],[Position 2023]],1))</f>
        <v/>
      </c>
      <c r="N191" s="123" t="e">
        <f>IF(ISNA(Tableau6[[#This Row],[Position 2023]]),Tableau6[[#This Row],[Position 2023]],Tableau6[[#This Row],[2023]]-M$2)</f>
        <v>#N/A</v>
      </c>
      <c r="O191" s="102" t="e">
        <f>Tableau6[[#This Row],[Cumul 2023]]-Tableau6[[#This Row],[Cumul 2022]]</f>
        <v>#N/A</v>
      </c>
      <c r="P191" s="104" t="e">
        <f>Tableau6[[#This Row],[Ecart 2022 2023]]/Tableau6[[#This Row],[Cumul 2022]]</f>
        <v>#N/A</v>
      </c>
      <c r="Q191" s="102" t="e">
        <f>MATCH(Tableau6[Jours Mois]&amp;"/"&amp;Tableau6[[#Headers],[2024]],tabSuiviConso[Jour Mois Année],0)</f>
        <v>#N/A</v>
      </c>
      <c r="R191" s="102" t="str">
        <f>IF(ISNA(Tableau6[[#This Row],[Position 2024]]),"",INDEX(tabSuiviConso[HP + HC
cumul],Tableau6[[#This Row],[Position 2024]],1))</f>
        <v/>
      </c>
      <c r="S191" s="123" t="e">
        <f>IF(ISNA(Tableau6[[#This Row],[Position 2024]]),Tableau6[[#This Row],[Position 2024]],Tableau6[[#This Row],[2024]]-R$2)</f>
        <v>#N/A</v>
      </c>
      <c r="T191" s="102" t="e">
        <f>Tableau6[[#This Row],[Cumul 2024]]-Tableau6[[#This Row],[Cumul 2023]]</f>
        <v>#N/A</v>
      </c>
      <c r="U191" s="103" t="e">
        <f>Tableau6[[#This Row],[Ecart 2023 2024]]/Tableau6[[#This Row],[Cumul 2023]]</f>
        <v>#N/A</v>
      </c>
    </row>
    <row r="192" spans="1:21" x14ac:dyDescent="0.2">
      <c r="A192" s="102">
        <v>7</v>
      </c>
      <c r="B192" s="102">
        <v>8</v>
      </c>
      <c r="C192" s="102" t="str">
        <f>Tableau6[Jour]&amp;"/"&amp;Tableau6[Mois]</f>
        <v>8/7</v>
      </c>
      <c r="D192" s="102" t="e">
        <f>MATCH(Tableau6[Jours Mois]&amp;"/"&amp;Tableau6[[#Headers],[2021]],tabSuiviConso[Jour Mois Année],0)</f>
        <v>#N/A</v>
      </c>
      <c r="E192" s="102" t="str">
        <f>IF(ISNA(Tableau6[[#This Row],[Position 2021]]),"",INDEX(tabSuiviConso[HP + HC
cumul],Tableau6[[#This Row],[Position 2021]],1))</f>
        <v/>
      </c>
      <c r="F192" s="123" t="e">
        <f>IF(ISNA(Tableau6[[#This Row],[Position 2021]]),Tableau6[[#This Row],[Position 2021]],Tableau6[[#This Row],[2021]]-E$2)</f>
        <v>#N/A</v>
      </c>
      <c r="G192" s="102" t="e">
        <f>MATCH(Tableau6[Jours Mois]&amp;"/"&amp;Tableau6[[#Headers],[2022]],tabSuiviConso[Jour Mois Année],0)</f>
        <v>#N/A</v>
      </c>
      <c r="H192" s="102" t="str">
        <f>IF(ISNA(Tableau6[[#This Row],[Position 2022]]),"",INDEX(tabSuiviConso[HP + HC
cumul],Tableau6[[#This Row],[Position 2022]],1))</f>
        <v/>
      </c>
      <c r="I192" s="123" t="e">
        <f>IF(ISNA(Tableau6[[#This Row],[Position 2022]]),Tableau6[[#This Row],[Position 2022]],Tableau6[[#This Row],[2022]]-H$2)</f>
        <v>#N/A</v>
      </c>
      <c r="J192" s="102" t="e">
        <f>MATCH(Tableau6[Jours Mois]&amp;"/"&amp;Tableau6[[#Headers],[2023]],tabSuiviConso[Jour Mois Année],0)</f>
        <v>#N/A</v>
      </c>
      <c r="K192" s="102" t="e">
        <f>Tableau6[[#This Row],[Cumul 2022]]-Tableau6[[#This Row],[Cumul 2021]]</f>
        <v>#N/A</v>
      </c>
      <c r="L192" s="104" t="e">
        <f>Tableau6[[#This Row],[Ecart 2021 2022]]/Tableau6[[#This Row],[Cumul 2021]]</f>
        <v>#N/A</v>
      </c>
      <c r="M192" s="102" t="str">
        <f>IF(ISNA(Tableau6[[#This Row],[Position 2023]]),"",INDEX(tabSuiviConso[HP + HC
cumul],Tableau6[[#This Row],[Position 2023]],1))</f>
        <v/>
      </c>
      <c r="N192" s="123" t="e">
        <f>IF(ISNA(Tableau6[[#This Row],[Position 2023]]),Tableau6[[#This Row],[Position 2023]],Tableau6[[#This Row],[2023]]-M$2)</f>
        <v>#N/A</v>
      </c>
      <c r="O192" s="102" t="e">
        <f>Tableau6[[#This Row],[Cumul 2023]]-Tableau6[[#This Row],[Cumul 2022]]</f>
        <v>#N/A</v>
      </c>
      <c r="P192" s="104" t="e">
        <f>Tableau6[[#This Row],[Ecart 2022 2023]]/Tableau6[[#This Row],[Cumul 2022]]</f>
        <v>#N/A</v>
      </c>
      <c r="Q192" s="102" t="e">
        <f>MATCH(Tableau6[Jours Mois]&amp;"/"&amp;Tableau6[[#Headers],[2024]],tabSuiviConso[Jour Mois Année],0)</f>
        <v>#N/A</v>
      </c>
      <c r="R192" s="102" t="str">
        <f>IF(ISNA(Tableau6[[#This Row],[Position 2024]]),"",INDEX(tabSuiviConso[HP + HC
cumul],Tableau6[[#This Row],[Position 2024]],1))</f>
        <v/>
      </c>
      <c r="S192" s="123" t="e">
        <f>IF(ISNA(Tableau6[[#This Row],[Position 2024]]),Tableau6[[#This Row],[Position 2024]],Tableau6[[#This Row],[2024]]-R$2)</f>
        <v>#N/A</v>
      </c>
      <c r="T192" s="102" t="e">
        <f>Tableau6[[#This Row],[Cumul 2024]]-Tableau6[[#This Row],[Cumul 2023]]</f>
        <v>#N/A</v>
      </c>
      <c r="U192" s="103" t="e">
        <f>Tableau6[[#This Row],[Ecart 2023 2024]]/Tableau6[[#This Row],[Cumul 2023]]</f>
        <v>#N/A</v>
      </c>
    </row>
    <row r="193" spans="1:21" x14ac:dyDescent="0.2">
      <c r="A193" s="102">
        <v>7</v>
      </c>
      <c r="B193" s="102">
        <v>9</v>
      </c>
      <c r="C193" s="102" t="str">
        <f>Tableau6[Jour]&amp;"/"&amp;Tableau6[Mois]</f>
        <v>9/7</v>
      </c>
      <c r="D193" s="102" t="e">
        <f>MATCH(Tableau6[Jours Mois]&amp;"/"&amp;Tableau6[[#Headers],[2021]],tabSuiviConso[Jour Mois Année],0)</f>
        <v>#N/A</v>
      </c>
      <c r="E193" s="102" t="str">
        <f>IF(ISNA(Tableau6[[#This Row],[Position 2021]]),"",INDEX(tabSuiviConso[HP + HC
cumul],Tableau6[[#This Row],[Position 2021]],1))</f>
        <v/>
      </c>
      <c r="F193" s="123" t="e">
        <f>IF(ISNA(Tableau6[[#This Row],[Position 2021]]),Tableau6[[#This Row],[Position 2021]],Tableau6[[#This Row],[2021]]-E$2)</f>
        <v>#N/A</v>
      </c>
      <c r="G193" s="102" t="e">
        <f>MATCH(Tableau6[Jours Mois]&amp;"/"&amp;Tableau6[[#Headers],[2022]],tabSuiviConso[Jour Mois Année],0)</f>
        <v>#N/A</v>
      </c>
      <c r="H193" s="102" t="str">
        <f>IF(ISNA(Tableau6[[#This Row],[Position 2022]]),"",INDEX(tabSuiviConso[HP + HC
cumul],Tableau6[[#This Row],[Position 2022]],1))</f>
        <v/>
      </c>
      <c r="I193" s="123" t="e">
        <f>IF(ISNA(Tableau6[[#This Row],[Position 2022]]),Tableau6[[#This Row],[Position 2022]],Tableau6[[#This Row],[2022]]-H$2)</f>
        <v>#N/A</v>
      </c>
      <c r="J193" s="102" t="e">
        <f>MATCH(Tableau6[Jours Mois]&amp;"/"&amp;Tableau6[[#Headers],[2023]],tabSuiviConso[Jour Mois Année],0)</f>
        <v>#N/A</v>
      </c>
      <c r="K193" s="102" t="e">
        <f>Tableau6[[#This Row],[Cumul 2022]]-Tableau6[[#This Row],[Cumul 2021]]</f>
        <v>#N/A</v>
      </c>
      <c r="L193" s="104" t="e">
        <f>Tableau6[[#This Row],[Ecart 2021 2022]]/Tableau6[[#This Row],[Cumul 2021]]</f>
        <v>#N/A</v>
      </c>
      <c r="M193" s="102" t="str">
        <f>IF(ISNA(Tableau6[[#This Row],[Position 2023]]),"",INDEX(tabSuiviConso[HP + HC
cumul],Tableau6[[#This Row],[Position 2023]],1))</f>
        <v/>
      </c>
      <c r="N193" s="123" t="e">
        <f>IF(ISNA(Tableau6[[#This Row],[Position 2023]]),Tableau6[[#This Row],[Position 2023]],Tableau6[[#This Row],[2023]]-M$2)</f>
        <v>#N/A</v>
      </c>
      <c r="O193" s="102" t="e">
        <f>Tableau6[[#This Row],[Cumul 2023]]-Tableau6[[#This Row],[Cumul 2022]]</f>
        <v>#N/A</v>
      </c>
      <c r="P193" s="104" t="e">
        <f>Tableau6[[#This Row],[Ecart 2022 2023]]/Tableau6[[#This Row],[Cumul 2022]]</f>
        <v>#N/A</v>
      </c>
      <c r="Q193" s="102" t="e">
        <f>MATCH(Tableau6[Jours Mois]&amp;"/"&amp;Tableau6[[#Headers],[2024]],tabSuiviConso[Jour Mois Année],0)</f>
        <v>#N/A</v>
      </c>
      <c r="R193" s="102" t="str">
        <f>IF(ISNA(Tableau6[[#This Row],[Position 2024]]),"",INDEX(tabSuiviConso[HP + HC
cumul],Tableau6[[#This Row],[Position 2024]],1))</f>
        <v/>
      </c>
      <c r="S193" s="123" t="e">
        <f>IF(ISNA(Tableau6[[#This Row],[Position 2024]]),Tableau6[[#This Row],[Position 2024]],Tableau6[[#This Row],[2024]]-R$2)</f>
        <v>#N/A</v>
      </c>
      <c r="T193" s="102" t="e">
        <f>Tableau6[[#This Row],[Cumul 2024]]-Tableau6[[#This Row],[Cumul 2023]]</f>
        <v>#N/A</v>
      </c>
      <c r="U193" s="103" t="e">
        <f>Tableau6[[#This Row],[Ecart 2023 2024]]/Tableau6[[#This Row],[Cumul 2023]]</f>
        <v>#N/A</v>
      </c>
    </row>
    <row r="194" spans="1:21" x14ac:dyDescent="0.2">
      <c r="A194" s="102">
        <v>7</v>
      </c>
      <c r="B194" s="102">
        <v>10</v>
      </c>
      <c r="C194" s="102" t="str">
        <f>Tableau6[Jour]&amp;"/"&amp;Tableau6[Mois]</f>
        <v>10/7</v>
      </c>
      <c r="D194" s="102" t="e">
        <f>MATCH(Tableau6[Jours Mois]&amp;"/"&amp;Tableau6[[#Headers],[2021]],tabSuiviConso[Jour Mois Année],0)</f>
        <v>#N/A</v>
      </c>
      <c r="E194" s="102" t="str">
        <f>IF(ISNA(Tableau6[[#This Row],[Position 2021]]),"",INDEX(tabSuiviConso[HP + HC
cumul],Tableau6[[#This Row],[Position 2021]],1))</f>
        <v/>
      </c>
      <c r="F194" s="123" t="e">
        <f>IF(ISNA(Tableau6[[#This Row],[Position 2021]]),Tableau6[[#This Row],[Position 2021]],Tableau6[[#This Row],[2021]]-E$2)</f>
        <v>#N/A</v>
      </c>
      <c r="G194" s="102" t="e">
        <f>MATCH(Tableau6[Jours Mois]&amp;"/"&amp;Tableau6[[#Headers],[2022]],tabSuiviConso[Jour Mois Année],0)</f>
        <v>#N/A</v>
      </c>
      <c r="H194" s="102" t="str">
        <f>IF(ISNA(Tableau6[[#This Row],[Position 2022]]),"",INDEX(tabSuiviConso[HP + HC
cumul],Tableau6[[#This Row],[Position 2022]],1))</f>
        <v/>
      </c>
      <c r="I194" s="123" t="e">
        <f>IF(ISNA(Tableau6[[#This Row],[Position 2022]]),Tableau6[[#This Row],[Position 2022]],Tableau6[[#This Row],[2022]]-H$2)</f>
        <v>#N/A</v>
      </c>
      <c r="J194" s="102" t="e">
        <f>MATCH(Tableau6[Jours Mois]&amp;"/"&amp;Tableau6[[#Headers],[2023]],tabSuiviConso[Jour Mois Année],0)</f>
        <v>#N/A</v>
      </c>
      <c r="K194" s="102" t="e">
        <f>Tableau6[[#This Row],[Cumul 2022]]-Tableau6[[#This Row],[Cumul 2021]]</f>
        <v>#N/A</v>
      </c>
      <c r="L194" s="104" t="e">
        <f>Tableau6[[#This Row],[Ecart 2021 2022]]/Tableau6[[#This Row],[Cumul 2021]]</f>
        <v>#N/A</v>
      </c>
      <c r="M194" s="102" t="str">
        <f>IF(ISNA(Tableau6[[#This Row],[Position 2023]]),"",INDEX(tabSuiviConso[HP + HC
cumul],Tableau6[[#This Row],[Position 2023]],1))</f>
        <v/>
      </c>
      <c r="N194" s="123" t="e">
        <f>IF(ISNA(Tableau6[[#This Row],[Position 2023]]),Tableau6[[#This Row],[Position 2023]],Tableau6[[#This Row],[2023]]-M$2)</f>
        <v>#N/A</v>
      </c>
      <c r="O194" s="102" t="e">
        <f>Tableau6[[#This Row],[Cumul 2023]]-Tableau6[[#This Row],[Cumul 2022]]</f>
        <v>#N/A</v>
      </c>
      <c r="P194" s="104" t="e">
        <f>Tableau6[[#This Row],[Ecart 2022 2023]]/Tableau6[[#This Row],[Cumul 2022]]</f>
        <v>#N/A</v>
      </c>
      <c r="Q194" s="102" t="e">
        <f>MATCH(Tableau6[Jours Mois]&amp;"/"&amp;Tableau6[[#Headers],[2024]],tabSuiviConso[Jour Mois Année],0)</f>
        <v>#N/A</v>
      </c>
      <c r="R194" s="102" t="str">
        <f>IF(ISNA(Tableau6[[#This Row],[Position 2024]]),"",INDEX(tabSuiviConso[HP + HC
cumul],Tableau6[[#This Row],[Position 2024]],1))</f>
        <v/>
      </c>
      <c r="S194" s="123" t="e">
        <f>IF(ISNA(Tableau6[[#This Row],[Position 2024]]),Tableau6[[#This Row],[Position 2024]],Tableau6[[#This Row],[2024]]-R$2)</f>
        <v>#N/A</v>
      </c>
      <c r="T194" s="102" t="e">
        <f>Tableau6[[#This Row],[Cumul 2024]]-Tableau6[[#This Row],[Cumul 2023]]</f>
        <v>#N/A</v>
      </c>
      <c r="U194" s="103" t="e">
        <f>Tableau6[[#This Row],[Ecart 2023 2024]]/Tableau6[[#This Row],[Cumul 2023]]</f>
        <v>#N/A</v>
      </c>
    </row>
    <row r="195" spans="1:21" x14ac:dyDescent="0.2">
      <c r="A195" s="102">
        <v>7</v>
      </c>
      <c r="B195" s="102">
        <v>11</v>
      </c>
      <c r="C195" s="102" t="str">
        <f>Tableau6[Jour]&amp;"/"&amp;Tableau6[Mois]</f>
        <v>11/7</v>
      </c>
      <c r="D195" s="102" t="e">
        <f>MATCH(Tableau6[Jours Mois]&amp;"/"&amp;Tableau6[[#Headers],[2021]],tabSuiviConso[Jour Mois Année],0)</f>
        <v>#N/A</v>
      </c>
      <c r="E195" s="102" t="str">
        <f>IF(ISNA(Tableau6[[#This Row],[Position 2021]]),"",INDEX(tabSuiviConso[HP + HC
cumul],Tableau6[[#This Row],[Position 2021]],1))</f>
        <v/>
      </c>
      <c r="F195" s="123" t="e">
        <f>IF(ISNA(Tableau6[[#This Row],[Position 2021]]),Tableau6[[#This Row],[Position 2021]],Tableau6[[#This Row],[2021]]-E$2)</f>
        <v>#N/A</v>
      </c>
      <c r="G195" s="102" t="e">
        <f>MATCH(Tableau6[Jours Mois]&amp;"/"&amp;Tableau6[[#Headers],[2022]],tabSuiviConso[Jour Mois Année],0)</f>
        <v>#N/A</v>
      </c>
      <c r="H195" s="102" t="str">
        <f>IF(ISNA(Tableau6[[#This Row],[Position 2022]]),"",INDEX(tabSuiviConso[HP + HC
cumul],Tableau6[[#This Row],[Position 2022]],1))</f>
        <v/>
      </c>
      <c r="I195" s="123" t="e">
        <f>IF(ISNA(Tableau6[[#This Row],[Position 2022]]),Tableau6[[#This Row],[Position 2022]],Tableau6[[#This Row],[2022]]-H$2)</f>
        <v>#N/A</v>
      </c>
      <c r="J195" s="102" t="e">
        <f>MATCH(Tableau6[Jours Mois]&amp;"/"&amp;Tableau6[[#Headers],[2023]],tabSuiviConso[Jour Mois Année],0)</f>
        <v>#N/A</v>
      </c>
      <c r="K195" s="102" t="e">
        <f>Tableau6[[#This Row],[Cumul 2022]]-Tableau6[[#This Row],[Cumul 2021]]</f>
        <v>#N/A</v>
      </c>
      <c r="L195" s="104" t="e">
        <f>Tableau6[[#This Row],[Ecart 2021 2022]]/Tableau6[[#This Row],[Cumul 2021]]</f>
        <v>#N/A</v>
      </c>
      <c r="M195" s="102" t="str">
        <f>IF(ISNA(Tableau6[[#This Row],[Position 2023]]),"",INDEX(tabSuiviConso[HP + HC
cumul],Tableau6[[#This Row],[Position 2023]],1))</f>
        <v/>
      </c>
      <c r="N195" s="123" t="e">
        <f>IF(ISNA(Tableau6[[#This Row],[Position 2023]]),Tableau6[[#This Row],[Position 2023]],Tableau6[[#This Row],[2023]]-M$2)</f>
        <v>#N/A</v>
      </c>
      <c r="O195" s="102" t="e">
        <f>Tableau6[[#This Row],[Cumul 2023]]-Tableau6[[#This Row],[Cumul 2022]]</f>
        <v>#N/A</v>
      </c>
      <c r="P195" s="104" t="e">
        <f>Tableau6[[#This Row],[Ecart 2022 2023]]/Tableau6[[#This Row],[Cumul 2022]]</f>
        <v>#N/A</v>
      </c>
      <c r="Q195" s="102" t="e">
        <f>MATCH(Tableau6[Jours Mois]&amp;"/"&amp;Tableau6[[#Headers],[2024]],tabSuiviConso[Jour Mois Année],0)</f>
        <v>#N/A</v>
      </c>
      <c r="R195" s="102" t="str">
        <f>IF(ISNA(Tableau6[[#This Row],[Position 2024]]),"",INDEX(tabSuiviConso[HP + HC
cumul],Tableau6[[#This Row],[Position 2024]],1))</f>
        <v/>
      </c>
      <c r="S195" s="123" t="e">
        <f>IF(ISNA(Tableau6[[#This Row],[Position 2024]]),Tableau6[[#This Row],[Position 2024]],Tableau6[[#This Row],[2024]]-R$2)</f>
        <v>#N/A</v>
      </c>
      <c r="T195" s="102" t="e">
        <f>Tableau6[[#This Row],[Cumul 2024]]-Tableau6[[#This Row],[Cumul 2023]]</f>
        <v>#N/A</v>
      </c>
      <c r="U195" s="103" t="e">
        <f>Tableau6[[#This Row],[Ecart 2023 2024]]/Tableau6[[#This Row],[Cumul 2023]]</f>
        <v>#N/A</v>
      </c>
    </row>
    <row r="196" spans="1:21" x14ac:dyDescent="0.2">
      <c r="A196" s="102">
        <v>7</v>
      </c>
      <c r="B196" s="102">
        <v>12</v>
      </c>
      <c r="C196" s="102" t="str">
        <f>Tableau6[Jour]&amp;"/"&amp;Tableau6[Mois]</f>
        <v>12/7</v>
      </c>
      <c r="D196" s="102" t="e">
        <f>MATCH(Tableau6[Jours Mois]&amp;"/"&amp;Tableau6[[#Headers],[2021]],tabSuiviConso[Jour Mois Année],0)</f>
        <v>#N/A</v>
      </c>
      <c r="E196" s="102" t="str">
        <f>IF(ISNA(Tableau6[[#This Row],[Position 2021]]),"",INDEX(tabSuiviConso[HP + HC
cumul],Tableau6[[#This Row],[Position 2021]],1))</f>
        <v/>
      </c>
      <c r="F196" s="123" t="e">
        <f>IF(ISNA(Tableau6[[#This Row],[Position 2021]]),Tableau6[[#This Row],[Position 2021]],Tableau6[[#This Row],[2021]]-E$2)</f>
        <v>#N/A</v>
      </c>
      <c r="G196" s="102" t="e">
        <f>MATCH(Tableau6[Jours Mois]&amp;"/"&amp;Tableau6[[#Headers],[2022]],tabSuiviConso[Jour Mois Année],0)</f>
        <v>#N/A</v>
      </c>
      <c r="H196" s="102" t="str">
        <f>IF(ISNA(Tableau6[[#This Row],[Position 2022]]),"",INDEX(tabSuiviConso[HP + HC
cumul],Tableau6[[#This Row],[Position 2022]],1))</f>
        <v/>
      </c>
      <c r="I196" s="123" t="e">
        <f>IF(ISNA(Tableau6[[#This Row],[Position 2022]]),Tableau6[[#This Row],[Position 2022]],Tableau6[[#This Row],[2022]]-H$2)</f>
        <v>#N/A</v>
      </c>
      <c r="J196" s="102" t="e">
        <f>MATCH(Tableau6[Jours Mois]&amp;"/"&amp;Tableau6[[#Headers],[2023]],tabSuiviConso[Jour Mois Année],0)</f>
        <v>#N/A</v>
      </c>
      <c r="K196" s="102" t="e">
        <f>Tableau6[[#This Row],[Cumul 2022]]-Tableau6[[#This Row],[Cumul 2021]]</f>
        <v>#N/A</v>
      </c>
      <c r="L196" s="104" t="e">
        <f>Tableau6[[#This Row],[Ecart 2021 2022]]/Tableau6[[#This Row],[Cumul 2021]]</f>
        <v>#N/A</v>
      </c>
      <c r="M196" s="102" t="str">
        <f>IF(ISNA(Tableau6[[#This Row],[Position 2023]]),"",INDEX(tabSuiviConso[HP + HC
cumul],Tableau6[[#This Row],[Position 2023]],1))</f>
        <v/>
      </c>
      <c r="N196" s="123" t="e">
        <f>IF(ISNA(Tableau6[[#This Row],[Position 2023]]),Tableau6[[#This Row],[Position 2023]],Tableau6[[#This Row],[2023]]-M$2)</f>
        <v>#N/A</v>
      </c>
      <c r="O196" s="102" t="e">
        <f>Tableau6[[#This Row],[Cumul 2023]]-Tableau6[[#This Row],[Cumul 2022]]</f>
        <v>#N/A</v>
      </c>
      <c r="P196" s="104" t="e">
        <f>Tableau6[[#This Row],[Ecart 2022 2023]]/Tableau6[[#This Row],[Cumul 2022]]</f>
        <v>#N/A</v>
      </c>
      <c r="Q196" s="102" t="e">
        <f>MATCH(Tableau6[Jours Mois]&amp;"/"&amp;Tableau6[[#Headers],[2024]],tabSuiviConso[Jour Mois Année],0)</f>
        <v>#N/A</v>
      </c>
      <c r="R196" s="102" t="str">
        <f>IF(ISNA(Tableau6[[#This Row],[Position 2024]]),"",INDEX(tabSuiviConso[HP + HC
cumul],Tableau6[[#This Row],[Position 2024]],1))</f>
        <v/>
      </c>
      <c r="S196" s="123" t="e">
        <f>IF(ISNA(Tableau6[[#This Row],[Position 2024]]),Tableau6[[#This Row],[Position 2024]],Tableau6[[#This Row],[2024]]-R$2)</f>
        <v>#N/A</v>
      </c>
      <c r="T196" s="102" t="e">
        <f>Tableau6[[#This Row],[Cumul 2024]]-Tableau6[[#This Row],[Cumul 2023]]</f>
        <v>#N/A</v>
      </c>
      <c r="U196" s="103" t="e">
        <f>Tableau6[[#This Row],[Ecart 2023 2024]]/Tableau6[[#This Row],[Cumul 2023]]</f>
        <v>#N/A</v>
      </c>
    </row>
    <row r="197" spans="1:21" x14ac:dyDescent="0.2">
      <c r="A197" s="102">
        <v>7</v>
      </c>
      <c r="B197" s="102">
        <v>13</v>
      </c>
      <c r="C197" s="102" t="str">
        <f>Tableau6[Jour]&amp;"/"&amp;Tableau6[Mois]</f>
        <v>13/7</v>
      </c>
      <c r="D197" s="102" t="e">
        <f>MATCH(Tableau6[Jours Mois]&amp;"/"&amp;Tableau6[[#Headers],[2021]],tabSuiviConso[Jour Mois Année],0)</f>
        <v>#N/A</v>
      </c>
      <c r="E197" s="102" t="str">
        <f>IF(ISNA(Tableau6[[#This Row],[Position 2021]]),"",INDEX(tabSuiviConso[HP + HC
cumul],Tableau6[[#This Row],[Position 2021]],1))</f>
        <v/>
      </c>
      <c r="F197" s="123" t="e">
        <f>IF(ISNA(Tableau6[[#This Row],[Position 2021]]),Tableau6[[#This Row],[Position 2021]],Tableau6[[#This Row],[2021]]-E$2)</f>
        <v>#N/A</v>
      </c>
      <c r="G197" s="102" t="e">
        <f>MATCH(Tableau6[Jours Mois]&amp;"/"&amp;Tableau6[[#Headers],[2022]],tabSuiviConso[Jour Mois Année],0)</f>
        <v>#N/A</v>
      </c>
      <c r="H197" s="102" t="str">
        <f>IF(ISNA(Tableau6[[#This Row],[Position 2022]]),"",INDEX(tabSuiviConso[HP + HC
cumul],Tableau6[[#This Row],[Position 2022]],1))</f>
        <v/>
      </c>
      <c r="I197" s="123" t="e">
        <f>IF(ISNA(Tableau6[[#This Row],[Position 2022]]),Tableau6[[#This Row],[Position 2022]],Tableau6[[#This Row],[2022]]-H$2)</f>
        <v>#N/A</v>
      </c>
      <c r="J197" s="102" t="e">
        <f>MATCH(Tableau6[Jours Mois]&amp;"/"&amp;Tableau6[[#Headers],[2023]],tabSuiviConso[Jour Mois Année],0)</f>
        <v>#N/A</v>
      </c>
      <c r="K197" s="102" t="e">
        <f>Tableau6[[#This Row],[Cumul 2022]]-Tableau6[[#This Row],[Cumul 2021]]</f>
        <v>#N/A</v>
      </c>
      <c r="L197" s="104" t="e">
        <f>Tableau6[[#This Row],[Ecart 2021 2022]]/Tableau6[[#This Row],[Cumul 2021]]</f>
        <v>#N/A</v>
      </c>
      <c r="M197" s="102" t="str">
        <f>IF(ISNA(Tableau6[[#This Row],[Position 2023]]),"",INDEX(tabSuiviConso[HP + HC
cumul],Tableau6[[#This Row],[Position 2023]],1))</f>
        <v/>
      </c>
      <c r="N197" s="123" t="e">
        <f>IF(ISNA(Tableau6[[#This Row],[Position 2023]]),Tableau6[[#This Row],[Position 2023]],Tableau6[[#This Row],[2023]]-M$2)</f>
        <v>#N/A</v>
      </c>
      <c r="O197" s="102" t="e">
        <f>Tableau6[[#This Row],[Cumul 2023]]-Tableau6[[#This Row],[Cumul 2022]]</f>
        <v>#N/A</v>
      </c>
      <c r="P197" s="104" t="e">
        <f>Tableau6[[#This Row],[Ecart 2022 2023]]/Tableau6[[#This Row],[Cumul 2022]]</f>
        <v>#N/A</v>
      </c>
      <c r="Q197" s="102" t="e">
        <f>MATCH(Tableau6[Jours Mois]&amp;"/"&amp;Tableau6[[#Headers],[2024]],tabSuiviConso[Jour Mois Année],0)</f>
        <v>#N/A</v>
      </c>
      <c r="R197" s="102" t="str">
        <f>IF(ISNA(Tableau6[[#This Row],[Position 2024]]),"",INDEX(tabSuiviConso[HP + HC
cumul],Tableau6[[#This Row],[Position 2024]],1))</f>
        <v/>
      </c>
      <c r="S197" s="123" t="e">
        <f>IF(ISNA(Tableau6[[#This Row],[Position 2024]]),Tableau6[[#This Row],[Position 2024]],Tableau6[[#This Row],[2024]]-R$2)</f>
        <v>#N/A</v>
      </c>
      <c r="T197" s="102" t="e">
        <f>Tableau6[[#This Row],[Cumul 2024]]-Tableau6[[#This Row],[Cumul 2023]]</f>
        <v>#N/A</v>
      </c>
      <c r="U197" s="103" t="e">
        <f>Tableau6[[#This Row],[Ecart 2023 2024]]/Tableau6[[#This Row],[Cumul 2023]]</f>
        <v>#N/A</v>
      </c>
    </row>
    <row r="198" spans="1:21" x14ac:dyDescent="0.2">
      <c r="A198" s="102">
        <v>7</v>
      </c>
      <c r="B198" s="102">
        <v>14</v>
      </c>
      <c r="C198" s="102" t="str">
        <f>Tableau6[Jour]&amp;"/"&amp;Tableau6[Mois]</f>
        <v>14/7</v>
      </c>
      <c r="D198" s="102" t="e">
        <f>MATCH(Tableau6[Jours Mois]&amp;"/"&amp;Tableau6[[#Headers],[2021]],tabSuiviConso[Jour Mois Année],0)</f>
        <v>#N/A</v>
      </c>
      <c r="E198" s="102" t="str">
        <f>IF(ISNA(Tableau6[[#This Row],[Position 2021]]),"",INDEX(tabSuiviConso[HP + HC
cumul],Tableau6[[#This Row],[Position 2021]],1))</f>
        <v/>
      </c>
      <c r="F198" s="123" t="e">
        <f>IF(ISNA(Tableau6[[#This Row],[Position 2021]]),Tableau6[[#This Row],[Position 2021]],Tableau6[[#This Row],[2021]]-E$2)</f>
        <v>#N/A</v>
      </c>
      <c r="G198" s="102" t="e">
        <f>MATCH(Tableau6[Jours Mois]&amp;"/"&amp;Tableau6[[#Headers],[2022]],tabSuiviConso[Jour Mois Année],0)</f>
        <v>#N/A</v>
      </c>
      <c r="H198" s="102" t="str">
        <f>IF(ISNA(Tableau6[[#This Row],[Position 2022]]),"",INDEX(tabSuiviConso[HP + HC
cumul],Tableau6[[#This Row],[Position 2022]],1))</f>
        <v/>
      </c>
      <c r="I198" s="123" t="e">
        <f>IF(ISNA(Tableau6[[#This Row],[Position 2022]]),Tableau6[[#This Row],[Position 2022]],Tableau6[[#This Row],[2022]]-H$2)</f>
        <v>#N/A</v>
      </c>
      <c r="J198" s="102" t="e">
        <f>MATCH(Tableau6[Jours Mois]&amp;"/"&amp;Tableau6[[#Headers],[2023]],tabSuiviConso[Jour Mois Année],0)</f>
        <v>#N/A</v>
      </c>
      <c r="K198" s="102" t="e">
        <f>Tableau6[[#This Row],[Cumul 2022]]-Tableau6[[#This Row],[Cumul 2021]]</f>
        <v>#N/A</v>
      </c>
      <c r="L198" s="104" t="e">
        <f>Tableau6[[#This Row],[Ecart 2021 2022]]/Tableau6[[#This Row],[Cumul 2021]]</f>
        <v>#N/A</v>
      </c>
      <c r="M198" s="102" t="str">
        <f>IF(ISNA(Tableau6[[#This Row],[Position 2023]]),"",INDEX(tabSuiviConso[HP + HC
cumul],Tableau6[[#This Row],[Position 2023]],1))</f>
        <v/>
      </c>
      <c r="N198" s="123" t="e">
        <f>IF(ISNA(Tableau6[[#This Row],[Position 2023]]),Tableau6[[#This Row],[Position 2023]],Tableau6[[#This Row],[2023]]-M$2)</f>
        <v>#N/A</v>
      </c>
      <c r="O198" s="102" t="e">
        <f>Tableau6[[#This Row],[Cumul 2023]]-Tableau6[[#This Row],[Cumul 2022]]</f>
        <v>#N/A</v>
      </c>
      <c r="P198" s="104" t="e">
        <f>Tableau6[[#This Row],[Ecart 2022 2023]]/Tableau6[[#This Row],[Cumul 2022]]</f>
        <v>#N/A</v>
      </c>
      <c r="Q198" s="102" t="e">
        <f>MATCH(Tableau6[Jours Mois]&amp;"/"&amp;Tableau6[[#Headers],[2024]],tabSuiviConso[Jour Mois Année],0)</f>
        <v>#N/A</v>
      </c>
      <c r="R198" s="102" t="str">
        <f>IF(ISNA(Tableau6[[#This Row],[Position 2024]]),"",INDEX(tabSuiviConso[HP + HC
cumul],Tableau6[[#This Row],[Position 2024]],1))</f>
        <v/>
      </c>
      <c r="S198" s="123" t="e">
        <f>IF(ISNA(Tableau6[[#This Row],[Position 2024]]),Tableau6[[#This Row],[Position 2024]],Tableau6[[#This Row],[2024]]-R$2)</f>
        <v>#N/A</v>
      </c>
      <c r="T198" s="102" t="e">
        <f>Tableau6[[#This Row],[Cumul 2024]]-Tableau6[[#This Row],[Cumul 2023]]</f>
        <v>#N/A</v>
      </c>
      <c r="U198" s="103" t="e">
        <f>Tableau6[[#This Row],[Ecart 2023 2024]]/Tableau6[[#This Row],[Cumul 2023]]</f>
        <v>#N/A</v>
      </c>
    </row>
    <row r="199" spans="1:21" x14ac:dyDescent="0.2">
      <c r="A199" s="102">
        <v>7</v>
      </c>
      <c r="B199" s="102">
        <v>15</v>
      </c>
      <c r="C199" s="102" t="str">
        <f>Tableau6[Jour]&amp;"/"&amp;Tableau6[Mois]</f>
        <v>15/7</v>
      </c>
      <c r="D199" s="102" t="e">
        <f>MATCH(Tableau6[Jours Mois]&amp;"/"&amp;Tableau6[[#Headers],[2021]],tabSuiviConso[Jour Mois Année],0)</f>
        <v>#N/A</v>
      </c>
      <c r="E199" s="102" t="str">
        <f>IF(ISNA(Tableau6[[#This Row],[Position 2021]]),"",INDEX(tabSuiviConso[HP + HC
cumul],Tableau6[[#This Row],[Position 2021]],1))</f>
        <v/>
      </c>
      <c r="F199" s="123" t="e">
        <f>IF(ISNA(Tableau6[[#This Row],[Position 2021]]),Tableau6[[#This Row],[Position 2021]],Tableau6[[#This Row],[2021]]-E$2)</f>
        <v>#N/A</v>
      </c>
      <c r="G199" s="102" t="e">
        <f>MATCH(Tableau6[Jours Mois]&amp;"/"&amp;Tableau6[[#Headers],[2022]],tabSuiviConso[Jour Mois Année],0)</f>
        <v>#N/A</v>
      </c>
      <c r="H199" s="102" t="str">
        <f>IF(ISNA(Tableau6[[#This Row],[Position 2022]]),"",INDEX(tabSuiviConso[HP + HC
cumul],Tableau6[[#This Row],[Position 2022]],1))</f>
        <v/>
      </c>
      <c r="I199" s="123" t="e">
        <f>IF(ISNA(Tableau6[[#This Row],[Position 2022]]),Tableau6[[#This Row],[Position 2022]],Tableau6[[#This Row],[2022]]-H$2)</f>
        <v>#N/A</v>
      </c>
      <c r="J199" s="102" t="e">
        <f>MATCH(Tableau6[Jours Mois]&amp;"/"&amp;Tableau6[[#Headers],[2023]],tabSuiviConso[Jour Mois Année],0)</f>
        <v>#N/A</v>
      </c>
      <c r="K199" s="102" t="e">
        <f>Tableau6[[#This Row],[Cumul 2022]]-Tableau6[[#This Row],[Cumul 2021]]</f>
        <v>#N/A</v>
      </c>
      <c r="L199" s="104" t="e">
        <f>Tableau6[[#This Row],[Ecart 2021 2022]]/Tableau6[[#This Row],[Cumul 2021]]</f>
        <v>#N/A</v>
      </c>
      <c r="M199" s="102" t="str">
        <f>IF(ISNA(Tableau6[[#This Row],[Position 2023]]),"",INDEX(tabSuiviConso[HP + HC
cumul],Tableau6[[#This Row],[Position 2023]],1))</f>
        <v/>
      </c>
      <c r="N199" s="123" t="e">
        <f>IF(ISNA(Tableau6[[#This Row],[Position 2023]]),Tableau6[[#This Row],[Position 2023]],Tableau6[[#This Row],[2023]]-M$2)</f>
        <v>#N/A</v>
      </c>
      <c r="O199" s="102" t="e">
        <f>Tableau6[[#This Row],[Cumul 2023]]-Tableau6[[#This Row],[Cumul 2022]]</f>
        <v>#N/A</v>
      </c>
      <c r="P199" s="104" t="e">
        <f>Tableau6[[#This Row],[Ecart 2022 2023]]/Tableau6[[#This Row],[Cumul 2022]]</f>
        <v>#N/A</v>
      </c>
      <c r="Q199" s="102" t="e">
        <f>MATCH(Tableau6[Jours Mois]&amp;"/"&amp;Tableau6[[#Headers],[2024]],tabSuiviConso[Jour Mois Année],0)</f>
        <v>#N/A</v>
      </c>
      <c r="R199" s="102" t="str">
        <f>IF(ISNA(Tableau6[[#This Row],[Position 2024]]),"",INDEX(tabSuiviConso[HP + HC
cumul],Tableau6[[#This Row],[Position 2024]],1))</f>
        <v/>
      </c>
      <c r="S199" s="123" t="e">
        <f>IF(ISNA(Tableau6[[#This Row],[Position 2024]]),Tableau6[[#This Row],[Position 2024]],Tableau6[[#This Row],[2024]]-R$2)</f>
        <v>#N/A</v>
      </c>
      <c r="T199" s="102" t="e">
        <f>Tableau6[[#This Row],[Cumul 2024]]-Tableau6[[#This Row],[Cumul 2023]]</f>
        <v>#N/A</v>
      </c>
      <c r="U199" s="103" t="e">
        <f>Tableau6[[#This Row],[Ecart 2023 2024]]/Tableau6[[#This Row],[Cumul 2023]]</f>
        <v>#N/A</v>
      </c>
    </row>
    <row r="200" spans="1:21" x14ac:dyDescent="0.2">
      <c r="A200" s="102">
        <v>7</v>
      </c>
      <c r="B200" s="102">
        <v>16</v>
      </c>
      <c r="C200" s="102" t="str">
        <f>Tableau6[Jour]&amp;"/"&amp;Tableau6[Mois]</f>
        <v>16/7</v>
      </c>
      <c r="D200" s="102" t="e">
        <f>MATCH(Tableau6[Jours Mois]&amp;"/"&amp;Tableau6[[#Headers],[2021]],tabSuiviConso[Jour Mois Année],0)</f>
        <v>#N/A</v>
      </c>
      <c r="E200" s="102" t="str">
        <f>IF(ISNA(Tableau6[[#This Row],[Position 2021]]),"",INDEX(tabSuiviConso[HP + HC
cumul],Tableau6[[#This Row],[Position 2021]],1))</f>
        <v/>
      </c>
      <c r="F200" s="123" t="e">
        <f>IF(ISNA(Tableau6[[#This Row],[Position 2021]]),Tableau6[[#This Row],[Position 2021]],Tableau6[[#This Row],[2021]]-E$2)</f>
        <v>#N/A</v>
      </c>
      <c r="G200" s="102" t="e">
        <f>MATCH(Tableau6[Jours Mois]&amp;"/"&amp;Tableau6[[#Headers],[2022]],tabSuiviConso[Jour Mois Année],0)</f>
        <v>#N/A</v>
      </c>
      <c r="H200" s="102" t="str">
        <f>IF(ISNA(Tableau6[[#This Row],[Position 2022]]),"",INDEX(tabSuiviConso[HP + HC
cumul],Tableau6[[#This Row],[Position 2022]],1))</f>
        <v/>
      </c>
      <c r="I200" s="123" t="e">
        <f>IF(ISNA(Tableau6[[#This Row],[Position 2022]]),Tableau6[[#This Row],[Position 2022]],Tableau6[[#This Row],[2022]]-H$2)</f>
        <v>#N/A</v>
      </c>
      <c r="J200" s="102" t="e">
        <f>MATCH(Tableau6[Jours Mois]&amp;"/"&amp;Tableau6[[#Headers],[2023]],tabSuiviConso[Jour Mois Année],0)</f>
        <v>#N/A</v>
      </c>
      <c r="K200" s="102" t="e">
        <f>Tableau6[[#This Row],[Cumul 2022]]-Tableau6[[#This Row],[Cumul 2021]]</f>
        <v>#N/A</v>
      </c>
      <c r="L200" s="104" t="e">
        <f>Tableau6[[#This Row],[Ecart 2021 2022]]/Tableau6[[#This Row],[Cumul 2021]]</f>
        <v>#N/A</v>
      </c>
      <c r="M200" s="102" t="str">
        <f>IF(ISNA(Tableau6[[#This Row],[Position 2023]]),"",INDEX(tabSuiviConso[HP + HC
cumul],Tableau6[[#This Row],[Position 2023]],1))</f>
        <v/>
      </c>
      <c r="N200" s="123" t="e">
        <f>IF(ISNA(Tableau6[[#This Row],[Position 2023]]),Tableau6[[#This Row],[Position 2023]],Tableau6[[#This Row],[2023]]-M$2)</f>
        <v>#N/A</v>
      </c>
      <c r="O200" s="102" t="e">
        <f>Tableau6[[#This Row],[Cumul 2023]]-Tableau6[[#This Row],[Cumul 2022]]</f>
        <v>#N/A</v>
      </c>
      <c r="P200" s="104" t="e">
        <f>Tableau6[[#This Row],[Ecart 2022 2023]]/Tableau6[[#This Row],[Cumul 2022]]</f>
        <v>#N/A</v>
      </c>
      <c r="Q200" s="102" t="e">
        <f>MATCH(Tableau6[Jours Mois]&amp;"/"&amp;Tableau6[[#Headers],[2024]],tabSuiviConso[Jour Mois Année],0)</f>
        <v>#N/A</v>
      </c>
      <c r="R200" s="102" t="str">
        <f>IF(ISNA(Tableau6[[#This Row],[Position 2024]]),"",INDEX(tabSuiviConso[HP + HC
cumul],Tableau6[[#This Row],[Position 2024]],1))</f>
        <v/>
      </c>
      <c r="S200" s="123" t="e">
        <f>IF(ISNA(Tableau6[[#This Row],[Position 2024]]),Tableau6[[#This Row],[Position 2024]],Tableau6[[#This Row],[2024]]-R$2)</f>
        <v>#N/A</v>
      </c>
      <c r="T200" s="102" t="e">
        <f>Tableau6[[#This Row],[Cumul 2024]]-Tableau6[[#This Row],[Cumul 2023]]</f>
        <v>#N/A</v>
      </c>
      <c r="U200" s="103" t="e">
        <f>Tableau6[[#This Row],[Ecart 2023 2024]]/Tableau6[[#This Row],[Cumul 2023]]</f>
        <v>#N/A</v>
      </c>
    </row>
    <row r="201" spans="1:21" x14ac:dyDescent="0.2">
      <c r="A201" s="102">
        <v>7</v>
      </c>
      <c r="B201" s="102">
        <v>17</v>
      </c>
      <c r="C201" s="102" t="str">
        <f>Tableau6[Jour]&amp;"/"&amp;Tableau6[Mois]</f>
        <v>17/7</v>
      </c>
      <c r="D201" s="102" t="e">
        <f>MATCH(Tableau6[Jours Mois]&amp;"/"&amp;Tableau6[[#Headers],[2021]],tabSuiviConso[Jour Mois Année],0)</f>
        <v>#N/A</v>
      </c>
      <c r="E201" s="102" t="str">
        <f>IF(ISNA(Tableau6[[#This Row],[Position 2021]]),"",INDEX(tabSuiviConso[HP + HC
cumul],Tableau6[[#This Row],[Position 2021]],1))</f>
        <v/>
      </c>
      <c r="F201" s="123" t="e">
        <f>IF(ISNA(Tableau6[[#This Row],[Position 2021]]),Tableau6[[#This Row],[Position 2021]],Tableau6[[#This Row],[2021]]-E$2)</f>
        <v>#N/A</v>
      </c>
      <c r="G201" s="102" t="e">
        <f>MATCH(Tableau6[Jours Mois]&amp;"/"&amp;Tableau6[[#Headers],[2022]],tabSuiviConso[Jour Mois Année],0)</f>
        <v>#N/A</v>
      </c>
      <c r="H201" s="102" t="str">
        <f>IF(ISNA(Tableau6[[#This Row],[Position 2022]]),"",INDEX(tabSuiviConso[HP + HC
cumul],Tableau6[[#This Row],[Position 2022]],1))</f>
        <v/>
      </c>
      <c r="I201" s="123" t="e">
        <f>IF(ISNA(Tableau6[[#This Row],[Position 2022]]),Tableau6[[#This Row],[Position 2022]],Tableau6[[#This Row],[2022]]-H$2)</f>
        <v>#N/A</v>
      </c>
      <c r="J201" s="102" t="e">
        <f>MATCH(Tableau6[Jours Mois]&amp;"/"&amp;Tableau6[[#Headers],[2023]],tabSuiviConso[Jour Mois Année],0)</f>
        <v>#N/A</v>
      </c>
      <c r="K201" s="102" t="e">
        <f>Tableau6[[#This Row],[Cumul 2022]]-Tableau6[[#This Row],[Cumul 2021]]</f>
        <v>#N/A</v>
      </c>
      <c r="L201" s="104" t="e">
        <f>Tableau6[[#This Row],[Ecart 2021 2022]]/Tableau6[[#This Row],[Cumul 2021]]</f>
        <v>#N/A</v>
      </c>
      <c r="M201" s="102" t="str">
        <f>IF(ISNA(Tableau6[[#This Row],[Position 2023]]),"",INDEX(tabSuiviConso[HP + HC
cumul],Tableau6[[#This Row],[Position 2023]],1))</f>
        <v/>
      </c>
      <c r="N201" s="123" t="e">
        <f>IF(ISNA(Tableau6[[#This Row],[Position 2023]]),Tableau6[[#This Row],[Position 2023]],Tableau6[[#This Row],[2023]]-M$2)</f>
        <v>#N/A</v>
      </c>
      <c r="O201" s="102" t="e">
        <f>Tableau6[[#This Row],[Cumul 2023]]-Tableau6[[#This Row],[Cumul 2022]]</f>
        <v>#N/A</v>
      </c>
      <c r="P201" s="104" t="e">
        <f>Tableau6[[#This Row],[Ecart 2022 2023]]/Tableau6[[#This Row],[Cumul 2022]]</f>
        <v>#N/A</v>
      </c>
      <c r="Q201" s="102" t="e">
        <f>MATCH(Tableau6[Jours Mois]&amp;"/"&amp;Tableau6[[#Headers],[2024]],tabSuiviConso[Jour Mois Année],0)</f>
        <v>#N/A</v>
      </c>
      <c r="R201" s="102" t="str">
        <f>IF(ISNA(Tableau6[[#This Row],[Position 2024]]),"",INDEX(tabSuiviConso[HP + HC
cumul],Tableau6[[#This Row],[Position 2024]],1))</f>
        <v/>
      </c>
      <c r="S201" s="123" t="e">
        <f>IF(ISNA(Tableau6[[#This Row],[Position 2024]]),Tableau6[[#This Row],[Position 2024]],Tableau6[[#This Row],[2024]]-R$2)</f>
        <v>#N/A</v>
      </c>
      <c r="T201" s="102" t="e">
        <f>Tableau6[[#This Row],[Cumul 2024]]-Tableau6[[#This Row],[Cumul 2023]]</f>
        <v>#N/A</v>
      </c>
      <c r="U201" s="103" t="e">
        <f>Tableau6[[#This Row],[Ecart 2023 2024]]/Tableau6[[#This Row],[Cumul 2023]]</f>
        <v>#N/A</v>
      </c>
    </row>
    <row r="202" spans="1:21" x14ac:dyDescent="0.2">
      <c r="A202" s="102">
        <v>7</v>
      </c>
      <c r="B202" s="102">
        <v>18</v>
      </c>
      <c r="C202" s="102" t="str">
        <f>Tableau6[Jour]&amp;"/"&amp;Tableau6[Mois]</f>
        <v>18/7</v>
      </c>
      <c r="D202" s="102" t="e">
        <f>MATCH(Tableau6[Jours Mois]&amp;"/"&amp;Tableau6[[#Headers],[2021]],tabSuiviConso[Jour Mois Année],0)</f>
        <v>#N/A</v>
      </c>
      <c r="E202" s="102" t="str">
        <f>IF(ISNA(Tableau6[[#This Row],[Position 2021]]),"",INDEX(tabSuiviConso[HP + HC
cumul],Tableau6[[#This Row],[Position 2021]],1))</f>
        <v/>
      </c>
      <c r="F202" s="123" t="e">
        <f>IF(ISNA(Tableau6[[#This Row],[Position 2021]]),Tableau6[[#This Row],[Position 2021]],Tableau6[[#This Row],[2021]]-E$2)</f>
        <v>#N/A</v>
      </c>
      <c r="G202" s="102" t="e">
        <f>MATCH(Tableau6[Jours Mois]&amp;"/"&amp;Tableau6[[#Headers],[2022]],tabSuiviConso[Jour Mois Année],0)</f>
        <v>#N/A</v>
      </c>
      <c r="H202" s="102" t="str">
        <f>IF(ISNA(Tableau6[[#This Row],[Position 2022]]),"",INDEX(tabSuiviConso[HP + HC
cumul],Tableau6[[#This Row],[Position 2022]],1))</f>
        <v/>
      </c>
      <c r="I202" s="123" t="e">
        <f>IF(ISNA(Tableau6[[#This Row],[Position 2022]]),Tableau6[[#This Row],[Position 2022]],Tableau6[[#This Row],[2022]]-H$2)</f>
        <v>#N/A</v>
      </c>
      <c r="J202" s="102" t="e">
        <f>MATCH(Tableau6[Jours Mois]&amp;"/"&amp;Tableau6[[#Headers],[2023]],tabSuiviConso[Jour Mois Année],0)</f>
        <v>#N/A</v>
      </c>
      <c r="K202" s="102" t="e">
        <f>Tableau6[[#This Row],[Cumul 2022]]-Tableau6[[#This Row],[Cumul 2021]]</f>
        <v>#N/A</v>
      </c>
      <c r="L202" s="104" t="e">
        <f>Tableau6[[#This Row],[Ecart 2021 2022]]/Tableau6[[#This Row],[Cumul 2021]]</f>
        <v>#N/A</v>
      </c>
      <c r="M202" s="102" t="str">
        <f>IF(ISNA(Tableau6[[#This Row],[Position 2023]]),"",INDEX(tabSuiviConso[HP + HC
cumul],Tableau6[[#This Row],[Position 2023]],1))</f>
        <v/>
      </c>
      <c r="N202" s="123" t="e">
        <f>IF(ISNA(Tableau6[[#This Row],[Position 2023]]),Tableau6[[#This Row],[Position 2023]],Tableau6[[#This Row],[2023]]-M$2)</f>
        <v>#N/A</v>
      </c>
      <c r="O202" s="102" t="e">
        <f>Tableau6[[#This Row],[Cumul 2023]]-Tableau6[[#This Row],[Cumul 2022]]</f>
        <v>#N/A</v>
      </c>
      <c r="P202" s="104" t="e">
        <f>Tableau6[[#This Row],[Ecart 2022 2023]]/Tableau6[[#This Row],[Cumul 2022]]</f>
        <v>#N/A</v>
      </c>
      <c r="Q202" s="102" t="e">
        <f>MATCH(Tableau6[Jours Mois]&amp;"/"&amp;Tableau6[[#Headers],[2024]],tabSuiviConso[Jour Mois Année],0)</f>
        <v>#N/A</v>
      </c>
      <c r="R202" s="102" t="str">
        <f>IF(ISNA(Tableau6[[#This Row],[Position 2024]]),"",INDEX(tabSuiviConso[HP + HC
cumul],Tableau6[[#This Row],[Position 2024]],1))</f>
        <v/>
      </c>
      <c r="S202" s="123" t="e">
        <f>IF(ISNA(Tableau6[[#This Row],[Position 2024]]),Tableau6[[#This Row],[Position 2024]],Tableau6[[#This Row],[2024]]-R$2)</f>
        <v>#N/A</v>
      </c>
      <c r="T202" s="102" t="e">
        <f>Tableau6[[#This Row],[Cumul 2024]]-Tableau6[[#This Row],[Cumul 2023]]</f>
        <v>#N/A</v>
      </c>
      <c r="U202" s="103" t="e">
        <f>Tableau6[[#This Row],[Ecart 2023 2024]]/Tableau6[[#This Row],[Cumul 2023]]</f>
        <v>#N/A</v>
      </c>
    </row>
    <row r="203" spans="1:21" x14ac:dyDescent="0.2">
      <c r="A203" s="102">
        <v>7</v>
      </c>
      <c r="B203" s="102">
        <v>19</v>
      </c>
      <c r="C203" s="102" t="str">
        <f>Tableau6[Jour]&amp;"/"&amp;Tableau6[Mois]</f>
        <v>19/7</v>
      </c>
      <c r="D203" s="102" t="e">
        <f>MATCH(Tableau6[Jours Mois]&amp;"/"&amp;Tableau6[[#Headers],[2021]],tabSuiviConso[Jour Mois Année],0)</f>
        <v>#N/A</v>
      </c>
      <c r="E203" s="102" t="str">
        <f>IF(ISNA(Tableau6[[#This Row],[Position 2021]]),"",INDEX(tabSuiviConso[HP + HC
cumul],Tableau6[[#This Row],[Position 2021]],1))</f>
        <v/>
      </c>
      <c r="F203" s="123" t="e">
        <f>IF(ISNA(Tableau6[[#This Row],[Position 2021]]),Tableau6[[#This Row],[Position 2021]],Tableau6[[#This Row],[2021]]-E$2)</f>
        <v>#N/A</v>
      </c>
      <c r="G203" s="102" t="e">
        <f>MATCH(Tableau6[Jours Mois]&amp;"/"&amp;Tableau6[[#Headers],[2022]],tabSuiviConso[Jour Mois Année],0)</f>
        <v>#N/A</v>
      </c>
      <c r="H203" s="102" t="str">
        <f>IF(ISNA(Tableau6[[#This Row],[Position 2022]]),"",INDEX(tabSuiviConso[HP + HC
cumul],Tableau6[[#This Row],[Position 2022]],1))</f>
        <v/>
      </c>
      <c r="I203" s="123" t="e">
        <f>IF(ISNA(Tableau6[[#This Row],[Position 2022]]),Tableau6[[#This Row],[Position 2022]],Tableau6[[#This Row],[2022]]-H$2)</f>
        <v>#N/A</v>
      </c>
      <c r="J203" s="102" t="e">
        <f>MATCH(Tableau6[Jours Mois]&amp;"/"&amp;Tableau6[[#Headers],[2023]],tabSuiviConso[Jour Mois Année],0)</f>
        <v>#N/A</v>
      </c>
      <c r="K203" s="102" t="e">
        <f>Tableau6[[#This Row],[Cumul 2022]]-Tableau6[[#This Row],[Cumul 2021]]</f>
        <v>#N/A</v>
      </c>
      <c r="L203" s="104" t="e">
        <f>Tableau6[[#This Row],[Ecart 2021 2022]]/Tableau6[[#This Row],[Cumul 2021]]</f>
        <v>#N/A</v>
      </c>
      <c r="M203" s="102" t="str">
        <f>IF(ISNA(Tableau6[[#This Row],[Position 2023]]),"",INDEX(tabSuiviConso[HP + HC
cumul],Tableau6[[#This Row],[Position 2023]],1))</f>
        <v/>
      </c>
      <c r="N203" s="123" t="e">
        <f>IF(ISNA(Tableau6[[#This Row],[Position 2023]]),Tableau6[[#This Row],[Position 2023]],Tableau6[[#This Row],[2023]]-M$2)</f>
        <v>#N/A</v>
      </c>
      <c r="O203" s="102" t="e">
        <f>Tableau6[[#This Row],[Cumul 2023]]-Tableau6[[#This Row],[Cumul 2022]]</f>
        <v>#N/A</v>
      </c>
      <c r="P203" s="104" t="e">
        <f>Tableau6[[#This Row],[Ecart 2022 2023]]/Tableau6[[#This Row],[Cumul 2022]]</f>
        <v>#N/A</v>
      </c>
      <c r="Q203" s="102" t="e">
        <f>MATCH(Tableau6[Jours Mois]&amp;"/"&amp;Tableau6[[#Headers],[2024]],tabSuiviConso[Jour Mois Année],0)</f>
        <v>#N/A</v>
      </c>
      <c r="R203" s="102" t="str">
        <f>IF(ISNA(Tableau6[[#This Row],[Position 2024]]),"",INDEX(tabSuiviConso[HP + HC
cumul],Tableau6[[#This Row],[Position 2024]],1))</f>
        <v/>
      </c>
      <c r="S203" s="123" t="e">
        <f>IF(ISNA(Tableau6[[#This Row],[Position 2024]]),Tableau6[[#This Row],[Position 2024]],Tableau6[[#This Row],[2024]]-R$2)</f>
        <v>#N/A</v>
      </c>
      <c r="T203" s="102" t="e">
        <f>Tableau6[[#This Row],[Cumul 2024]]-Tableau6[[#This Row],[Cumul 2023]]</f>
        <v>#N/A</v>
      </c>
      <c r="U203" s="103" t="e">
        <f>Tableau6[[#This Row],[Ecart 2023 2024]]/Tableau6[[#This Row],[Cumul 2023]]</f>
        <v>#N/A</v>
      </c>
    </row>
    <row r="204" spans="1:21" x14ac:dyDescent="0.2">
      <c r="A204" s="102">
        <v>7</v>
      </c>
      <c r="B204" s="102">
        <v>20</v>
      </c>
      <c r="C204" s="102" t="str">
        <f>Tableau6[Jour]&amp;"/"&amp;Tableau6[Mois]</f>
        <v>20/7</v>
      </c>
      <c r="D204" s="102" t="e">
        <f>MATCH(Tableau6[Jours Mois]&amp;"/"&amp;Tableau6[[#Headers],[2021]],tabSuiviConso[Jour Mois Année],0)</f>
        <v>#N/A</v>
      </c>
      <c r="E204" s="102" t="str">
        <f>IF(ISNA(Tableau6[[#This Row],[Position 2021]]),"",INDEX(tabSuiviConso[HP + HC
cumul],Tableau6[[#This Row],[Position 2021]],1))</f>
        <v/>
      </c>
      <c r="F204" s="123" t="e">
        <f>IF(ISNA(Tableau6[[#This Row],[Position 2021]]),Tableau6[[#This Row],[Position 2021]],Tableau6[[#This Row],[2021]]-E$2)</f>
        <v>#N/A</v>
      </c>
      <c r="G204" s="102" t="e">
        <f>MATCH(Tableau6[Jours Mois]&amp;"/"&amp;Tableau6[[#Headers],[2022]],tabSuiviConso[Jour Mois Année],0)</f>
        <v>#N/A</v>
      </c>
      <c r="H204" s="102" t="str">
        <f>IF(ISNA(Tableau6[[#This Row],[Position 2022]]),"",INDEX(tabSuiviConso[HP + HC
cumul],Tableau6[[#This Row],[Position 2022]],1))</f>
        <v/>
      </c>
      <c r="I204" s="123" t="e">
        <f>IF(ISNA(Tableau6[[#This Row],[Position 2022]]),Tableau6[[#This Row],[Position 2022]],Tableau6[[#This Row],[2022]]-H$2)</f>
        <v>#N/A</v>
      </c>
      <c r="J204" s="102" t="e">
        <f>MATCH(Tableau6[Jours Mois]&amp;"/"&amp;Tableau6[[#Headers],[2023]],tabSuiviConso[Jour Mois Année],0)</f>
        <v>#N/A</v>
      </c>
      <c r="K204" s="102" t="e">
        <f>Tableau6[[#This Row],[Cumul 2022]]-Tableau6[[#This Row],[Cumul 2021]]</f>
        <v>#N/A</v>
      </c>
      <c r="L204" s="104" t="e">
        <f>Tableau6[[#This Row],[Ecart 2021 2022]]/Tableau6[[#This Row],[Cumul 2021]]</f>
        <v>#N/A</v>
      </c>
      <c r="M204" s="102" t="str">
        <f>IF(ISNA(Tableau6[[#This Row],[Position 2023]]),"",INDEX(tabSuiviConso[HP + HC
cumul],Tableau6[[#This Row],[Position 2023]],1))</f>
        <v/>
      </c>
      <c r="N204" s="123" t="e">
        <f>IF(ISNA(Tableau6[[#This Row],[Position 2023]]),Tableau6[[#This Row],[Position 2023]],Tableau6[[#This Row],[2023]]-M$2)</f>
        <v>#N/A</v>
      </c>
      <c r="O204" s="102" t="e">
        <f>Tableau6[[#This Row],[Cumul 2023]]-Tableau6[[#This Row],[Cumul 2022]]</f>
        <v>#N/A</v>
      </c>
      <c r="P204" s="104" t="e">
        <f>Tableau6[[#This Row],[Ecart 2022 2023]]/Tableau6[[#This Row],[Cumul 2022]]</f>
        <v>#N/A</v>
      </c>
      <c r="Q204" s="102" t="e">
        <f>MATCH(Tableau6[Jours Mois]&amp;"/"&amp;Tableau6[[#Headers],[2024]],tabSuiviConso[Jour Mois Année],0)</f>
        <v>#N/A</v>
      </c>
      <c r="R204" s="102" t="str">
        <f>IF(ISNA(Tableau6[[#This Row],[Position 2024]]),"",INDEX(tabSuiviConso[HP + HC
cumul],Tableau6[[#This Row],[Position 2024]],1))</f>
        <v/>
      </c>
      <c r="S204" s="123" t="e">
        <f>IF(ISNA(Tableau6[[#This Row],[Position 2024]]),Tableau6[[#This Row],[Position 2024]],Tableau6[[#This Row],[2024]]-R$2)</f>
        <v>#N/A</v>
      </c>
      <c r="T204" s="102" t="e">
        <f>Tableau6[[#This Row],[Cumul 2024]]-Tableau6[[#This Row],[Cumul 2023]]</f>
        <v>#N/A</v>
      </c>
      <c r="U204" s="103" t="e">
        <f>Tableau6[[#This Row],[Ecart 2023 2024]]/Tableau6[[#This Row],[Cumul 2023]]</f>
        <v>#N/A</v>
      </c>
    </row>
    <row r="205" spans="1:21" x14ac:dyDescent="0.2">
      <c r="A205" s="102">
        <v>7</v>
      </c>
      <c r="B205" s="102">
        <v>21</v>
      </c>
      <c r="C205" s="102" t="str">
        <f>Tableau6[Jour]&amp;"/"&amp;Tableau6[Mois]</f>
        <v>21/7</v>
      </c>
      <c r="D205" s="102" t="e">
        <f>MATCH(Tableau6[Jours Mois]&amp;"/"&amp;Tableau6[[#Headers],[2021]],tabSuiviConso[Jour Mois Année],0)</f>
        <v>#N/A</v>
      </c>
      <c r="E205" s="102" t="str">
        <f>IF(ISNA(Tableau6[[#This Row],[Position 2021]]),"",INDEX(tabSuiviConso[HP + HC
cumul],Tableau6[[#This Row],[Position 2021]],1))</f>
        <v/>
      </c>
      <c r="F205" s="123" t="e">
        <f>IF(ISNA(Tableau6[[#This Row],[Position 2021]]),Tableau6[[#This Row],[Position 2021]],Tableau6[[#This Row],[2021]]-E$2)</f>
        <v>#N/A</v>
      </c>
      <c r="G205" s="102" t="e">
        <f>MATCH(Tableau6[Jours Mois]&amp;"/"&amp;Tableau6[[#Headers],[2022]],tabSuiviConso[Jour Mois Année],0)</f>
        <v>#N/A</v>
      </c>
      <c r="H205" s="102" t="str">
        <f>IF(ISNA(Tableau6[[#This Row],[Position 2022]]),"",INDEX(tabSuiviConso[HP + HC
cumul],Tableau6[[#This Row],[Position 2022]],1))</f>
        <v/>
      </c>
      <c r="I205" s="123" t="e">
        <f>IF(ISNA(Tableau6[[#This Row],[Position 2022]]),Tableau6[[#This Row],[Position 2022]],Tableau6[[#This Row],[2022]]-H$2)</f>
        <v>#N/A</v>
      </c>
      <c r="J205" s="102" t="e">
        <f>MATCH(Tableau6[Jours Mois]&amp;"/"&amp;Tableau6[[#Headers],[2023]],tabSuiviConso[Jour Mois Année],0)</f>
        <v>#N/A</v>
      </c>
      <c r="K205" s="102" t="e">
        <f>Tableau6[[#This Row],[Cumul 2022]]-Tableau6[[#This Row],[Cumul 2021]]</f>
        <v>#N/A</v>
      </c>
      <c r="L205" s="104" t="e">
        <f>Tableau6[[#This Row],[Ecart 2021 2022]]/Tableau6[[#This Row],[Cumul 2021]]</f>
        <v>#N/A</v>
      </c>
      <c r="M205" s="102" t="str">
        <f>IF(ISNA(Tableau6[[#This Row],[Position 2023]]),"",INDEX(tabSuiviConso[HP + HC
cumul],Tableau6[[#This Row],[Position 2023]],1))</f>
        <v/>
      </c>
      <c r="N205" s="123" t="e">
        <f>IF(ISNA(Tableau6[[#This Row],[Position 2023]]),Tableau6[[#This Row],[Position 2023]],Tableau6[[#This Row],[2023]]-M$2)</f>
        <v>#N/A</v>
      </c>
      <c r="O205" s="102" t="e">
        <f>Tableau6[[#This Row],[Cumul 2023]]-Tableau6[[#This Row],[Cumul 2022]]</f>
        <v>#N/A</v>
      </c>
      <c r="P205" s="104" t="e">
        <f>Tableau6[[#This Row],[Ecart 2022 2023]]/Tableau6[[#This Row],[Cumul 2022]]</f>
        <v>#N/A</v>
      </c>
      <c r="Q205" s="102" t="e">
        <f>MATCH(Tableau6[Jours Mois]&amp;"/"&amp;Tableau6[[#Headers],[2024]],tabSuiviConso[Jour Mois Année],0)</f>
        <v>#N/A</v>
      </c>
      <c r="R205" s="102" t="str">
        <f>IF(ISNA(Tableau6[[#This Row],[Position 2024]]),"",INDEX(tabSuiviConso[HP + HC
cumul],Tableau6[[#This Row],[Position 2024]],1))</f>
        <v/>
      </c>
      <c r="S205" s="123" t="e">
        <f>IF(ISNA(Tableau6[[#This Row],[Position 2024]]),Tableau6[[#This Row],[Position 2024]],Tableau6[[#This Row],[2024]]-R$2)</f>
        <v>#N/A</v>
      </c>
      <c r="T205" s="102" t="e">
        <f>Tableau6[[#This Row],[Cumul 2024]]-Tableau6[[#This Row],[Cumul 2023]]</f>
        <v>#N/A</v>
      </c>
      <c r="U205" s="103" t="e">
        <f>Tableau6[[#This Row],[Ecart 2023 2024]]/Tableau6[[#This Row],[Cumul 2023]]</f>
        <v>#N/A</v>
      </c>
    </row>
    <row r="206" spans="1:21" x14ac:dyDescent="0.2">
      <c r="A206" s="102">
        <v>7</v>
      </c>
      <c r="B206" s="102">
        <v>22</v>
      </c>
      <c r="C206" s="102" t="str">
        <f>Tableau6[Jour]&amp;"/"&amp;Tableau6[Mois]</f>
        <v>22/7</v>
      </c>
      <c r="D206" s="102" t="e">
        <f>MATCH(Tableau6[Jours Mois]&amp;"/"&amp;Tableau6[[#Headers],[2021]],tabSuiviConso[Jour Mois Année],0)</f>
        <v>#N/A</v>
      </c>
      <c r="E206" s="102" t="str">
        <f>IF(ISNA(Tableau6[[#This Row],[Position 2021]]),"",INDEX(tabSuiviConso[HP + HC
cumul],Tableau6[[#This Row],[Position 2021]],1))</f>
        <v/>
      </c>
      <c r="F206" s="123" t="e">
        <f>IF(ISNA(Tableau6[[#This Row],[Position 2021]]),Tableau6[[#This Row],[Position 2021]],Tableau6[[#This Row],[2021]]-E$2)</f>
        <v>#N/A</v>
      </c>
      <c r="G206" s="102" t="e">
        <f>MATCH(Tableau6[Jours Mois]&amp;"/"&amp;Tableau6[[#Headers],[2022]],tabSuiviConso[Jour Mois Année],0)</f>
        <v>#N/A</v>
      </c>
      <c r="H206" s="102" t="str">
        <f>IF(ISNA(Tableau6[[#This Row],[Position 2022]]),"",INDEX(tabSuiviConso[HP + HC
cumul],Tableau6[[#This Row],[Position 2022]],1))</f>
        <v/>
      </c>
      <c r="I206" s="123" t="e">
        <f>IF(ISNA(Tableau6[[#This Row],[Position 2022]]),Tableau6[[#This Row],[Position 2022]],Tableau6[[#This Row],[2022]]-H$2)</f>
        <v>#N/A</v>
      </c>
      <c r="J206" s="102" t="e">
        <f>MATCH(Tableau6[Jours Mois]&amp;"/"&amp;Tableau6[[#Headers],[2023]],tabSuiviConso[Jour Mois Année],0)</f>
        <v>#N/A</v>
      </c>
      <c r="K206" s="102" t="e">
        <f>Tableau6[[#This Row],[Cumul 2022]]-Tableau6[[#This Row],[Cumul 2021]]</f>
        <v>#N/A</v>
      </c>
      <c r="L206" s="104" t="e">
        <f>Tableau6[[#This Row],[Ecart 2021 2022]]/Tableau6[[#This Row],[Cumul 2021]]</f>
        <v>#N/A</v>
      </c>
      <c r="M206" s="102" t="str">
        <f>IF(ISNA(Tableau6[[#This Row],[Position 2023]]),"",INDEX(tabSuiviConso[HP + HC
cumul],Tableau6[[#This Row],[Position 2023]],1))</f>
        <v/>
      </c>
      <c r="N206" s="123" t="e">
        <f>IF(ISNA(Tableau6[[#This Row],[Position 2023]]),Tableau6[[#This Row],[Position 2023]],Tableau6[[#This Row],[2023]]-M$2)</f>
        <v>#N/A</v>
      </c>
      <c r="O206" s="102" t="e">
        <f>Tableau6[[#This Row],[Cumul 2023]]-Tableau6[[#This Row],[Cumul 2022]]</f>
        <v>#N/A</v>
      </c>
      <c r="P206" s="104" t="e">
        <f>Tableau6[[#This Row],[Ecart 2022 2023]]/Tableau6[[#This Row],[Cumul 2022]]</f>
        <v>#N/A</v>
      </c>
      <c r="Q206" s="102" t="e">
        <f>MATCH(Tableau6[Jours Mois]&amp;"/"&amp;Tableau6[[#Headers],[2024]],tabSuiviConso[Jour Mois Année],0)</f>
        <v>#N/A</v>
      </c>
      <c r="R206" s="102" t="str">
        <f>IF(ISNA(Tableau6[[#This Row],[Position 2024]]),"",INDEX(tabSuiviConso[HP + HC
cumul],Tableau6[[#This Row],[Position 2024]],1))</f>
        <v/>
      </c>
      <c r="S206" s="123" t="e">
        <f>IF(ISNA(Tableau6[[#This Row],[Position 2024]]),Tableau6[[#This Row],[Position 2024]],Tableau6[[#This Row],[2024]]-R$2)</f>
        <v>#N/A</v>
      </c>
      <c r="T206" s="102" t="e">
        <f>Tableau6[[#This Row],[Cumul 2024]]-Tableau6[[#This Row],[Cumul 2023]]</f>
        <v>#N/A</v>
      </c>
      <c r="U206" s="103" t="e">
        <f>Tableau6[[#This Row],[Ecart 2023 2024]]/Tableau6[[#This Row],[Cumul 2023]]</f>
        <v>#N/A</v>
      </c>
    </row>
    <row r="207" spans="1:21" x14ac:dyDescent="0.2">
      <c r="A207" s="102">
        <v>7</v>
      </c>
      <c r="B207" s="102">
        <v>23</v>
      </c>
      <c r="C207" s="102" t="str">
        <f>Tableau6[Jour]&amp;"/"&amp;Tableau6[Mois]</f>
        <v>23/7</v>
      </c>
      <c r="D207" s="102" t="e">
        <f>MATCH(Tableau6[Jours Mois]&amp;"/"&amp;Tableau6[[#Headers],[2021]],tabSuiviConso[Jour Mois Année],0)</f>
        <v>#N/A</v>
      </c>
      <c r="E207" s="102" t="str">
        <f>IF(ISNA(Tableau6[[#This Row],[Position 2021]]),"",INDEX(tabSuiviConso[HP + HC
cumul],Tableau6[[#This Row],[Position 2021]],1))</f>
        <v/>
      </c>
      <c r="F207" s="123" t="e">
        <f>IF(ISNA(Tableau6[[#This Row],[Position 2021]]),Tableau6[[#This Row],[Position 2021]],Tableau6[[#This Row],[2021]]-E$2)</f>
        <v>#N/A</v>
      </c>
      <c r="G207" s="102" t="e">
        <f>MATCH(Tableau6[Jours Mois]&amp;"/"&amp;Tableau6[[#Headers],[2022]],tabSuiviConso[Jour Mois Année],0)</f>
        <v>#N/A</v>
      </c>
      <c r="H207" s="102" t="str">
        <f>IF(ISNA(Tableau6[[#This Row],[Position 2022]]),"",INDEX(tabSuiviConso[HP + HC
cumul],Tableau6[[#This Row],[Position 2022]],1))</f>
        <v/>
      </c>
      <c r="I207" s="123" t="e">
        <f>IF(ISNA(Tableau6[[#This Row],[Position 2022]]),Tableau6[[#This Row],[Position 2022]],Tableau6[[#This Row],[2022]]-H$2)</f>
        <v>#N/A</v>
      </c>
      <c r="J207" s="102" t="e">
        <f>MATCH(Tableau6[Jours Mois]&amp;"/"&amp;Tableau6[[#Headers],[2023]],tabSuiviConso[Jour Mois Année],0)</f>
        <v>#N/A</v>
      </c>
      <c r="K207" s="102" t="e">
        <f>Tableau6[[#This Row],[Cumul 2022]]-Tableau6[[#This Row],[Cumul 2021]]</f>
        <v>#N/A</v>
      </c>
      <c r="L207" s="104" t="e">
        <f>Tableau6[[#This Row],[Ecart 2021 2022]]/Tableau6[[#This Row],[Cumul 2021]]</f>
        <v>#N/A</v>
      </c>
      <c r="M207" s="102" t="str">
        <f>IF(ISNA(Tableau6[[#This Row],[Position 2023]]),"",INDEX(tabSuiviConso[HP + HC
cumul],Tableau6[[#This Row],[Position 2023]],1))</f>
        <v/>
      </c>
      <c r="N207" s="123" t="e">
        <f>IF(ISNA(Tableau6[[#This Row],[Position 2023]]),Tableau6[[#This Row],[Position 2023]],Tableau6[[#This Row],[2023]]-M$2)</f>
        <v>#N/A</v>
      </c>
      <c r="O207" s="102" t="e">
        <f>Tableau6[[#This Row],[Cumul 2023]]-Tableau6[[#This Row],[Cumul 2022]]</f>
        <v>#N/A</v>
      </c>
      <c r="P207" s="104" t="e">
        <f>Tableau6[[#This Row],[Ecart 2022 2023]]/Tableau6[[#This Row],[Cumul 2022]]</f>
        <v>#N/A</v>
      </c>
      <c r="Q207" s="102" t="e">
        <f>MATCH(Tableau6[Jours Mois]&amp;"/"&amp;Tableau6[[#Headers],[2024]],tabSuiviConso[Jour Mois Année],0)</f>
        <v>#N/A</v>
      </c>
      <c r="R207" s="102" t="str">
        <f>IF(ISNA(Tableau6[[#This Row],[Position 2024]]),"",INDEX(tabSuiviConso[HP + HC
cumul],Tableau6[[#This Row],[Position 2024]],1))</f>
        <v/>
      </c>
      <c r="S207" s="123" t="e">
        <f>IF(ISNA(Tableau6[[#This Row],[Position 2024]]),Tableau6[[#This Row],[Position 2024]],Tableau6[[#This Row],[2024]]-R$2)</f>
        <v>#N/A</v>
      </c>
      <c r="T207" s="102" t="e">
        <f>Tableau6[[#This Row],[Cumul 2024]]-Tableau6[[#This Row],[Cumul 2023]]</f>
        <v>#N/A</v>
      </c>
      <c r="U207" s="103" t="e">
        <f>Tableau6[[#This Row],[Ecart 2023 2024]]/Tableau6[[#This Row],[Cumul 2023]]</f>
        <v>#N/A</v>
      </c>
    </row>
    <row r="208" spans="1:21" x14ac:dyDescent="0.2">
      <c r="A208" s="102">
        <v>7</v>
      </c>
      <c r="B208" s="102">
        <v>24</v>
      </c>
      <c r="C208" s="102" t="str">
        <f>Tableau6[Jour]&amp;"/"&amp;Tableau6[Mois]</f>
        <v>24/7</v>
      </c>
      <c r="D208" s="102" t="e">
        <f>MATCH(Tableau6[Jours Mois]&amp;"/"&amp;Tableau6[[#Headers],[2021]],tabSuiviConso[Jour Mois Année],0)</f>
        <v>#N/A</v>
      </c>
      <c r="E208" s="102" t="str">
        <f>IF(ISNA(Tableau6[[#This Row],[Position 2021]]),"",INDEX(tabSuiviConso[HP + HC
cumul],Tableau6[[#This Row],[Position 2021]],1))</f>
        <v/>
      </c>
      <c r="F208" s="123" t="e">
        <f>IF(ISNA(Tableau6[[#This Row],[Position 2021]]),Tableau6[[#This Row],[Position 2021]],Tableau6[[#This Row],[2021]]-E$2)</f>
        <v>#N/A</v>
      </c>
      <c r="G208" s="102" t="e">
        <f>MATCH(Tableau6[Jours Mois]&amp;"/"&amp;Tableau6[[#Headers],[2022]],tabSuiviConso[Jour Mois Année],0)</f>
        <v>#N/A</v>
      </c>
      <c r="H208" s="102" t="str">
        <f>IF(ISNA(Tableau6[[#This Row],[Position 2022]]),"",INDEX(tabSuiviConso[HP + HC
cumul],Tableau6[[#This Row],[Position 2022]],1))</f>
        <v/>
      </c>
      <c r="I208" s="123" t="e">
        <f>IF(ISNA(Tableau6[[#This Row],[Position 2022]]),Tableau6[[#This Row],[Position 2022]],Tableau6[[#This Row],[2022]]-H$2)</f>
        <v>#N/A</v>
      </c>
      <c r="J208" s="102" t="e">
        <f>MATCH(Tableau6[Jours Mois]&amp;"/"&amp;Tableau6[[#Headers],[2023]],tabSuiviConso[Jour Mois Année],0)</f>
        <v>#N/A</v>
      </c>
      <c r="K208" s="102" t="e">
        <f>Tableau6[[#This Row],[Cumul 2022]]-Tableau6[[#This Row],[Cumul 2021]]</f>
        <v>#N/A</v>
      </c>
      <c r="L208" s="104" t="e">
        <f>Tableau6[[#This Row],[Ecart 2021 2022]]/Tableau6[[#This Row],[Cumul 2021]]</f>
        <v>#N/A</v>
      </c>
      <c r="M208" s="102" t="str">
        <f>IF(ISNA(Tableau6[[#This Row],[Position 2023]]),"",INDEX(tabSuiviConso[HP + HC
cumul],Tableau6[[#This Row],[Position 2023]],1))</f>
        <v/>
      </c>
      <c r="N208" s="123" t="e">
        <f>IF(ISNA(Tableau6[[#This Row],[Position 2023]]),Tableau6[[#This Row],[Position 2023]],Tableau6[[#This Row],[2023]]-M$2)</f>
        <v>#N/A</v>
      </c>
      <c r="O208" s="102" t="e">
        <f>Tableau6[[#This Row],[Cumul 2023]]-Tableau6[[#This Row],[Cumul 2022]]</f>
        <v>#N/A</v>
      </c>
      <c r="P208" s="104" t="e">
        <f>Tableau6[[#This Row],[Ecart 2022 2023]]/Tableau6[[#This Row],[Cumul 2022]]</f>
        <v>#N/A</v>
      </c>
      <c r="Q208" s="102" t="e">
        <f>MATCH(Tableau6[Jours Mois]&amp;"/"&amp;Tableau6[[#Headers],[2024]],tabSuiviConso[Jour Mois Année],0)</f>
        <v>#N/A</v>
      </c>
      <c r="R208" s="102" t="str">
        <f>IF(ISNA(Tableau6[[#This Row],[Position 2024]]),"",INDEX(tabSuiviConso[HP + HC
cumul],Tableau6[[#This Row],[Position 2024]],1))</f>
        <v/>
      </c>
      <c r="S208" s="123" t="e">
        <f>IF(ISNA(Tableau6[[#This Row],[Position 2024]]),Tableau6[[#This Row],[Position 2024]],Tableau6[[#This Row],[2024]]-R$2)</f>
        <v>#N/A</v>
      </c>
      <c r="T208" s="102" t="e">
        <f>Tableau6[[#This Row],[Cumul 2024]]-Tableau6[[#This Row],[Cumul 2023]]</f>
        <v>#N/A</v>
      </c>
      <c r="U208" s="103" t="e">
        <f>Tableau6[[#This Row],[Ecart 2023 2024]]/Tableau6[[#This Row],[Cumul 2023]]</f>
        <v>#N/A</v>
      </c>
    </row>
    <row r="209" spans="1:21" x14ac:dyDescent="0.2">
      <c r="A209" s="102">
        <v>7</v>
      </c>
      <c r="B209" s="102">
        <v>25</v>
      </c>
      <c r="C209" s="102" t="str">
        <f>Tableau6[Jour]&amp;"/"&amp;Tableau6[Mois]</f>
        <v>25/7</v>
      </c>
      <c r="D209" s="102" t="e">
        <f>MATCH(Tableau6[Jours Mois]&amp;"/"&amp;Tableau6[[#Headers],[2021]],tabSuiviConso[Jour Mois Année],0)</f>
        <v>#N/A</v>
      </c>
      <c r="E209" s="102" t="str">
        <f>IF(ISNA(Tableau6[[#This Row],[Position 2021]]),"",INDEX(tabSuiviConso[HP + HC
cumul],Tableau6[[#This Row],[Position 2021]],1))</f>
        <v/>
      </c>
      <c r="F209" s="123" t="e">
        <f>IF(ISNA(Tableau6[[#This Row],[Position 2021]]),Tableau6[[#This Row],[Position 2021]],Tableau6[[#This Row],[2021]]-E$2)</f>
        <v>#N/A</v>
      </c>
      <c r="G209" s="102" t="e">
        <f>MATCH(Tableau6[Jours Mois]&amp;"/"&amp;Tableau6[[#Headers],[2022]],tabSuiviConso[Jour Mois Année],0)</f>
        <v>#N/A</v>
      </c>
      <c r="H209" s="102" t="str">
        <f>IF(ISNA(Tableau6[[#This Row],[Position 2022]]),"",INDEX(tabSuiviConso[HP + HC
cumul],Tableau6[[#This Row],[Position 2022]],1))</f>
        <v/>
      </c>
      <c r="I209" s="123" t="e">
        <f>IF(ISNA(Tableau6[[#This Row],[Position 2022]]),Tableau6[[#This Row],[Position 2022]],Tableau6[[#This Row],[2022]]-H$2)</f>
        <v>#N/A</v>
      </c>
      <c r="J209" s="102" t="e">
        <f>MATCH(Tableau6[Jours Mois]&amp;"/"&amp;Tableau6[[#Headers],[2023]],tabSuiviConso[Jour Mois Année],0)</f>
        <v>#N/A</v>
      </c>
      <c r="K209" s="102" t="e">
        <f>Tableau6[[#This Row],[Cumul 2022]]-Tableau6[[#This Row],[Cumul 2021]]</f>
        <v>#N/A</v>
      </c>
      <c r="L209" s="104" t="e">
        <f>Tableau6[[#This Row],[Ecart 2021 2022]]/Tableau6[[#This Row],[Cumul 2021]]</f>
        <v>#N/A</v>
      </c>
      <c r="M209" s="102" t="str">
        <f>IF(ISNA(Tableau6[[#This Row],[Position 2023]]),"",INDEX(tabSuiviConso[HP + HC
cumul],Tableau6[[#This Row],[Position 2023]],1))</f>
        <v/>
      </c>
      <c r="N209" s="123" t="e">
        <f>IF(ISNA(Tableau6[[#This Row],[Position 2023]]),Tableau6[[#This Row],[Position 2023]],Tableau6[[#This Row],[2023]]-M$2)</f>
        <v>#N/A</v>
      </c>
      <c r="O209" s="102" t="e">
        <f>Tableau6[[#This Row],[Cumul 2023]]-Tableau6[[#This Row],[Cumul 2022]]</f>
        <v>#N/A</v>
      </c>
      <c r="P209" s="104" t="e">
        <f>Tableau6[[#This Row],[Ecart 2022 2023]]/Tableau6[[#This Row],[Cumul 2022]]</f>
        <v>#N/A</v>
      </c>
      <c r="Q209" s="102" t="e">
        <f>MATCH(Tableau6[Jours Mois]&amp;"/"&amp;Tableau6[[#Headers],[2024]],tabSuiviConso[Jour Mois Année],0)</f>
        <v>#N/A</v>
      </c>
      <c r="R209" s="102" t="str">
        <f>IF(ISNA(Tableau6[[#This Row],[Position 2024]]),"",INDEX(tabSuiviConso[HP + HC
cumul],Tableau6[[#This Row],[Position 2024]],1))</f>
        <v/>
      </c>
      <c r="S209" s="123" t="e">
        <f>IF(ISNA(Tableau6[[#This Row],[Position 2024]]),Tableau6[[#This Row],[Position 2024]],Tableau6[[#This Row],[2024]]-R$2)</f>
        <v>#N/A</v>
      </c>
      <c r="T209" s="102" t="e">
        <f>Tableau6[[#This Row],[Cumul 2024]]-Tableau6[[#This Row],[Cumul 2023]]</f>
        <v>#N/A</v>
      </c>
      <c r="U209" s="103" t="e">
        <f>Tableau6[[#This Row],[Ecart 2023 2024]]/Tableau6[[#This Row],[Cumul 2023]]</f>
        <v>#N/A</v>
      </c>
    </row>
    <row r="210" spans="1:21" x14ac:dyDescent="0.2">
      <c r="A210" s="102">
        <v>7</v>
      </c>
      <c r="B210" s="102">
        <v>26</v>
      </c>
      <c r="C210" s="102" t="str">
        <f>Tableau6[Jour]&amp;"/"&amp;Tableau6[Mois]</f>
        <v>26/7</v>
      </c>
      <c r="D210" s="102" t="e">
        <f>MATCH(Tableau6[Jours Mois]&amp;"/"&amp;Tableau6[[#Headers],[2021]],tabSuiviConso[Jour Mois Année],0)</f>
        <v>#N/A</v>
      </c>
      <c r="E210" s="102" t="str">
        <f>IF(ISNA(Tableau6[[#This Row],[Position 2021]]),"",INDEX(tabSuiviConso[HP + HC
cumul],Tableau6[[#This Row],[Position 2021]],1))</f>
        <v/>
      </c>
      <c r="F210" s="123" t="e">
        <f>IF(ISNA(Tableau6[[#This Row],[Position 2021]]),Tableau6[[#This Row],[Position 2021]],Tableau6[[#This Row],[2021]]-E$2)</f>
        <v>#N/A</v>
      </c>
      <c r="G210" s="102" t="e">
        <f>MATCH(Tableau6[Jours Mois]&amp;"/"&amp;Tableau6[[#Headers],[2022]],tabSuiviConso[Jour Mois Année],0)</f>
        <v>#N/A</v>
      </c>
      <c r="H210" s="102" t="str">
        <f>IF(ISNA(Tableau6[[#This Row],[Position 2022]]),"",INDEX(tabSuiviConso[HP + HC
cumul],Tableau6[[#This Row],[Position 2022]],1))</f>
        <v/>
      </c>
      <c r="I210" s="123" t="e">
        <f>IF(ISNA(Tableau6[[#This Row],[Position 2022]]),Tableau6[[#This Row],[Position 2022]],Tableau6[[#This Row],[2022]]-H$2)</f>
        <v>#N/A</v>
      </c>
      <c r="J210" s="102" t="e">
        <f>MATCH(Tableau6[Jours Mois]&amp;"/"&amp;Tableau6[[#Headers],[2023]],tabSuiviConso[Jour Mois Année],0)</f>
        <v>#N/A</v>
      </c>
      <c r="K210" s="102" t="e">
        <f>Tableau6[[#This Row],[Cumul 2022]]-Tableau6[[#This Row],[Cumul 2021]]</f>
        <v>#N/A</v>
      </c>
      <c r="L210" s="104" t="e">
        <f>Tableau6[[#This Row],[Ecart 2021 2022]]/Tableau6[[#This Row],[Cumul 2021]]</f>
        <v>#N/A</v>
      </c>
      <c r="M210" s="102" t="str">
        <f>IF(ISNA(Tableau6[[#This Row],[Position 2023]]),"",INDEX(tabSuiviConso[HP + HC
cumul],Tableau6[[#This Row],[Position 2023]],1))</f>
        <v/>
      </c>
      <c r="N210" s="123" t="e">
        <f>IF(ISNA(Tableau6[[#This Row],[Position 2023]]),Tableau6[[#This Row],[Position 2023]],Tableau6[[#This Row],[2023]]-M$2)</f>
        <v>#N/A</v>
      </c>
      <c r="O210" s="102" t="e">
        <f>Tableau6[[#This Row],[Cumul 2023]]-Tableau6[[#This Row],[Cumul 2022]]</f>
        <v>#N/A</v>
      </c>
      <c r="P210" s="104" t="e">
        <f>Tableau6[[#This Row],[Ecart 2022 2023]]/Tableau6[[#This Row],[Cumul 2022]]</f>
        <v>#N/A</v>
      </c>
      <c r="Q210" s="102" t="e">
        <f>MATCH(Tableau6[Jours Mois]&amp;"/"&amp;Tableau6[[#Headers],[2024]],tabSuiviConso[Jour Mois Année],0)</f>
        <v>#N/A</v>
      </c>
      <c r="R210" s="102" t="str">
        <f>IF(ISNA(Tableau6[[#This Row],[Position 2024]]),"",INDEX(tabSuiviConso[HP + HC
cumul],Tableau6[[#This Row],[Position 2024]],1))</f>
        <v/>
      </c>
      <c r="S210" s="123" t="e">
        <f>IF(ISNA(Tableau6[[#This Row],[Position 2024]]),Tableau6[[#This Row],[Position 2024]],Tableau6[[#This Row],[2024]]-R$2)</f>
        <v>#N/A</v>
      </c>
      <c r="T210" s="102" t="e">
        <f>Tableau6[[#This Row],[Cumul 2024]]-Tableau6[[#This Row],[Cumul 2023]]</f>
        <v>#N/A</v>
      </c>
      <c r="U210" s="103" t="e">
        <f>Tableau6[[#This Row],[Ecart 2023 2024]]/Tableau6[[#This Row],[Cumul 2023]]</f>
        <v>#N/A</v>
      </c>
    </row>
    <row r="211" spans="1:21" x14ac:dyDescent="0.2">
      <c r="A211" s="102">
        <v>7</v>
      </c>
      <c r="B211" s="102">
        <v>27</v>
      </c>
      <c r="C211" s="102" t="str">
        <f>Tableau6[Jour]&amp;"/"&amp;Tableau6[Mois]</f>
        <v>27/7</v>
      </c>
      <c r="D211" s="102" t="e">
        <f>MATCH(Tableau6[Jours Mois]&amp;"/"&amp;Tableau6[[#Headers],[2021]],tabSuiviConso[Jour Mois Année],0)</f>
        <v>#N/A</v>
      </c>
      <c r="E211" s="102" t="str">
        <f>IF(ISNA(Tableau6[[#This Row],[Position 2021]]),"",INDEX(tabSuiviConso[HP + HC
cumul],Tableau6[[#This Row],[Position 2021]],1))</f>
        <v/>
      </c>
      <c r="F211" s="123" t="e">
        <f>IF(ISNA(Tableau6[[#This Row],[Position 2021]]),Tableau6[[#This Row],[Position 2021]],Tableau6[[#This Row],[2021]]-E$2)</f>
        <v>#N/A</v>
      </c>
      <c r="G211" s="102" t="e">
        <f>MATCH(Tableau6[Jours Mois]&amp;"/"&amp;Tableau6[[#Headers],[2022]],tabSuiviConso[Jour Mois Année],0)</f>
        <v>#N/A</v>
      </c>
      <c r="H211" s="102" t="str">
        <f>IF(ISNA(Tableau6[[#This Row],[Position 2022]]),"",INDEX(tabSuiviConso[HP + HC
cumul],Tableau6[[#This Row],[Position 2022]],1))</f>
        <v/>
      </c>
      <c r="I211" s="123" t="e">
        <f>IF(ISNA(Tableau6[[#This Row],[Position 2022]]),Tableau6[[#This Row],[Position 2022]],Tableau6[[#This Row],[2022]]-H$2)</f>
        <v>#N/A</v>
      </c>
      <c r="J211" s="102" t="e">
        <f>MATCH(Tableau6[Jours Mois]&amp;"/"&amp;Tableau6[[#Headers],[2023]],tabSuiviConso[Jour Mois Année],0)</f>
        <v>#N/A</v>
      </c>
      <c r="K211" s="102" t="e">
        <f>Tableau6[[#This Row],[Cumul 2022]]-Tableau6[[#This Row],[Cumul 2021]]</f>
        <v>#N/A</v>
      </c>
      <c r="L211" s="104" t="e">
        <f>Tableau6[[#This Row],[Ecart 2021 2022]]/Tableau6[[#This Row],[Cumul 2021]]</f>
        <v>#N/A</v>
      </c>
      <c r="M211" s="102" t="str">
        <f>IF(ISNA(Tableau6[[#This Row],[Position 2023]]),"",INDEX(tabSuiviConso[HP + HC
cumul],Tableau6[[#This Row],[Position 2023]],1))</f>
        <v/>
      </c>
      <c r="N211" s="123" t="e">
        <f>IF(ISNA(Tableau6[[#This Row],[Position 2023]]),Tableau6[[#This Row],[Position 2023]],Tableau6[[#This Row],[2023]]-M$2)</f>
        <v>#N/A</v>
      </c>
      <c r="O211" s="102" t="e">
        <f>Tableau6[[#This Row],[Cumul 2023]]-Tableau6[[#This Row],[Cumul 2022]]</f>
        <v>#N/A</v>
      </c>
      <c r="P211" s="104" t="e">
        <f>Tableau6[[#This Row],[Ecart 2022 2023]]/Tableau6[[#This Row],[Cumul 2022]]</f>
        <v>#N/A</v>
      </c>
      <c r="Q211" s="102" t="e">
        <f>MATCH(Tableau6[Jours Mois]&amp;"/"&amp;Tableau6[[#Headers],[2024]],tabSuiviConso[Jour Mois Année],0)</f>
        <v>#N/A</v>
      </c>
      <c r="R211" s="102" t="str">
        <f>IF(ISNA(Tableau6[[#This Row],[Position 2024]]),"",INDEX(tabSuiviConso[HP + HC
cumul],Tableau6[[#This Row],[Position 2024]],1))</f>
        <v/>
      </c>
      <c r="S211" s="123" t="e">
        <f>IF(ISNA(Tableau6[[#This Row],[Position 2024]]),Tableau6[[#This Row],[Position 2024]],Tableau6[[#This Row],[2024]]-R$2)</f>
        <v>#N/A</v>
      </c>
      <c r="T211" s="102" t="e">
        <f>Tableau6[[#This Row],[Cumul 2024]]-Tableau6[[#This Row],[Cumul 2023]]</f>
        <v>#N/A</v>
      </c>
      <c r="U211" s="103" t="e">
        <f>Tableau6[[#This Row],[Ecart 2023 2024]]/Tableau6[[#This Row],[Cumul 2023]]</f>
        <v>#N/A</v>
      </c>
    </row>
    <row r="212" spans="1:21" x14ac:dyDescent="0.2">
      <c r="A212" s="102">
        <v>7</v>
      </c>
      <c r="B212" s="102">
        <v>28</v>
      </c>
      <c r="C212" s="102" t="str">
        <f>Tableau6[Jour]&amp;"/"&amp;Tableau6[Mois]</f>
        <v>28/7</v>
      </c>
      <c r="D212" s="102" t="e">
        <f>MATCH(Tableau6[Jours Mois]&amp;"/"&amp;Tableau6[[#Headers],[2021]],tabSuiviConso[Jour Mois Année],0)</f>
        <v>#N/A</v>
      </c>
      <c r="E212" s="102" t="str">
        <f>IF(ISNA(Tableau6[[#This Row],[Position 2021]]),"",INDEX(tabSuiviConso[HP + HC
cumul],Tableau6[[#This Row],[Position 2021]],1))</f>
        <v/>
      </c>
      <c r="F212" s="123" t="e">
        <f>IF(ISNA(Tableau6[[#This Row],[Position 2021]]),Tableau6[[#This Row],[Position 2021]],Tableau6[[#This Row],[2021]]-E$2)</f>
        <v>#N/A</v>
      </c>
      <c r="G212" s="102" t="e">
        <f>MATCH(Tableau6[Jours Mois]&amp;"/"&amp;Tableau6[[#Headers],[2022]],tabSuiviConso[Jour Mois Année],0)</f>
        <v>#N/A</v>
      </c>
      <c r="H212" s="102" t="str">
        <f>IF(ISNA(Tableau6[[#This Row],[Position 2022]]),"",INDEX(tabSuiviConso[HP + HC
cumul],Tableau6[[#This Row],[Position 2022]],1))</f>
        <v/>
      </c>
      <c r="I212" s="123" t="e">
        <f>IF(ISNA(Tableau6[[#This Row],[Position 2022]]),Tableau6[[#This Row],[Position 2022]],Tableau6[[#This Row],[2022]]-H$2)</f>
        <v>#N/A</v>
      </c>
      <c r="J212" s="102" t="e">
        <f>MATCH(Tableau6[Jours Mois]&amp;"/"&amp;Tableau6[[#Headers],[2023]],tabSuiviConso[Jour Mois Année],0)</f>
        <v>#N/A</v>
      </c>
      <c r="K212" s="102" t="e">
        <f>Tableau6[[#This Row],[Cumul 2022]]-Tableau6[[#This Row],[Cumul 2021]]</f>
        <v>#N/A</v>
      </c>
      <c r="L212" s="104" t="e">
        <f>Tableau6[[#This Row],[Ecart 2021 2022]]/Tableau6[[#This Row],[Cumul 2021]]</f>
        <v>#N/A</v>
      </c>
      <c r="M212" s="102" t="str">
        <f>IF(ISNA(Tableau6[[#This Row],[Position 2023]]),"",INDEX(tabSuiviConso[HP + HC
cumul],Tableau6[[#This Row],[Position 2023]],1))</f>
        <v/>
      </c>
      <c r="N212" s="123" t="e">
        <f>IF(ISNA(Tableau6[[#This Row],[Position 2023]]),Tableau6[[#This Row],[Position 2023]],Tableau6[[#This Row],[2023]]-M$2)</f>
        <v>#N/A</v>
      </c>
      <c r="O212" s="102" t="e">
        <f>Tableau6[[#This Row],[Cumul 2023]]-Tableau6[[#This Row],[Cumul 2022]]</f>
        <v>#N/A</v>
      </c>
      <c r="P212" s="104" t="e">
        <f>Tableau6[[#This Row],[Ecart 2022 2023]]/Tableau6[[#This Row],[Cumul 2022]]</f>
        <v>#N/A</v>
      </c>
      <c r="Q212" s="102" t="e">
        <f>MATCH(Tableau6[Jours Mois]&amp;"/"&amp;Tableau6[[#Headers],[2024]],tabSuiviConso[Jour Mois Année],0)</f>
        <v>#N/A</v>
      </c>
      <c r="R212" s="102" t="str">
        <f>IF(ISNA(Tableau6[[#This Row],[Position 2024]]),"",INDEX(tabSuiviConso[HP + HC
cumul],Tableau6[[#This Row],[Position 2024]],1))</f>
        <v/>
      </c>
      <c r="S212" s="123" t="e">
        <f>IF(ISNA(Tableau6[[#This Row],[Position 2024]]),Tableau6[[#This Row],[Position 2024]],Tableau6[[#This Row],[2024]]-R$2)</f>
        <v>#N/A</v>
      </c>
      <c r="T212" s="102" t="e">
        <f>Tableau6[[#This Row],[Cumul 2024]]-Tableau6[[#This Row],[Cumul 2023]]</f>
        <v>#N/A</v>
      </c>
      <c r="U212" s="103" t="e">
        <f>Tableau6[[#This Row],[Ecart 2023 2024]]/Tableau6[[#This Row],[Cumul 2023]]</f>
        <v>#N/A</v>
      </c>
    </row>
    <row r="213" spans="1:21" x14ac:dyDescent="0.2">
      <c r="A213" s="102">
        <v>7</v>
      </c>
      <c r="B213" s="102">
        <v>29</v>
      </c>
      <c r="C213" s="102" t="str">
        <f>Tableau6[Jour]&amp;"/"&amp;Tableau6[Mois]</f>
        <v>29/7</v>
      </c>
      <c r="D213" s="102" t="e">
        <f>MATCH(Tableau6[Jours Mois]&amp;"/"&amp;Tableau6[[#Headers],[2021]],tabSuiviConso[Jour Mois Année],0)</f>
        <v>#N/A</v>
      </c>
      <c r="E213" s="102" t="str">
        <f>IF(ISNA(Tableau6[[#This Row],[Position 2021]]),"",INDEX(tabSuiviConso[HP + HC
cumul],Tableau6[[#This Row],[Position 2021]],1))</f>
        <v/>
      </c>
      <c r="F213" s="123" t="e">
        <f>IF(ISNA(Tableau6[[#This Row],[Position 2021]]),Tableau6[[#This Row],[Position 2021]],Tableau6[[#This Row],[2021]]-E$2)</f>
        <v>#N/A</v>
      </c>
      <c r="G213" s="102" t="e">
        <f>MATCH(Tableau6[Jours Mois]&amp;"/"&amp;Tableau6[[#Headers],[2022]],tabSuiviConso[Jour Mois Année],0)</f>
        <v>#N/A</v>
      </c>
      <c r="H213" s="102" t="str">
        <f>IF(ISNA(Tableau6[[#This Row],[Position 2022]]),"",INDEX(tabSuiviConso[HP + HC
cumul],Tableau6[[#This Row],[Position 2022]],1))</f>
        <v/>
      </c>
      <c r="I213" s="123" t="e">
        <f>IF(ISNA(Tableau6[[#This Row],[Position 2022]]),Tableau6[[#This Row],[Position 2022]],Tableau6[[#This Row],[2022]]-H$2)</f>
        <v>#N/A</v>
      </c>
      <c r="J213" s="102" t="e">
        <f>MATCH(Tableau6[Jours Mois]&amp;"/"&amp;Tableau6[[#Headers],[2023]],tabSuiviConso[Jour Mois Année],0)</f>
        <v>#N/A</v>
      </c>
      <c r="K213" s="102" t="e">
        <f>Tableau6[[#This Row],[Cumul 2022]]-Tableau6[[#This Row],[Cumul 2021]]</f>
        <v>#N/A</v>
      </c>
      <c r="L213" s="104" t="e">
        <f>Tableau6[[#This Row],[Ecart 2021 2022]]/Tableau6[[#This Row],[Cumul 2021]]</f>
        <v>#N/A</v>
      </c>
      <c r="M213" s="102" t="str">
        <f>IF(ISNA(Tableau6[[#This Row],[Position 2023]]),"",INDEX(tabSuiviConso[HP + HC
cumul],Tableau6[[#This Row],[Position 2023]],1))</f>
        <v/>
      </c>
      <c r="N213" s="123" t="e">
        <f>IF(ISNA(Tableau6[[#This Row],[Position 2023]]),Tableau6[[#This Row],[Position 2023]],Tableau6[[#This Row],[2023]]-M$2)</f>
        <v>#N/A</v>
      </c>
      <c r="O213" s="102" t="e">
        <f>Tableau6[[#This Row],[Cumul 2023]]-Tableau6[[#This Row],[Cumul 2022]]</f>
        <v>#N/A</v>
      </c>
      <c r="P213" s="104" t="e">
        <f>Tableau6[[#This Row],[Ecart 2022 2023]]/Tableau6[[#This Row],[Cumul 2022]]</f>
        <v>#N/A</v>
      </c>
      <c r="Q213" s="102" t="e">
        <f>MATCH(Tableau6[Jours Mois]&amp;"/"&amp;Tableau6[[#Headers],[2024]],tabSuiviConso[Jour Mois Année],0)</f>
        <v>#N/A</v>
      </c>
      <c r="R213" s="102" t="str">
        <f>IF(ISNA(Tableau6[[#This Row],[Position 2024]]),"",INDEX(tabSuiviConso[HP + HC
cumul],Tableau6[[#This Row],[Position 2024]],1))</f>
        <v/>
      </c>
      <c r="S213" s="123" t="e">
        <f>IF(ISNA(Tableau6[[#This Row],[Position 2024]]),Tableau6[[#This Row],[Position 2024]],Tableau6[[#This Row],[2024]]-R$2)</f>
        <v>#N/A</v>
      </c>
      <c r="T213" s="102" t="e">
        <f>Tableau6[[#This Row],[Cumul 2024]]-Tableau6[[#This Row],[Cumul 2023]]</f>
        <v>#N/A</v>
      </c>
      <c r="U213" s="103" t="e">
        <f>Tableau6[[#This Row],[Ecart 2023 2024]]/Tableau6[[#This Row],[Cumul 2023]]</f>
        <v>#N/A</v>
      </c>
    </row>
    <row r="214" spans="1:21" x14ac:dyDescent="0.2">
      <c r="A214" s="102">
        <v>7</v>
      </c>
      <c r="B214" s="102">
        <v>30</v>
      </c>
      <c r="C214" s="102" t="str">
        <f>Tableau6[Jour]&amp;"/"&amp;Tableau6[Mois]</f>
        <v>30/7</v>
      </c>
      <c r="D214" s="102" t="e">
        <f>MATCH(Tableau6[Jours Mois]&amp;"/"&amp;Tableau6[[#Headers],[2021]],tabSuiviConso[Jour Mois Année],0)</f>
        <v>#N/A</v>
      </c>
      <c r="E214" s="102" t="str">
        <f>IF(ISNA(Tableau6[[#This Row],[Position 2021]]),"",INDEX(tabSuiviConso[HP + HC
cumul],Tableau6[[#This Row],[Position 2021]],1))</f>
        <v/>
      </c>
      <c r="F214" s="123" t="e">
        <f>IF(ISNA(Tableau6[[#This Row],[Position 2021]]),Tableau6[[#This Row],[Position 2021]],Tableau6[[#This Row],[2021]]-E$2)</f>
        <v>#N/A</v>
      </c>
      <c r="G214" s="102" t="e">
        <f>MATCH(Tableau6[Jours Mois]&amp;"/"&amp;Tableau6[[#Headers],[2022]],tabSuiviConso[Jour Mois Année],0)</f>
        <v>#N/A</v>
      </c>
      <c r="H214" s="102" t="str">
        <f>IF(ISNA(Tableau6[[#This Row],[Position 2022]]),"",INDEX(tabSuiviConso[HP + HC
cumul],Tableau6[[#This Row],[Position 2022]],1))</f>
        <v/>
      </c>
      <c r="I214" s="123" t="e">
        <f>IF(ISNA(Tableau6[[#This Row],[Position 2022]]),Tableau6[[#This Row],[Position 2022]],Tableau6[[#This Row],[2022]]-H$2)</f>
        <v>#N/A</v>
      </c>
      <c r="J214" s="102" t="e">
        <f>MATCH(Tableau6[Jours Mois]&amp;"/"&amp;Tableau6[[#Headers],[2023]],tabSuiviConso[Jour Mois Année],0)</f>
        <v>#N/A</v>
      </c>
      <c r="K214" s="102" t="e">
        <f>Tableau6[[#This Row],[Cumul 2022]]-Tableau6[[#This Row],[Cumul 2021]]</f>
        <v>#N/A</v>
      </c>
      <c r="L214" s="104" t="e">
        <f>Tableau6[[#This Row],[Ecart 2021 2022]]/Tableau6[[#This Row],[Cumul 2021]]</f>
        <v>#N/A</v>
      </c>
      <c r="M214" s="102" t="str">
        <f>IF(ISNA(Tableau6[[#This Row],[Position 2023]]),"",INDEX(tabSuiviConso[HP + HC
cumul],Tableau6[[#This Row],[Position 2023]],1))</f>
        <v/>
      </c>
      <c r="N214" s="123" t="e">
        <f>IF(ISNA(Tableau6[[#This Row],[Position 2023]]),Tableau6[[#This Row],[Position 2023]],Tableau6[[#This Row],[2023]]-M$2)</f>
        <v>#N/A</v>
      </c>
      <c r="O214" s="102" t="e">
        <f>Tableau6[[#This Row],[Cumul 2023]]-Tableau6[[#This Row],[Cumul 2022]]</f>
        <v>#N/A</v>
      </c>
      <c r="P214" s="104" t="e">
        <f>Tableau6[[#This Row],[Ecart 2022 2023]]/Tableau6[[#This Row],[Cumul 2022]]</f>
        <v>#N/A</v>
      </c>
      <c r="Q214" s="102" t="e">
        <f>MATCH(Tableau6[Jours Mois]&amp;"/"&amp;Tableau6[[#Headers],[2024]],tabSuiviConso[Jour Mois Année],0)</f>
        <v>#N/A</v>
      </c>
      <c r="R214" s="102" t="str">
        <f>IF(ISNA(Tableau6[[#This Row],[Position 2024]]),"",INDEX(tabSuiviConso[HP + HC
cumul],Tableau6[[#This Row],[Position 2024]],1))</f>
        <v/>
      </c>
      <c r="S214" s="123" t="e">
        <f>IF(ISNA(Tableau6[[#This Row],[Position 2024]]),Tableau6[[#This Row],[Position 2024]],Tableau6[[#This Row],[2024]]-R$2)</f>
        <v>#N/A</v>
      </c>
      <c r="T214" s="102" t="e">
        <f>Tableau6[[#This Row],[Cumul 2024]]-Tableau6[[#This Row],[Cumul 2023]]</f>
        <v>#N/A</v>
      </c>
      <c r="U214" s="103" t="e">
        <f>Tableau6[[#This Row],[Ecart 2023 2024]]/Tableau6[[#This Row],[Cumul 2023]]</f>
        <v>#N/A</v>
      </c>
    </row>
    <row r="215" spans="1:21" x14ac:dyDescent="0.2">
      <c r="A215" s="102">
        <v>7</v>
      </c>
      <c r="B215" s="102">
        <v>31</v>
      </c>
      <c r="C215" s="102" t="str">
        <f>Tableau6[Jour]&amp;"/"&amp;Tableau6[Mois]</f>
        <v>31/7</v>
      </c>
      <c r="D215" s="102" t="e">
        <f>MATCH(Tableau6[Jours Mois]&amp;"/"&amp;Tableau6[[#Headers],[2021]],tabSuiviConso[Jour Mois Année],0)</f>
        <v>#N/A</v>
      </c>
      <c r="E215" s="102" t="str">
        <f>IF(ISNA(Tableau6[[#This Row],[Position 2021]]),"",INDEX(tabSuiviConso[HP + HC
cumul],Tableau6[[#This Row],[Position 2021]],1))</f>
        <v/>
      </c>
      <c r="F215" s="123" t="e">
        <f>IF(ISNA(Tableau6[[#This Row],[Position 2021]]),Tableau6[[#This Row],[Position 2021]],Tableau6[[#This Row],[2021]]-E$2)</f>
        <v>#N/A</v>
      </c>
      <c r="G215" s="102" t="e">
        <f>MATCH(Tableau6[Jours Mois]&amp;"/"&amp;Tableau6[[#Headers],[2022]],tabSuiviConso[Jour Mois Année],0)</f>
        <v>#N/A</v>
      </c>
      <c r="H215" s="102" t="str">
        <f>IF(ISNA(Tableau6[[#This Row],[Position 2022]]),"",INDEX(tabSuiviConso[HP + HC
cumul],Tableau6[[#This Row],[Position 2022]],1))</f>
        <v/>
      </c>
      <c r="I215" s="123" t="e">
        <f>IF(ISNA(Tableau6[[#This Row],[Position 2022]]),Tableau6[[#This Row],[Position 2022]],Tableau6[[#This Row],[2022]]-H$2)</f>
        <v>#N/A</v>
      </c>
      <c r="J215" s="102" t="e">
        <f>MATCH(Tableau6[Jours Mois]&amp;"/"&amp;Tableau6[[#Headers],[2023]],tabSuiviConso[Jour Mois Année],0)</f>
        <v>#N/A</v>
      </c>
      <c r="K215" s="102" t="e">
        <f>Tableau6[[#This Row],[Cumul 2022]]-Tableau6[[#This Row],[Cumul 2021]]</f>
        <v>#N/A</v>
      </c>
      <c r="L215" s="104" t="e">
        <f>Tableau6[[#This Row],[Ecart 2021 2022]]/Tableau6[[#This Row],[Cumul 2021]]</f>
        <v>#N/A</v>
      </c>
      <c r="M215" s="102" t="str">
        <f>IF(ISNA(Tableau6[[#This Row],[Position 2023]]),"",INDEX(tabSuiviConso[HP + HC
cumul],Tableau6[[#This Row],[Position 2023]],1))</f>
        <v/>
      </c>
      <c r="N215" s="123" t="e">
        <f>IF(ISNA(Tableau6[[#This Row],[Position 2023]]),Tableau6[[#This Row],[Position 2023]],Tableau6[[#This Row],[2023]]-M$2)</f>
        <v>#N/A</v>
      </c>
      <c r="O215" s="102" t="e">
        <f>Tableau6[[#This Row],[Cumul 2023]]-Tableau6[[#This Row],[Cumul 2022]]</f>
        <v>#N/A</v>
      </c>
      <c r="P215" s="104" t="e">
        <f>Tableau6[[#This Row],[Ecart 2022 2023]]/Tableau6[[#This Row],[Cumul 2022]]</f>
        <v>#N/A</v>
      </c>
      <c r="Q215" s="102" t="e">
        <f>MATCH(Tableau6[Jours Mois]&amp;"/"&amp;Tableau6[[#Headers],[2024]],tabSuiviConso[Jour Mois Année],0)</f>
        <v>#N/A</v>
      </c>
      <c r="R215" s="102" t="str">
        <f>IF(ISNA(Tableau6[[#This Row],[Position 2024]]),"",INDEX(tabSuiviConso[HP + HC
cumul],Tableau6[[#This Row],[Position 2024]],1))</f>
        <v/>
      </c>
      <c r="S215" s="123" t="e">
        <f>IF(ISNA(Tableau6[[#This Row],[Position 2024]]),Tableau6[[#This Row],[Position 2024]],Tableau6[[#This Row],[2024]]-R$2)</f>
        <v>#N/A</v>
      </c>
      <c r="T215" s="102" t="e">
        <f>Tableau6[[#This Row],[Cumul 2024]]-Tableau6[[#This Row],[Cumul 2023]]</f>
        <v>#N/A</v>
      </c>
      <c r="U215" s="103" t="e">
        <f>Tableau6[[#This Row],[Ecart 2023 2024]]/Tableau6[[#This Row],[Cumul 2023]]</f>
        <v>#N/A</v>
      </c>
    </row>
    <row r="216" spans="1:21" x14ac:dyDescent="0.2">
      <c r="A216" s="102">
        <v>8</v>
      </c>
      <c r="B216" s="102">
        <v>1</v>
      </c>
      <c r="C216" s="102" t="str">
        <f>Tableau6[Jour]&amp;"/"&amp;Tableau6[Mois]</f>
        <v>1/8</v>
      </c>
      <c r="D216" s="102" t="e">
        <f>MATCH(Tableau6[Jours Mois]&amp;"/"&amp;Tableau6[[#Headers],[2021]],tabSuiviConso[Jour Mois Année],0)</f>
        <v>#N/A</v>
      </c>
      <c r="E216" s="102" t="str">
        <f>IF(ISNA(Tableau6[[#This Row],[Position 2021]]),"",INDEX(tabSuiviConso[HP + HC
cumul],Tableau6[[#This Row],[Position 2021]],1))</f>
        <v/>
      </c>
      <c r="F216" s="123" t="e">
        <f>IF(ISNA(Tableau6[[#This Row],[Position 2021]]),Tableau6[[#This Row],[Position 2021]],Tableau6[[#This Row],[2021]]-E$2)</f>
        <v>#N/A</v>
      </c>
      <c r="G216" s="102" t="e">
        <f>MATCH(Tableau6[Jours Mois]&amp;"/"&amp;Tableau6[[#Headers],[2022]],tabSuiviConso[Jour Mois Année],0)</f>
        <v>#N/A</v>
      </c>
      <c r="H216" s="102" t="str">
        <f>IF(ISNA(Tableau6[[#This Row],[Position 2022]]),"",INDEX(tabSuiviConso[HP + HC
cumul],Tableau6[[#This Row],[Position 2022]],1))</f>
        <v/>
      </c>
      <c r="I216" s="123" t="e">
        <f>IF(ISNA(Tableau6[[#This Row],[Position 2022]]),Tableau6[[#This Row],[Position 2022]],Tableau6[[#This Row],[2022]]-H$2)</f>
        <v>#N/A</v>
      </c>
      <c r="J216" s="102" t="e">
        <f>MATCH(Tableau6[Jours Mois]&amp;"/"&amp;Tableau6[[#Headers],[2023]],tabSuiviConso[Jour Mois Année],0)</f>
        <v>#N/A</v>
      </c>
      <c r="K216" s="102" t="e">
        <f>Tableau6[[#This Row],[Cumul 2022]]-Tableau6[[#This Row],[Cumul 2021]]</f>
        <v>#N/A</v>
      </c>
      <c r="L216" s="104" t="e">
        <f>Tableau6[[#This Row],[Ecart 2021 2022]]/Tableau6[[#This Row],[Cumul 2021]]</f>
        <v>#N/A</v>
      </c>
      <c r="M216" s="102" t="str">
        <f>IF(ISNA(Tableau6[[#This Row],[Position 2023]]),"",INDEX(tabSuiviConso[HP + HC
cumul],Tableau6[[#This Row],[Position 2023]],1))</f>
        <v/>
      </c>
      <c r="N216" s="123" t="e">
        <f>IF(ISNA(Tableau6[[#This Row],[Position 2023]]),Tableau6[[#This Row],[Position 2023]],Tableau6[[#This Row],[2023]]-M$2)</f>
        <v>#N/A</v>
      </c>
      <c r="O216" s="102" t="e">
        <f>Tableau6[[#This Row],[Cumul 2023]]-Tableau6[[#This Row],[Cumul 2022]]</f>
        <v>#N/A</v>
      </c>
      <c r="P216" s="104" t="e">
        <f>Tableau6[[#This Row],[Ecart 2022 2023]]/Tableau6[[#This Row],[Cumul 2022]]</f>
        <v>#N/A</v>
      </c>
      <c r="Q216" s="102" t="e">
        <f>MATCH(Tableau6[Jours Mois]&amp;"/"&amp;Tableau6[[#Headers],[2024]],tabSuiviConso[Jour Mois Année],0)</f>
        <v>#N/A</v>
      </c>
      <c r="R216" s="102" t="str">
        <f>IF(ISNA(Tableau6[[#This Row],[Position 2024]]),"",INDEX(tabSuiviConso[HP + HC
cumul],Tableau6[[#This Row],[Position 2024]],1))</f>
        <v/>
      </c>
      <c r="S216" s="123" t="e">
        <f>IF(ISNA(Tableau6[[#This Row],[Position 2024]]),Tableau6[[#This Row],[Position 2024]],Tableau6[[#This Row],[2024]]-R$2)</f>
        <v>#N/A</v>
      </c>
      <c r="T216" s="102" t="e">
        <f>Tableau6[[#This Row],[Cumul 2024]]-Tableau6[[#This Row],[Cumul 2023]]</f>
        <v>#N/A</v>
      </c>
      <c r="U216" s="103" t="e">
        <f>Tableau6[[#This Row],[Ecart 2023 2024]]/Tableau6[[#This Row],[Cumul 2023]]</f>
        <v>#N/A</v>
      </c>
    </row>
    <row r="217" spans="1:21" x14ac:dyDescent="0.2">
      <c r="A217" s="102">
        <v>8</v>
      </c>
      <c r="B217" s="102">
        <v>2</v>
      </c>
      <c r="C217" s="102" t="str">
        <f>Tableau6[Jour]&amp;"/"&amp;Tableau6[Mois]</f>
        <v>2/8</v>
      </c>
      <c r="D217" s="102" t="e">
        <f>MATCH(Tableau6[Jours Mois]&amp;"/"&amp;Tableau6[[#Headers],[2021]],tabSuiviConso[Jour Mois Année],0)</f>
        <v>#N/A</v>
      </c>
      <c r="E217" s="102" t="str">
        <f>IF(ISNA(Tableau6[[#This Row],[Position 2021]]),"",INDEX(tabSuiviConso[HP + HC
cumul],Tableau6[[#This Row],[Position 2021]],1))</f>
        <v/>
      </c>
      <c r="F217" s="123" t="e">
        <f>IF(ISNA(Tableau6[[#This Row],[Position 2021]]),Tableau6[[#This Row],[Position 2021]],Tableau6[[#This Row],[2021]]-E$2)</f>
        <v>#N/A</v>
      </c>
      <c r="G217" s="102" t="e">
        <f>MATCH(Tableau6[Jours Mois]&amp;"/"&amp;Tableau6[[#Headers],[2022]],tabSuiviConso[Jour Mois Année],0)</f>
        <v>#N/A</v>
      </c>
      <c r="H217" s="102" t="str">
        <f>IF(ISNA(Tableau6[[#This Row],[Position 2022]]),"",INDEX(tabSuiviConso[HP + HC
cumul],Tableau6[[#This Row],[Position 2022]],1))</f>
        <v/>
      </c>
      <c r="I217" s="123" t="e">
        <f>IF(ISNA(Tableau6[[#This Row],[Position 2022]]),Tableau6[[#This Row],[Position 2022]],Tableau6[[#This Row],[2022]]-H$2)</f>
        <v>#N/A</v>
      </c>
      <c r="J217" s="102" t="e">
        <f>MATCH(Tableau6[Jours Mois]&amp;"/"&amp;Tableau6[[#Headers],[2023]],tabSuiviConso[Jour Mois Année],0)</f>
        <v>#N/A</v>
      </c>
      <c r="K217" s="102" t="e">
        <f>Tableau6[[#This Row],[Cumul 2022]]-Tableau6[[#This Row],[Cumul 2021]]</f>
        <v>#N/A</v>
      </c>
      <c r="L217" s="104" t="e">
        <f>Tableau6[[#This Row],[Ecart 2021 2022]]/Tableau6[[#This Row],[Cumul 2021]]</f>
        <v>#N/A</v>
      </c>
      <c r="M217" s="102" t="str">
        <f>IF(ISNA(Tableau6[[#This Row],[Position 2023]]),"",INDEX(tabSuiviConso[HP + HC
cumul],Tableau6[[#This Row],[Position 2023]],1))</f>
        <v/>
      </c>
      <c r="N217" s="123" t="e">
        <f>IF(ISNA(Tableau6[[#This Row],[Position 2023]]),Tableau6[[#This Row],[Position 2023]],Tableau6[[#This Row],[2023]]-M$2)</f>
        <v>#N/A</v>
      </c>
      <c r="O217" s="102" t="e">
        <f>Tableau6[[#This Row],[Cumul 2023]]-Tableau6[[#This Row],[Cumul 2022]]</f>
        <v>#N/A</v>
      </c>
      <c r="P217" s="104" t="e">
        <f>Tableau6[[#This Row],[Ecart 2022 2023]]/Tableau6[[#This Row],[Cumul 2022]]</f>
        <v>#N/A</v>
      </c>
      <c r="Q217" s="102" t="e">
        <f>MATCH(Tableau6[Jours Mois]&amp;"/"&amp;Tableau6[[#Headers],[2024]],tabSuiviConso[Jour Mois Année],0)</f>
        <v>#N/A</v>
      </c>
      <c r="R217" s="102" t="str">
        <f>IF(ISNA(Tableau6[[#This Row],[Position 2024]]),"",INDEX(tabSuiviConso[HP + HC
cumul],Tableau6[[#This Row],[Position 2024]],1))</f>
        <v/>
      </c>
      <c r="S217" s="123" t="e">
        <f>IF(ISNA(Tableau6[[#This Row],[Position 2024]]),Tableau6[[#This Row],[Position 2024]],Tableau6[[#This Row],[2024]]-R$2)</f>
        <v>#N/A</v>
      </c>
      <c r="T217" s="102" t="e">
        <f>Tableau6[[#This Row],[Cumul 2024]]-Tableau6[[#This Row],[Cumul 2023]]</f>
        <v>#N/A</v>
      </c>
      <c r="U217" s="103" t="e">
        <f>Tableau6[[#This Row],[Ecart 2023 2024]]/Tableau6[[#This Row],[Cumul 2023]]</f>
        <v>#N/A</v>
      </c>
    </row>
    <row r="218" spans="1:21" x14ac:dyDescent="0.2">
      <c r="A218" s="102">
        <v>8</v>
      </c>
      <c r="B218" s="102">
        <v>3</v>
      </c>
      <c r="C218" s="102" t="str">
        <f>Tableau6[Jour]&amp;"/"&amp;Tableau6[Mois]</f>
        <v>3/8</v>
      </c>
      <c r="D218" s="102" t="e">
        <f>MATCH(Tableau6[Jours Mois]&amp;"/"&amp;Tableau6[[#Headers],[2021]],tabSuiviConso[Jour Mois Année],0)</f>
        <v>#N/A</v>
      </c>
      <c r="E218" s="102" t="str">
        <f>IF(ISNA(Tableau6[[#This Row],[Position 2021]]),"",INDEX(tabSuiviConso[HP + HC
cumul],Tableau6[[#This Row],[Position 2021]],1))</f>
        <v/>
      </c>
      <c r="F218" s="123" t="e">
        <f>IF(ISNA(Tableau6[[#This Row],[Position 2021]]),Tableau6[[#This Row],[Position 2021]],Tableau6[[#This Row],[2021]]-E$2)</f>
        <v>#N/A</v>
      </c>
      <c r="G218" s="102" t="e">
        <f>MATCH(Tableau6[Jours Mois]&amp;"/"&amp;Tableau6[[#Headers],[2022]],tabSuiviConso[Jour Mois Année],0)</f>
        <v>#N/A</v>
      </c>
      <c r="H218" s="102" t="str">
        <f>IF(ISNA(Tableau6[[#This Row],[Position 2022]]),"",INDEX(tabSuiviConso[HP + HC
cumul],Tableau6[[#This Row],[Position 2022]],1))</f>
        <v/>
      </c>
      <c r="I218" s="123" t="e">
        <f>IF(ISNA(Tableau6[[#This Row],[Position 2022]]),Tableau6[[#This Row],[Position 2022]],Tableau6[[#This Row],[2022]]-H$2)</f>
        <v>#N/A</v>
      </c>
      <c r="J218" s="102" t="e">
        <f>MATCH(Tableau6[Jours Mois]&amp;"/"&amp;Tableau6[[#Headers],[2023]],tabSuiviConso[Jour Mois Année],0)</f>
        <v>#N/A</v>
      </c>
      <c r="K218" s="102" t="e">
        <f>Tableau6[[#This Row],[Cumul 2022]]-Tableau6[[#This Row],[Cumul 2021]]</f>
        <v>#N/A</v>
      </c>
      <c r="L218" s="104" t="e">
        <f>Tableau6[[#This Row],[Ecart 2021 2022]]/Tableau6[[#This Row],[Cumul 2021]]</f>
        <v>#N/A</v>
      </c>
      <c r="M218" s="102" t="str">
        <f>IF(ISNA(Tableau6[[#This Row],[Position 2023]]),"",INDEX(tabSuiviConso[HP + HC
cumul],Tableau6[[#This Row],[Position 2023]],1))</f>
        <v/>
      </c>
      <c r="N218" s="123" t="e">
        <f>IF(ISNA(Tableau6[[#This Row],[Position 2023]]),Tableau6[[#This Row],[Position 2023]],Tableau6[[#This Row],[2023]]-M$2)</f>
        <v>#N/A</v>
      </c>
      <c r="O218" s="102" t="e">
        <f>Tableau6[[#This Row],[Cumul 2023]]-Tableau6[[#This Row],[Cumul 2022]]</f>
        <v>#N/A</v>
      </c>
      <c r="P218" s="104" t="e">
        <f>Tableau6[[#This Row],[Ecart 2022 2023]]/Tableau6[[#This Row],[Cumul 2022]]</f>
        <v>#N/A</v>
      </c>
      <c r="Q218" s="102" t="e">
        <f>MATCH(Tableau6[Jours Mois]&amp;"/"&amp;Tableau6[[#Headers],[2024]],tabSuiviConso[Jour Mois Année],0)</f>
        <v>#N/A</v>
      </c>
      <c r="R218" s="102" t="str">
        <f>IF(ISNA(Tableau6[[#This Row],[Position 2024]]),"",INDEX(tabSuiviConso[HP + HC
cumul],Tableau6[[#This Row],[Position 2024]],1))</f>
        <v/>
      </c>
      <c r="S218" s="123" t="e">
        <f>IF(ISNA(Tableau6[[#This Row],[Position 2024]]),Tableau6[[#This Row],[Position 2024]],Tableau6[[#This Row],[2024]]-R$2)</f>
        <v>#N/A</v>
      </c>
      <c r="T218" s="102" t="e">
        <f>Tableau6[[#This Row],[Cumul 2024]]-Tableau6[[#This Row],[Cumul 2023]]</f>
        <v>#N/A</v>
      </c>
      <c r="U218" s="103" t="e">
        <f>Tableau6[[#This Row],[Ecart 2023 2024]]/Tableau6[[#This Row],[Cumul 2023]]</f>
        <v>#N/A</v>
      </c>
    </row>
    <row r="219" spans="1:21" x14ac:dyDescent="0.2">
      <c r="A219" s="102">
        <v>8</v>
      </c>
      <c r="B219" s="102">
        <v>4</v>
      </c>
      <c r="C219" s="102" t="str">
        <f>Tableau6[Jour]&amp;"/"&amp;Tableau6[Mois]</f>
        <v>4/8</v>
      </c>
      <c r="D219" s="102" t="e">
        <f>MATCH(Tableau6[Jours Mois]&amp;"/"&amp;Tableau6[[#Headers],[2021]],tabSuiviConso[Jour Mois Année],0)</f>
        <v>#N/A</v>
      </c>
      <c r="E219" s="102" t="str">
        <f>IF(ISNA(Tableau6[[#This Row],[Position 2021]]),"",INDEX(tabSuiviConso[HP + HC
cumul],Tableau6[[#This Row],[Position 2021]],1))</f>
        <v/>
      </c>
      <c r="F219" s="123" t="e">
        <f>IF(ISNA(Tableau6[[#This Row],[Position 2021]]),Tableau6[[#This Row],[Position 2021]],Tableau6[[#This Row],[2021]]-E$2)</f>
        <v>#N/A</v>
      </c>
      <c r="G219" s="102" t="e">
        <f>MATCH(Tableau6[Jours Mois]&amp;"/"&amp;Tableau6[[#Headers],[2022]],tabSuiviConso[Jour Mois Année],0)</f>
        <v>#N/A</v>
      </c>
      <c r="H219" s="102" t="str">
        <f>IF(ISNA(Tableau6[[#This Row],[Position 2022]]),"",INDEX(tabSuiviConso[HP + HC
cumul],Tableau6[[#This Row],[Position 2022]],1))</f>
        <v/>
      </c>
      <c r="I219" s="123" t="e">
        <f>IF(ISNA(Tableau6[[#This Row],[Position 2022]]),Tableau6[[#This Row],[Position 2022]],Tableau6[[#This Row],[2022]]-H$2)</f>
        <v>#N/A</v>
      </c>
      <c r="J219" s="102" t="e">
        <f>MATCH(Tableau6[Jours Mois]&amp;"/"&amp;Tableau6[[#Headers],[2023]],tabSuiviConso[Jour Mois Année],0)</f>
        <v>#N/A</v>
      </c>
      <c r="K219" s="102" t="e">
        <f>Tableau6[[#This Row],[Cumul 2022]]-Tableau6[[#This Row],[Cumul 2021]]</f>
        <v>#N/A</v>
      </c>
      <c r="L219" s="104" t="e">
        <f>Tableau6[[#This Row],[Ecart 2021 2022]]/Tableau6[[#This Row],[Cumul 2021]]</f>
        <v>#N/A</v>
      </c>
      <c r="M219" s="102" t="str">
        <f>IF(ISNA(Tableau6[[#This Row],[Position 2023]]),"",INDEX(tabSuiviConso[HP + HC
cumul],Tableau6[[#This Row],[Position 2023]],1))</f>
        <v/>
      </c>
      <c r="N219" s="123" t="e">
        <f>IF(ISNA(Tableau6[[#This Row],[Position 2023]]),Tableau6[[#This Row],[Position 2023]],Tableau6[[#This Row],[2023]]-M$2)</f>
        <v>#N/A</v>
      </c>
      <c r="O219" s="102" t="e">
        <f>Tableau6[[#This Row],[Cumul 2023]]-Tableau6[[#This Row],[Cumul 2022]]</f>
        <v>#N/A</v>
      </c>
      <c r="P219" s="104" t="e">
        <f>Tableau6[[#This Row],[Ecart 2022 2023]]/Tableau6[[#This Row],[Cumul 2022]]</f>
        <v>#N/A</v>
      </c>
      <c r="Q219" s="102" t="e">
        <f>MATCH(Tableau6[Jours Mois]&amp;"/"&amp;Tableau6[[#Headers],[2024]],tabSuiviConso[Jour Mois Année],0)</f>
        <v>#N/A</v>
      </c>
      <c r="R219" s="102" t="str">
        <f>IF(ISNA(Tableau6[[#This Row],[Position 2024]]),"",INDEX(tabSuiviConso[HP + HC
cumul],Tableau6[[#This Row],[Position 2024]],1))</f>
        <v/>
      </c>
      <c r="S219" s="123" t="e">
        <f>IF(ISNA(Tableau6[[#This Row],[Position 2024]]),Tableau6[[#This Row],[Position 2024]],Tableau6[[#This Row],[2024]]-R$2)</f>
        <v>#N/A</v>
      </c>
      <c r="T219" s="102" t="e">
        <f>Tableau6[[#This Row],[Cumul 2024]]-Tableau6[[#This Row],[Cumul 2023]]</f>
        <v>#N/A</v>
      </c>
      <c r="U219" s="103" t="e">
        <f>Tableau6[[#This Row],[Ecart 2023 2024]]/Tableau6[[#This Row],[Cumul 2023]]</f>
        <v>#N/A</v>
      </c>
    </row>
    <row r="220" spans="1:21" x14ac:dyDescent="0.2">
      <c r="A220" s="102">
        <v>8</v>
      </c>
      <c r="B220" s="102">
        <v>5</v>
      </c>
      <c r="C220" s="102" t="str">
        <f>Tableau6[Jour]&amp;"/"&amp;Tableau6[Mois]</f>
        <v>5/8</v>
      </c>
      <c r="D220" s="102" t="e">
        <f>MATCH(Tableau6[Jours Mois]&amp;"/"&amp;Tableau6[[#Headers],[2021]],tabSuiviConso[Jour Mois Année],0)</f>
        <v>#N/A</v>
      </c>
      <c r="E220" s="102" t="str">
        <f>IF(ISNA(Tableau6[[#This Row],[Position 2021]]),"",INDEX(tabSuiviConso[HP + HC
cumul],Tableau6[[#This Row],[Position 2021]],1))</f>
        <v/>
      </c>
      <c r="F220" s="123" t="e">
        <f>IF(ISNA(Tableau6[[#This Row],[Position 2021]]),Tableau6[[#This Row],[Position 2021]],Tableau6[[#This Row],[2021]]-E$2)</f>
        <v>#N/A</v>
      </c>
      <c r="G220" s="102" t="e">
        <f>MATCH(Tableau6[Jours Mois]&amp;"/"&amp;Tableau6[[#Headers],[2022]],tabSuiviConso[Jour Mois Année],0)</f>
        <v>#N/A</v>
      </c>
      <c r="H220" s="102" t="str">
        <f>IF(ISNA(Tableau6[[#This Row],[Position 2022]]),"",INDEX(tabSuiviConso[HP + HC
cumul],Tableau6[[#This Row],[Position 2022]],1))</f>
        <v/>
      </c>
      <c r="I220" s="123" t="e">
        <f>IF(ISNA(Tableau6[[#This Row],[Position 2022]]),Tableau6[[#This Row],[Position 2022]],Tableau6[[#This Row],[2022]]-H$2)</f>
        <v>#N/A</v>
      </c>
      <c r="J220" s="102" t="e">
        <f>MATCH(Tableau6[Jours Mois]&amp;"/"&amp;Tableau6[[#Headers],[2023]],tabSuiviConso[Jour Mois Année],0)</f>
        <v>#N/A</v>
      </c>
      <c r="K220" s="102" t="e">
        <f>Tableau6[[#This Row],[Cumul 2022]]-Tableau6[[#This Row],[Cumul 2021]]</f>
        <v>#N/A</v>
      </c>
      <c r="L220" s="104" t="e">
        <f>Tableau6[[#This Row],[Ecart 2021 2022]]/Tableau6[[#This Row],[Cumul 2021]]</f>
        <v>#N/A</v>
      </c>
      <c r="M220" s="102" t="str">
        <f>IF(ISNA(Tableau6[[#This Row],[Position 2023]]),"",INDEX(tabSuiviConso[HP + HC
cumul],Tableau6[[#This Row],[Position 2023]],1))</f>
        <v/>
      </c>
      <c r="N220" s="123" t="e">
        <f>IF(ISNA(Tableau6[[#This Row],[Position 2023]]),Tableau6[[#This Row],[Position 2023]],Tableau6[[#This Row],[2023]]-M$2)</f>
        <v>#N/A</v>
      </c>
      <c r="O220" s="102" t="e">
        <f>Tableau6[[#This Row],[Cumul 2023]]-Tableau6[[#This Row],[Cumul 2022]]</f>
        <v>#N/A</v>
      </c>
      <c r="P220" s="104" t="e">
        <f>Tableau6[[#This Row],[Ecart 2022 2023]]/Tableau6[[#This Row],[Cumul 2022]]</f>
        <v>#N/A</v>
      </c>
      <c r="Q220" s="102" t="e">
        <f>MATCH(Tableau6[Jours Mois]&amp;"/"&amp;Tableau6[[#Headers],[2024]],tabSuiviConso[Jour Mois Année],0)</f>
        <v>#N/A</v>
      </c>
      <c r="R220" s="102" t="str">
        <f>IF(ISNA(Tableau6[[#This Row],[Position 2024]]),"",INDEX(tabSuiviConso[HP + HC
cumul],Tableau6[[#This Row],[Position 2024]],1))</f>
        <v/>
      </c>
      <c r="S220" s="123" t="e">
        <f>IF(ISNA(Tableau6[[#This Row],[Position 2024]]),Tableau6[[#This Row],[Position 2024]],Tableau6[[#This Row],[2024]]-R$2)</f>
        <v>#N/A</v>
      </c>
      <c r="T220" s="102" t="e">
        <f>Tableau6[[#This Row],[Cumul 2024]]-Tableau6[[#This Row],[Cumul 2023]]</f>
        <v>#N/A</v>
      </c>
      <c r="U220" s="103" t="e">
        <f>Tableau6[[#This Row],[Ecart 2023 2024]]/Tableau6[[#This Row],[Cumul 2023]]</f>
        <v>#N/A</v>
      </c>
    </row>
    <row r="221" spans="1:21" x14ac:dyDescent="0.2">
      <c r="A221" s="102">
        <v>8</v>
      </c>
      <c r="B221" s="102">
        <v>6</v>
      </c>
      <c r="C221" s="102" t="str">
        <f>Tableau6[Jour]&amp;"/"&amp;Tableau6[Mois]</f>
        <v>6/8</v>
      </c>
      <c r="D221" s="102" t="e">
        <f>MATCH(Tableau6[Jours Mois]&amp;"/"&amp;Tableau6[[#Headers],[2021]],tabSuiviConso[Jour Mois Année],0)</f>
        <v>#N/A</v>
      </c>
      <c r="E221" s="102" t="str">
        <f>IF(ISNA(Tableau6[[#This Row],[Position 2021]]),"",INDEX(tabSuiviConso[HP + HC
cumul],Tableau6[[#This Row],[Position 2021]],1))</f>
        <v/>
      </c>
      <c r="F221" s="123" t="e">
        <f>IF(ISNA(Tableau6[[#This Row],[Position 2021]]),Tableau6[[#This Row],[Position 2021]],Tableau6[[#This Row],[2021]]-E$2)</f>
        <v>#N/A</v>
      </c>
      <c r="G221" s="102" t="e">
        <f>MATCH(Tableau6[Jours Mois]&amp;"/"&amp;Tableau6[[#Headers],[2022]],tabSuiviConso[Jour Mois Année],0)</f>
        <v>#N/A</v>
      </c>
      <c r="H221" s="102" t="str">
        <f>IF(ISNA(Tableau6[[#This Row],[Position 2022]]),"",INDEX(tabSuiviConso[HP + HC
cumul],Tableau6[[#This Row],[Position 2022]],1))</f>
        <v/>
      </c>
      <c r="I221" s="123" t="e">
        <f>IF(ISNA(Tableau6[[#This Row],[Position 2022]]),Tableau6[[#This Row],[Position 2022]],Tableau6[[#This Row],[2022]]-H$2)</f>
        <v>#N/A</v>
      </c>
      <c r="J221" s="102" t="e">
        <f>MATCH(Tableau6[Jours Mois]&amp;"/"&amp;Tableau6[[#Headers],[2023]],tabSuiviConso[Jour Mois Année],0)</f>
        <v>#N/A</v>
      </c>
      <c r="K221" s="102" t="e">
        <f>Tableau6[[#This Row],[Cumul 2022]]-Tableau6[[#This Row],[Cumul 2021]]</f>
        <v>#N/A</v>
      </c>
      <c r="L221" s="104" t="e">
        <f>Tableau6[[#This Row],[Ecart 2021 2022]]/Tableau6[[#This Row],[Cumul 2021]]</f>
        <v>#N/A</v>
      </c>
      <c r="M221" s="102" t="str">
        <f>IF(ISNA(Tableau6[[#This Row],[Position 2023]]),"",INDEX(tabSuiviConso[HP + HC
cumul],Tableau6[[#This Row],[Position 2023]],1))</f>
        <v/>
      </c>
      <c r="N221" s="123" t="e">
        <f>IF(ISNA(Tableau6[[#This Row],[Position 2023]]),Tableau6[[#This Row],[Position 2023]],Tableau6[[#This Row],[2023]]-M$2)</f>
        <v>#N/A</v>
      </c>
      <c r="O221" s="102" t="e">
        <f>Tableau6[[#This Row],[Cumul 2023]]-Tableau6[[#This Row],[Cumul 2022]]</f>
        <v>#N/A</v>
      </c>
      <c r="P221" s="104" t="e">
        <f>Tableau6[[#This Row],[Ecart 2022 2023]]/Tableau6[[#This Row],[Cumul 2022]]</f>
        <v>#N/A</v>
      </c>
      <c r="Q221" s="102" t="e">
        <f>MATCH(Tableau6[Jours Mois]&amp;"/"&amp;Tableau6[[#Headers],[2024]],tabSuiviConso[Jour Mois Année],0)</f>
        <v>#N/A</v>
      </c>
      <c r="R221" s="102" t="str">
        <f>IF(ISNA(Tableau6[[#This Row],[Position 2024]]),"",INDEX(tabSuiviConso[HP + HC
cumul],Tableau6[[#This Row],[Position 2024]],1))</f>
        <v/>
      </c>
      <c r="S221" s="123" t="e">
        <f>IF(ISNA(Tableau6[[#This Row],[Position 2024]]),Tableau6[[#This Row],[Position 2024]],Tableau6[[#This Row],[2024]]-R$2)</f>
        <v>#N/A</v>
      </c>
      <c r="T221" s="102" t="e">
        <f>Tableau6[[#This Row],[Cumul 2024]]-Tableau6[[#This Row],[Cumul 2023]]</f>
        <v>#N/A</v>
      </c>
      <c r="U221" s="103" t="e">
        <f>Tableau6[[#This Row],[Ecart 2023 2024]]/Tableau6[[#This Row],[Cumul 2023]]</f>
        <v>#N/A</v>
      </c>
    </row>
    <row r="222" spans="1:21" x14ac:dyDescent="0.2">
      <c r="A222" s="102">
        <v>8</v>
      </c>
      <c r="B222" s="102">
        <v>7</v>
      </c>
      <c r="C222" s="102" t="str">
        <f>Tableau6[Jour]&amp;"/"&amp;Tableau6[Mois]</f>
        <v>7/8</v>
      </c>
      <c r="D222" s="102" t="e">
        <f>MATCH(Tableau6[Jours Mois]&amp;"/"&amp;Tableau6[[#Headers],[2021]],tabSuiviConso[Jour Mois Année],0)</f>
        <v>#N/A</v>
      </c>
      <c r="E222" s="102" t="str">
        <f>IF(ISNA(Tableau6[[#This Row],[Position 2021]]),"",INDEX(tabSuiviConso[HP + HC
cumul],Tableau6[[#This Row],[Position 2021]],1))</f>
        <v/>
      </c>
      <c r="F222" s="123" t="e">
        <f>IF(ISNA(Tableau6[[#This Row],[Position 2021]]),Tableau6[[#This Row],[Position 2021]],Tableau6[[#This Row],[2021]]-E$2)</f>
        <v>#N/A</v>
      </c>
      <c r="G222" s="102" t="e">
        <f>MATCH(Tableau6[Jours Mois]&amp;"/"&amp;Tableau6[[#Headers],[2022]],tabSuiviConso[Jour Mois Année],0)</f>
        <v>#N/A</v>
      </c>
      <c r="H222" s="102" t="str">
        <f>IF(ISNA(Tableau6[[#This Row],[Position 2022]]),"",INDEX(tabSuiviConso[HP + HC
cumul],Tableau6[[#This Row],[Position 2022]],1))</f>
        <v/>
      </c>
      <c r="I222" s="123" t="e">
        <f>IF(ISNA(Tableau6[[#This Row],[Position 2022]]),Tableau6[[#This Row],[Position 2022]],Tableau6[[#This Row],[2022]]-H$2)</f>
        <v>#N/A</v>
      </c>
      <c r="J222" s="102" t="e">
        <f>MATCH(Tableau6[Jours Mois]&amp;"/"&amp;Tableau6[[#Headers],[2023]],tabSuiviConso[Jour Mois Année],0)</f>
        <v>#N/A</v>
      </c>
      <c r="K222" s="102" t="e">
        <f>Tableau6[[#This Row],[Cumul 2022]]-Tableau6[[#This Row],[Cumul 2021]]</f>
        <v>#N/A</v>
      </c>
      <c r="L222" s="104" t="e">
        <f>Tableau6[[#This Row],[Ecart 2021 2022]]/Tableau6[[#This Row],[Cumul 2021]]</f>
        <v>#N/A</v>
      </c>
      <c r="M222" s="102" t="str">
        <f>IF(ISNA(Tableau6[[#This Row],[Position 2023]]),"",INDEX(tabSuiviConso[HP + HC
cumul],Tableau6[[#This Row],[Position 2023]],1))</f>
        <v/>
      </c>
      <c r="N222" s="123" t="e">
        <f>IF(ISNA(Tableau6[[#This Row],[Position 2023]]),Tableau6[[#This Row],[Position 2023]],Tableau6[[#This Row],[2023]]-M$2)</f>
        <v>#N/A</v>
      </c>
      <c r="O222" s="102" t="e">
        <f>Tableau6[[#This Row],[Cumul 2023]]-Tableau6[[#This Row],[Cumul 2022]]</f>
        <v>#N/A</v>
      </c>
      <c r="P222" s="104" t="e">
        <f>Tableau6[[#This Row],[Ecart 2022 2023]]/Tableau6[[#This Row],[Cumul 2022]]</f>
        <v>#N/A</v>
      </c>
      <c r="Q222" s="102" t="e">
        <f>MATCH(Tableau6[Jours Mois]&amp;"/"&amp;Tableau6[[#Headers],[2024]],tabSuiviConso[Jour Mois Année],0)</f>
        <v>#N/A</v>
      </c>
      <c r="R222" s="102" t="str">
        <f>IF(ISNA(Tableau6[[#This Row],[Position 2024]]),"",INDEX(tabSuiviConso[HP + HC
cumul],Tableau6[[#This Row],[Position 2024]],1))</f>
        <v/>
      </c>
      <c r="S222" s="123" t="e">
        <f>IF(ISNA(Tableau6[[#This Row],[Position 2024]]),Tableau6[[#This Row],[Position 2024]],Tableau6[[#This Row],[2024]]-R$2)</f>
        <v>#N/A</v>
      </c>
      <c r="T222" s="102" t="e">
        <f>Tableau6[[#This Row],[Cumul 2024]]-Tableau6[[#This Row],[Cumul 2023]]</f>
        <v>#N/A</v>
      </c>
      <c r="U222" s="103" t="e">
        <f>Tableau6[[#This Row],[Ecart 2023 2024]]/Tableau6[[#This Row],[Cumul 2023]]</f>
        <v>#N/A</v>
      </c>
    </row>
    <row r="223" spans="1:21" x14ac:dyDescent="0.2">
      <c r="A223" s="102">
        <v>8</v>
      </c>
      <c r="B223" s="102">
        <v>8</v>
      </c>
      <c r="C223" s="102" t="str">
        <f>Tableau6[Jour]&amp;"/"&amp;Tableau6[Mois]</f>
        <v>8/8</v>
      </c>
      <c r="D223" s="102" t="e">
        <f>MATCH(Tableau6[Jours Mois]&amp;"/"&amp;Tableau6[[#Headers],[2021]],tabSuiviConso[Jour Mois Année],0)</f>
        <v>#N/A</v>
      </c>
      <c r="E223" s="102" t="str">
        <f>IF(ISNA(Tableau6[[#This Row],[Position 2021]]),"",INDEX(tabSuiviConso[HP + HC
cumul],Tableau6[[#This Row],[Position 2021]],1))</f>
        <v/>
      </c>
      <c r="F223" s="123" t="e">
        <f>IF(ISNA(Tableau6[[#This Row],[Position 2021]]),Tableau6[[#This Row],[Position 2021]],Tableau6[[#This Row],[2021]]-E$2)</f>
        <v>#N/A</v>
      </c>
      <c r="G223" s="102" t="e">
        <f>MATCH(Tableau6[Jours Mois]&amp;"/"&amp;Tableau6[[#Headers],[2022]],tabSuiviConso[Jour Mois Année],0)</f>
        <v>#N/A</v>
      </c>
      <c r="H223" s="102" t="str">
        <f>IF(ISNA(Tableau6[[#This Row],[Position 2022]]),"",INDEX(tabSuiviConso[HP + HC
cumul],Tableau6[[#This Row],[Position 2022]],1))</f>
        <v/>
      </c>
      <c r="I223" s="123" t="e">
        <f>IF(ISNA(Tableau6[[#This Row],[Position 2022]]),Tableau6[[#This Row],[Position 2022]],Tableau6[[#This Row],[2022]]-H$2)</f>
        <v>#N/A</v>
      </c>
      <c r="J223" s="102" t="e">
        <f>MATCH(Tableau6[Jours Mois]&amp;"/"&amp;Tableau6[[#Headers],[2023]],tabSuiviConso[Jour Mois Année],0)</f>
        <v>#N/A</v>
      </c>
      <c r="K223" s="102" t="e">
        <f>Tableau6[[#This Row],[Cumul 2022]]-Tableau6[[#This Row],[Cumul 2021]]</f>
        <v>#N/A</v>
      </c>
      <c r="L223" s="104" t="e">
        <f>Tableau6[[#This Row],[Ecart 2021 2022]]/Tableau6[[#This Row],[Cumul 2021]]</f>
        <v>#N/A</v>
      </c>
      <c r="M223" s="102" t="str">
        <f>IF(ISNA(Tableau6[[#This Row],[Position 2023]]),"",INDEX(tabSuiviConso[HP + HC
cumul],Tableau6[[#This Row],[Position 2023]],1))</f>
        <v/>
      </c>
      <c r="N223" s="123" t="e">
        <f>IF(ISNA(Tableau6[[#This Row],[Position 2023]]),Tableau6[[#This Row],[Position 2023]],Tableau6[[#This Row],[2023]]-M$2)</f>
        <v>#N/A</v>
      </c>
      <c r="O223" s="102" t="e">
        <f>Tableau6[[#This Row],[Cumul 2023]]-Tableau6[[#This Row],[Cumul 2022]]</f>
        <v>#N/A</v>
      </c>
      <c r="P223" s="104" t="e">
        <f>Tableau6[[#This Row],[Ecart 2022 2023]]/Tableau6[[#This Row],[Cumul 2022]]</f>
        <v>#N/A</v>
      </c>
      <c r="Q223" s="102" t="e">
        <f>MATCH(Tableau6[Jours Mois]&amp;"/"&amp;Tableau6[[#Headers],[2024]],tabSuiviConso[Jour Mois Année],0)</f>
        <v>#N/A</v>
      </c>
      <c r="R223" s="102" t="str">
        <f>IF(ISNA(Tableau6[[#This Row],[Position 2024]]),"",INDEX(tabSuiviConso[HP + HC
cumul],Tableau6[[#This Row],[Position 2024]],1))</f>
        <v/>
      </c>
      <c r="S223" s="123" t="e">
        <f>IF(ISNA(Tableau6[[#This Row],[Position 2024]]),Tableau6[[#This Row],[Position 2024]],Tableau6[[#This Row],[2024]]-R$2)</f>
        <v>#N/A</v>
      </c>
      <c r="T223" s="102" t="e">
        <f>Tableau6[[#This Row],[Cumul 2024]]-Tableau6[[#This Row],[Cumul 2023]]</f>
        <v>#N/A</v>
      </c>
      <c r="U223" s="103" t="e">
        <f>Tableau6[[#This Row],[Ecart 2023 2024]]/Tableau6[[#This Row],[Cumul 2023]]</f>
        <v>#N/A</v>
      </c>
    </row>
    <row r="224" spans="1:21" x14ac:dyDescent="0.2">
      <c r="A224" s="102">
        <v>8</v>
      </c>
      <c r="B224" s="102">
        <v>9</v>
      </c>
      <c r="C224" s="102" t="str">
        <f>Tableau6[Jour]&amp;"/"&amp;Tableau6[Mois]</f>
        <v>9/8</v>
      </c>
      <c r="D224" s="102" t="e">
        <f>MATCH(Tableau6[Jours Mois]&amp;"/"&amp;Tableau6[[#Headers],[2021]],tabSuiviConso[Jour Mois Année],0)</f>
        <v>#N/A</v>
      </c>
      <c r="E224" s="102" t="str">
        <f>IF(ISNA(Tableau6[[#This Row],[Position 2021]]),"",INDEX(tabSuiviConso[HP + HC
cumul],Tableau6[[#This Row],[Position 2021]],1))</f>
        <v/>
      </c>
      <c r="F224" s="123" t="e">
        <f>IF(ISNA(Tableau6[[#This Row],[Position 2021]]),Tableau6[[#This Row],[Position 2021]],Tableau6[[#This Row],[2021]]-E$2)</f>
        <v>#N/A</v>
      </c>
      <c r="G224" s="102" t="e">
        <f>MATCH(Tableau6[Jours Mois]&amp;"/"&amp;Tableau6[[#Headers],[2022]],tabSuiviConso[Jour Mois Année],0)</f>
        <v>#N/A</v>
      </c>
      <c r="H224" s="102" t="str">
        <f>IF(ISNA(Tableau6[[#This Row],[Position 2022]]),"",INDEX(tabSuiviConso[HP + HC
cumul],Tableau6[[#This Row],[Position 2022]],1))</f>
        <v/>
      </c>
      <c r="I224" s="123" t="e">
        <f>IF(ISNA(Tableau6[[#This Row],[Position 2022]]),Tableau6[[#This Row],[Position 2022]],Tableau6[[#This Row],[2022]]-H$2)</f>
        <v>#N/A</v>
      </c>
      <c r="J224" s="102" t="e">
        <f>MATCH(Tableau6[Jours Mois]&amp;"/"&amp;Tableau6[[#Headers],[2023]],tabSuiviConso[Jour Mois Année],0)</f>
        <v>#N/A</v>
      </c>
      <c r="K224" s="102" t="e">
        <f>Tableau6[[#This Row],[Cumul 2022]]-Tableau6[[#This Row],[Cumul 2021]]</f>
        <v>#N/A</v>
      </c>
      <c r="L224" s="104" t="e">
        <f>Tableau6[[#This Row],[Ecart 2021 2022]]/Tableau6[[#This Row],[Cumul 2021]]</f>
        <v>#N/A</v>
      </c>
      <c r="M224" s="102" t="str">
        <f>IF(ISNA(Tableau6[[#This Row],[Position 2023]]),"",INDEX(tabSuiviConso[HP + HC
cumul],Tableau6[[#This Row],[Position 2023]],1))</f>
        <v/>
      </c>
      <c r="N224" s="123" t="e">
        <f>IF(ISNA(Tableau6[[#This Row],[Position 2023]]),Tableau6[[#This Row],[Position 2023]],Tableau6[[#This Row],[2023]]-M$2)</f>
        <v>#N/A</v>
      </c>
      <c r="O224" s="102" t="e">
        <f>Tableau6[[#This Row],[Cumul 2023]]-Tableau6[[#This Row],[Cumul 2022]]</f>
        <v>#N/A</v>
      </c>
      <c r="P224" s="104" t="e">
        <f>Tableau6[[#This Row],[Ecart 2022 2023]]/Tableau6[[#This Row],[Cumul 2022]]</f>
        <v>#N/A</v>
      </c>
      <c r="Q224" s="102" t="e">
        <f>MATCH(Tableau6[Jours Mois]&amp;"/"&amp;Tableau6[[#Headers],[2024]],tabSuiviConso[Jour Mois Année],0)</f>
        <v>#N/A</v>
      </c>
      <c r="R224" s="102" t="str">
        <f>IF(ISNA(Tableau6[[#This Row],[Position 2024]]),"",INDEX(tabSuiviConso[HP + HC
cumul],Tableau6[[#This Row],[Position 2024]],1))</f>
        <v/>
      </c>
      <c r="S224" s="123" t="e">
        <f>IF(ISNA(Tableau6[[#This Row],[Position 2024]]),Tableau6[[#This Row],[Position 2024]],Tableau6[[#This Row],[2024]]-R$2)</f>
        <v>#N/A</v>
      </c>
      <c r="T224" s="102" t="e">
        <f>Tableau6[[#This Row],[Cumul 2024]]-Tableau6[[#This Row],[Cumul 2023]]</f>
        <v>#N/A</v>
      </c>
      <c r="U224" s="103" t="e">
        <f>Tableau6[[#This Row],[Ecart 2023 2024]]/Tableau6[[#This Row],[Cumul 2023]]</f>
        <v>#N/A</v>
      </c>
    </row>
    <row r="225" spans="1:21" x14ac:dyDescent="0.2">
      <c r="A225" s="102">
        <v>8</v>
      </c>
      <c r="B225" s="102">
        <v>10</v>
      </c>
      <c r="C225" s="102" t="str">
        <f>Tableau6[Jour]&amp;"/"&amp;Tableau6[Mois]</f>
        <v>10/8</v>
      </c>
      <c r="D225" s="102" t="e">
        <f>MATCH(Tableau6[Jours Mois]&amp;"/"&amp;Tableau6[[#Headers],[2021]],tabSuiviConso[Jour Mois Année],0)</f>
        <v>#N/A</v>
      </c>
      <c r="E225" s="102" t="str">
        <f>IF(ISNA(Tableau6[[#This Row],[Position 2021]]),"",INDEX(tabSuiviConso[HP + HC
cumul],Tableau6[[#This Row],[Position 2021]],1))</f>
        <v/>
      </c>
      <c r="F225" s="123" t="e">
        <f>IF(ISNA(Tableau6[[#This Row],[Position 2021]]),Tableau6[[#This Row],[Position 2021]],Tableau6[[#This Row],[2021]]-E$2)</f>
        <v>#N/A</v>
      </c>
      <c r="G225" s="102" t="e">
        <f>MATCH(Tableau6[Jours Mois]&amp;"/"&amp;Tableau6[[#Headers],[2022]],tabSuiviConso[Jour Mois Année],0)</f>
        <v>#N/A</v>
      </c>
      <c r="H225" s="102" t="str">
        <f>IF(ISNA(Tableau6[[#This Row],[Position 2022]]),"",INDEX(tabSuiviConso[HP + HC
cumul],Tableau6[[#This Row],[Position 2022]],1))</f>
        <v/>
      </c>
      <c r="I225" s="123" t="e">
        <f>IF(ISNA(Tableau6[[#This Row],[Position 2022]]),Tableau6[[#This Row],[Position 2022]],Tableau6[[#This Row],[2022]]-H$2)</f>
        <v>#N/A</v>
      </c>
      <c r="J225" s="102" t="e">
        <f>MATCH(Tableau6[Jours Mois]&amp;"/"&amp;Tableau6[[#Headers],[2023]],tabSuiviConso[Jour Mois Année],0)</f>
        <v>#N/A</v>
      </c>
      <c r="K225" s="102" t="e">
        <f>Tableau6[[#This Row],[Cumul 2022]]-Tableau6[[#This Row],[Cumul 2021]]</f>
        <v>#N/A</v>
      </c>
      <c r="L225" s="104" t="e">
        <f>Tableau6[[#This Row],[Ecart 2021 2022]]/Tableau6[[#This Row],[Cumul 2021]]</f>
        <v>#N/A</v>
      </c>
      <c r="M225" s="102" t="str">
        <f>IF(ISNA(Tableau6[[#This Row],[Position 2023]]),"",INDEX(tabSuiviConso[HP + HC
cumul],Tableau6[[#This Row],[Position 2023]],1))</f>
        <v/>
      </c>
      <c r="N225" s="123" t="e">
        <f>IF(ISNA(Tableau6[[#This Row],[Position 2023]]),Tableau6[[#This Row],[Position 2023]],Tableau6[[#This Row],[2023]]-M$2)</f>
        <v>#N/A</v>
      </c>
      <c r="O225" s="102" t="e">
        <f>Tableau6[[#This Row],[Cumul 2023]]-Tableau6[[#This Row],[Cumul 2022]]</f>
        <v>#N/A</v>
      </c>
      <c r="P225" s="104" t="e">
        <f>Tableau6[[#This Row],[Ecart 2022 2023]]/Tableau6[[#This Row],[Cumul 2022]]</f>
        <v>#N/A</v>
      </c>
      <c r="Q225" s="102" t="e">
        <f>MATCH(Tableau6[Jours Mois]&amp;"/"&amp;Tableau6[[#Headers],[2024]],tabSuiviConso[Jour Mois Année],0)</f>
        <v>#N/A</v>
      </c>
      <c r="R225" s="102" t="str">
        <f>IF(ISNA(Tableau6[[#This Row],[Position 2024]]),"",INDEX(tabSuiviConso[HP + HC
cumul],Tableau6[[#This Row],[Position 2024]],1))</f>
        <v/>
      </c>
      <c r="S225" s="123" t="e">
        <f>IF(ISNA(Tableau6[[#This Row],[Position 2024]]),Tableau6[[#This Row],[Position 2024]],Tableau6[[#This Row],[2024]]-R$2)</f>
        <v>#N/A</v>
      </c>
      <c r="T225" s="102" t="e">
        <f>Tableau6[[#This Row],[Cumul 2024]]-Tableau6[[#This Row],[Cumul 2023]]</f>
        <v>#N/A</v>
      </c>
      <c r="U225" s="103" t="e">
        <f>Tableau6[[#This Row],[Ecart 2023 2024]]/Tableau6[[#This Row],[Cumul 2023]]</f>
        <v>#N/A</v>
      </c>
    </row>
    <row r="226" spans="1:21" x14ac:dyDescent="0.2">
      <c r="A226" s="102">
        <v>8</v>
      </c>
      <c r="B226" s="102">
        <v>11</v>
      </c>
      <c r="C226" s="102" t="str">
        <f>Tableau6[Jour]&amp;"/"&amp;Tableau6[Mois]</f>
        <v>11/8</v>
      </c>
      <c r="D226" s="102" t="e">
        <f>MATCH(Tableau6[Jours Mois]&amp;"/"&amp;Tableau6[[#Headers],[2021]],tabSuiviConso[Jour Mois Année],0)</f>
        <v>#N/A</v>
      </c>
      <c r="E226" s="102" t="str">
        <f>IF(ISNA(Tableau6[[#This Row],[Position 2021]]),"",INDEX(tabSuiviConso[HP + HC
cumul],Tableau6[[#This Row],[Position 2021]],1))</f>
        <v/>
      </c>
      <c r="F226" s="123" t="e">
        <f>IF(ISNA(Tableau6[[#This Row],[Position 2021]]),Tableau6[[#This Row],[Position 2021]],Tableau6[[#This Row],[2021]]-E$2)</f>
        <v>#N/A</v>
      </c>
      <c r="G226" s="102" t="e">
        <f>MATCH(Tableau6[Jours Mois]&amp;"/"&amp;Tableau6[[#Headers],[2022]],tabSuiviConso[Jour Mois Année],0)</f>
        <v>#N/A</v>
      </c>
      <c r="H226" s="102" t="str">
        <f>IF(ISNA(Tableau6[[#This Row],[Position 2022]]),"",INDEX(tabSuiviConso[HP + HC
cumul],Tableau6[[#This Row],[Position 2022]],1))</f>
        <v/>
      </c>
      <c r="I226" s="123" t="e">
        <f>IF(ISNA(Tableau6[[#This Row],[Position 2022]]),Tableau6[[#This Row],[Position 2022]],Tableau6[[#This Row],[2022]]-H$2)</f>
        <v>#N/A</v>
      </c>
      <c r="J226" s="102" t="e">
        <f>MATCH(Tableau6[Jours Mois]&amp;"/"&amp;Tableau6[[#Headers],[2023]],tabSuiviConso[Jour Mois Année],0)</f>
        <v>#N/A</v>
      </c>
      <c r="K226" s="102" t="e">
        <f>Tableau6[[#This Row],[Cumul 2022]]-Tableau6[[#This Row],[Cumul 2021]]</f>
        <v>#N/A</v>
      </c>
      <c r="L226" s="104" t="e">
        <f>Tableau6[[#This Row],[Ecart 2021 2022]]/Tableau6[[#This Row],[Cumul 2021]]</f>
        <v>#N/A</v>
      </c>
      <c r="M226" s="102" t="str">
        <f>IF(ISNA(Tableau6[[#This Row],[Position 2023]]),"",INDEX(tabSuiviConso[HP + HC
cumul],Tableau6[[#This Row],[Position 2023]],1))</f>
        <v/>
      </c>
      <c r="N226" s="123" t="e">
        <f>IF(ISNA(Tableau6[[#This Row],[Position 2023]]),Tableau6[[#This Row],[Position 2023]],Tableau6[[#This Row],[2023]]-M$2)</f>
        <v>#N/A</v>
      </c>
      <c r="O226" s="102" t="e">
        <f>Tableau6[[#This Row],[Cumul 2023]]-Tableau6[[#This Row],[Cumul 2022]]</f>
        <v>#N/A</v>
      </c>
      <c r="P226" s="104" t="e">
        <f>Tableau6[[#This Row],[Ecart 2022 2023]]/Tableau6[[#This Row],[Cumul 2022]]</f>
        <v>#N/A</v>
      </c>
      <c r="Q226" s="102" t="e">
        <f>MATCH(Tableau6[Jours Mois]&amp;"/"&amp;Tableau6[[#Headers],[2024]],tabSuiviConso[Jour Mois Année],0)</f>
        <v>#N/A</v>
      </c>
      <c r="R226" s="102" t="str">
        <f>IF(ISNA(Tableau6[[#This Row],[Position 2024]]),"",INDEX(tabSuiviConso[HP + HC
cumul],Tableau6[[#This Row],[Position 2024]],1))</f>
        <v/>
      </c>
      <c r="S226" s="123" t="e">
        <f>IF(ISNA(Tableau6[[#This Row],[Position 2024]]),Tableau6[[#This Row],[Position 2024]],Tableau6[[#This Row],[2024]]-R$2)</f>
        <v>#N/A</v>
      </c>
      <c r="T226" s="102" t="e">
        <f>Tableau6[[#This Row],[Cumul 2024]]-Tableau6[[#This Row],[Cumul 2023]]</f>
        <v>#N/A</v>
      </c>
      <c r="U226" s="103" t="e">
        <f>Tableau6[[#This Row],[Ecart 2023 2024]]/Tableau6[[#This Row],[Cumul 2023]]</f>
        <v>#N/A</v>
      </c>
    </row>
    <row r="227" spans="1:21" x14ac:dyDescent="0.2">
      <c r="A227" s="102">
        <v>8</v>
      </c>
      <c r="B227" s="102">
        <v>12</v>
      </c>
      <c r="C227" s="102" t="str">
        <f>Tableau6[Jour]&amp;"/"&amp;Tableau6[Mois]</f>
        <v>12/8</v>
      </c>
      <c r="D227" s="102" t="e">
        <f>MATCH(Tableau6[Jours Mois]&amp;"/"&amp;Tableau6[[#Headers],[2021]],tabSuiviConso[Jour Mois Année],0)</f>
        <v>#N/A</v>
      </c>
      <c r="E227" s="102" t="str">
        <f>IF(ISNA(Tableau6[[#This Row],[Position 2021]]),"",INDEX(tabSuiviConso[HP + HC
cumul],Tableau6[[#This Row],[Position 2021]],1))</f>
        <v/>
      </c>
      <c r="F227" s="123" t="e">
        <f>IF(ISNA(Tableau6[[#This Row],[Position 2021]]),Tableau6[[#This Row],[Position 2021]],Tableau6[[#This Row],[2021]]-E$2)</f>
        <v>#N/A</v>
      </c>
      <c r="G227" s="102" t="e">
        <f>MATCH(Tableau6[Jours Mois]&amp;"/"&amp;Tableau6[[#Headers],[2022]],tabSuiviConso[Jour Mois Année],0)</f>
        <v>#N/A</v>
      </c>
      <c r="H227" s="102" t="str">
        <f>IF(ISNA(Tableau6[[#This Row],[Position 2022]]),"",INDEX(tabSuiviConso[HP + HC
cumul],Tableau6[[#This Row],[Position 2022]],1))</f>
        <v/>
      </c>
      <c r="I227" s="123" t="e">
        <f>IF(ISNA(Tableau6[[#This Row],[Position 2022]]),Tableau6[[#This Row],[Position 2022]],Tableau6[[#This Row],[2022]]-H$2)</f>
        <v>#N/A</v>
      </c>
      <c r="J227" s="102" t="e">
        <f>MATCH(Tableau6[Jours Mois]&amp;"/"&amp;Tableau6[[#Headers],[2023]],tabSuiviConso[Jour Mois Année],0)</f>
        <v>#N/A</v>
      </c>
      <c r="K227" s="102" t="e">
        <f>Tableau6[[#This Row],[Cumul 2022]]-Tableau6[[#This Row],[Cumul 2021]]</f>
        <v>#N/A</v>
      </c>
      <c r="L227" s="104" t="e">
        <f>Tableau6[[#This Row],[Ecart 2021 2022]]/Tableau6[[#This Row],[Cumul 2021]]</f>
        <v>#N/A</v>
      </c>
      <c r="M227" s="102" t="str">
        <f>IF(ISNA(Tableau6[[#This Row],[Position 2023]]),"",INDEX(tabSuiviConso[HP + HC
cumul],Tableau6[[#This Row],[Position 2023]],1))</f>
        <v/>
      </c>
      <c r="N227" s="123" t="e">
        <f>IF(ISNA(Tableau6[[#This Row],[Position 2023]]),Tableau6[[#This Row],[Position 2023]],Tableau6[[#This Row],[2023]]-M$2)</f>
        <v>#N/A</v>
      </c>
      <c r="O227" s="102" t="e">
        <f>Tableau6[[#This Row],[Cumul 2023]]-Tableau6[[#This Row],[Cumul 2022]]</f>
        <v>#N/A</v>
      </c>
      <c r="P227" s="104" t="e">
        <f>Tableau6[[#This Row],[Ecart 2022 2023]]/Tableau6[[#This Row],[Cumul 2022]]</f>
        <v>#N/A</v>
      </c>
      <c r="Q227" s="102" t="e">
        <f>MATCH(Tableau6[Jours Mois]&amp;"/"&amp;Tableau6[[#Headers],[2024]],tabSuiviConso[Jour Mois Année],0)</f>
        <v>#N/A</v>
      </c>
      <c r="R227" s="102" t="str">
        <f>IF(ISNA(Tableau6[[#This Row],[Position 2024]]),"",INDEX(tabSuiviConso[HP + HC
cumul],Tableau6[[#This Row],[Position 2024]],1))</f>
        <v/>
      </c>
      <c r="S227" s="123" t="e">
        <f>IF(ISNA(Tableau6[[#This Row],[Position 2024]]),Tableau6[[#This Row],[Position 2024]],Tableau6[[#This Row],[2024]]-R$2)</f>
        <v>#N/A</v>
      </c>
      <c r="T227" s="102" t="e">
        <f>Tableau6[[#This Row],[Cumul 2024]]-Tableau6[[#This Row],[Cumul 2023]]</f>
        <v>#N/A</v>
      </c>
      <c r="U227" s="103" t="e">
        <f>Tableau6[[#This Row],[Ecart 2023 2024]]/Tableau6[[#This Row],[Cumul 2023]]</f>
        <v>#N/A</v>
      </c>
    </row>
    <row r="228" spans="1:21" x14ac:dyDescent="0.2">
      <c r="A228" s="102">
        <v>8</v>
      </c>
      <c r="B228" s="102">
        <v>13</v>
      </c>
      <c r="C228" s="102" t="str">
        <f>Tableau6[Jour]&amp;"/"&amp;Tableau6[Mois]</f>
        <v>13/8</v>
      </c>
      <c r="D228" s="102" t="e">
        <f>MATCH(Tableau6[Jours Mois]&amp;"/"&amp;Tableau6[[#Headers],[2021]],tabSuiviConso[Jour Mois Année],0)</f>
        <v>#N/A</v>
      </c>
      <c r="E228" s="102" t="str">
        <f>IF(ISNA(Tableau6[[#This Row],[Position 2021]]),"",INDEX(tabSuiviConso[HP + HC
cumul],Tableau6[[#This Row],[Position 2021]],1))</f>
        <v/>
      </c>
      <c r="F228" s="123" t="e">
        <f>IF(ISNA(Tableau6[[#This Row],[Position 2021]]),Tableau6[[#This Row],[Position 2021]],Tableau6[[#This Row],[2021]]-E$2)</f>
        <v>#N/A</v>
      </c>
      <c r="G228" s="102" t="e">
        <f>MATCH(Tableau6[Jours Mois]&amp;"/"&amp;Tableau6[[#Headers],[2022]],tabSuiviConso[Jour Mois Année],0)</f>
        <v>#N/A</v>
      </c>
      <c r="H228" s="102" t="str">
        <f>IF(ISNA(Tableau6[[#This Row],[Position 2022]]),"",INDEX(tabSuiviConso[HP + HC
cumul],Tableau6[[#This Row],[Position 2022]],1))</f>
        <v/>
      </c>
      <c r="I228" s="123" t="e">
        <f>IF(ISNA(Tableau6[[#This Row],[Position 2022]]),Tableau6[[#This Row],[Position 2022]],Tableau6[[#This Row],[2022]]-H$2)</f>
        <v>#N/A</v>
      </c>
      <c r="J228" s="102" t="e">
        <f>MATCH(Tableau6[Jours Mois]&amp;"/"&amp;Tableau6[[#Headers],[2023]],tabSuiviConso[Jour Mois Année],0)</f>
        <v>#N/A</v>
      </c>
      <c r="K228" s="102" t="e">
        <f>Tableau6[[#This Row],[Cumul 2022]]-Tableau6[[#This Row],[Cumul 2021]]</f>
        <v>#N/A</v>
      </c>
      <c r="L228" s="104" t="e">
        <f>Tableau6[[#This Row],[Ecart 2021 2022]]/Tableau6[[#This Row],[Cumul 2021]]</f>
        <v>#N/A</v>
      </c>
      <c r="M228" s="102" t="str">
        <f>IF(ISNA(Tableau6[[#This Row],[Position 2023]]),"",INDEX(tabSuiviConso[HP + HC
cumul],Tableau6[[#This Row],[Position 2023]],1))</f>
        <v/>
      </c>
      <c r="N228" s="123" t="e">
        <f>IF(ISNA(Tableau6[[#This Row],[Position 2023]]),Tableau6[[#This Row],[Position 2023]],Tableau6[[#This Row],[2023]]-M$2)</f>
        <v>#N/A</v>
      </c>
      <c r="O228" s="102" t="e">
        <f>Tableau6[[#This Row],[Cumul 2023]]-Tableau6[[#This Row],[Cumul 2022]]</f>
        <v>#N/A</v>
      </c>
      <c r="P228" s="104" t="e">
        <f>Tableau6[[#This Row],[Ecart 2022 2023]]/Tableau6[[#This Row],[Cumul 2022]]</f>
        <v>#N/A</v>
      </c>
      <c r="Q228" s="102" t="e">
        <f>MATCH(Tableau6[Jours Mois]&amp;"/"&amp;Tableau6[[#Headers],[2024]],tabSuiviConso[Jour Mois Année],0)</f>
        <v>#N/A</v>
      </c>
      <c r="R228" s="102" t="str">
        <f>IF(ISNA(Tableau6[[#This Row],[Position 2024]]),"",INDEX(tabSuiviConso[HP + HC
cumul],Tableau6[[#This Row],[Position 2024]],1))</f>
        <v/>
      </c>
      <c r="S228" s="123" t="e">
        <f>IF(ISNA(Tableau6[[#This Row],[Position 2024]]),Tableau6[[#This Row],[Position 2024]],Tableau6[[#This Row],[2024]]-R$2)</f>
        <v>#N/A</v>
      </c>
      <c r="T228" s="102" t="e">
        <f>Tableau6[[#This Row],[Cumul 2024]]-Tableau6[[#This Row],[Cumul 2023]]</f>
        <v>#N/A</v>
      </c>
      <c r="U228" s="103" t="e">
        <f>Tableau6[[#This Row],[Ecart 2023 2024]]/Tableau6[[#This Row],[Cumul 2023]]</f>
        <v>#N/A</v>
      </c>
    </row>
    <row r="229" spans="1:21" x14ac:dyDescent="0.2">
      <c r="A229" s="102">
        <v>8</v>
      </c>
      <c r="B229" s="102">
        <v>14</v>
      </c>
      <c r="C229" s="102" t="str">
        <f>Tableau6[Jour]&amp;"/"&amp;Tableau6[Mois]</f>
        <v>14/8</v>
      </c>
      <c r="D229" s="102" t="e">
        <f>MATCH(Tableau6[Jours Mois]&amp;"/"&amp;Tableau6[[#Headers],[2021]],tabSuiviConso[Jour Mois Année],0)</f>
        <v>#N/A</v>
      </c>
      <c r="E229" s="102" t="str">
        <f>IF(ISNA(Tableau6[[#This Row],[Position 2021]]),"",INDEX(tabSuiviConso[HP + HC
cumul],Tableau6[[#This Row],[Position 2021]],1))</f>
        <v/>
      </c>
      <c r="F229" s="123" t="e">
        <f>IF(ISNA(Tableau6[[#This Row],[Position 2021]]),Tableau6[[#This Row],[Position 2021]],Tableau6[[#This Row],[2021]]-E$2)</f>
        <v>#N/A</v>
      </c>
      <c r="G229" s="102" t="e">
        <f>MATCH(Tableau6[Jours Mois]&amp;"/"&amp;Tableau6[[#Headers],[2022]],tabSuiviConso[Jour Mois Année],0)</f>
        <v>#N/A</v>
      </c>
      <c r="H229" s="102" t="str">
        <f>IF(ISNA(Tableau6[[#This Row],[Position 2022]]),"",INDEX(tabSuiviConso[HP + HC
cumul],Tableau6[[#This Row],[Position 2022]],1))</f>
        <v/>
      </c>
      <c r="I229" s="123" t="e">
        <f>IF(ISNA(Tableau6[[#This Row],[Position 2022]]),Tableau6[[#This Row],[Position 2022]],Tableau6[[#This Row],[2022]]-H$2)</f>
        <v>#N/A</v>
      </c>
      <c r="J229" s="102" t="e">
        <f>MATCH(Tableau6[Jours Mois]&amp;"/"&amp;Tableau6[[#Headers],[2023]],tabSuiviConso[Jour Mois Année],0)</f>
        <v>#N/A</v>
      </c>
      <c r="K229" s="102" t="e">
        <f>Tableau6[[#This Row],[Cumul 2022]]-Tableau6[[#This Row],[Cumul 2021]]</f>
        <v>#N/A</v>
      </c>
      <c r="L229" s="104" t="e">
        <f>Tableau6[[#This Row],[Ecart 2021 2022]]/Tableau6[[#This Row],[Cumul 2021]]</f>
        <v>#N/A</v>
      </c>
      <c r="M229" s="102" t="str">
        <f>IF(ISNA(Tableau6[[#This Row],[Position 2023]]),"",INDEX(tabSuiviConso[HP + HC
cumul],Tableau6[[#This Row],[Position 2023]],1))</f>
        <v/>
      </c>
      <c r="N229" s="123" t="e">
        <f>IF(ISNA(Tableau6[[#This Row],[Position 2023]]),Tableau6[[#This Row],[Position 2023]],Tableau6[[#This Row],[2023]]-M$2)</f>
        <v>#N/A</v>
      </c>
      <c r="O229" s="102" t="e">
        <f>Tableau6[[#This Row],[Cumul 2023]]-Tableau6[[#This Row],[Cumul 2022]]</f>
        <v>#N/A</v>
      </c>
      <c r="P229" s="104" t="e">
        <f>Tableau6[[#This Row],[Ecart 2022 2023]]/Tableau6[[#This Row],[Cumul 2022]]</f>
        <v>#N/A</v>
      </c>
      <c r="Q229" s="102" t="e">
        <f>MATCH(Tableau6[Jours Mois]&amp;"/"&amp;Tableau6[[#Headers],[2024]],tabSuiviConso[Jour Mois Année],0)</f>
        <v>#N/A</v>
      </c>
      <c r="R229" s="102" t="str">
        <f>IF(ISNA(Tableau6[[#This Row],[Position 2024]]),"",INDEX(tabSuiviConso[HP + HC
cumul],Tableau6[[#This Row],[Position 2024]],1))</f>
        <v/>
      </c>
      <c r="S229" s="123" t="e">
        <f>IF(ISNA(Tableau6[[#This Row],[Position 2024]]),Tableau6[[#This Row],[Position 2024]],Tableau6[[#This Row],[2024]]-R$2)</f>
        <v>#N/A</v>
      </c>
      <c r="T229" s="102" t="e">
        <f>Tableau6[[#This Row],[Cumul 2024]]-Tableau6[[#This Row],[Cumul 2023]]</f>
        <v>#N/A</v>
      </c>
      <c r="U229" s="103" t="e">
        <f>Tableau6[[#This Row],[Ecart 2023 2024]]/Tableau6[[#This Row],[Cumul 2023]]</f>
        <v>#N/A</v>
      </c>
    </row>
    <row r="230" spans="1:21" x14ac:dyDescent="0.2">
      <c r="A230" s="102">
        <v>8</v>
      </c>
      <c r="B230" s="102">
        <v>15</v>
      </c>
      <c r="C230" s="102" t="str">
        <f>Tableau6[Jour]&amp;"/"&amp;Tableau6[Mois]</f>
        <v>15/8</v>
      </c>
      <c r="D230" s="102" t="e">
        <f>MATCH(Tableau6[Jours Mois]&amp;"/"&amp;Tableau6[[#Headers],[2021]],tabSuiviConso[Jour Mois Année],0)</f>
        <v>#N/A</v>
      </c>
      <c r="E230" s="102" t="str">
        <f>IF(ISNA(Tableau6[[#This Row],[Position 2021]]),"",INDEX(tabSuiviConso[HP + HC
cumul],Tableau6[[#This Row],[Position 2021]],1))</f>
        <v/>
      </c>
      <c r="F230" s="123" t="e">
        <f>IF(ISNA(Tableau6[[#This Row],[Position 2021]]),Tableau6[[#This Row],[Position 2021]],Tableau6[[#This Row],[2021]]-E$2)</f>
        <v>#N/A</v>
      </c>
      <c r="G230" s="102" t="e">
        <f>MATCH(Tableau6[Jours Mois]&amp;"/"&amp;Tableau6[[#Headers],[2022]],tabSuiviConso[Jour Mois Année],0)</f>
        <v>#N/A</v>
      </c>
      <c r="H230" s="102" t="str">
        <f>IF(ISNA(Tableau6[[#This Row],[Position 2022]]),"",INDEX(tabSuiviConso[HP + HC
cumul],Tableau6[[#This Row],[Position 2022]],1))</f>
        <v/>
      </c>
      <c r="I230" s="123" t="e">
        <f>IF(ISNA(Tableau6[[#This Row],[Position 2022]]),Tableau6[[#This Row],[Position 2022]],Tableau6[[#This Row],[2022]]-H$2)</f>
        <v>#N/A</v>
      </c>
      <c r="J230" s="102" t="e">
        <f>MATCH(Tableau6[Jours Mois]&amp;"/"&amp;Tableau6[[#Headers],[2023]],tabSuiviConso[Jour Mois Année],0)</f>
        <v>#N/A</v>
      </c>
      <c r="K230" s="102" t="e">
        <f>Tableau6[[#This Row],[Cumul 2022]]-Tableau6[[#This Row],[Cumul 2021]]</f>
        <v>#N/A</v>
      </c>
      <c r="L230" s="104" t="e">
        <f>Tableau6[[#This Row],[Ecart 2021 2022]]/Tableau6[[#This Row],[Cumul 2021]]</f>
        <v>#N/A</v>
      </c>
      <c r="M230" s="102" t="str">
        <f>IF(ISNA(Tableau6[[#This Row],[Position 2023]]),"",INDEX(tabSuiviConso[HP + HC
cumul],Tableau6[[#This Row],[Position 2023]],1))</f>
        <v/>
      </c>
      <c r="N230" s="123" t="e">
        <f>IF(ISNA(Tableau6[[#This Row],[Position 2023]]),Tableau6[[#This Row],[Position 2023]],Tableau6[[#This Row],[2023]]-M$2)</f>
        <v>#N/A</v>
      </c>
      <c r="O230" s="102" t="e">
        <f>Tableau6[[#This Row],[Cumul 2023]]-Tableau6[[#This Row],[Cumul 2022]]</f>
        <v>#N/A</v>
      </c>
      <c r="P230" s="104" t="e">
        <f>Tableau6[[#This Row],[Ecart 2022 2023]]/Tableau6[[#This Row],[Cumul 2022]]</f>
        <v>#N/A</v>
      </c>
      <c r="Q230" s="102" t="e">
        <f>MATCH(Tableau6[Jours Mois]&amp;"/"&amp;Tableau6[[#Headers],[2024]],tabSuiviConso[Jour Mois Année],0)</f>
        <v>#N/A</v>
      </c>
      <c r="R230" s="102" t="str">
        <f>IF(ISNA(Tableau6[[#This Row],[Position 2024]]),"",INDEX(tabSuiviConso[HP + HC
cumul],Tableau6[[#This Row],[Position 2024]],1))</f>
        <v/>
      </c>
      <c r="S230" s="123" t="e">
        <f>IF(ISNA(Tableau6[[#This Row],[Position 2024]]),Tableau6[[#This Row],[Position 2024]],Tableau6[[#This Row],[2024]]-R$2)</f>
        <v>#N/A</v>
      </c>
      <c r="T230" s="102" t="e">
        <f>Tableau6[[#This Row],[Cumul 2024]]-Tableau6[[#This Row],[Cumul 2023]]</f>
        <v>#N/A</v>
      </c>
      <c r="U230" s="103" t="e">
        <f>Tableau6[[#This Row],[Ecart 2023 2024]]/Tableau6[[#This Row],[Cumul 2023]]</f>
        <v>#N/A</v>
      </c>
    </row>
    <row r="231" spans="1:21" x14ac:dyDescent="0.2">
      <c r="A231" s="102">
        <v>8</v>
      </c>
      <c r="B231" s="102">
        <v>16</v>
      </c>
      <c r="C231" s="102" t="str">
        <f>Tableau6[Jour]&amp;"/"&amp;Tableau6[Mois]</f>
        <v>16/8</v>
      </c>
      <c r="D231" s="102" t="e">
        <f>MATCH(Tableau6[Jours Mois]&amp;"/"&amp;Tableau6[[#Headers],[2021]],tabSuiviConso[Jour Mois Année],0)</f>
        <v>#N/A</v>
      </c>
      <c r="E231" s="102" t="str">
        <f>IF(ISNA(Tableau6[[#This Row],[Position 2021]]),"",INDEX(tabSuiviConso[HP + HC
cumul],Tableau6[[#This Row],[Position 2021]],1))</f>
        <v/>
      </c>
      <c r="F231" s="123" t="e">
        <f>IF(ISNA(Tableau6[[#This Row],[Position 2021]]),Tableau6[[#This Row],[Position 2021]],Tableau6[[#This Row],[2021]]-E$2)</f>
        <v>#N/A</v>
      </c>
      <c r="G231" s="102" t="e">
        <f>MATCH(Tableau6[Jours Mois]&amp;"/"&amp;Tableau6[[#Headers],[2022]],tabSuiviConso[Jour Mois Année],0)</f>
        <v>#N/A</v>
      </c>
      <c r="H231" s="102" t="str">
        <f>IF(ISNA(Tableau6[[#This Row],[Position 2022]]),"",INDEX(tabSuiviConso[HP + HC
cumul],Tableau6[[#This Row],[Position 2022]],1))</f>
        <v/>
      </c>
      <c r="I231" s="123" t="e">
        <f>IF(ISNA(Tableau6[[#This Row],[Position 2022]]),Tableau6[[#This Row],[Position 2022]],Tableau6[[#This Row],[2022]]-H$2)</f>
        <v>#N/A</v>
      </c>
      <c r="J231" s="102" t="e">
        <f>MATCH(Tableau6[Jours Mois]&amp;"/"&amp;Tableau6[[#Headers],[2023]],tabSuiviConso[Jour Mois Année],0)</f>
        <v>#N/A</v>
      </c>
      <c r="K231" s="102" t="e">
        <f>Tableau6[[#This Row],[Cumul 2022]]-Tableau6[[#This Row],[Cumul 2021]]</f>
        <v>#N/A</v>
      </c>
      <c r="L231" s="104" t="e">
        <f>Tableau6[[#This Row],[Ecart 2021 2022]]/Tableau6[[#This Row],[Cumul 2021]]</f>
        <v>#N/A</v>
      </c>
      <c r="M231" s="102" t="str">
        <f>IF(ISNA(Tableau6[[#This Row],[Position 2023]]),"",INDEX(tabSuiviConso[HP + HC
cumul],Tableau6[[#This Row],[Position 2023]],1))</f>
        <v/>
      </c>
      <c r="N231" s="123" t="e">
        <f>IF(ISNA(Tableau6[[#This Row],[Position 2023]]),Tableau6[[#This Row],[Position 2023]],Tableau6[[#This Row],[2023]]-M$2)</f>
        <v>#N/A</v>
      </c>
      <c r="O231" s="102" t="e">
        <f>Tableau6[[#This Row],[Cumul 2023]]-Tableau6[[#This Row],[Cumul 2022]]</f>
        <v>#N/A</v>
      </c>
      <c r="P231" s="104" t="e">
        <f>Tableau6[[#This Row],[Ecart 2022 2023]]/Tableau6[[#This Row],[Cumul 2022]]</f>
        <v>#N/A</v>
      </c>
      <c r="Q231" s="102" t="e">
        <f>MATCH(Tableau6[Jours Mois]&amp;"/"&amp;Tableau6[[#Headers],[2024]],tabSuiviConso[Jour Mois Année],0)</f>
        <v>#N/A</v>
      </c>
      <c r="R231" s="102" t="str">
        <f>IF(ISNA(Tableau6[[#This Row],[Position 2024]]),"",INDEX(tabSuiviConso[HP + HC
cumul],Tableau6[[#This Row],[Position 2024]],1))</f>
        <v/>
      </c>
      <c r="S231" s="123" t="e">
        <f>IF(ISNA(Tableau6[[#This Row],[Position 2024]]),Tableau6[[#This Row],[Position 2024]],Tableau6[[#This Row],[2024]]-R$2)</f>
        <v>#N/A</v>
      </c>
      <c r="T231" s="102" t="e">
        <f>Tableau6[[#This Row],[Cumul 2024]]-Tableau6[[#This Row],[Cumul 2023]]</f>
        <v>#N/A</v>
      </c>
      <c r="U231" s="103" t="e">
        <f>Tableau6[[#This Row],[Ecart 2023 2024]]/Tableau6[[#This Row],[Cumul 2023]]</f>
        <v>#N/A</v>
      </c>
    </row>
    <row r="232" spans="1:21" x14ac:dyDescent="0.2">
      <c r="A232" s="102">
        <v>8</v>
      </c>
      <c r="B232" s="102">
        <v>17</v>
      </c>
      <c r="C232" s="102" t="str">
        <f>Tableau6[Jour]&amp;"/"&amp;Tableau6[Mois]</f>
        <v>17/8</v>
      </c>
      <c r="D232" s="102" t="e">
        <f>MATCH(Tableau6[Jours Mois]&amp;"/"&amp;Tableau6[[#Headers],[2021]],tabSuiviConso[Jour Mois Année],0)</f>
        <v>#N/A</v>
      </c>
      <c r="E232" s="102" t="str">
        <f>IF(ISNA(Tableau6[[#This Row],[Position 2021]]),"",INDEX(tabSuiviConso[HP + HC
cumul],Tableau6[[#This Row],[Position 2021]],1))</f>
        <v/>
      </c>
      <c r="F232" s="123" t="e">
        <f>IF(ISNA(Tableau6[[#This Row],[Position 2021]]),Tableau6[[#This Row],[Position 2021]],Tableau6[[#This Row],[2021]]-E$2)</f>
        <v>#N/A</v>
      </c>
      <c r="G232" s="102" t="e">
        <f>MATCH(Tableau6[Jours Mois]&amp;"/"&amp;Tableau6[[#Headers],[2022]],tabSuiviConso[Jour Mois Année],0)</f>
        <v>#N/A</v>
      </c>
      <c r="H232" s="102" t="str">
        <f>IF(ISNA(Tableau6[[#This Row],[Position 2022]]),"",INDEX(tabSuiviConso[HP + HC
cumul],Tableau6[[#This Row],[Position 2022]],1))</f>
        <v/>
      </c>
      <c r="I232" s="123" t="e">
        <f>IF(ISNA(Tableau6[[#This Row],[Position 2022]]),Tableau6[[#This Row],[Position 2022]],Tableau6[[#This Row],[2022]]-H$2)</f>
        <v>#N/A</v>
      </c>
      <c r="J232" s="102" t="e">
        <f>MATCH(Tableau6[Jours Mois]&amp;"/"&amp;Tableau6[[#Headers],[2023]],tabSuiviConso[Jour Mois Année],0)</f>
        <v>#N/A</v>
      </c>
      <c r="K232" s="102" t="e">
        <f>Tableau6[[#This Row],[Cumul 2022]]-Tableau6[[#This Row],[Cumul 2021]]</f>
        <v>#N/A</v>
      </c>
      <c r="L232" s="104" t="e">
        <f>Tableau6[[#This Row],[Ecart 2021 2022]]/Tableau6[[#This Row],[Cumul 2021]]</f>
        <v>#N/A</v>
      </c>
      <c r="M232" s="102" t="str">
        <f>IF(ISNA(Tableau6[[#This Row],[Position 2023]]),"",INDEX(tabSuiviConso[HP + HC
cumul],Tableau6[[#This Row],[Position 2023]],1))</f>
        <v/>
      </c>
      <c r="N232" s="123" t="e">
        <f>IF(ISNA(Tableau6[[#This Row],[Position 2023]]),Tableau6[[#This Row],[Position 2023]],Tableau6[[#This Row],[2023]]-M$2)</f>
        <v>#N/A</v>
      </c>
      <c r="O232" s="102" t="e">
        <f>Tableau6[[#This Row],[Cumul 2023]]-Tableau6[[#This Row],[Cumul 2022]]</f>
        <v>#N/A</v>
      </c>
      <c r="P232" s="104" t="e">
        <f>Tableau6[[#This Row],[Ecart 2022 2023]]/Tableau6[[#This Row],[Cumul 2022]]</f>
        <v>#N/A</v>
      </c>
      <c r="Q232" s="102" t="e">
        <f>MATCH(Tableau6[Jours Mois]&amp;"/"&amp;Tableau6[[#Headers],[2024]],tabSuiviConso[Jour Mois Année],0)</f>
        <v>#N/A</v>
      </c>
      <c r="R232" s="102" t="str">
        <f>IF(ISNA(Tableau6[[#This Row],[Position 2024]]),"",INDEX(tabSuiviConso[HP + HC
cumul],Tableau6[[#This Row],[Position 2024]],1))</f>
        <v/>
      </c>
      <c r="S232" s="123" t="e">
        <f>IF(ISNA(Tableau6[[#This Row],[Position 2024]]),Tableau6[[#This Row],[Position 2024]],Tableau6[[#This Row],[2024]]-R$2)</f>
        <v>#N/A</v>
      </c>
      <c r="T232" s="102" t="e">
        <f>Tableau6[[#This Row],[Cumul 2024]]-Tableau6[[#This Row],[Cumul 2023]]</f>
        <v>#N/A</v>
      </c>
      <c r="U232" s="103" t="e">
        <f>Tableau6[[#This Row],[Ecart 2023 2024]]/Tableau6[[#This Row],[Cumul 2023]]</f>
        <v>#N/A</v>
      </c>
    </row>
    <row r="233" spans="1:21" x14ac:dyDescent="0.2">
      <c r="A233" s="102">
        <v>8</v>
      </c>
      <c r="B233" s="102">
        <v>18</v>
      </c>
      <c r="C233" s="102" t="str">
        <f>Tableau6[Jour]&amp;"/"&amp;Tableau6[Mois]</f>
        <v>18/8</v>
      </c>
      <c r="D233" s="102" t="e">
        <f>MATCH(Tableau6[Jours Mois]&amp;"/"&amp;Tableau6[[#Headers],[2021]],tabSuiviConso[Jour Mois Année],0)</f>
        <v>#N/A</v>
      </c>
      <c r="E233" s="102" t="str">
        <f>IF(ISNA(Tableau6[[#This Row],[Position 2021]]),"",INDEX(tabSuiviConso[HP + HC
cumul],Tableau6[[#This Row],[Position 2021]],1))</f>
        <v/>
      </c>
      <c r="F233" s="123" t="e">
        <f>IF(ISNA(Tableau6[[#This Row],[Position 2021]]),Tableau6[[#This Row],[Position 2021]],Tableau6[[#This Row],[2021]]-E$2)</f>
        <v>#N/A</v>
      </c>
      <c r="G233" s="102" t="e">
        <f>MATCH(Tableau6[Jours Mois]&amp;"/"&amp;Tableau6[[#Headers],[2022]],tabSuiviConso[Jour Mois Année],0)</f>
        <v>#N/A</v>
      </c>
      <c r="H233" s="102" t="str">
        <f>IF(ISNA(Tableau6[[#This Row],[Position 2022]]),"",INDEX(tabSuiviConso[HP + HC
cumul],Tableau6[[#This Row],[Position 2022]],1))</f>
        <v/>
      </c>
      <c r="I233" s="123" t="e">
        <f>IF(ISNA(Tableau6[[#This Row],[Position 2022]]),Tableau6[[#This Row],[Position 2022]],Tableau6[[#This Row],[2022]]-H$2)</f>
        <v>#N/A</v>
      </c>
      <c r="J233" s="102" t="e">
        <f>MATCH(Tableau6[Jours Mois]&amp;"/"&amp;Tableau6[[#Headers],[2023]],tabSuiviConso[Jour Mois Année],0)</f>
        <v>#N/A</v>
      </c>
      <c r="K233" s="102" t="e">
        <f>Tableau6[[#This Row],[Cumul 2022]]-Tableau6[[#This Row],[Cumul 2021]]</f>
        <v>#N/A</v>
      </c>
      <c r="L233" s="104" t="e">
        <f>Tableau6[[#This Row],[Ecart 2021 2022]]/Tableau6[[#This Row],[Cumul 2021]]</f>
        <v>#N/A</v>
      </c>
      <c r="M233" s="102" t="str">
        <f>IF(ISNA(Tableau6[[#This Row],[Position 2023]]),"",INDEX(tabSuiviConso[HP + HC
cumul],Tableau6[[#This Row],[Position 2023]],1))</f>
        <v/>
      </c>
      <c r="N233" s="123" t="e">
        <f>IF(ISNA(Tableau6[[#This Row],[Position 2023]]),Tableau6[[#This Row],[Position 2023]],Tableau6[[#This Row],[2023]]-M$2)</f>
        <v>#N/A</v>
      </c>
      <c r="O233" s="102" t="e">
        <f>Tableau6[[#This Row],[Cumul 2023]]-Tableau6[[#This Row],[Cumul 2022]]</f>
        <v>#N/A</v>
      </c>
      <c r="P233" s="104" t="e">
        <f>Tableau6[[#This Row],[Ecart 2022 2023]]/Tableau6[[#This Row],[Cumul 2022]]</f>
        <v>#N/A</v>
      </c>
      <c r="Q233" s="102" t="e">
        <f>MATCH(Tableau6[Jours Mois]&amp;"/"&amp;Tableau6[[#Headers],[2024]],tabSuiviConso[Jour Mois Année],0)</f>
        <v>#N/A</v>
      </c>
      <c r="R233" s="102" t="str">
        <f>IF(ISNA(Tableau6[[#This Row],[Position 2024]]),"",INDEX(tabSuiviConso[HP + HC
cumul],Tableau6[[#This Row],[Position 2024]],1))</f>
        <v/>
      </c>
      <c r="S233" s="123" t="e">
        <f>IF(ISNA(Tableau6[[#This Row],[Position 2024]]),Tableau6[[#This Row],[Position 2024]],Tableau6[[#This Row],[2024]]-R$2)</f>
        <v>#N/A</v>
      </c>
      <c r="T233" s="102" t="e">
        <f>Tableau6[[#This Row],[Cumul 2024]]-Tableau6[[#This Row],[Cumul 2023]]</f>
        <v>#N/A</v>
      </c>
      <c r="U233" s="103" t="e">
        <f>Tableau6[[#This Row],[Ecart 2023 2024]]/Tableau6[[#This Row],[Cumul 2023]]</f>
        <v>#N/A</v>
      </c>
    </row>
    <row r="234" spans="1:21" x14ac:dyDescent="0.2">
      <c r="A234" s="102">
        <v>8</v>
      </c>
      <c r="B234" s="102">
        <v>19</v>
      </c>
      <c r="C234" s="102" t="str">
        <f>Tableau6[Jour]&amp;"/"&amp;Tableau6[Mois]</f>
        <v>19/8</v>
      </c>
      <c r="D234" s="102" t="e">
        <f>MATCH(Tableau6[Jours Mois]&amp;"/"&amp;Tableau6[[#Headers],[2021]],tabSuiviConso[Jour Mois Année],0)</f>
        <v>#N/A</v>
      </c>
      <c r="E234" s="102" t="str">
        <f>IF(ISNA(Tableau6[[#This Row],[Position 2021]]),"",INDEX(tabSuiviConso[HP + HC
cumul],Tableau6[[#This Row],[Position 2021]],1))</f>
        <v/>
      </c>
      <c r="F234" s="123" t="e">
        <f>IF(ISNA(Tableau6[[#This Row],[Position 2021]]),Tableau6[[#This Row],[Position 2021]],Tableau6[[#This Row],[2021]]-E$2)</f>
        <v>#N/A</v>
      </c>
      <c r="G234" s="102" t="e">
        <f>MATCH(Tableau6[Jours Mois]&amp;"/"&amp;Tableau6[[#Headers],[2022]],tabSuiviConso[Jour Mois Année],0)</f>
        <v>#N/A</v>
      </c>
      <c r="H234" s="102" t="str">
        <f>IF(ISNA(Tableau6[[#This Row],[Position 2022]]),"",INDEX(tabSuiviConso[HP + HC
cumul],Tableau6[[#This Row],[Position 2022]],1))</f>
        <v/>
      </c>
      <c r="I234" s="123" t="e">
        <f>IF(ISNA(Tableau6[[#This Row],[Position 2022]]),Tableau6[[#This Row],[Position 2022]],Tableau6[[#This Row],[2022]]-H$2)</f>
        <v>#N/A</v>
      </c>
      <c r="J234" s="102" t="e">
        <f>MATCH(Tableau6[Jours Mois]&amp;"/"&amp;Tableau6[[#Headers],[2023]],tabSuiviConso[Jour Mois Année],0)</f>
        <v>#N/A</v>
      </c>
      <c r="K234" s="102" t="e">
        <f>Tableau6[[#This Row],[Cumul 2022]]-Tableau6[[#This Row],[Cumul 2021]]</f>
        <v>#N/A</v>
      </c>
      <c r="L234" s="104" t="e">
        <f>Tableau6[[#This Row],[Ecart 2021 2022]]/Tableau6[[#This Row],[Cumul 2021]]</f>
        <v>#N/A</v>
      </c>
      <c r="M234" s="102" t="str">
        <f>IF(ISNA(Tableau6[[#This Row],[Position 2023]]),"",INDEX(tabSuiviConso[HP + HC
cumul],Tableau6[[#This Row],[Position 2023]],1))</f>
        <v/>
      </c>
      <c r="N234" s="123" t="e">
        <f>IF(ISNA(Tableau6[[#This Row],[Position 2023]]),Tableau6[[#This Row],[Position 2023]],Tableau6[[#This Row],[2023]]-M$2)</f>
        <v>#N/A</v>
      </c>
      <c r="O234" s="102" t="e">
        <f>Tableau6[[#This Row],[Cumul 2023]]-Tableau6[[#This Row],[Cumul 2022]]</f>
        <v>#N/A</v>
      </c>
      <c r="P234" s="104" t="e">
        <f>Tableau6[[#This Row],[Ecart 2022 2023]]/Tableau6[[#This Row],[Cumul 2022]]</f>
        <v>#N/A</v>
      </c>
      <c r="Q234" s="102" t="e">
        <f>MATCH(Tableau6[Jours Mois]&amp;"/"&amp;Tableau6[[#Headers],[2024]],tabSuiviConso[Jour Mois Année],0)</f>
        <v>#N/A</v>
      </c>
      <c r="R234" s="102" t="str">
        <f>IF(ISNA(Tableau6[[#This Row],[Position 2024]]),"",INDEX(tabSuiviConso[HP + HC
cumul],Tableau6[[#This Row],[Position 2024]],1))</f>
        <v/>
      </c>
      <c r="S234" s="123" t="e">
        <f>IF(ISNA(Tableau6[[#This Row],[Position 2024]]),Tableau6[[#This Row],[Position 2024]],Tableau6[[#This Row],[2024]]-R$2)</f>
        <v>#N/A</v>
      </c>
      <c r="T234" s="102" t="e">
        <f>Tableau6[[#This Row],[Cumul 2024]]-Tableau6[[#This Row],[Cumul 2023]]</f>
        <v>#N/A</v>
      </c>
      <c r="U234" s="103" t="e">
        <f>Tableau6[[#This Row],[Ecart 2023 2024]]/Tableau6[[#This Row],[Cumul 2023]]</f>
        <v>#N/A</v>
      </c>
    </row>
    <row r="235" spans="1:21" x14ac:dyDescent="0.2">
      <c r="A235" s="102">
        <v>8</v>
      </c>
      <c r="B235" s="102">
        <v>20</v>
      </c>
      <c r="C235" s="102" t="str">
        <f>Tableau6[Jour]&amp;"/"&amp;Tableau6[Mois]</f>
        <v>20/8</v>
      </c>
      <c r="D235" s="102" t="e">
        <f>MATCH(Tableau6[Jours Mois]&amp;"/"&amp;Tableau6[[#Headers],[2021]],tabSuiviConso[Jour Mois Année],0)</f>
        <v>#N/A</v>
      </c>
      <c r="E235" s="102" t="str">
        <f>IF(ISNA(Tableau6[[#This Row],[Position 2021]]),"",INDEX(tabSuiviConso[HP + HC
cumul],Tableau6[[#This Row],[Position 2021]],1))</f>
        <v/>
      </c>
      <c r="F235" s="123" t="e">
        <f>IF(ISNA(Tableau6[[#This Row],[Position 2021]]),Tableau6[[#This Row],[Position 2021]],Tableau6[[#This Row],[2021]]-E$2)</f>
        <v>#N/A</v>
      </c>
      <c r="G235" s="102" t="e">
        <f>MATCH(Tableau6[Jours Mois]&amp;"/"&amp;Tableau6[[#Headers],[2022]],tabSuiviConso[Jour Mois Année],0)</f>
        <v>#N/A</v>
      </c>
      <c r="H235" s="102" t="str">
        <f>IF(ISNA(Tableau6[[#This Row],[Position 2022]]),"",INDEX(tabSuiviConso[HP + HC
cumul],Tableau6[[#This Row],[Position 2022]],1))</f>
        <v/>
      </c>
      <c r="I235" s="123" t="e">
        <f>IF(ISNA(Tableau6[[#This Row],[Position 2022]]),Tableau6[[#This Row],[Position 2022]],Tableau6[[#This Row],[2022]]-H$2)</f>
        <v>#N/A</v>
      </c>
      <c r="J235" s="102" t="e">
        <f>MATCH(Tableau6[Jours Mois]&amp;"/"&amp;Tableau6[[#Headers],[2023]],tabSuiviConso[Jour Mois Année],0)</f>
        <v>#N/A</v>
      </c>
      <c r="K235" s="102" t="e">
        <f>Tableau6[[#This Row],[Cumul 2022]]-Tableau6[[#This Row],[Cumul 2021]]</f>
        <v>#N/A</v>
      </c>
      <c r="L235" s="104" t="e">
        <f>Tableau6[[#This Row],[Ecart 2021 2022]]/Tableau6[[#This Row],[Cumul 2021]]</f>
        <v>#N/A</v>
      </c>
      <c r="M235" s="102" t="str">
        <f>IF(ISNA(Tableau6[[#This Row],[Position 2023]]),"",INDEX(tabSuiviConso[HP + HC
cumul],Tableau6[[#This Row],[Position 2023]],1))</f>
        <v/>
      </c>
      <c r="N235" s="123" t="e">
        <f>IF(ISNA(Tableau6[[#This Row],[Position 2023]]),Tableau6[[#This Row],[Position 2023]],Tableau6[[#This Row],[2023]]-M$2)</f>
        <v>#N/A</v>
      </c>
      <c r="O235" s="102" t="e">
        <f>Tableau6[[#This Row],[Cumul 2023]]-Tableau6[[#This Row],[Cumul 2022]]</f>
        <v>#N/A</v>
      </c>
      <c r="P235" s="104" t="e">
        <f>Tableau6[[#This Row],[Ecart 2022 2023]]/Tableau6[[#This Row],[Cumul 2022]]</f>
        <v>#N/A</v>
      </c>
      <c r="Q235" s="102" t="e">
        <f>MATCH(Tableau6[Jours Mois]&amp;"/"&amp;Tableau6[[#Headers],[2024]],tabSuiviConso[Jour Mois Année],0)</f>
        <v>#N/A</v>
      </c>
      <c r="R235" s="102" t="str">
        <f>IF(ISNA(Tableau6[[#This Row],[Position 2024]]),"",INDEX(tabSuiviConso[HP + HC
cumul],Tableau6[[#This Row],[Position 2024]],1))</f>
        <v/>
      </c>
      <c r="S235" s="123" t="e">
        <f>IF(ISNA(Tableau6[[#This Row],[Position 2024]]),Tableau6[[#This Row],[Position 2024]],Tableau6[[#This Row],[2024]]-R$2)</f>
        <v>#N/A</v>
      </c>
      <c r="T235" s="102" t="e">
        <f>Tableau6[[#This Row],[Cumul 2024]]-Tableau6[[#This Row],[Cumul 2023]]</f>
        <v>#N/A</v>
      </c>
      <c r="U235" s="103" t="e">
        <f>Tableau6[[#This Row],[Ecart 2023 2024]]/Tableau6[[#This Row],[Cumul 2023]]</f>
        <v>#N/A</v>
      </c>
    </row>
    <row r="236" spans="1:21" x14ac:dyDescent="0.2">
      <c r="A236" s="102">
        <v>8</v>
      </c>
      <c r="B236" s="102">
        <v>21</v>
      </c>
      <c r="C236" s="102" t="str">
        <f>Tableau6[Jour]&amp;"/"&amp;Tableau6[Mois]</f>
        <v>21/8</v>
      </c>
      <c r="D236" s="102" t="e">
        <f>MATCH(Tableau6[Jours Mois]&amp;"/"&amp;Tableau6[[#Headers],[2021]],tabSuiviConso[Jour Mois Année],0)</f>
        <v>#N/A</v>
      </c>
      <c r="E236" s="102" t="str">
        <f>IF(ISNA(Tableau6[[#This Row],[Position 2021]]),"",INDEX(tabSuiviConso[HP + HC
cumul],Tableau6[[#This Row],[Position 2021]],1))</f>
        <v/>
      </c>
      <c r="F236" s="123" t="e">
        <f>IF(ISNA(Tableau6[[#This Row],[Position 2021]]),Tableau6[[#This Row],[Position 2021]],Tableau6[[#This Row],[2021]]-E$2)</f>
        <v>#N/A</v>
      </c>
      <c r="G236" s="102" t="e">
        <f>MATCH(Tableau6[Jours Mois]&amp;"/"&amp;Tableau6[[#Headers],[2022]],tabSuiviConso[Jour Mois Année],0)</f>
        <v>#N/A</v>
      </c>
      <c r="H236" s="102" t="str">
        <f>IF(ISNA(Tableau6[[#This Row],[Position 2022]]),"",INDEX(tabSuiviConso[HP + HC
cumul],Tableau6[[#This Row],[Position 2022]],1))</f>
        <v/>
      </c>
      <c r="I236" s="123" t="e">
        <f>IF(ISNA(Tableau6[[#This Row],[Position 2022]]),Tableau6[[#This Row],[Position 2022]],Tableau6[[#This Row],[2022]]-H$2)</f>
        <v>#N/A</v>
      </c>
      <c r="J236" s="102" t="e">
        <f>MATCH(Tableau6[Jours Mois]&amp;"/"&amp;Tableau6[[#Headers],[2023]],tabSuiviConso[Jour Mois Année],0)</f>
        <v>#N/A</v>
      </c>
      <c r="K236" s="102" t="e">
        <f>Tableau6[[#This Row],[Cumul 2022]]-Tableau6[[#This Row],[Cumul 2021]]</f>
        <v>#N/A</v>
      </c>
      <c r="L236" s="104" t="e">
        <f>Tableau6[[#This Row],[Ecart 2021 2022]]/Tableau6[[#This Row],[Cumul 2021]]</f>
        <v>#N/A</v>
      </c>
      <c r="M236" s="102" t="str">
        <f>IF(ISNA(Tableau6[[#This Row],[Position 2023]]),"",INDEX(tabSuiviConso[HP + HC
cumul],Tableau6[[#This Row],[Position 2023]],1))</f>
        <v/>
      </c>
      <c r="N236" s="123" t="e">
        <f>IF(ISNA(Tableau6[[#This Row],[Position 2023]]),Tableau6[[#This Row],[Position 2023]],Tableau6[[#This Row],[2023]]-M$2)</f>
        <v>#N/A</v>
      </c>
      <c r="O236" s="102" t="e">
        <f>Tableau6[[#This Row],[Cumul 2023]]-Tableau6[[#This Row],[Cumul 2022]]</f>
        <v>#N/A</v>
      </c>
      <c r="P236" s="104" t="e">
        <f>Tableau6[[#This Row],[Ecart 2022 2023]]/Tableau6[[#This Row],[Cumul 2022]]</f>
        <v>#N/A</v>
      </c>
      <c r="Q236" s="102" t="e">
        <f>MATCH(Tableau6[Jours Mois]&amp;"/"&amp;Tableau6[[#Headers],[2024]],tabSuiviConso[Jour Mois Année],0)</f>
        <v>#N/A</v>
      </c>
      <c r="R236" s="102" t="str">
        <f>IF(ISNA(Tableau6[[#This Row],[Position 2024]]),"",INDEX(tabSuiviConso[HP + HC
cumul],Tableau6[[#This Row],[Position 2024]],1))</f>
        <v/>
      </c>
      <c r="S236" s="123" t="e">
        <f>IF(ISNA(Tableau6[[#This Row],[Position 2024]]),Tableau6[[#This Row],[Position 2024]],Tableau6[[#This Row],[2024]]-R$2)</f>
        <v>#N/A</v>
      </c>
      <c r="T236" s="102" t="e">
        <f>Tableau6[[#This Row],[Cumul 2024]]-Tableau6[[#This Row],[Cumul 2023]]</f>
        <v>#N/A</v>
      </c>
      <c r="U236" s="103" t="e">
        <f>Tableau6[[#This Row],[Ecart 2023 2024]]/Tableau6[[#This Row],[Cumul 2023]]</f>
        <v>#N/A</v>
      </c>
    </row>
    <row r="237" spans="1:21" x14ac:dyDescent="0.2">
      <c r="A237" s="102">
        <v>8</v>
      </c>
      <c r="B237" s="102">
        <v>22</v>
      </c>
      <c r="C237" s="102" t="str">
        <f>Tableau6[Jour]&amp;"/"&amp;Tableau6[Mois]</f>
        <v>22/8</v>
      </c>
      <c r="D237" s="102" t="e">
        <f>MATCH(Tableau6[Jours Mois]&amp;"/"&amp;Tableau6[[#Headers],[2021]],tabSuiviConso[Jour Mois Année],0)</f>
        <v>#N/A</v>
      </c>
      <c r="E237" s="102" t="str">
        <f>IF(ISNA(Tableau6[[#This Row],[Position 2021]]),"",INDEX(tabSuiviConso[HP + HC
cumul],Tableau6[[#This Row],[Position 2021]],1))</f>
        <v/>
      </c>
      <c r="F237" s="123" t="e">
        <f>IF(ISNA(Tableau6[[#This Row],[Position 2021]]),Tableau6[[#This Row],[Position 2021]],Tableau6[[#This Row],[2021]]-E$2)</f>
        <v>#N/A</v>
      </c>
      <c r="G237" s="102" t="e">
        <f>MATCH(Tableau6[Jours Mois]&amp;"/"&amp;Tableau6[[#Headers],[2022]],tabSuiviConso[Jour Mois Année],0)</f>
        <v>#N/A</v>
      </c>
      <c r="H237" s="102" t="str">
        <f>IF(ISNA(Tableau6[[#This Row],[Position 2022]]),"",INDEX(tabSuiviConso[HP + HC
cumul],Tableau6[[#This Row],[Position 2022]],1))</f>
        <v/>
      </c>
      <c r="I237" s="123" t="e">
        <f>IF(ISNA(Tableau6[[#This Row],[Position 2022]]),Tableau6[[#This Row],[Position 2022]],Tableau6[[#This Row],[2022]]-H$2)</f>
        <v>#N/A</v>
      </c>
      <c r="J237" s="102" t="e">
        <f>MATCH(Tableau6[Jours Mois]&amp;"/"&amp;Tableau6[[#Headers],[2023]],tabSuiviConso[Jour Mois Année],0)</f>
        <v>#N/A</v>
      </c>
      <c r="K237" s="102" t="e">
        <f>Tableau6[[#This Row],[Cumul 2022]]-Tableau6[[#This Row],[Cumul 2021]]</f>
        <v>#N/A</v>
      </c>
      <c r="L237" s="104" t="e">
        <f>Tableau6[[#This Row],[Ecart 2021 2022]]/Tableau6[[#This Row],[Cumul 2021]]</f>
        <v>#N/A</v>
      </c>
      <c r="M237" s="102" t="str">
        <f>IF(ISNA(Tableau6[[#This Row],[Position 2023]]),"",INDEX(tabSuiviConso[HP + HC
cumul],Tableau6[[#This Row],[Position 2023]],1))</f>
        <v/>
      </c>
      <c r="N237" s="123" t="e">
        <f>IF(ISNA(Tableau6[[#This Row],[Position 2023]]),Tableau6[[#This Row],[Position 2023]],Tableau6[[#This Row],[2023]]-M$2)</f>
        <v>#N/A</v>
      </c>
      <c r="O237" s="102" t="e">
        <f>Tableau6[[#This Row],[Cumul 2023]]-Tableau6[[#This Row],[Cumul 2022]]</f>
        <v>#N/A</v>
      </c>
      <c r="P237" s="104" t="e">
        <f>Tableau6[[#This Row],[Ecart 2022 2023]]/Tableau6[[#This Row],[Cumul 2022]]</f>
        <v>#N/A</v>
      </c>
      <c r="Q237" s="102" t="e">
        <f>MATCH(Tableau6[Jours Mois]&amp;"/"&amp;Tableau6[[#Headers],[2024]],tabSuiviConso[Jour Mois Année],0)</f>
        <v>#N/A</v>
      </c>
      <c r="R237" s="102" t="str">
        <f>IF(ISNA(Tableau6[[#This Row],[Position 2024]]),"",INDEX(tabSuiviConso[HP + HC
cumul],Tableau6[[#This Row],[Position 2024]],1))</f>
        <v/>
      </c>
      <c r="S237" s="123" t="e">
        <f>IF(ISNA(Tableau6[[#This Row],[Position 2024]]),Tableau6[[#This Row],[Position 2024]],Tableau6[[#This Row],[2024]]-R$2)</f>
        <v>#N/A</v>
      </c>
      <c r="T237" s="102" t="e">
        <f>Tableau6[[#This Row],[Cumul 2024]]-Tableau6[[#This Row],[Cumul 2023]]</f>
        <v>#N/A</v>
      </c>
      <c r="U237" s="103" t="e">
        <f>Tableau6[[#This Row],[Ecart 2023 2024]]/Tableau6[[#This Row],[Cumul 2023]]</f>
        <v>#N/A</v>
      </c>
    </row>
    <row r="238" spans="1:21" x14ac:dyDescent="0.2">
      <c r="A238" s="102">
        <v>8</v>
      </c>
      <c r="B238" s="102">
        <v>23</v>
      </c>
      <c r="C238" s="102" t="str">
        <f>Tableau6[Jour]&amp;"/"&amp;Tableau6[Mois]</f>
        <v>23/8</v>
      </c>
      <c r="D238" s="102" t="e">
        <f>MATCH(Tableau6[Jours Mois]&amp;"/"&amp;Tableau6[[#Headers],[2021]],tabSuiviConso[Jour Mois Année],0)</f>
        <v>#N/A</v>
      </c>
      <c r="E238" s="102" t="str">
        <f>IF(ISNA(Tableau6[[#This Row],[Position 2021]]),"",INDEX(tabSuiviConso[HP + HC
cumul],Tableau6[[#This Row],[Position 2021]],1))</f>
        <v/>
      </c>
      <c r="F238" s="123" t="e">
        <f>IF(ISNA(Tableau6[[#This Row],[Position 2021]]),Tableau6[[#This Row],[Position 2021]],Tableau6[[#This Row],[2021]]-E$2)</f>
        <v>#N/A</v>
      </c>
      <c r="G238" s="102" t="e">
        <f>MATCH(Tableau6[Jours Mois]&amp;"/"&amp;Tableau6[[#Headers],[2022]],tabSuiviConso[Jour Mois Année],0)</f>
        <v>#N/A</v>
      </c>
      <c r="H238" s="102" t="str">
        <f>IF(ISNA(Tableau6[[#This Row],[Position 2022]]),"",INDEX(tabSuiviConso[HP + HC
cumul],Tableau6[[#This Row],[Position 2022]],1))</f>
        <v/>
      </c>
      <c r="I238" s="123" t="e">
        <f>IF(ISNA(Tableau6[[#This Row],[Position 2022]]),Tableau6[[#This Row],[Position 2022]],Tableau6[[#This Row],[2022]]-H$2)</f>
        <v>#N/A</v>
      </c>
      <c r="J238" s="102" t="e">
        <f>MATCH(Tableau6[Jours Mois]&amp;"/"&amp;Tableau6[[#Headers],[2023]],tabSuiviConso[Jour Mois Année],0)</f>
        <v>#N/A</v>
      </c>
      <c r="K238" s="102" t="e">
        <f>Tableau6[[#This Row],[Cumul 2022]]-Tableau6[[#This Row],[Cumul 2021]]</f>
        <v>#N/A</v>
      </c>
      <c r="L238" s="104" t="e">
        <f>Tableau6[[#This Row],[Ecart 2021 2022]]/Tableau6[[#This Row],[Cumul 2021]]</f>
        <v>#N/A</v>
      </c>
      <c r="M238" s="102" t="str">
        <f>IF(ISNA(Tableau6[[#This Row],[Position 2023]]),"",INDEX(tabSuiviConso[HP + HC
cumul],Tableau6[[#This Row],[Position 2023]],1))</f>
        <v/>
      </c>
      <c r="N238" s="123" t="e">
        <f>IF(ISNA(Tableau6[[#This Row],[Position 2023]]),Tableau6[[#This Row],[Position 2023]],Tableau6[[#This Row],[2023]]-M$2)</f>
        <v>#N/A</v>
      </c>
      <c r="O238" s="102" t="e">
        <f>Tableau6[[#This Row],[Cumul 2023]]-Tableau6[[#This Row],[Cumul 2022]]</f>
        <v>#N/A</v>
      </c>
      <c r="P238" s="104" t="e">
        <f>Tableau6[[#This Row],[Ecart 2022 2023]]/Tableau6[[#This Row],[Cumul 2022]]</f>
        <v>#N/A</v>
      </c>
      <c r="Q238" s="102" t="e">
        <f>MATCH(Tableau6[Jours Mois]&amp;"/"&amp;Tableau6[[#Headers],[2024]],tabSuiviConso[Jour Mois Année],0)</f>
        <v>#N/A</v>
      </c>
      <c r="R238" s="102" t="str">
        <f>IF(ISNA(Tableau6[[#This Row],[Position 2024]]),"",INDEX(tabSuiviConso[HP + HC
cumul],Tableau6[[#This Row],[Position 2024]],1))</f>
        <v/>
      </c>
      <c r="S238" s="123" t="e">
        <f>IF(ISNA(Tableau6[[#This Row],[Position 2024]]),Tableau6[[#This Row],[Position 2024]],Tableau6[[#This Row],[2024]]-R$2)</f>
        <v>#N/A</v>
      </c>
      <c r="T238" s="102" t="e">
        <f>Tableau6[[#This Row],[Cumul 2024]]-Tableau6[[#This Row],[Cumul 2023]]</f>
        <v>#N/A</v>
      </c>
      <c r="U238" s="103" t="e">
        <f>Tableau6[[#This Row],[Ecart 2023 2024]]/Tableau6[[#This Row],[Cumul 2023]]</f>
        <v>#N/A</v>
      </c>
    </row>
    <row r="239" spans="1:21" x14ac:dyDescent="0.2">
      <c r="A239" s="102">
        <v>8</v>
      </c>
      <c r="B239" s="102">
        <v>24</v>
      </c>
      <c r="C239" s="102" t="str">
        <f>Tableau6[Jour]&amp;"/"&amp;Tableau6[Mois]</f>
        <v>24/8</v>
      </c>
      <c r="D239" s="102" t="e">
        <f>MATCH(Tableau6[Jours Mois]&amp;"/"&amp;Tableau6[[#Headers],[2021]],tabSuiviConso[Jour Mois Année],0)</f>
        <v>#N/A</v>
      </c>
      <c r="E239" s="102" t="str">
        <f>IF(ISNA(Tableau6[[#This Row],[Position 2021]]),"",INDEX(tabSuiviConso[HP + HC
cumul],Tableau6[[#This Row],[Position 2021]],1))</f>
        <v/>
      </c>
      <c r="F239" s="123" t="e">
        <f>IF(ISNA(Tableau6[[#This Row],[Position 2021]]),Tableau6[[#This Row],[Position 2021]],Tableau6[[#This Row],[2021]]-E$2)</f>
        <v>#N/A</v>
      </c>
      <c r="G239" s="102" t="e">
        <f>MATCH(Tableau6[Jours Mois]&amp;"/"&amp;Tableau6[[#Headers],[2022]],tabSuiviConso[Jour Mois Année],0)</f>
        <v>#N/A</v>
      </c>
      <c r="H239" s="102" t="str">
        <f>IF(ISNA(Tableau6[[#This Row],[Position 2022]]),"",INDEX(tabSuiviConso[HP + HC
cumul],Tableau6[[#This Row],[Position 2022]],1))</f>
        <v/>
      </c>
      <c r="I239" s="123" t="e">
        <f>IF(ISNA(Tableau6[[#This Row],[Position 2022]]),Tableau6[[#This Row],[Position 2022]],Tableau6[[#This Row],[2022]]-H$2)</f>
        <v>#N/A</v>
      </c>
      <c r="J239" s="102" t="e">
        <f>MATCH(Tableau6[Jours Mois]&amp;"/"&amp;Tableau6[[#Headers],[2023]],tabSuiviConso[Jour Mois Année],0)</f>
        <v>#N/A</v>
      </c>
      <c r="K239" s="102" t="e">
        <f>Tableau6[[#This Row],[Cumul 2022]]-Tableau6[[#This Row],[Cumul 2021]]</f>
        <v>#N/A</v>
      </c>
      <c r="L239" s="104" t="e">
        <f>Tableau6[[#This Row],[Ecart 2021 2022]]/Tableau6[[#This Row],[Cumul 2021]]</f>
        <v>#N/A</v>
      </c>
      <c r="M239" s="102" t="str">
        <f>IF(ISNA(Tableau6[[#This Row],[Position 2023]]),"",INDEX(tabSuiviConso[HP + HC
cumul],Tableau6[[#This Row],[Position 2023]],1))</f>
        <v/>
      </c>
      <c r="N239" s="123" t="e">
        <f>IF(ISNA(Tableau6[[#This Row],[Position 2023]]),Tableau6[[#This Row],[Position 2023]],Tableau6[[#This Row],[2023]]-M$2)</f>
        <v>#N/A</v>
      </c>
      <c r="O239" s="102" t="e">
        <f>Tableau6[[#This Row],[Cumul 2023]]-Tableau6[[#This Row],[Cumul 2022]]</f>
        <v>#N/A</v>
      </c>
      <c r="P239" s="104" t="e">
        <f>Tableau6[[#This Row],[Ecart 2022 2023]]/Tableau6[[#This Row],[Cumul 2022]]</f>
        <v>#N/A</v>
      </c>
      <c r="Q239" s="102" t="e">
        <f>MATCH(Tableau6[Jours Mois]&amp;"/"&amp;Tableau6[[#Headers],[2024]],tabSuiviConso[Jour Mois Année],0)</f>
        <v>#N/A</v>
      </c>
      <c r="R239" s="102" t="str">
        <f>IF(ISNA(Tableau6[[#This Row],[Position 2024]]),"",INDEX(tabSuiviConso[HP + HC
cumul],Tableau6[[#This Row],[Position 2024]],1))</f>
        <v/>
      </c>
      <c r="S239" s="123" t="e">
        <f>IF(ISNA(Tableau6[[#This Row],[Position 2024]]),Tableau6[[#This Row],[Position 2024]],Tableau6[[#This Row],[2024]]-R$2)</f>
        <v>#N/A</v>
      </c>
      <c r="T239" s="102" t="e">
        <f>Tableau6[[#This Row],[Cumul 2024]]-Tableau6[[#This Row],[Cumul 2023]]</f>
        <v>#N/A</v>
      </c>
      <c r="U239" s="103" t="e">
        <f>Tableau6[[#This Row],[Ecart 2023 2024]]/Tableau6[[#This Row],[Cumul 2023]]</f>
        <v>#N/A</v>
      </c>
    </row>
    <row r="240" spans="1:21" x14ac:dyDescent="0.2">
      <c r="A240" s="102">
        <v>8</v>
      </c>
      <c r="B240" s="102">
        <v>25</v>
      </c>
      <c r="C240" s="102" t="str">
        <f>Tableau6[Jour]&amp;"/"&amp;Tableau6[Mois]</f>
        <v>25/8</v>
      </c>
      <c r="D240" s="102" t="e">
        <f>MATCH(Tableau6[Jours Mois]&amp;"/"&amp;Tableau6[[#Headers],[2021]],tabSuiviConso[Jour Mois Année],0)</f>
        <v>#N/A</v>
      </c>
      <c r="E240" s="102" t="str">
        <f>IF(ISNA(Tableau6[[#This Row],[Position 2021]]),"",INDEX(tabSuiviConso[HP + HC
cumul],Tableau6[[#This Row],[Position 2021]],1))</f>
        <v/>
      </c>
      <c r="F240" s="123" t="e">
        <f>IF(ISNA(Tableau6[[#This Row],[Position 2021]]),Tableau6[[#This Row],[Position 2021]],Tableau6[[#This Row],[2021]]-E$2)</f>
        <v>#N/A</v>
      </c>
      <c r="G240" s="102" t="e">
        <f>MATCH(Tableau6[Jours Mois]&amp;"/"&amp;Tableau6[[#Headers],[2022]],tabSuiviConso[Jour Mois Année],0)</f>
        <v>#N/A</v>
      </c>
      <c r="H240" s="102" t="str">
        <f>IF(ISNA(Tableau6[[#This Row],[Position 2022]]),"",INDEX(tabSuiviConso[HP + HC
cumul],Tableau6[[#This Row],[Position 2022]],1))</f>
        <v/>
      </c>
      <c r="I240" s="123" t="e">
        <f>IF(ISNA(Tableau6[[#This Row],[Position 2022]]),Tableau6[[#This Row],[Position 2022]],Tableau6[[#This Row],[2022]]-H$2)</f>
        <v>#N/A</v>
      </c>
      <c r="J240" s="102" t="e">
        <f>MATCH(Tableau6[Jours Mois]&amp;"/"&amp;Tableau6[[#Headers],[2023]],tabSuiviConso[Jour Mois Année],0)</f>
        <v>#N/A</v>
      </c>
      <c r="K240" s="102" t="e">
        <f>Tableau6[[#This Row],[Cumul 2022]]-Tableau6[[#This Row],[Cumul 2021]]</f>
        <v>#N/A</v>
      </c>
      <c r="L240" s="104" t="e">
        <f>Tableau6[[#This Row],[Ecart 2021 2022]]/Tableau6[[#This Row],[Cumul 2021]]</f>
        <v>#N/A</v>
      </c>
      <c r="M240" s="102" t="str">
        <f>IF(ISNA(Tableau6[[#This Row],[Position 2023]]),"",INDEX(tabSuiviConso[HP + HC
cumul],Tableau6[[#This Row],[Position 2023]],1))</f>
        <v/>
      </c>
      <c r="N240" s="123" t="e">
        <f>IF(ISNA(Tableau6[[#This Row],[Position 2023]]),Tableau6[[#This Row],[Position 2023]],Tableau6[[#This Row],[2023]]-M$2)</f>
        <v>#N/A</v>
      </c>
      <c r="O240" s="102" t="e">
        <f>Tableau6[[#This Row],[Cumul 2023]]-Tableau6[[#This Row],[Cumul 2022]]</f>
        <v>#N/A</v>
      </c>
      <c r="P240" s="104" t="e">
        <f>Tableau6[[#This Row],[Ecart 2022 2023]]/Tableau6[[#This Row],[Cumul 2022]]</f>
        <v>#N/A</v>
      </c>
      <c r="Q240" s="102" t="e">
        <f>MATCH(Tableau6[Jours Mois]&amp;"/"&amp;Tableau6[[#Headers],[2024]],tabSuiviConso[Jour Mois Année],0)</f>
        <v>#N/A</v>
      </c>
      <c r="R240" s="102" t="str">
        <f>IF(ISNA(Tableau6[[#This Row],[Position 2024]]),"",INDEX(tabSuiviConso[HP + HC
cumul],Tableau6[[#This Row],[Position 2024]],1))</f>
        <v/>
      </c>
      <c r="S240" s="123" t="e">
        <f>IF(ISNA(Tableau6[[#This Row],[Position 2024]]),Tableau6[[#This Row],[Position 2024]],Tableau6[[#This Row],[2024]]-R$2)</f>
        <v>#N/A</v>
      </c>
      <c r="T240" s="102" t="e">
        <f>Tableau6[[#This Row],[Cumul 2024]]-Tableau6[[#This Row],[Cumul 2023]]</f>
        <v>#N/A</v>
      </c>
      <c r="U240" s="103" t="e">
        <f>Tableau6[[#This Row],[Ecart 2023 2024]]/Tableau6[[#This Row],[Cumul 2023]]</f>
        <v>#N/A</v>
      </c>
    </row>
    <row r="241" spans="1:21" x14ac:dyDescent="0.2">
      <c r="A241" s="102">
        <v>8</v>
      </c>
      <c r="B241" s="102">
        <v>26</v>
      </c>
      <c r="C241" s="102" t="str">
        <f>Tableau6[Jour]&amp;"/"&amp;Tableau6[Mois]</f>
        <v>26/8</v>
      </c>
      <c r="D241" s="102" t="e">
        <f>MATCH(Tableau6[Jours Mois]&amp;"/"&amp;Tableau6[[#Headers],[2021]],tabSuiviConso[Jour Mois Année],0)</f>
        <v>#N/A</v>
      </c>
      <c r="E241" s="102" t="str">
        <f>IF(ISNA(Tableau6[[#This Row],[Position 2021]]),"",INDEX(tabSuiviConso[HP + HC
cumul],Tableau6[[#This Row],[Position 2021]],1))</f>
        <v/>
      </c>
      <c r="F241" s="123" t="e">
        <f>IF(ISNA(Tableau6[[#This Row],[Position 2021]]),Tableau6[[#This Row],[Position 2021]],Tableau6[[#This Row],[2021]]-E$2)</f>
        <v>#N/A</v>
      </c>
      <c r="G241" s="102" t="e">
        <f>MATCH(Tableau6[Jours Mois]&amp;"/"&amp;Tableau6[[#Headers],[2022]],tabSuiviConso[Jour Mois Année],0)</f>
        <v>#N/A</v>
      </c>
      <c r="H241" s="102" t="str">
        <f>IF(ISNA(Tableau6[[#This Row],[Position 2022]]),"",INDEX(tabSuiviConso[HP + HC
cumul],Tableau6[[#This Row],[Position 2022]],1))</f>
        <v/>
      </c>
      <c r="I241" s="123" t="e">
        <f>IF(ISNA(Tableau6[[#This Row],[Position 2022]]),Tableau6[[#This Row],[Position 2022]],Tableau6[[#This Row],[2022]]-H$2)</f>
        <v>#N/A</v>
      </c>
      <c r="J241" s="102" t="e">
        <f>MATCH(Tableau6[Jours Mois]&amp;"/"&amp;Tableau6[[#Headers],[2023]],tabSuiviConso[Jour Mois Année],0)</f>
        <v>#N/A</v>
      </c>
      <c r="K241" s="102" t="e">
        <f>Tableau6[[#This Row],[Cumul 2022]]-Tableau6[[#This Row],[Cumul 2021]]</f>
        <v>#N/A</v>
      </c>
      <c r="L241" s="104" t="e">
        <f>Tableau6[[#This Row],[Ecart 2021 2022]]/Tableau6[[#This Row],[Cumul 2021]]</f>
        <v>#N/A</v>
      </c>
      <c r="M241" s="102" t="str">
        <f>IF(ISNA(Tableau6[[#This Row],[Position 2023]]),"",INDEX(tabSuiviConso[HP + HC
cumul],Tableau6[[#This Row],[Position 2023]],1))</f>
        <v/>
      </c>
      <c r="N241" s="123" t="e">
        <f>IF(ISNA(Tableau6[[#This Row],[Position 2023]]),Tableau6[[#This Row],[Position 2023]],Tableau6[[#This Row],[2023]]-M$2)</f>
        <v>#N/A</v>
      </c>
      <c r="O241" s="102" t="e">
        <f>Tableau6[[#This Row],[Cumul 2023]]-Tableau6[[#This Row],[Cumul 2022]]</f>
        <v>#N/A</v>
      </c>
      <c r="P241" s="104" t="e">
        <f>Tableau6[[#This Row],[Ecart 2022 2023]]/Tableau6[[#This Row],[Cumul 2022]]</f>
        <v>#N/A</v>
      </c>
      <c r="Q241" s="102" t="e">
        <f>MATCH(Tableau6[Jours Mois]&amp;"/"&amp;Tableau6[[#Headers],[2024]],tabSuiviConso[Jour Mois Année],0)</f>
        <v>#N/A</v>
      </c>
      <c r="R241" s="102" t="str">
        <f>IF(ISNA(Tableau6[[#This Row],[Position 2024]]),"",INDEX(tabSuiviConso[HP + HC
cumul],Tableau6[[#This Row],[Position 2024]],1))</f>
        <v/>
      </c>
      <c r="S241" s="123" t="e">
        <f>IF(ISNA(Tableau6[[#This Row],[Position 2024]]),Tableau6[[#This Row],[Position 2024]],Tableau6[[#This Row],[2024]]-R$2)</f>
        <v>#N/A</v>
      </c>
      <c r="T241" s="102" t="e">
        <f>Tableau6[[#This Row],[Cumul 2024]]-Tableau6[[#This Row],[Cumul 2023]]</f>
        <v>#N/A</v>
      </c>
      <c r="U241" s="103" t="e">
        <f>Tableau6[[#This Row],[Ecart 2023 2024]]/Tableau6[[#This Row],[Cumul 2023]]</f>
        <v>#N/A</v>
      </c>
    </row>
    <row r="242" spans="1:21" x14ac:dyDescent="0.2">
      <c r="A242" s="102">
        <v>8</v>
      </c>
      <c r="B242" s="102">
        <v>27</v>
      </c>
      <c r="C242" s="102" t="str">
        <f>Tableau6[Jour]&amp;"/"&amp;Tableau6[Mois]</f>
        <v>27/8</v>
      </c>
      <c r="D242" s="102" t="e">
        <f>MATCH(Tableau6[Jours Mois]&amp;"/"&amp;Tableau6[[#Headers],[2021]],tabSuiviConso[Jour Mois Année],0)</f>
        <v>#N/A</v>
      </c>
      <c r="E242" s="102" t="str">
        <f>IF(ISNA(Tableau6[[#This Row],[Position 2021]]),"",INDEX(tabSuiviConso[HP + HC
cumul],Tableau6[[#This Row],[Position 2021]],1))</f>
        <v/>
      </c>
      <c r="F242" s="123" t="e">
        <f>IF(ISNA(Tableau6[[#This Row],[Position 2021]]),Tableau6[[#This Row],[Position 2021]],Tableau6[[#This Row],[2021]]-E$2)</f>
        <v>#N/A</v>
      </c>
      <c r="G242" s="102" t="e">
        <f>MATCH(Tableau6[Jours Mois]&amp;"/"&amp;Tableau6[[#Headers],[2022]],tabSuiviConso[Jour Mois Année],0)</f>
        <v>#N/A</v>
      </c>
      <c r="H242" s="102" t="str">
        <f>IF(ISNA(Tableau6[[#This Row],[Position 2022]]),"",INDEX(tabSuiviConso[HP + HC
cumul],Tableau6[[#This Row],[Position 2022]],1))</f>
        <v/>
      </c>
      <c r="I242" s="123" t="e">
        <f>IF(ISNA(Tableau6[[#This Row],[Position 2022]]),Tableau6[[#This Row],[Position 2022]],Tableau6[[#This Row],[2022]]-H$2)</f>
        <v>#N/A</v>
      </c>
      <c r="J242" s="102" t="e">
        <f>MATCH(Tableau6[Jours Mois]&amp;"/"&amp;Tableau6[[#Headers],[2023]],tabSuiviConso[Jour Mois Année],0)</f>
        <v>#N/A</v>
      </c>
      <c r="K242" s="102" t="e">
        <f>Tableau6[[#This Row],[Cumul 2022]]-Tableau6[[#This Row],[Cumul 2021]]</f>
        <v>#N/A</v>
      </c>
      <c r="L242" s="104" t="e">
        <f>Tableau6[[#This Row],[Ecart 2021 2022]]/Tableau6[[#This Row],[Cumul 2021]]</f>
        <v>#N/A</v>
      </c>
      <c r="M242" s="102" t="str">
        <f>IF(ISNA(Tableau6[[#This Row],[Position 2023]]),"",INDEX(tabSuiviConso[HP + HC
cumul],Tableau6[[#This Row],[Position 2023]],1))</f>
        <v/>
      </c>
      <c r="N242" s="123" t="e">
        <f>IF(ISNA(Tableau6[[#This Row],[Position 2023]]),Tableau6[[#This Row],[Position 2023]],Tableau6[[#This Row],[2023]]-M$2)</f>
        <v>#N/A</v>
      </c>
      <c r="O242" s="102" t="e">
        <f>Tableau6[[#This Row],[Cumul 2023]]-Tableau6[[#This Row],[Cumul 2022]]</f>
        <v>#N/A</v>
      </c>
      <c r="P242" s="104" t="e">
        <f>Tableau6[[#This Row],[Ecart 2022 2023]]/Tableau6[[#This Row],[Cumul 2022]]</f>
        <v>#N/A</v>
      </c>
      <c r="Q242" s="102" t="e">
        <f>MATCH(Tableau6[Jours Mois]&amp;"/"&amp;Tableau6[[#Headers],[2024]],tabSuiviConso[Jour Mois Année],0)</f>
        <v>#N/A</v>
      </c>
      <c r="R242" s="102" t="str">
        <f>IF(ISNA(Tableau6[[#This Row],[Position 2024]]),"",INDEX(tabSuiviConso[HP + HC
cumul],Tableau6[[#This Row],[Position 2024]],1))</f>
        <v/>
      </c>
      <c r="S242" s="123" t="e">
        <f>IF(ISNA(Tableau6[[#This Row],[Position 2024]]),Tableau6[[#This Row],[Position 2024]],Tableau6[[#This Row],[2024]]-R$2)</f>
        <v>#N/A</v>
      </c>
      <c r="T242" s="102" t="e">
        <f>Tableau6[[#This Row],[Cumul 2024]]-Tableau6[[#This Row],[Cumul 2023]]</f>
        <v>#N/A</v>
      </c>
      <c r="U242" s="103" t="e">
        <f>Tableau6[[#This Row],[Ecart 2023 2024]]/Tableau6[[#This Row],[Cumul 2023]]</f>
        <v>#N/A</v>
      </c>
    </row>
    <row r="243" spans="1:21" x14ac:dyDescent="0.2">
      <c r="A243" s="102">
        <v>8</v>
      </c>
      <c r="B243" s="102">
        <v>28</v>
      </c>
      <c r="C243" s="102" t="str">
        <f>Tableau6[Jour]&amp;"/"&amp;Tableau6[Mois]</f>
        <v>28/8</v>
      </c>
      <c r="D243" s="102" t="e">
        <f>MATCH(Tableau6[Jours Mois]&amp;"/"&amp;Tableau6[[#Headers],[2021]],tabSuiviConso[Jour Mois Année],0)</f>
        <v>#N/A</v>
      </c>
      <c r="E243" s="102" t="str">
        <f>IF(ISNA(Tableau6[[#This Row],[Position 2021]]),"",INDEX(tabSuiviConso[HP + HC
cumul],Tableau6[[#This Row],[Position 2021]],1))</f>
        <v/>
      </c>
      <c r="F243" s="123" t="e">
        <f>IF(ISNA(Tableau6[[#This Row],[Position 2021]]),Tableau6[[#This Row],[Position 2021]],Tableau6[[#This Row],[2021]]-E$2)</f>
        <v>#N/A</v>
      </c>
      <c r="G243" s="102" t="e">
        <f>MATCH(Tableau6[Jours Mois]&amp;"/"&amp;Tableau6[[#Headers],[2022]],tabSuiviConso[Jour Mois Année],0)</f>
        <v>#N/A</v>
      </c>
      <c r="H243" s="102" t="str">
        <f>IF(ISNA(Tableau6[[#This Row],[Position 2022]]),"",INDEX(tabSuiviConso[HP + HC
cumul],Tableau6[[#This Row],[Position 2022]],1))</f>
        <v/>
      </c>
      <c r="I243" s="123" t="e">
        <f>IF(ISNA(Tableau6[[#This Row],[Position 2022]]),Tableau6[[#This Row],[Position 2022]],Tableau6[[#This Row],[2022]]-H$2)</f>
        <v>#N/A</v>
      </c>
      <c r="J243" s="102" t="e">
        <f>MATCH(Tableau6[Jours Mois]&amp;"/"&amp;Tableau6[[#Headers],[2023]],tabSuiviConso[Jour Mois Année],0)</f>
        <v>#N/A</v>
      </c>
      <c r="K243" s="102" t="e">
        <f>Tableau6[[#This Row],[Cumul 2022]]-Tableau6[[#This Row],[Cumul 2021]]</f>
        <v>#N/A</v>
      </c>
      <c r="L243" s="104" t="e">
        <f>Tableau6[[#This Row],[Ecart 2021 2022]]/Tableau6[[#This Row],[Cumul 2021]]</f>
        <v>#N/A</v>
      </c>
      <c r="M243" s="102" t="str">
        <f>IF(ISNA(Tableau6[[#This Row],[Position 2023]]),"",INDEX(tabSuiviConso[HP + HC
cumul],Tableau6[[#This Row],[Position 2023]],1))</f>
        <v/>
      </c>
      <c r="N243" s="123" t="e">
        <f>IF(ISNA(Tableau6[[#This Row],[Position 2023]]),Tableau6[[#This Row],[Position 2023]],Tableau6[[#This Row],[2023]]-M$2)</f>
        <v>#N/A</v>
      </c>
      <c r="O243" s="102" t="e">
        <f>Tableau6[[#This Row],[Cumul 2023]]-Tableau6[[#This Row],[Cumul 2022]]</f>
        <v>#N/A</v>
      </c>
      <c r="P243" s="104" t="e">
        <f>Tableau6[[#This Row],[Ecart 2022 2023]]/Tableau6[[#This Row],[Cumul 2022]]</f>
        <v>#N/A</v>
      </c>
      <c r="Q243" s="102" t="e">
        <f>MATCH(Tableau6[Jours Mois]&amp;"/"&amp;Tableau6[[#Headers],[2024]],tabSuiviConso[Jour Mois Année],0)</f>
        <v>#N/A</v>
      </c>
      <c r="R243" s="102" t="str">
        <f>IF(ISNA(Tableau6[[#This Row],[Position 2024]]),"",INDEX(tabSuiviConso[HP + HC
cumul],Tableau6[[#This Row],[Position 2024]],1))</f>
        <v/>
      </c>
      <c r="S243" s="123" t="e">
        <f>IF(ISNA(Tableau6[[#This Row],[Position 2024]]),Tableau6[[#This Row],[Position 2024]],Tableau6[[#This Row],[2024]]-R$2)</f>
        <v>#N/A</v>
      </c>
      <c r="T243" s="102" t="e">
        <f>Tableau6[[#This Row],[Cumul 2024]]-Tableau6[[#This Row],[Cumul 2023]]</f>
        <v>#N/A</v>
      </c>
      <c r="U243" s="103" t="e">
        <f>Tableau6[[#This Row],[Ecart 2023 2024]]/Tableau6[[#This Row],[Cumul 2023]]</f>
        <v>#N/A</v>
      </c>
    </row>
    <row r="244" spans="1:21" x14ac:dyDescent="0.2">
      <c r="A244" s="102">
        <v>8</v>
      </c>
      <c r="B244" s="102">
        <v>29</v>
      </c>
      <c r="C244" s="102" t="str">
        <f>Tableau6[Jour]&amp;"/"&amp;Tableau6[Mois]</f>
        <v>29/8</v>
      </c>
      <c r="D244" s="102" t="e">
        <f>MATCH(Tableau6[Jours Mois]&amp;"/"&amp;Tableau6[[#Headers],[2021]],tabSuiviConso[Jour Mois Année],0)</f>
        <v>#N/A</v>
      </c>
      <c r="E244" s="102" t="str">
        <f>IF(ISNA(Tableau6[[#This Row],[Position 2021]]),"",INDEX(tabSuiviConso[HP + HC
cumul],Tableau6[[#This Row],[Position 2021]],1))</f>
        <v/>
      </c>
      <c r="F244" s="123" t="e">
        <f>IF(ISNA(Tableau6[[#This Row],[Position 2021]]),Tableau6[[#This Row],[Position 2021]],Tableau6[[#This Row],[2021]]-E$2)</f>
        <v>#N/A</v>
      </c>
      <c r="G244" s="102" t="e">
        <f>MATCH(Tableau6[Jours Mois]&amp;"/"&amp;Tableau6[[#Headers],[2022]],tabSuiviConso[Jour Mois Année],0)</f>
        <v>#N/A</v>
      </c>
      <c r="H244" s="102" t="str">
        <f>IF(ISNA(Tableau6[[#This Row],[Position 2022]]),"",INDEX(tabSuiviConso[HP + HC
cumul],Tableau6[[#This Row],[Position 2022]],1))</f>
        <v/>
      </c>
      <c r="I244" s="123" t="e">
        <f>IF(ISNA(Tableau6[[#This Row],[Position 2022]]),Tableau6[[#This Row],[Position 2022]],Tableau6[[#This Row],[2022]]-H$2)</f>
        <v>#N/A</v>
      </c>
      <c r="J244" s="102" t="e">
        <f>MATCH(Tableau6[Jours Mois]&amp;"/"&amp;Tableau6[[#Headers],[2023]],tabSuiviConso[Jour Mois Année],0)</f>
        <v>#N/A</v>
      </c>
      <c r="K244" s="102" t="e">
        <f>Tableau6[[#This Row],[Cumul 2022]]-Tableau6[[#This Row],[Cumul 2021]]</f>
        <v>#N/A</v>
      </c>
      <c r="L244" s="104" t="e">
        <f>Tableau6[[#This Row],[Ecart 2021 2022]]/Tableau6[[#This Row],[Cumul 2021]]</f>
        <v>#N/A</v>
      </c>
      <c r="M244" s="102" t="str">
        <f>IF(ISNA(Tableau6[[#This Row],[Position 2023]]),"",INDEX(tabSuiviConso[HP + HC
cumul],Tableau6[[#This Row],[Position 2023]],1))</f>
        <v/>
      </c>
      <c r="N244" s="123" t="e">
        <f>IF(ISNA(Tableau6[[#This Row],[Position 2023]]),Tableau6[[#This Row],[Position 2023]],Tableau6[[#This Row],[2023]]-M$2)</f>
        <v>#N/A</v>
      </c>
      <c r="O244" s="102" t="e">
        <f>Tableau6[[#This Row],[Cumul 2023]]-Tableau6[[#This Row],[Cumul 2022]]</f>
        <v>#N/A</v>
      </c>
      <c r="P244" s="104" t="e">
        <f>Tableau6[[#This Row],[Ecart 2022 2023]]/Tableau6[[#This Row],[Cumul 2022]]</f>
        <v>#N/A</v>
      </c>
      <c r="Q244" s="102" t="e">
        <f>MATCH(Tableau6[Jours Mois]&amp;"/"&amp;Tableau6[[#Headers],[2024]],tabSuiviConso[Jour Mois Année],0)</f>
        <v>#N/A</v>
      </c>
      <c r="R244" s="102" t="str">
        <f>IF(ISNA(Tableau6[[#This Row],[Position 2024]]),"",INDEX(tabSuiviConso[HP + HC
cumul],Tableau6[[#This Row],[Position 2024]],1))</f>
        <v/>
      </c>
      <c r="S244" s="123" t="e">
        <f>IF(ISNA(Tableau6[[#This Row],[Position 2024]]),Tableau6[[#This Row],[Position 2024]],Tableau6[[#This Row],[2024]]-R$2)</f>
        <v>#N/A</v>
      </c>
      <c r="T244" s="102" t="e">
        <f>Tableau6[[#This Row],[Cumul 2024]]-Tableau6[[#This Row],[Cumul 2023]]</f>
        <v>#N/A</v>
      </c>
      <c r="U244" s="103" t="e">
        <f>Tableau6[[#This Row],[Ecart 2023 2024]]/Tableau6[[#This Row],[Cumul 2023]]</f>
        <v>#N/A</v>
      </c>
    </row>
    <row r="245" spans="1:21" x14ac:dyDescent="0.2">
      <c r="A245" s="102">
        <v>8</v>
      </c>
      <c r="B245" s="102">
        <v>30</v>
      </c>
      <c r="C245" s="102" t="str">
        <f>Tableau6[Jour]&amp;"/"&amp;Tableau6[Mois]</f>
        <v>30/8</v>
      </c>
      <c r="D245" s="102" t="e">
        <f>MATCH(Tableau6[Jours Mois]&amp;"/"&amp;Tableau6[[#Headers],[2021]],tabSuiviConso[Jour Mois Année],0)</f>
        <v>#N/A</v>
      </c>
      <c r="E245" s="102" t="str">
        <f>IF(ISNA(Tableau6[[#This Row],[Position 2021]]),"",INDEX(tabSuiviConso[HP + HC
cumul],Tableau6[[#This Row],[Position 2021]],1))</f>
        <v/>
      </c>
      <c r="F245" s="123" t="e">
        <f>IF(ISNA(Tableau6[[#This Row],[Position 2021]]),Tableau6[[#This Row],[Position 2021]],Tableau6[[#This Row],[2021]]-E$2)</f>
        <v>#N/A</v>
      </c>
      <c r="G245" s="102" t="e">
        <f>MATCH(Tableau6[Jours Mois]&amp;"/"&amp;Tableau6[[#Headers],[2022]],tabSuiviConso[Jour Mois Année],0)</f>
        <v>#N/A</v>
      </c>
      <c r="H245" s="102" t="str">
        <f>IF(ISNA(Tableau6[[#This Row],[Position 2022]]),"",INDEX(tabSuiviConso[HP + HC
cumul],Tableau6[[#This Row],[Position 2022]],1))</f>
        <v/>
      </c>
      <c r="I245" s="123" t="e">
        <f>IF(ISNA(Tableau6[[#This Row],[Position 2022]]),Tableau6[[#This Row],[Position 2022]],Tableau6[[#This Row],[2022]]-H$2)</f>
        <v>#N/A</v>
      </c>
      <c r="J245" s="102" t="e">
        <f>MATCH(Tableau6[Jours Mois]&amp;"/"&amp;Tableau6[[#Headers],[2023]],tabSuiviConso[Jour Mois Année],0)</f>
        <v>#N/A</v>
      </c>
      <c r="K245" s="102" t="e">
        <f>Tableau6[[#This Row],[Cumul 2022]]-Tableau6[[#This Row],[Cumul 2021]]</f>
        <v>#N/A</v>
      </c>
      <c r="L245" s="104" t="e">
        <f>Tableau6[[#This Row],[Ecart 2021 2022]]/Tableau6[[#This Row],[Cumul 2021]]</f>
        <v>#N/A</v>
      </c>
      <c r="M245" s="102" t="str">
        <f>IF(ISNA(Tableau6[[#This Row],[Position 2023]]),"",INDEX(tabSuiviConso[HP + HC
cumul],Tableau6[[#This Row],[Position 2023]],1))</f>
        <v/>
      </c>
      <c r="N245" s="123" t="e">
        <f>IF(ISNA(Tableau6[[#This Row],[Position 2023]]),Tableau6[[#This Row],[Position 2023]],Tableau6[[#This Row],[2023]]-M$2)</f>
        <v>#N/A</v>
      </c>
      <c r="O245" s="102" t="e">
        <f>Tableau6[[#This Row],[Cumul 2023]]-Tableau6[[#This Row],[Cumul 2022]]</f>
        <v>#N/A</v>
      </c>
      <c r="P245" s="104" t="e">
        <f>Tableau6[[#This Row],[Ecart 2022 2023]]/Tableau6[[#This Row],[Cumul 2022]]</f>
        <v>#N/A</v>
      </c>
      <c r="Q245" s="102" t="e">
        <f>MATCH(Tableau6[Jours Mois]&amp;"/"&amp;Tableau6[[#Headers],[2024]],tabSuiviConso[Jour Mois Année],0)</f>
        <v>#N/A</v>
      </c>
      <c r="R245" s="102" t="str">
        <f>IF(ISNA(Tableau6[[#This Row],[Position 2024]]),"",INDEX(tabSuiviConso[HP + HC
cumul],Tableau6[[#This Row],[Position 2024]],1))</f>
        <v/>
      </c>
      <c r="S245" s="123" t="e">
        <f>IF(ISNA(Tableau6[[#This Row],[Position 2024]]),Tableau6[[#This Row],[Position 2024]],Tableau6[[#This Row],[2024]]-R$2)</f>
        <v>#N/A</v>
      </c>
      <c r="T245" s="102" t="e">
        <f>Tableau6[[#This Row],[Cumul 2024]]-Tableau6[[#This Row],[Cumul 2023]]</f>
        <v>#N/A</v>
      </c>
      <c r="U245" s="103" t="e">
        <f>Tableau6[[#This Row],[Ecart 2023 2024]]/Tableau6[[#This Row],[Cumul 2023]]</f>
        <v>#N/A</v>
      </c>
    </row>
    <row r="246" spans="1:21" x14ac:dyDescent="0.2">
      <c r="A246" s="102">
        <v>8</v>
      </c>
      <c r="B246" s="102">
        <v>31</v>
      </c>
      <c r="C246" s="102" t="str">
        <f>Tableau6[Jour]&amp;"/"&amp;Tableau6[Mois]</f>
        <v>31/8</v>
      </c>
      <c r="D246" s="102" t="e">
        <f>MATCH(Tableau6[Jours Mois]&amp;"/"&amp;Tableau6[[#Headers],[2021]],tabSuiviConso[Jour Mois Année],0)</f>
        <v>#N/A</v>
      </c>
      <c r="E246" s="102" t="str">
        <f>IF(ISNA(Tableau6[[#This Row],[Position 2021]]),"",INDEX(tabSuiviConso[HP + HC
cumul],Tableau6[[#This Row],[Position 2021]],1))</f>
        <v/>
      </c>
      <c r="F246" s="123" t="e">
        <f>IF(ISNA(Tableau6[[#This Row],[Position 2021]]),Tableau6[[#This Row],[Position 2021]],Tableau6[[#This Row],[2021]]-E$2)</f>
        <v>#N/A</v>
      </c>
      <c r="G246" s="102" t="e">
        <f>MATCH(Tableau6[Jours Mois]&amp;"/"&amp;Tableau6[[#Headers],[2022]],tabSuiviConso[Jour Mois Année],0)</f>
        <v>#N/A</v>
      </c>
      <c r="H246" s="102" t="str">
        <f>IF(ISNA(Tableau6[[#This Row],[Position 2022]]),"",INDEX(tabSuiviConso[HP + HC
cumul],Tableau6[[#This Row],[Position 2022]],1))</f>
        <v/>
      </c>
      <c r="I246" s="123" t="e">
        <f>IF(ISNA(Tableau6[[#This Row],[Position 2022]]),Tableau6[[#This Row],[Position 2022]],Tableau6[[#This Row],[2022]]-H$2)</f>
        <v>#N/A</v>
      </c>
      <c r="J246" s="102" t="e">
        <f>MATCH(Tableau6[Jours Mois]&amp;"/"&amp;Tableau6[[#Headers],[2023]],tabSuiviConso[Jour Mois Année],0)</f>
        <v>#N/A</v>
      </c>
      <c r="K246" s="102" t="e">
        <f>Tableau6[[#This Row],[Cumul 2022]]-Tableau6[[#This Row],[Cumul 2021]]</f>
        <v>#N/A</v>
      </c>
      <c r="L246" s="104" t="e">
        <f>Tableau6[[#This Row],[Ecart 2021 2022]]/Tableau6[[#This Row],[Cumul 2021]]</f>
        <v>#N/A</v>
      </c>
      <c r="M246" s="102" t="str">
        <f>IF(ISNA(Tableau6[[#This Row],[Position 2023]]),"",INDEX(tabSuiviConso[HP + HC
cumul],Tableau6[[#This Row],[Position 2023]],1))</f>
        <v/>
      </c>
      <c r="N246" s="123" t="e">
        <f>IF(ISNA(Tableau6[[#This Row],[Position 2023]]),Tableau6[[#This Row],[Position 2023]],Tableau6[[#This Row],[2023]]-M$2)</f>
        <v>#N/A</v>
      </c>
      <c r="O246" s="102" t="e">
        <f>Tableau6[[#This Row],[Cumul 2023]]-Tableau6[[#This Row],[Cumul 2022]]</f>
        <v>#N/A</v>
      </c>
      <c r="P246" s="104" t="e">
        <f>Tableau6[[#This Row],[Ecart 2022 2023]]/Tableau6[[#This Row],[Cumul 2022]]</f>
        <v>#N/A</v>
      </c>
      <c r="Q246" s="102" t="e">
        <f>MATCH(Tableau6[Jours Mois]&amp;"/"&amp;Tableau6[[#Headers],[2024]],tabSuiviConso[Jour Mois Année],0)</f>
        <v>#N/A</v>
      </c>
      <c r="R246" s="102" t="str">
        <f>IF(ISNA(Tableau6[[#This Row],[Position 2024]]),"",INDEX(tabSuiviConso[HP + HC
cumul],Tableau6[[#This Row],[Position 2024]],1))</f>
        <v/>
      </c>
      <c r="S246" s="123" t="e">
        <f>IF(ISNA(Tableau6[[#This Row],[Position 2024]]),Tableau6[[#This Row],[Position 2024]],Tableau6[[#This Row],[2024]]-R$2)</f>
        <v>#N/A</v>
      </c>
      <c r="T246" s="102" t="e">
        <f>Tableau6[[#This Row],[Cumul 2024]]-Tableau6[[#This Row],[Cumul 2023]]</f>
        <v>#N/A</v>
      </c>
      <c r="U246" s="103" t="e">
        <f>Tableau6[[#This Row],[Ecart 2023 2024]]/Tableau6[[#This Row],[Cumul 2023]]</f>
        <v>#N/A</v>
      </c>
    </row>
    <row r="247" spans="1:21" x14ac:dyDescent="0.2">
      <c r="A247" s="102">
        <v>9</v>
      </c>
      <c r="B247" s="102">
        <v>1</v>
      </c>
      <c r="C247" s="102" t="str">
        <f>Tableau6[Jour]&amp;"/"&amp;Tableau6[Mois]</f>
        <v>1/9</v>
      </c>
      <c r="D247" s="102" t="e">
        <f>MATCH(Tableau6[Jours Mois]&amp;"/"&amp;Tableau6[[#Headers],[2021]],tabSuiviConso[Jour Mois Année],0)</f>
        <v>#N/A</v>
      </c>
      <c r="E247" s="102" t="str">
        <f>IF(ISNA(Tableau6[[#This Row],[Position 2021]]),"",INDEX(tabSuiviConso[HP + HC
cumul],Tableau6[[#This Row],[Position 2021]],1))</f>
        <v/>
      </c>
      <c r="F247" s="123" t="e">
        <f>IF(ISNA(Tableau6[[#This Row],[Position 2021]]),Tableau6[[#This Row],[Position 2021]],Tableau6[[#This Row],[2021]]-E$2)</f>
        <v>#N/A</v>
      </c>
      <c r="G247" s="102" t="e">
        <f>MATCH(Tableau6[Jours Mois]&amp;"/"&amp;Tableau6[[#Headers],[2022]],tabSuiviConso[Jour Mois Année],0)</f>
        <v>#N/A</v>
      </c>
      <c r="H247" s="102" t="str">
        <f>IF(ISNA(Tableau6[[#This Row],[Position 2022]]),"",INDEX(tabSuiviConso[HP + HC
cumul],Tableau6[[#This Row],[Position 2022]],1))</f>
        <v/>
      </c>
      <c r="I247" s="123" t="e">
        <f>IF(ISNA(Tableau6[[#This Row],[Position 2022]]),Tableau6[[#This Row],[Position 2022]],Tableau6[[#This Row],[2022]]-H$2)</f>
        <v>#N/A</v>
      </c>
      <c r="J247" s="102" t="e">
        <f>MATCH(Tableau6[Jours Mois]&amp;"/"&amp;Tableau6[[#Headers],[2023]],tabSuiviConso[Jour Mois Année],0)</f>
        <v>#N/A</v>
      </c>
      <c r="K247" s="102" t="e">
        <f>Tableau6[[#This Row],[Cumul 2022]]-Tableau6[[#This Row],[Cumul 2021]]</f>
        <v>#N/A</v>
      </c>
      <c r="L247" s="104" t="e">
        <f>Tableau6[[#This Row],[Ecart 2021 2022]]/Tableau6[[#This Row],[Cumul 2021]]</f>
        <v>#N/A</v>
      </c>
      <c r="M247" s="102" t="str">
        <f>IF(ISNA(Tableau6[[#This Row],[Position 2023]]),"",INDEX(tabSuiviConso[HP + HC
cumul],Tableau6[[#This Row],[Position 2023]],1))</f>
        <v/>
      </c>
      <c r="N247" s="123" t="e">
        <f>IF(ISNA(Tableau6[[#This Row],[Position 2023]]),Tableau6[[#This Row],[Position 2023]],Tableau6[[#This Row],[2023]]-M$2)</f>
        <v>#N/A</v>
      </c>
      <c r="O247" s="102" t="e">
        <f>Tableau6[[#This Row],[Cumul 2023]]-Tableau6[[#This Row],[Cumul 2022]]</f>
        <v>#N/A</v>
      </c>
      <c r="P247" s="104" t="e">
        <f>Tableau6[[#This Row],[Ecart 2022 2023]]/Tableau6[[#This Row],[Cumul 2022]]</f>
        <v>#N/A</v>
      </c>
      <c r="Q247" s="102" t="e">
        <f>MATCH(Tableau6[Jours Mois]&amp;"/"&amp;Tableau6[[#Headers],[2024]],tabSuiviConso[Jour Mois Année],0)</f>
        <v>#N/A</v>
      </c>
      <c r="R247" s="102" t="str">
        <f>IF(ISNA(Tableau6[[#This Row],[Position 2024]]),"",INDEX(tabSuiviConso[HP + HC
cumul],Tableau6[[#This Row],[Position 2024]],1))</f>
        <v/>
      </c>
      <c r="S247" s="123" t="e">
        <f>IF(ISNA(Tableau6[[#This Row],[Position 2024]]),Tableau6[[#This Row],[Position 2024]],Tableau6[[#This Row],[2024]]-R$2)</f>
        <v>#N/A</v>
      </c>
      <c r="T247" s="102" t="e">
        <f>Tableau6[[#This Row],[Cumul 2024]]-Tableau6[[#This Row],[Cumul 2023]]</f>
        <v>#N/A</v>
      </c>
      <c r="U247" s="103" t="e">
        <f>Tableau6[[#This Row],[Ecart 2023 2024]]/Tableau6[[#This Row],[Cumul 2023]]</f>
        <v>#N/A</v>
      </c>
    </row>
    <row r="248" spans="1:21" x14ac:dyDescent="0.2">
      <c r="A248" s="102">
        <v>9</v>
      </c>
      <c r="B248" s="102">
        <v>2</v>
      </c>
      <c r="C248" s="102" t="str">
        <f>Tableau6[Jour]&amp;"/"&amp;Tableau6[Mois]</f>
        <v>2/9</v>
      </c>
      <c r="D248" s="102" t="e">
        <f>MATCH(Tableau6[Jours Mois]&amp;"/"&amp;Tableau6[[#Headers],[2021]],tabSuiviConso[Jour Mois Année],0)</f>
        <v>#N/A</v>
      </c>
      <c r="E248" s="102" t="str">
        <f>IF(ISNA(Tableau6[[#This Row],[Position 2021]]),"",INDEX(tabSuiviConso[HP + HC
cumul],Tableau6[[#This Row],[Position 2021]],1))</f>
        <v/>
      </c>
      <c r="F248" s="123" t="e">
        <f>IF(ISNA(Tableau6[[#This Row],[Position 2021]]),Tableau6[[#This Row],[Position 2021]],Tableau6[[#This Row],[2021]]-E$2)</f>
        <v>#N/A</v>
      </c>
      <c r="G248" s="102" t="e">
        <f>MATCH(Tableau6[Jours Mois]&amp;"/"&amp;Tableau6[[#Headers],[2022]],tabSuiviConso[Jour Mois Année],0)</f>
        <v>#N/A</v>
      </c>
      <c r="H248" s="102" t="str">
        <f>IF(ISNA(Tableau6[[#This Row],[Position 2022]]),"",INDEX(tabSuiviConso[HP + HC
cumul],Tableau6[[#This Row],[Position 2022]],1))</f>
        <v/>
      </c>
      <c r="I248" s="123" t="e">
        <f>IF(ISNA(Tableau6[[#This Row],[Position 2022]]),Tableau6[[#This Row],[Position 2022]],Tableau6[[#This Row],[2022]]-H$2)</f>
        <v>#N/A</v>
      </c>
      <c r="J248" s="102" t="e">
        <f>MATCH(Tableau6[Jours Mois]&amp;"/"&amp;Tableau6[[#Headers],[2023]],tabSuiviConso[Jour Mois Année],0)</f>
        <v>#N/A</v>
      </c>
      <c r="K248" s="102" t="e">
        <f>Tableau6[[#This Row],[Cumul 2022]]-Tableau6[[#This Row],[Cumul 2021]]</f>
        <v>#N/A</v>
      </c>
      <c r="L248" s="104" t="e">
        <f>Tableau6[[#This Row],[Ecart 2021 2022]]/Tableau6[[#This Row],[Cumul 2021]]</f>
        <v>#N/A</v>
      </c>
      <c r="M248" s="102" t="str">
        <f>IF(ISNA(Tableau6[[#This Row],[Position 2023]]),"",INDEX(tabSuiviConso[HP + HC
cumul],Tableau6[[#This Row],[Position 2023]],1))</f>
        <v/>
      </c>
      <c r="N248" s="123" t="e">
        <f>IF(ISNA(Tableau6[[#This Row],[Position 2023]]),Tableau6[[#This Row],[Position 2023]],Tableau6[[#This Row],[2023]]-M$2)</f>
        <v>#N/A</v>
      </c>
      <c r="O248" s="102" t="e">
        <f>Tableau6[[#This Row],[Cumul 2023]]-Tableau6[[#This Row],[Cumul 2022]]</f>
        <v>#N/A</v>
      </c>
      <c r="P248" s="104" t="e">
        <f>Tableau6[[#This Row],[Ecart 2022 2023]]/Tableau6[[#This Row],[Cumul 2022]]</f>
        <v>#N/A</v>
      </c>
      <c r="Q248" s="102" t="e">
        <f>MATCH(Tableau6[Jours Mois]&amp;"/"&amp;Tableau6[[#Headers],[2024]],tabSuiviConso[Jour Mois Année],0)</f>
        <v>#N/A</v>
      </c>
      <c r="R248" s="102" t="str">
        <f>IF(ISNA(Tableau6[[#This Row],[Position 2024]]),"",INDEX(tabSuiviConso[HP + HC
cumul],Tableau6[[#This Row],[Position 2024]],1))</f>
        <v/>
      </c>
      <c r="S248" s="123" t="e">
        <f>IF(ISNA(Tableau6[[#This Row],[Position 2024]]),Tableau6[[#This Row],[Position 2024]],Tableau6[[#This Row],[2024]]-R$2)</f>
        <v>#N/A</v>
      </c>
      <c r="T248" s="102" t="e">
        <f>Tableau6[[#This Row],[Cumul 2024]]-Tableau6[[#This Row],[Cumul 2023]]</f>
        <v>#N/A</v>
      </c>
      <c r="U248" s="103" t="e">
        <f>Tableau6[[#This Row],[Ecart 2023 2024]]/Tableau6[[#This Row],[Cumul 2023]]</f>
        <v>#N/A</v>
      </c>
    </row>
    <row r="249" spans="1:21" x14ac:dyDescent="0.2">
      <c r="A249" s="102">
        <v>9</v>
      </c>
      <c r="B249" s="102">
        <v>3</v>
      </c>
      <c r="C249" s="102" t="str">
        <f>Tableau6[Jour]&amp;"/"&amp;Tableau6[Mois]</f>
        <v>3/9</v>
      </c>
      <c r="D249" s="102" t="e">
        <f>MATCH(Tableau6[Jours Mois]&amp;"/"&amp;Tableau6[[#Headers],[2021]],tabSuiviConso[Jour Mois Année],0)</f>
        <v>#N/A</v>
      </c>
      <c r="E249" s="102" t="str">
        <f>IF(ISNA(Tableau6[[#This Row],[Position 2021]]),"",INDEX(tabSuiviConso[HP + HC
cumul],Tableau6[[#This Row],[Position 2021]],1))</f>
        <v/>
      </c>
      <c r="F249" s="123" t="e">
        <f>IF(ISNA(Tableau6[[#This Row],[Position 2021]]),Tableau6[[#This Row],[Position 2021]],Tableau6[[#This Row],[2021]]-E$2)</f>
        <v>#N/A</v>
      </c>
      <c r="G249" s="102" t="e">
        <f>MATCH(Tableau6[Jours Mois]&amp;"/"&amp;Tableau6[[#Headers],[2022]],tabSuiviConso[Jour Mois Année],0)</f>
        <v>#N/A</v>
      </c>
      <c r="H249" s="102" t="str">
        <f>IF(ISNA(Tableau6[[#This Row],[Position 2022]]),"",INDEX(tabSuiviConso[HP + HC
cumul],Tableau6[[#This Row],[Position 2022]],1))</f>
        <v/>
      </c>
      <c r="I249" s="123" t="e">
        <f>IF(ISNA(Tableau6[[#This Row],[Position 2022]]),Tableau6[[#This Row],[Position 2022]],Tableau6[[#This Row],[2022]]-H$2)</f>
        <v>#N/A</v>
      </c>
      <c r="J249" s="102" t="e">
        <f>MATCH(Tableau6[Jours Mois]&amp;"/"&amp;Tableau6[[#Headers],[2023]],tabSuiviConso[Jour Mois Année],0)</f>
        <v>#N/A</v>
      </c>
      <c r="K249" s="102" t="e">
        <f>Tableau6[[#This Row],[Cumul 2022]]-Tableau6[[#This Row],[Cumul 2021]]</f>
        <v>#N/A</v>
      </c>
      <c r="L249" s="104" t="e">
        <f>Tableau6[[#This Row],[Ecart 2021 2022]]/Tableau6[[#This Row],[Cumul 2021]]</f>
        <v>#N/A</v>
      </c>
      <c r="M249" s="102" t="str">
        <f>IF(ISNA(Tableau6[[#This Row],[Position 2023]]),"",INDEX(tabSuiviConso[HP + HC
cumul],Tableau6[[#This Row],[Position 2023]],1))</f>
        <v/>
      </c>
      <c r="N249" s="123" t="e">
        <f>IF(ISNA(Tableau6[[#This Row],[Position 2023]]),Tableau6[[#This Row],[Position 2023]],Tableau6[[#This Row],[2023]]-M$2)</f>
        <v>#N/A</v>
      </c>
      <c r="O249" s="102" t="e">
        <f>Tableau6[[#This Row],[Cumul 2023]]-Tableau6[[#This Row],[Cumul 2022]]</f>
        <v>#N/A</v>
      </c>
      <c r="P249" s="104" t="e">
        <f>Tableau6[[#This Row],[Ecart 2022 2023]]/Tableau6[[#This Row],[Cumul 2022]]</f>
        <v>#N/A</v>
      </c>
      <c r="Q249" s="102" t="e">
        <f>MATCH(Tableau6[Jours Mois]&amp;"/"&amp;Tableau6[[#Headers],[2024]],tabSuiviConso[Jour Mois Année],0)</f>
        <v>#N/A</v>
      </c>
      <c r="R249" s="102" t="str">
        <f>IF(ISNA(Tableau6[[#This Row],[Position 2024]]),"",INDEX(tabSuiviConso[HP + HC
cumul],Tableau6[[#This Row],[Position 2024]],1))</f>
        <v/>
      </c>
      <c r="S249" s="123" t="e">
        <f>IF(ISNA(Tableau6[[#This Row],[Position 2024]]),Tableau6[[#This Row],[Position 2024]],Tableau6[[#This Row],[2024]]-R$2)</f>
        <v>#N/A</v>
      </c>
      <c r="T249" s="102" t="e">
        <f>Tableau6[[#This Row],[Cumul 2024]]-Tableau6[[#This Row],[Cumul 2023]]</f>
        <v>#N/A</v>
      </c>
      <c r="U249" s="103" t="e">
        <f>Tableau6[[#This Row],[Ecart 2023 2024]]/Tableau6[[#This Row],[Cumul 2023]]</f>
        <v>#N/A</v>
      </c>
    </row>
    <row r="250" spans="1:21" x14ac:dyDescent="0.2">
      <c r="A250" s="102">
        <v>9</v>
      </c>
      <c r="B250" s="102">
        <v>4</v>
      </c>
      <c r="C250" s="102" t="str">
        <f>Tableau6[Jour]&amp;"/"&amp;Tableau6[Mois]</f>
        <v>4/9</v>
      </c>
      <c r="D250" s="102" t="e">
        <f>MATCH(Tableau6[Jours Mois]&amp;"/"&amp;Tableau6[[#Headers],[2021]],tabSuiviConso[Jour Mois Année],0)</f>
        <v>#N/A</v>
      </c>
      <c r="E250" s="102" t="str">
        <f>IF(ISNA(Tableau6[[#This Row],[Position 2021]]),"",INDEX(tabSuiviConso[HP + HC
cumul],Tableau6[[#This Row],[Position 2021]],1))</f>
        <v/>
      </c>
      <c r="F250" s="123" t="e">
        <f>IF(ISNA(Tableau6[[#This Row],[Position 2021]]),Tableau6[[#This Row],[Position 2021]],Tableau6[[#This Row],[2021]]-E$2)</f>
        <v>#N/A</v>
      </c>
      <c r="G250" s="102" t="e">
        <f>MATCH(Tableau6[Jours Mois]&amp;"/"&amp;Tableau6[[#Headers],[2022]],tabSuiviConso[Jour Mois Année],0)</f>
        <v>#N/A</v>
      </c>
      <c r="H250" s="102" t="str">
        <f>IF(ISNA(Tableau6[[#This Row],[Position 2022]]),"",INDEX(tabSuiviConso[HP + HC
cumul],Tableau6[[#This Row],[Position 2022]],1))</f>
        <v/>
      </c>
      <c r="I250" s="123" t="e">
        <f>IF(ISNA(Tableau6[[#This Row],[Position 2022]]),Tableau6[[#This Row],[Position 2022]],Tableau6[[#This Row],[2022]]-H$2)</f>
        <v>#N/A</v>
      </c>
      <c r="J250" s="102" t="e">
        <f>MATCH(Tableau6[Jours Mois]&amp;"/"&amp;Tableau6[[#Headers],[2023]],tabSuiviConso[Jour Mois Année],0)</f>
        <v>#N/A</v>
      </c>
      <c r="K250" s="102" t="e">
        <f>Tableau6[[#This Row],[Cumul 2022]]-Tableau6[[#This Row],[Cumul 2021]]</f>
        <v>#N/A</v>
      </c>
      <c r="L250" s="104" t="e">
        <f>Tableau6[[#This Row],[Ecart 2021 2022]]/Tableau6[[#This Row],[Cumul 2021]]</f>
        <v>#N/A</v>
      </c>
      <c r="M250" s="102" t="str">
        <f>IF(ISNA(Tableau6[[#This Row],[Position 2023]]),"",INDEX(tabSuiviConso[HP + HC
cumul],Tableau6[[#This Row],[Position 2023]],1))</f>
        <v/>
      </c>
      <c r="N250" s="123" t="e">
        <f>IF(ISNA(Tableau6[[#This Row],[Position 2023]]),Tableau6[[#This Row],[Position 2023]],Tableau6[[#This Row],[2023]]-M$2)</f>
        <v>#N/A</v>
      </c>
      <c r="O250" s="102" t="e">
        <f>Tableau6[[#This Row],[Cumul 2023]]-Tableau6[[#This Row],[Cumul 2022]]</f>
        <v>#N/A</v>
      </c>
      <c r="P250" s="104" t="e">
        <f>Tableau6[[#This Row],[Ecart 2022 2023]]/Tableau6[[#This Row],[Cumul 2022]]</f>
        <v>#N/A</v>
      </c>
      <c r="Q250" s="102" t="e">
        <f>MATCH(Tableau6[Jours Mois]&amp;"/"&amp;Tableau6[[#Headers],[2024]],tabSuiviConso[Jour Mois Année],0)</f>
        <v>#N/A</v>
      </c>
      <c r="R250" s="102" t="str">
        <f>IF(ISNA(Tableau6[[#This Row],[Position 2024]]),"",INDEX(tabSuiviConso[HP + HC
cumul],Tableau6[[#This Row],[Position 2024]],1))</f>
        <v/>
      </c>
      <c r="S250" s="123" t="e">
        <f>IF(ISNA(Tableau6[[#This Row],[Position 2024]]),Tableau6[[#This Row],[Position 2024]],Tableau6[[#This Row],[2024]]-R$2)</f>
        <v>#N/A</v>
      </c>
      <c r="T250" s="102" t="e">
        <f>Tableau6[[#This Row],[Cumul 2024]]-Tableau6[[#This Row],[Cumul 2023]]</f>
        <v>#N/A</v>
      </c>
      <c r="U250" s="103" t="e">
        <f>Tableau6[[#This Row],[Ecart 2023 2024]]/Tableau6[[#This Row],[Cumul 2023]]</f>
        <v>#N/A</v>
      </c>
    </row>
    <row r="251" spans="1:21" x14ac:dyDescent="0.2">
      <c r="A251" s="102">
        <v>9</v>
      </c>
      <c r="B251" s="102">
        <v>5</v>
      </c>
      <c r="C251" s="102" t="str">
        <f>Tableau6[Jour]&amp;"/"&amp;Tableau6[Mois]</f>
        <v>5/9</v>
      </c>
      <c r="D251" s="102" t="e">
        <f>MATCH(Tableau6[Jours Mois]&amp;"/"&amp;Tableau6[[#Headers],[2021]],tabSuiviConso[Jour Mois Année],0)</f>
        <v>#N/A</v>
      </c>
      <c r="E251" s="102" t="str">
        <f>IF(ISNA(Tableau6[[#This Row],[Position 2021]]),"",INDEX(tabSuiviConso[HP + HC
cumul],Tableau6[[#This Row],[Position 2021]],1))</f>
        <v/>
      </c>
      <c r="F251" s="123" t="e">
        <f>IF(ISNA(Tableau6[[#This Row],[Position 2021]]),Tableau6[[#This Row],[Position 2021]],Tableau6[[#This Row],[2021]]-E$2)</f>
        <v>#N/A</v>
      </c>
      <c r="G251" s="102" t="e">
        <f>MATCH(Tableau6[Jours Mois]&amp;"/"&amp;Tableau6[[#Headers],[2022]],tabSuiviConso[Jour Mois Année],0)</f>
        <v>#N/A</v>
      </c>
      <c r="H251" s="102" t="str">
        <f>IF(ISNA(Tableau6[[#This Row],[Position 2022]]),"",INDEX(tabSuiviConso[HP + HC
cumul],Tableau6[[#This Row],[Position 2022]],1))</f>
        <v/>
      </c>
      <c r="I251" s="123" t="e">
        <f>IF(ISNA(Tableau6[[#This Row],[Position 2022]]),Tableau6[[#This Row],[Position 2022]],Tableau6[[#This Row],[2022]]-H$2)</f>
        <v>#N/A</v>
      </c>
      <c r="J251" s="102" t="e">
        <f>MATCH(Tableau6[Jours Mois]&amp;"/"&amp;Tableau6[[#Headers],[2023]],tabSuiviConso[Jour Mois Année],0)</f>
        <v>#N/A</v>
      </c>
      <c r="K251" s="102" t="e">
        <f>Tableau6[[#This Row],[Cumul 2022]]-Tableau6[[#This Row],[Cumul 2021]]</f>
        <v>#N/A</v>
      </c>
      <c r="L251" s="104" t="e">
        <f>Tableau6[[#This Row],[Ecart 2021 2022]]/Tableau6[[#This Row],[Cumul 2021]]</f>
        <v>#N/A</v>
      </c>
      <c r="M251" s="102" t="str">
        <f>IF(ISNA(Tableau6[[#This Row],[Position 2023]]),"",INDEX(tabSuiviConso[HP + HC
cumul],Tableau6[[#This Row],[Position 2023]],1))</f>
        <v/>
      </c>
      <c r="N251" s="123" t="e">
        <f>IF(ISNA(Tableau6[[#This Row],[Position 2023]]),Tableau6[[#This Row],[Position 2023]],Tableau6[[#This Row],[2023]]-M$2)</f>
        <v>#N/A</v>
      </c>
      <c r="O251" s="102" t="e">
        <f>Tableau6[[#This Row],[Cumul 2023]]-Tableau6[[#This Row],[Cumul 2022]]</f>
        <v>#N/A</v>
      </c>
      <c r="P251" s="104" t="e">
        <f>Tableau6[[#This Row],[Ecart 2022 2023]]/Tableau6[[#This Row],[Cumul 2022]]</f>
        <v>#N/A</v>
      </c>
      <c r="Q251" s="102" t="e">
        <f>MATCH(Tableau6[Jours Mois]&amp;"/"&amp;Tableau6[[#Headers],[2024]],tabSuiviConso[Jour Mois Année],0)</f>
        <v>#N/A</v>
      </c>
      <c r="R251" s="102" t="str">
        <f>IF(ISNA(Tableau6[[#This Row],[Position 2024]]),"",INDEX(tabSuiviConso[HP + HC
cumul],Tableau6[[#This Row],[Position 2024]],1))</f>
        <v/>
      </c>
      <c r="S251" s="123" t="e">
        <f>IF(ISNA(Tableau6[[#This Row],[Position 2024]]),Tableau6[[#This Row],[Position 2024]],Tableau6[[#This Row],[2024]]-R$2)</f>
        <v>#N/A</v>
      </c>
      <c r="T251" s="102" t="e">
        <f>Tableau6[[#This Row],[Cumul 2024]]-Tableau6[[#This Row],[Cumul 2023]]</f>
        <v>#N/A</v>
      </c>
      <c r="U251" s="103" t="e">
        <f>Tableau6[[#This Row],[Ecart 2023 2024]]/Tableau6[[#This Row],[Cumul 2023]]</f>
        <v>#N/A</v>
      </c>
    </row>
    <row r="252" spans="1:21" x14ac:dyDescent="0.2">
      <c r="A252" s="102">
        <v>9</v>
      </c>
      <c r="B252" s="102">
        <v>6</v>
      </c>
      <c r="C252" s="102" t="str">
        <f>Tableau6[Jour]&amp;"/"&amp;Tableau6[Mois]</f>
        <v>6/9</v>
      </c>
      <c r="D252" s="102" t="e">
        <f>MATCH(Tableau6[Jours Mois]&amp;"/"&amp;Tableau6[[#Headers],[2021]],tabSuiviConso[Jour Mois Année],0)</f>
        <v>#N/A</v>
      </c>
      <c r="E252" s="102" t="str">
        <f>IF(ISNA(Tableau6[[#This Row],[Position 2021]]),"",INDEX(tabSuiviConso[HP + HC
cumul],Tableau6[[#This Row],[Position 2021]],1))</f>
        <v/>
      </c>
      <c r="F252" s="123" t="e">
        <f>IF(ISNA(Tableau6[[#This Row],[Position 2021]]),Tableau6[[#This Row],[Position 2021]],Tableau6[[#This Row],[2021]]-E$2)</f>
        <v>#N/A</v>
      </c>
      <c r="G252" s="102" t="e">
        <f>MATCH(Tableau6[Jours Mois]&amp;"/"&amp;Tableau6[[#Headers],[2022]],tabSuiviConso[Jour Mois Année],0)</f>
        <v>#N/A</v>
      </c>
      <c r="H252" s="102" t="str">
        <f>IF(ISNA(Tableau6[[#This Row],[Position 2022]]),"",INDEX(tabSuiviConso[HP + HC
cumul],Tableau6[[#This Row],[Position 2022]],1))</f>
        <v/>
      </c>
      <c r="I252" s="123" t="e">
        <f>IF(ISNA(Tableau6[[#This Row],[Position 2022]]),Tableau6[[#This Row],[Position 2022]],Tableau6[[#This Row],[2022]]-H$2)</f>
        <v>#N/A</v>
      </c>
      <c r="J252" s="102" t="e">
        <f>MATCH(Tableau6[Jours Mois]&amp;"/"&amp;Tableau6[[#Headers],[2023]],tabSuiviConso[Jour Mois Année],0)</f>
        <v>#N/A</v>
      </c>
      <c r="K252" s="102" t="e">
        <f>Tableau6[[#This Row],[Cumul 2022]]-Tableau6[[#This Row],[Cumul 2021]]</f>
        <v>#N/A</v>
      </c>
      <c r="L252" s="104" t="e">
        <f>Tableau6[[#This Row],[Ecart 2021 2022]]/Tableau6[[#This Row],[Cumul 2021]]</f>
        <v>#N/A</v>
      </c>
      <c r="M252" s="102" t="str">
        <f>IF(ISNA(Tableau6[[#This Row],[Position 2023]]),"",INDEX(tabSuiviConso[HP + HC
cumul],Tableau6[[#This Row],[Position 2023]],1))</f>
        <v/>
      </c>
      <c r="N252" s="123" t="e">
        <f>IF(ISNA(Tableau6[[#This Row],[Position 2023]]),Tableau6[[#This Row],[Position 2023]],Tableau6[[#This Row],[2023]]-M$2)</f>
        <v>#N/A</v>
      </c>
      <c r="O252" s="102" t="e">
        <f>Tableau6[[#This Row],[Cumul 2023]]-Tableau6[[#This Row],[Cumul 2022]]</f>
        <v>#N/A</v>
      </c>
      <c r="P252" s="104" t="e">
        <f>Tableau6[[#This Row],[Ecart 2022 2023]]/Tableau6[[#This Row],[Cumul 2022]]</f>
        <v>#N/A</v>
      </c>
      <c r="Q252" s="102" t="e">
        <f>MATCH(Tableau6[Jours Mois]&amp;"/"&amp;Tableau6[[#Headers],[2024]],tabSuiviConso[Jour Mois Année],0)</f>
        <v>#N/A</v>
      </c>
      <c r="R252" s="102" t="str">
        <f>IF(ISNA(Tableau6[[#This Row],[Position 2024]]),"",INDEX(tabSuiviConso[HP + HC
cumul],Tableau6[[#This Row],[Position 2024]],1))</f>
        <v/>
      </c>
      <c r="S252" s="123" t="e">
        <f>IF(ISNA(Tableau6[[#This Row],[Position 2024]]),Tableau6[[#This Row],[Position 2024]],Tableau6[[#This Row],[2024]]-R$2)</f>
        <v>#N/A</v>
      </c>
      <c r="T252" s="102" t="e">
        <f>Tableau6[[#This Row],[Cumul 2024]]-Tableau6[[#This Row],[Cumul 2023]]</f>
        <v>#N/A</v>
      </c>
      <c r="U252" s="103" t="e">
        <f>Tableau6[[#This Row],[Ecart 2023 2024]]/Tableau6[[#This Row],[Cumul 2023]]</f>
        <v>#N/A</v>
      </c>
    </row>
    <row r="253" spans="1:21" x14ac:dyDescent="0.2">
      <c r="A253" s="102">
        <v>9</v>
      </c>
      <c r="B253" s="102">
        <v>7</v>
      </c>
      <c r="C253" s="102" t="str">
        <f>Tableau6[Jour]&amp;"/"&amp;Tableau6[Mois]</f>
        <v>7/9</v>
      </c>
      <c r="D253" s="102" t="e">
        <f>MATCH(Tableau6[Jours Mois]&amp;"/"&amp;Tableau6[[#Headers],[2021]],tabSuiviConso[Jour Mois Année],0)</f>
        <v>#N/A</v>
      </c>
      <c r="E253" s="102" t="str">
        <f>IF(ISNA(Tableau6[[#This Row],[Position 2021]]),"",INDEX(tabSuiviConso[HP + HC
cumul],Tableau6[[#This Row],[Position 2021]],1))</f>
        <v/>
      </c>
      <c r="F253" s="123" t="e">
        <f>IF(ISNA(Tableau6[[#This Row],[Position 2021]]),Tableau6[[#This Row],[Position 2021]],Tableau6[[#This Row],[2021]]-E$2)</f>
        <v>#N/A</v>
      </c>
      <c r="G253" s="102" t="e">
        <f>MATCH(Tableau6[Jours Mois]&amp;"/"&amp;Tableau6[[#Headers],[2022]],tabSuiviConso[Jour Mois Année],0)</f>
        <v>#N/A</v>
      </c>
      <c r="H253" s="102" t="str">
        <f>IF(ISNA(Tableau6[[#This Row],[Position 2022]]),"",INDEX(tabSuiviConso[HP + HC
cumul],Tableau6[[#This Row],[Position 2022]],1))</f>
        <v/>
      </c>
      <c r="I253" s="123" t="e">
        <f>IF(ISNA(Tableau6[[#This Row],[Position 2022]]),Tableau6[[#This Row],[Position 2022]],Tableau6[[#This Row],[2022]]-H$2)</f>
        <v>#N/A</v>
      </c>
      <c r="J253" s="102" t="e">
        <f>MATCH(Tableau6[Jours Mois]&amp;"/"&amp;Tableau6[[#Headers],[2023]],tabSuiviConso[Jour Mois Année],0)</f>
        <v>#N/A</v>
      </c>
      <c r="K253" s="102" t="e">
        <f>Tableau6[[#This Row],[Cumul 2022]]-Tableau6[[#This Row],[Cumul 2021]]</f>
        <v>#N/A</v>
      </c>
      <c r="L253" s="104" t="e">
        <f>Tableau6[[#This Row],[Ecart 2021 2022]]/Tableau6[[#This Row],[Cumul 2021]]</f>
        <v>#N/A</v>
      </c>
      <c r="M253" s="102" t="str">
        <f>IF(ISNA(Tableau6[[#This Row],[Position 2023]]),"",INDEX(tabSuiviConso[HP + HC
cumul],Tableau6[[#This Row],[Position 2023]],1))</f>
        <v/>
      </c>
      <c r="N253" s="123" t="e">
        <f>IF(ISNA(Tableau6[[#This Row],[Position 2023]]),Tableau6[[#This Row],[Position 2023]],Tableau6[[#This Row],[2023]]-M$2)</f>
        <v>#N/A</v>
      </c>
      <c r="O253" s="102" t="e">
        <f>Tableau6[[#This Row],[Cumul 2023]]-Tableau6[[#This Row],[Cumul 2022]]</f>
        <v>#N/A</v>
      </c>
      <c r="P253" s="104" t="e">
        <f>Tableau6[[#This Row],[Ecart 2022 2023]]/Tableau6[[#This Row],[Cumul 2022]]</f>
        <v>#N/A</v>
      </c>
      <c r="Q253" s="102" t="e">
        <f>MATCH(Tableau6[Jours Mois]&amp;"/"&amp;Tableau6[[#Headers],[2024]],tabSuiviConso[Jour Mois Année],0)</f>
        <v>#N/A</v>
      </c>
      <c r="R253" s="102" t="str">
        <f>IF(ISNA(Tableau6[[#This Row],[Position 2024]]),"",INDEX(tabSuiviConso[HP + HC
cumul],Tableau6[[#This Row],[Position 2024]],1))</f>
        <v/>
      </c>
      <c r="S253" s="123" t="e">
        <f>IF(ISNA(Tableau6[[#This Row],[Position 2024]]),Tableau6[[#This Row],[Position 2024]],Tableau6[[#This Row],[2024]]-R$2)</f>
        <v>#N/A</v>
      </c>
      <c r="T253" s="102" t="e">
        <f>Tableau6[[#This Row],[Cumul 2024]]-Tableau6[[#This Row],[Cumul 2023]]</f>
        <v>#N/A</v>
      </c>
      <c r="U253" s="103" t="e">
        <f>Tableau6[[#This Row],[Ecart 2023 2024]]/Tableau6[[#This Row],[Cumul 2023]]</f>
        <v>#N/A</v>
      </c>
    </row>
    <row r="254" spans="1:21" x14ac:dyDescent="0.2">
      <c r="A254" s="102">
        <v>9</v>
      </c>
      <c r="B254" s="102">
        <v>8</v>
      </c>
      <c r="C254" s="102" t="str">
        <f>Tableau6[Jour]&amp;"/"&amp;Tableau6[Mois]</f>
        <v>8/9</v>
      </c>
      <c r="D254" s="102" t="e">
        <f>MATCH(Tableau6[Jours Mois]&amp;"/"&amp;Tableau6[[#Headers],[2021]],tabSuiviConso[Jour Mois Année],0)</f>
        <v>#N/A</v>
      </c>
      <c r="E254" s="102" t="str">
        <f>IF(ISNA(Tableau6[[#This Row],[Position 2021]]),"",INDEX(tabSuiviConso[HP + HC
cumul],Tableau6[[#This Row],[Position 2021]],1))</f>
        <v/>
      </c>
      <c r="F254" s="123" t="e">
        <f>IF(ISNA(Tableau6[[#This Row],[Position 2021]]),Tableau6[[#This Row],[Position 2021]],Tableau6[[#This Row],[2021]]-E$2)</f>
        <v>#N/A</v>
      </c>
      <c r="G254" s="102" t="e">
        <f>MATCH(Tableau6[Jours Mois]&amp;"/"&amp;Tableau6[[#Headers],[2022]],tabSuiviConso[Jour Mois Année],0)</f>
        <v>#N/A</v>
      </c>
      <c r="H254" s="102" t="str">
        <f>IF(ISNA(Tableau6[[#This Row],[Position 2022]]),"",INDEX(tabSuiviConso[HP + HC
cumul],Tableau6[[#This Row],[Position 2022]],1))</f>
        <v/>
      </c>
      <c r="I254" s="123" t="e">
        <f>IF(ISNA(Tableau6[[#This Row],[Position 2022]]),Tableau6[[#This Row],[Position 2022]],Tableau6[[#This Row],[2022]]-H$2)</f>
        <v>#N/A</v>
      </c>
      <c r="J254" s="102" t="e">
        <f>MATCH(Tableau6[Jours Mois]&amp;"/"&amp;Tableau6[[#Headers],[2023]],tabSuiviConso[Jour Mois Année],0)</f>
        <v>#N/A</v>
      </c>
      <c r="K254" s="102" t="e">
        <f>Tableau6[[#This Row],[Cumul 2022]]-Tableau6[[#This Row],[Cumul 2021]]</f>
        <v>#N/A</v>
      </c>
      <c r="L254" s="104" t="e">
        <f>Tableau6[[#This Row],[Ecart 2021 2022]]/Tableau6[[#This Row],[Cumul 2021]]</f>
        <v>#N/A</v>
      </c>
      <c r="M254" s="102" t="str">
        <f>IF(ISNA(Tableau6[[#This Row],[Position 2023]]),"",INDEX(tabSuiviConso[HP + HC
cumul],Tableau6[[#This Row],[Position 2023]],1))</f>
        <v/>
      </c>
      <c r="N254" s="123" t="e">
        <f>IF(ISNA(Tableau6[[#This Row],[Position 2023]]),Tableau6[[#This Row],[Position 2023]],Tableau6[[#This Row],[2023]]-M$2)</f>
        <v>#N/A</v>
      </c>
      <c r="O254" s="102" t="e">
        <f>Tableau6[[#This Row],[Cumul 2023]]-Tableau6[[#This Row],[Cumul 2022]]</f>
        <v>#N/A</v>
      </c>
      <c r="P254" s="104" t="e">
        <f>Tableau6[[#This Row],[Ecart 2022 2023]]/Tableau6[[#This Row],[Cumul 2022]]</f>
        <v>#N/A</v>
      </c>
      <c r="Q254" s="102" t="e">
        <f>MATCH(Tableau6[Jours Mois]&amp;"/"&amp;Tableau6[[#Headers],[2024]],tabSuiviConso[Jour Mois Année],0)</f>
        <v>#N/A</v>
      </c>
      <c r="R254" s="102" t="str">
        <f>IF(ISNA(Tableau6[[#This Row],[Position 2024]]),"",INDEX(tabSuiviConso[HP + HC
cumul],Tableau6[[#This Row],[Position 2024]],1))</f>
        <v/>
      </c>
      <c r="S254" s="123" t="e">
        <f>IF(ISNA(Tableau6[[#This Row],[Position 2024]]),Tableau6[[#This Row],[Position 2024]],Tableau6[[#This Row],[2024]]-R$2)</f>
        <v>#N/A</v>
      </c>
      <c r="T254" s="102" t="e">
        <f>Tableau6[[#This Row],[Cumul 2024]]-Tableau6[[#This Row],[Cumul 2023]]</f>
        <v>#N/A</v>
      </c>
      <c r="U254" s="103" t="e">
        <f>Tableau6[[#This Row],[Ecart 2023 2024]]/Tableau6[[#This Row],[Cumul 2023]]</f>
        <v>#N/A</v>
      </c>
    </row>
    <row r="255" spans="1:21" x14ac:dyDescent="0.2">
      <c r="A255" s="102">
        <v>9</v>
      </c>
      <c r="B255" s="102">
        <v>9</v>
      </c>
      <c r="C255" s="102" t="str">
        <f>Tableau6[Jour]&amp;"/"&amp;Tableau6[Mois]</f>
        <v>9/9</v>
      </c>
      <c r="D255" s="102" t="e">
        <f>MATCH(Tableau6[Jours Mois]&amp;"/"&amp;Tableau6[[#Headers],[2021]],tabSuiviConso[Jour Mois Année],0)</f>
        <v>#N/A</v>
      </c>
      <c r="E255" s="102" t="str">
        <f>IF(ISNA(Tableau6[[#This Row],[Position 2021]]),"",INDEX(tabSuiviConso[HP + HC
cumul],Tableau6[[#This Row],[Position 2021]],1))</f>
        <v/>
      </c>
      <c r="F255" s="123" t="e">
        <f>IF(ISNA(Tableau6[[#This Row],[Position 2021]]),Tableau6[[#This Row],[Position 2021]],Tableau6[[#This Row],[2021]]-E$2)</f>
        <v>#N/A</v>
      </c>
      <c r="G255" s="102" t="e">
        <f>MATCH(Tableau6[Jours Mois]&amp;"/"&amp;Tableau6[[#Headers],[2022]],tabSuiviConso[Jour Mois Année],0)</f>
        <v>#N/A</v>
      </c>
      <c r="H255" s="102" t="str">
        <f>IF(ISNA(Tableau6[[#This Row],[Position 2022]]),"",INDEX(tabSuiviConso[HP + HC
cumul],Tableau6[[#This Row],[Position 2022]],1))</f>
        <v/>
      </c>
      <c r="I255" s="123" t="e">
        <f>IF(ISNA(Tableau6[[#This Row],[Position 2022]]),Tableau6[[#This Row],[Position 2022]],Tableau6[[#This Row],[2022]]-H$2)</f>
        <v>#N/A</v>
      </c>
      <c r="J255" s="102" t="e">
        <f>MATCH(Tableau6[Jours Mois]&amp;"/"&amp;Tableau6[[#Headers],[2023]],tabSuiviConso[Jour Mois Année],0)</f>
        <v>#N/A</v>
      </c>
      <c r="K255" s="102" t="e">
        <f>Tableau6[[#This Row],[Cumul 2022]]-Tableau6[[#This Row],[Cumul 2021]]</f>
        <v>#N/A</v>
      </c>
      <c r="L255" s="104" t="e">
        <f>Tableau6[[#This Row],[Ecart 2021 2022]]/Tableau6[[#This Row],[Cumul 2021]]</f>
        <v>#N/A</v>
      </c>
      <c r="M255" s="102" t="str">
        <f>IF(ISNA(Tableau6[[#This Row],[Position 2023]]),"",INDEX(tabSuiviConso[HP + HC
cumul],Tableau6[[#This Row],[Position 2023]],1))</f>
        <v/>
      </c>
      <c r="N255" s="123" t="e">
        <f>IF(ISNA(Tableau6[[#This Row],[Position 2023]]),Tableau6[[#This Row],[Position 2023]],Tableau6[[#This Row],[2023]]-M$2)</f>
        <v>#N/A</v>
      </c>
      <c r="O255" s="102" t="e">
        <f>Tableau6[[#This Row],[Cumul 2023]]-Tableau6[[#This Row],[Cumul 2022]]</f>
        <v>#N/A</v>
      </c>
      <c r="P255" s="104" t="e">
        <f>Tableau6[[#This Row],[Ecart 2022 2023]]/Tableau6[[#This Row],[Cumul 2022]]</f>
        <v>#N/A</v>
      </c>
      <c r="Q255" s="102" t="e">
        <f>MATCH(Tableau6[Jours Mois]&amp;"/"&amp;Tableau6[[#Headers],[2024]],tabSuiviConso[Jour Mois Année],0)</f>
        <v>#N/A</v>
      </c>
      <c r="R255" s="102" t="str">
        <f>IF(ISNA(Tableau6[[#This Row],[Position 2024]]),"",INDEX(tabSuiviConso[HP + HC
cumul],Tableau6[[#This Row],[Position 2024]],1))</f>
        <v/>
      </c>
      <c r="S255" s="123" t="e">
        <f>IF(ISNA(Tableau6[[#This Row],[Position 2024]]),Tableau6[[#This Row],[Position 2024]],Tableau6[[#This Row],[2024]]-R$2)</f>
        <v>#N/A</v>
      </c>
      <c r="T255" s="102" t="e">
        <f>Tableau6[[#This Row],[Cumul 2024]]-Tableau6[[#This Row],[Cumul 2023]]</f>
        <v>#N/A</v>
      </c>
      <c r="U255" s="103" t="e">
        <f>Tableau6[[#This Row],[Ecart 2023 2024]]/Tableau6[[#This Row],[Cumul 2023]]</f>
        <v>#N/A</v>
      </c>
    </row>
    <row r="256" spans="1:21" x14ac:dyDescent="0.2">
      <c r="A256" s="102">
        <v>9</v>
      </c>
      <c r="B256" s="102">
        <v>10</v>
      </c>
      <c r="C256" s="102" t="str">
        <f>Tableau6[Jour]&amp;"/"&amp;Tableau6[Mois]</f>
        <v>10/9</v>
      </c>
      <c r="D256" s="102" t="e">
        <f>MATCH(Tableau6[Jours Mois]&amp;"/"&amp;Tableau6[[#Headers],[2021]],tabSuiviConso[Jour Mois Année],0)</f>
        <v>#N/A</v>
      </c>
      <c r="E256" s="102" t="str">
        <f>IF(ISNA(Tableau6[[#This Row],[Position 2021]]),"",INDEX(tabSuiviConso[HP + HC
cumul],Tableau6[[#This Row],[Position 2021]],1))</f>
        <v/>
      </c>
      <c r="F256" s="123" t="e">
        <f>IF(ISNA(Tableau6[[#This Row],[Position 2021]]),Tableau6[[#This Row],[Position 2021]],Tableau6[[#This Row],[2021]]-E$2)</f>
        <v>#N/A</v>
      </c>
      <c r="G256" s="102" t="e">
        <f>MATCH(Tableau6[Jours Mois]&amp;"/"&amp;Tableau6[[#Headers],[2022]],tabSuiviConso[Jour Mois Année],0)</f>
        <v>#N/A</v>
      </c>
      <c r="H256" s="102" t="str">
        <f>IF(ISNA(Tableau6[[#This Row],[Position 2022]]),"",INDEX(tabSuiviConso[HP + HC
cumul],Tableau6[[#This Row],[Position 2022]],1))</f>
        <v/>
      </c>
      <c r="I256" s="123" t="e">
        <f>IF(ISNA(Tableau6[[#This Row],[Position 2022]]),Tableau6[[#This Row],[Position 2022]],Tableau6[[#This Row],[2022]]-H$2)</f>
        <v>#N/A</v>
      </c>
      <c r="J256" s="102" t="e">
        <f>MATCH(Tableau6[Jours Mois]&amp;"/"&amp;Tableau6[[#Headers],[2023]],tabSuiviConso[Jour Mois Année],0)</f>
        <v>#N/A</v>
      </c>
      <c r="K256" s="102" t="e">
        <f>Tableau6[[#This Row],[Cumul 2022]]-Tableau6[[#This Row],[Cumul 2021]]</f>
        <v>#N/A</v>
      </c>
      <c r="L256" s="104" t="e">
        <f>Tableau6[[#This Row],[Ecart 2021 2022]]/Tableau6[[#This Row],[Cumul 2021]]</f>
        <v>#N/A</v>
      </c>
      <c r="M256" s="102" t="str">
        <f>IF(ISNA(Tableau6[[#This Row],[Position 2023]]),"",INDEX(tabSuiviConso[HP + HC
cumul],Tableau6[[#This Row],[Position 2023]],1))</f>
        <v/>
      </c>
      <c r="N256" s="123" t="e">
        <f>IF(ISNA(Tableau6[[#This Row],[Position 2023]]),Tableau6[[#This Row],[Position 2023]],Tableau6[[#This Row],[2023]]-M$2)</f>
        <v>#N/A</v>
      </c>
      <c r="O256" s="102" t="e">
        <f>Tableau6[[#This Row],[Cumul 2023]]-Tableau6[[#This Row],[Cumul 2022]]</f>
        <v>#N/A</v>
      </c>
      <c r="P256" s="104" t="e">
        <f>Tableau6[[#This Row],[Ecart 2022 2023]]/Tableau6[[#This Row],[Cumul 2022]]</f>
        <v>#N/A</v>
      </c>
      <c r="Q256" s="102" t="e">
        <f>MATCH(Tableau6[Jours Mois]&amp;"/"&amp;Tableau6[[#Headers],[2024]],tabSuiviConso[Jour Mois Année],0)</f>
        <v>#N/A</v>
      </c>
      <c r="R256" s="102" t="str">
        <f>IF(ISNA(Tableau6[[#This Row],[Position 2024]]),"",INDEX(tabSuiviConso[HP + HC
cumul],Tableau6[[#This Row],[Position 2024]],1))</f>
        <v/>
      </c>
      <c r="S256" s="123" t="e">
        <f>IF(ISNA(Tableau6[[#This Row],[Position 2024]]),Tableau6[[#This Row],[Position 2024]],Tableau6[[#This Row],[2024]]-R$2)</f>
        <v>#N/A</v>
      </c>
      <c r="T256" s="102" t="e">
        <f>Tableau6[[#This Row],[Cumul 2024]]-Tableau6[[#This Row],[Cumul 2023]]</f>
        <v>#N/A</v>
      </c>
      <c r="U256" s="103" t="e">
        <f>Tableau6[[#This Row],[Ecart 2023 2024]]/Tableau6[[#This Row],[Cumul 2023]]</f>
        <v>#N/A</v>
      </c>
    </row>
    <row r="257" spans="1:21" x14ac:dyDescent="0.2">
      <c r="A257" s="102">
        <v>9</v>
      </c>
      <c r="B257" s="102">
        <v>11</v>
      </c>
      <c r="C257" s="102" t="str">
        <f>Tableau6[Jour]&amp;"/"&amp;Tableau6[Mois]</f>
        <v>11/9</v>
      </c>
      <c r="D257" s="102" t="e">
        <f>MATCH(Tableau6[Jours Mois]&amp;"/"&amp;Tableau6[[#Headers],[2021]],tabSuiviConso[Jour Mois Année],0)</f>
        <v>#N/A</v>
      </c>
      <c r="E257" s="102" t="str">
        <f>IF(ISNA(Tableau6[[#This Row],[Position 2021]]),"",INDEX(tabSuiviConso[HP + HC
cumul],Tableau6[[#This Row],[Position 2021]],1))</f>
        <v/>
      </c>
      <c r="F257" s="123" t="e">
        <f>IF(ISNA(Tableau6[[#This Row],[Position 2021]]),Tableau6[[#This Row],[Position 2021]],Tableau6[[#This Row],[2021]]-E$2)</f>
        <v>#N/A</v>
      </c>
      <c r="G257" s="102" t="e">
        <f>MATCH(Tableau6[Jours Mois]&amp;"/"&amp;Tableau6[[#Headers],[2022]],tabSuiviConso[Jour Mois Année],0)</f>
        <v>#N/A</v>
      </c>
      <c r="H257" s="102" t="str">
        <f>IF(ISNA(Tableau6[[#This Row],[Position 2022]]),"",INDEX(tabSuiviConso[HP + HC
cumul],Tableau6[[#This Row],[Position 2022]],1))</f>
        <v/>
      </c>
      <c r="I257" s="123" t="e">
        <f>IF(ISNA(Tableau6[[#This Row],[Position 2022]]),Tableau6[[#This Row],[Position 2022]],Tableau6[[#This Row],[2022]]-H$2)</f>
        <v>#N/A</v>
      </c>
      <c r="J257" s="102" t="e">
        <f>MATCH(Tableau6[Jours Mois]&amp;"/"&amp;Tableau6[[#Headers],[2023]],tabSuiviConso[Jour Mois Année],0)</f>
        <v>#N/A</v>
      </c>
      <c r="K257" s="102" t="e">
        <f>Tableau6[[#This Row],[Cumul 2022]]-Tableau6[[#This Row],[Cumul 2021]]</f>
        <v>#N/A</v>
      </c>
      <c r="L257" s="104" t="e">
        <f>Tableau6[[#This Row],[Ecart 2021 2022]]/Tableau6[[#This Row],[Cumul 2021]]</f>
        <v>#N/A</v>
      </c>
      <c r="M257" s="102" t="str">
        <f>IF(ISNA(Tableau6[[#This Row],[Position 2023]]),"",INDEX(tabSuiviConso[HP + HC
cumul],Tableau6[[#This Row],[Position 2023]],1))</f>
        <v/>
      </c>
      <c r="N257" s="123" t="e">
        <f>IF(ISNA(Tableau6[[#This Row],[Position 2023]]),Tableau6[[#This Row],[Position 2023]],Tableau6[[#This Row],[2023]]-M$2)</f>
        <v>#N/A</v>
      </c>
      <c r="O257" s="102" t="e">
        <f>Tableau6[[#This Row],[Cumul 2023]]-Tableau6[[#This Row],[Cumul 2022]]</f>
        <v>#N/A</v>
      </c>
      <c r="P257" s="104" t="e">
        <f>Tableau6[[#This Row],[Ecart 2022 2023]]/Tableau6[[#This Row],[Cumul 2022]]</f>
        <v>#N/A</v>
      </c>
      <c r="Q257" s="102" t="e">
        <f>MATCH(Tableau6[Jours Mois]&amp;"/"&amp;Tableau6[[#Headers],[2024]],tabSuiviConso[Jour Mois Année],0)</f>
        <v>#N/A</v>
      </c>
      <c r="R257" s="102" t="str">
        <f>IF(ISNA(Tableau6[[#This Row],[Position 2024]]),"",INDEX(tabSuiviConso[HP + HC
cumul],Tableau6[[#This Row],[Position 2024]],1))</f>
        <v/>
      </c>
      <c r="S257" s="123" t="e">
        <f>IF(ISNA(Tableau6[[#This Row],[Position 2024]]),Tableau6[[#This Row],[Position 2024]],Tableau6[[#This Row],[2024]]-R$2)</f>
        <v>#N/A</v>
      </c>
      <c r="T257" s="102" t="e">
        <f>Tableau6[[#This Row],[Cumul 2024]]-Tableau6[[#This Row],[Cumul 2023]]</f>
        <v>#N/A</v>
      </c>
      <c r="U257" s="103" t="e">
        <f>Tableau6[[#This Row],[Ecart 2023 2024]]/Tableau6[[#This Row],[Cumul 2023]]</f>
        <v>#N/A</v>
      </c>
    </row>
    <row r="258" spans="1:21" x14ac:dyDescent="0.2">
      <c r="A258" s="102">
        <v>9</v>
      </c>
      <c r="B258" s="102">
        <v>12</v>
      </c>
      <c r="C258" s="102" t="str">
        <f>Tableau6[Jour]&amp;"/"&amp;Tableau6[Mois]</f>
        <v>12/9</v>
      </c>
      <c r="D258" s="102" t="e">
        <f>MATCH(Tableau6[Jours Mois]&amp;"/"&amp;Tableau6[[#Headers],[2021]],tabSuiviConso[Jour Mois Année],0)</f>
        <v>#N/A</v>
      </c>
      <c r="E258" s="102" t="str">
        <f>IF(ISNA(Tableau6[[#This Row],[Position 2021]]),"",INDEX(tabSuiviConso[HP + HC
cumul],Tableau6[[#This Row],[Position 2021]],1))</f>
        <v/>
      </c>
      <c r="F258" s="123" t="e">
        <f>IF(ISNA(Tableau6[[#This Row],[Position 2021]]),Tableau6[[#This Row],[Position 2021]],Tableau6[[#This Row],[2021]]-E$2)</f>
        <v>#N/A</v>
      </c>
      <c r="G258" s="102" t="e">
        <f>MATCH(Tableau6[Jours Mois]&amp;"/"&amp;Tableau6[[#Headers],[2022]],tabSuiviConso[Jour Mois Année],0)</f>
        <v>#N/A</v>
      </c>
      <c r="H258" s="102" t="str">
        <f>IF(ISNA(Tableau6[[#This Row],[Position 2022]]),"",INDEX(tabSuiviConso[HP + HC
cumul],Tableau6[[#This Row],[Position 2022]],1))</f>
        <v/>
      </c>
      <c r="I258" s="123" t="e">
        <f>IF(ISNA(Tableau6[[#This Row],[Position 2022]]),Tableau6[[#This Row],[Position 2022]],Tableau6[[#This Row],[2022]]-H$2)</f>
        <v>#N/A</v>
      </c>
      <c r="J258" s="102" t="e">
        <f>MATCH(Tableau6[Jours Mois]&amp;"/"&amp;Tableau6[[#Headers],[2023]],tabSuiviConso[Jour Mois Année],0)</f>
        <v>#N/A</v>
      </c>
      <c r="K258" s="102" t="e">
        <f>Tableau6[[#This Row],[Cumul 2022]]-Tableau6[[#This Row],[Cumul 2021]]</f>
        <v>#N/A</v>
      </c>
      <c r="L258" s="104" t="e">
        <f>Tableau6[[#This Row],[Ecart 2021 2022]]/Tableau6[[#This Row],[Cumul 2021]]</f>
        <v>#N/A</v>
      </c>
      <c r="M258" s="102" t="str">
        <f>IF(ISNA(Tableau6[[#This Row],[Position 2023]]),"",INDEX(tabSuiviConso[HP + HC
cumul],Tableau6[[#This Row],[Position 2023]],1))</f>
        <v/>
      </c>
      <c r="N258" s="123" t="e">
        <f>IF(ISNA(Tableau6[[#This Row],[Position 2023]]),Tableau6[[#This Row],[Position 2023]],Tableau6[[#This Row],[2023]]-M$2)</f>
        <v>#N/A</v>
      </c>
      <c r="O258" s="102" t="e">
        <f>Tableau6[[#This Row],[Cumul 2023]]-Tableau6[[#This Row],[Cumul 2022]]</f>
        <v>#N/A</v>
      </c>
      <c r="P258" s="104" t="e">
        <f>Tableau6[[#This Row],[Ecart 2022 2023]]/Tableau6[[#This Row],[Cumul 2022]]</f>
        <v>#N/A</v>
      </c>
      <c r="Q258" s="102" t="e">
        <f>MATCH(Tableau6[Jours Mois]&amp;"/"&amp;Tableau6[[#Headers],[2024]],tabSuiviConso[Jour Mois Année],0)</f>
        <v>#N/A</v>
      </c>
      <c r="R258" s="102" t="str">
        <f>IF(ISNA(Tableau6[[#This Row],[Position 2024]]),"",INDEX(tabSuiviConso[HP + HC
cumul],Tableau6[[#This Row],[Position 2024]],1))</f>
        <v/>
      </c>
      <c r="S258" s="123" t="e">
        <f>IF(ISNA(Tableau6[[#This Row],[Position 2024]]),Tableau6[[#This Row],[Position 2024]],Tableau6[[#This Row],[2024]]-R$2)</f>
        <v>#N/A</v>
      </c>
      <c r="T258" s="102" t="e">
        <f>Tableau6[[#This Row],[Cumul 2024]]-Tableau6[[#This Row],[Cumul 2023]]</f>
        <v>#N/A</v>
      </c>
      <c r="U258" s="103" t="e">
        <f>Tableau6[[#This Row],[Ecart 2023 2024]]/Tableau6[[#This Row],[Cumul 2023]]</f>
        <v>#N/A</v>
      </c>
    </row>
    <row r="259" spans="1:21" x14ac:dyDescent="0.2">
      <c r="A259" s="102">
        <v>9</v>
      </c>
      <c r="B259" s="102">
        <v>13</v>
      </c>
      <c r="C259" s="102" t="str">
        <f>Tableau6[Jour]&amp;"/"&amp;Tableau6[Mois]</f>
        <v>13/9</v>
      </c>
      <c r="D259" s="102" t="e">
        <f>MATCH(Tableau6[Jours Mois]&amp;"/"&amp;Tableau6[[#Headers],[2021]],tabSuiviConso[Jour Mois Année],0)</f>
        <v>#N/A</v>
      </c>
      <c r="E259" s="102" t="str">
        <f>IF(ISNA(Tableau6[[#This Row],[Position 2021]]),"",INDEX(tabSuiviConso[HP + HC
cumul],Tableau6[[#This Row],[Position 2021]],1))</f>
        <v/>
      </c>
      <c r="F259" s="123" t="e">
        <f>IF(ISNA(Tableau6[[#This Row],[Position 2021]]),Tableau6[[#This Row],[Position 2021]],Tableau6[[#This Row],[2021]]-E$2)</f>
        <v>#N/A</v>
      </c>
      <c r="G259" s="102" t="e">
        <f>MATCH(Tableau6[Jours Mois]&amp;"/"&amp;Tableau6[[#Headers],[2022]],tabSuiviConso[Jour Mois Année],0)</f>
        <v>#N/A</v>
      </c>
      <c r="H259" s="102" t="str">
        <f>IF(ISNA(Tableau6[[#This Row],[Position 2022]]),"",INDEX(tabSuiviConso[HP + HC
cumul],Tableau6[[#This Row],[Position 2022]],1))</f>
        <v/>
      </c>
      <c r="I259" s="123" t="e">
        <f>IF(ISNA(Tableau6[[#This Row],[Position 2022]]),Tableau6[[#This Row],[Position 2022]],Tableau6[[#This Row],[2022]]-H$2)</f>
        <v>#N/A</v>
      </c>
      <c r="J259" s="102" t="e">
        <f>MATCH(Tableau6[Jours Mois]&amp;"/"&amp;Tableau6[[#Headers],[2023]],tabSuiviConso[Jour Mois Année],0)</f>
        <v>#N/A</v>
      </c>
      <c r="K259" s="102" t="e">
        <f>Tableau6[[#This Row],[Cumul 2022]]-Tableau6[[#This Row],[Cumul 2021]]</f>
        <v>#N/A</v>
      </c>
      <c r="L259" s="104" t="e">
        <f>Tableau6[[#This Row],[Ecart 2021 2022]]/Tableau6[[#This Row],[Cumul 2021]]</f>
        <v>#N/A</v>
      </c>
      <c r="M259" s="102" t="str">
        <f>IF(ISNA(Tableau6[[#This Row],[Position 2023]]),"",INDEX(tabSuiviConso[HP + HC
cumul],Tableau6[[#This Row],[Position 2023]],1))</f>
        <v/>
      </c>
      <c r="N259" s="123" t="e">
        <f>IF(ISNA(Tableau6[[#This Row],[Position 2023]]),Tableau6[[#This Row],[Position 2023]],Tableau6[[#This Row],[2023]]-M$2)</f>
        <v>#N/A</v>
      </c>
      <c r="O259" s="102" t="e">
        <f>Tableau6[[#This Row],[Cumul 2023]]-Tableau6[[#This Row],[Cumul 2022]]</f>
        <v>#N/A</v>
      </c>
      <c r="P259" s="104" t="e">
        <f>Tableau6[[#This Row],[Ecart 2022 2023]]/Tableau6[[#This Row],[Cumul 2022]]</f>
        <v>#N/A</v>
      </c>
      <c r="Q259" s="102" t="e">
        <f>MATCH(Tableau6[Jours Mois]&amp;"/"&amp;Tableau6[[#Headers],[2024]],tabSuiviConso[Jour Mois Année],0)</f>
        <v>#N/A</v>
      </c>
      <c r="R259" s="102" t="str">
        <f>IF(ISNA(Tableau6[[#This Row],[Position 2024]]),"",INDEX(tabSuiviConso[HP + HC
cumul],Tableau6[[#This Row],[Position 2024]],1))</f>
        <v/>
      </c>
      <c r="S259" s="123" t="e">
        <f>IF(ISNA(Tableau6[[#This Row],[Position 2024]]),Tableau6[[#This Row],[Position 2024]],Tableau6[[#This Row],[2024]]-R$2)</f>
        <v>#N/A</v>
      </c>
      <c r="T259" s="102" t="e">
        <f>Tableau6[[#This Row],[Cumul 2024]]-Tableau6[[#This Row],[Cumul 2023]]</f>
        <v>#N/A</v>
      </c>
      <c r="U259" s="103" t="e">
        <f>Tableau6[[#This Row],[Ecart 2023 2024]]/Tableau6[[#This Row],[Cumul 2023]]</f>
        <v>#N/A</v>
      </c>
    </row>
    <row r="260" spans="1:21" x14ac:dyDescent="0.2">
      <c r="A260" s="102">
        <v>9</v>
      </c>
      <c r="B260" s="102">
        <v>14</v>
      </c>
      <c r="C260" s="102" t="str">
        <f>Tableau6[Jour]&amp;"/"&amp;Tableau6[Mois]</f>
        <v>14/9</v>
      </c>
      <c r="D260" s="102" t="e">
        <f>MATCH(Tableau6[Jours Mois]&amp;"/"&amp;Tableau6[[#Headers],[2021]],tabSuiviConso[Jour Mois Année],0)</f>
        <v>#N/A</v>
      </c>
      <c r="E260" s="102" t="str">
        <f>IF(ISNA(Tableau6[[#This Row],[Position 2021]]),"",INDEX(tabSuiviConso[HP + HC
cumul],Tableau6[[#This Row],[Position 2021]],1))</f>
        <v/>
      </c>
      <c r="F260" s="123" t="e">
        <f>IF(ISNA(Tableau6[[#This Row],[Position 2021]]),Tableau6[[#This Row],[Position 2021]],Tableau6[[#This Row],[2021]]-E$2)</f>
        <v>#N/A</v>
      </c>
      <c r="G260" s="102" t="e">
        <f>MATCH(Tableau6[Jours Mois]&amp;"/"&amp;Tableau6[[#Headers],[2022]],tabSuiviConso[Jour Mois Année],0)</f>
        <v>#N/A</v>
      </c>
      <c r="H260" s="102" t="str">
        <f>IF(ISNA(Tableau6[[#This Row],[Position 2022]]),"",INDEX(tabSuiviConso[HP + HC
cumul],Tableau6[[#This Row],[Position 2022]],1))</f>
        <v/>
      </c>
      <c r="I260" s="123" t="e">
        <f>IF(ISNA(Tableau6[[#This Row],[Position 2022]]),Tableau6[[#This Row],[Position 2022]],Tableau6[[#This Row],[2022]]-H$2)</f>
        <v>#N/A</v>
      </c>
      <c r="J260" s="102" t="e">
        <f>MATCH(Tableau6[Jours Mois]&amp;"/"&amp;Tableau6[[#Headers],[2023]],tabSuiviConso[Jour Mois Année],0)</f>
        <v>#N/A</v>
      </c>
      <c r="K260" s="102" t="e">
        <f>Tableau6[[#This Row],[Cumul 2022]]-Tableau6[[#This Row],[Cumul 2021]]</f>
        <v>#N/A</v>
      </c>
      <c r="L260" s="104" t="e">
        <f>Tableau6[[#This Row],[Ecart 2021 2022]]/Tableau6[[#This Row],[Cumul 2021]]</f>
        <v>#N/A</v>
      </c>
      <c r="M260" s="102" t="str">
        <f>IF(ISNA(Tableau6[[#This Row],[Position 2023]]),"",INDEX(tabSuiviConso[HP + HC
cumul],Tableau6[[#This Row],[Position 2023]],1))</f>
        <v/>
      </c>
      <c r="N260" s="123" t="e">
        <f>IF(ISNA(Tableau6[[#This Row],[Position 2023]]),Tableau6[[#This Row],[Position 2023]],Tableau6[[#This Row],[2023]]-M$2)</f>
        <v>#N/A</v>
      </c>
      <c r="O260" s="102" t="e">
        <f>Tableau6[[#This Row],[Cumul 2023]]-Tableau6[[#This Row],[Cumul 2022]]</f>
        <v>#N/A</v>
      </c>
      <c r="P260" s="104" t="e">
        <f>Tableau6[[#This Row],[Ecart 2022 2023]]/Tableau6[[#This Row],[Cumul 2022]]</f>
        <v>#N/A</v>
      </c>
      <c r="Q260" s="102" t="e">
        <f>MATCH(Tableau6[Jours Mois]&amp;"/"&amp;Tableau6[[#Headers],[2024]],tabSuiviConso[Jour Mois Année],0)</f>
        <v>#N/A</v>
      </c>
      <c r="R260" s="102" t="str">
        <f>IF(ISNA(Tableau6[[#This Row],[Position 2024]]),"",INDEX(tabSuiviConso[HP + HC
cumul],Tableau6[[#This Row],[Position 2024]],1))</f>
        <v/>
      </c>
      <c r="S260" s="123" t="e">
        <f>IF(ISNA(Tableau6[[#This Row],[Position 2024]]),Tableau6[[#This Row],[Position 2024]],Tableau6[[#This Row],[2024]]-R$2)</f>
        <v>#N/A</v>
      </c>
      <c r="T260" s="102" t="e">
        <f>Tableau6[[#This Row],[Cumul 2024]]-Tableau6[[#This Row],[Cumul 2023]]</f>
        <v>#N/A</v>
      </c>
      <c r="U260" s="103" t="e">
        <f>Tableau6[[#This Row],[Ecart 2023 2024]]/Tableau6[[#This Row],[Cumul 2023]]</f>
        <v>#N/A</v>
      </c>
    </row>
    <row r="261" spans="1:21" x14ac:dyDescent="0.2">
      <c r="A261" s="102">
        <v>9</v>
      </c>
      <c r="B261" s="102">
        <v>15</v>
      </c>
      <c r="C261" s="102" t="str">
        <f>Tableau6[Jour]&amp;"/"&amp;Tableau6[Mois]</f>
        <v>15/9</v>
      </c>
      <c r="D261" s="102" t="e">
        <f>MATCH(Tableau6[Jours Mois]&amp;"/"&amp;Tableau6[[#Headers],[2021]],tabSuiviConso[Jour Mois Année],0)</f>
        <v>#N/A</v>
      </c>
      <c r="E261" s="102" t="str">
        <f>IF(ISNA(Tableau6[[#This Row],[Position 2021]]),"",INDEX(tabSuiviConso[HP + HC
cumul],Tableau6[[#This Row],[Position 2021]],1))</f>
        <v/>
      </c>
      <c r="F261" s="123" t="e">
        <f>IF(ISNA(Tableau6[[#This Row],[Position 2021]]),Tableau6[[#This Row],[Position 2021]],Tableau6[[#This Row],[2021]]-E$2)</f>
        <v>#N/A</v>
      </c>
      <c r="G261" s="102" t="e">
        <f>MATCH(Tableau6[Jours Mois]&amp;"/"&amp;Tableau6[[#Headers],[2022]],tabSuiviConso[Jour Mois Année],0)</f>
        <v>#N/A</v>
      </c>
      <c r="H261" s="102" t="str">
        <f>IF(ISNA(Tableau6[[#This Row],[Position 2022]]),"",INDEX(tabSuiviConso[HP + HC
cumul],Tableau6[[#This Row],[Position 2022]],1))</f>
        <v/>
      </c>
      <c r="I261" s="123" t="e">
        <f>IF(ISNA(Tableau6[[#This Row],[Position 2022]]),Tableau6[[#This Row],[Position 2022]],Tableau6[[#This Row],[2022]]-H$2)</f>
        <v>#N/A</v>
      </c>
      <c r="J261" s="102" t="e">
        <f>MATCH(Tableau6[Jours Mois]&amp;"/"&amp;Tableau6[[#Headers],[2023]],tabSuiviConso[Jour Mois Année],0)</f>
        <v>#N/A</v>
      </c>
      <c r="K261" s="102" t="e">
        <f>Tableau6[[#This Row],[Cumul 2022]]-Tableau6[[#This Row],[Cumul 2021]]</f>
        <v>#N/A</v>
      </c>
      <c r="L261" s="104" t="e">
        <f>Tableau6[[#This Row],[Ecart 2021 2022]]/Tableau6[[#This Row],[Cumul 2021]]</f>
        <v>#N/A</v>
      </c>
      <c r="M261" s="102" t="str">
        <f>IF(ISNA(Tableau6[[#This Row],[Position 2023]]),"",INDEX(tabSuiviConso[HP + HC
cumul],Tableau6[[#This Row],[Position 2023]],1))</f>
        <v/>
      </c>
      <c r="N261" s="123" t="e">
        <f>IF(ISNA(Tableau6[[#This Row],[Position 2023]]),Tableau6[[#This Row],[Position 2023]],Tableau6[[#This Row],[2023]]-M$2)</f>
        <v>#N/A</v>
      </c>
      <c r="O261" s="102" t="e">
        <f>Tableau6[[#This Row],[Cumul 2023]]-Tableau6[[#This Row],[Cumul 2022]]</f>
        <v>#N/A</v>
      </c>
      <c r="P261" s="104" t="e">
        <f>Tableau6[[#This Row],[Ecart 2022 2023]]/Tableau6[[#This Row],[Cumul 2022]]</f>
        <v>#N/A</v>
      </c>
      <c r="Q261" s="102" t="e">
        <f>MATCH(Tableau6[Jours Mois]&amp;"/"&amp;Tableau6[[#Headers],[2024]],tabSuiviConso[Jour Mois Année],0)</f>
        <v>#N/A</v>
      </c>
      <c r="R261" s="102" t="str">
        <f>IF(ISNA(Tableau6[[#This Row],[Position 2024]]),"",INDEX(tabSuiviConso[HP + HC
cumul],Tableau6[[#This Row],[Position 2024]],1))</f>
        <v/>
      </c>
      <c r="S261" s="123" t="e">
        <f>IF(ISNA(Tableau6[[#This Row],[Position 2024]]),Tableau6[[#This Row],[Position 2024]],Tableau6[[#This Row],[2024]]-R$2)</f>
        <v>#N/A</v>
      </c>
      <c r="T261" s="102" t="e">
        <f>Tableau6[[#This Row],[Cumul 2024]]-Tableau6[[#This Row],[Cumul 2023]]</f>
        <v>#N/A</v>
      </c>
      <c r="U261" s="103" t="e">
        <f>Tableau6[[#This Row],[Ecart 2023 2024]]/Tableau6[[#This Row],[Cumul 2023]]</f>
        <v>#N/A</v>
      </c>
    </row>
    <row r="262" spans="1:21" x14ac:dyDescent="0.2">
      <c r="A262" s="102">
        <v>9</v>
      </c>
      <c r="B262" s="102">
        <v>16</v>
      </c>
      <c r="C262" s="102" t="str">
        <f>Tableau6[Jour]&amp;"/"&amp;Tableau6[Mois]</f>
        <v>16/9</v>
      </c>
      <c r="D262" s="102" t="e">
        <f>MATCH(Tableau6[Jours Mois]&amp;"/"&amp;Tableau6[[#Headers],[2021]],tabSuiviConso[Jour Mois Année],0)</f>
        <v>#N/A</v>
      </c>
      <c r="E262" s="102" t="str">
        <f>IF(ISNA(Tableau6[[#This Row],[Position 2021]]),"",INDEX(tabSuiviConso[HP + HC
cumul],Tableau6[[#This Row],[Position 2021]],1))</f>
        <v/>
      </c>
      <c r="F262" s="123" t="e">
        <f>IF(ISNA(Tableau6[[#This Row],[Position 2021]]),Tableau6[[#This Row],[Position 2021]],Tableau6[[#This Row],[2021]]-E$2)</f>
        <v>#N/A</v>
      </c>
      <c r="G262" s="102" t="e">
        <f>MATCH(Tableau6[Jours Mois]&amp;"/"&amp;Tableau6[[#Headers],[2022]],tabSuiviConso[Jour Mois Année],0)</f>
        <v>#N/A</v>
      </c>
      <c r="H262" s="102" t="str">
        <f>IF(ISNA(Tableau6[[#This Row],[Position 2022]]),"",INDEX(tabSuiviConso[HP + HC
cumul],Tableau6[[#This Row],[Position 2022]],1))</f>
        <v/>
      </c>
      <c r="I262" s="123" t="e">
        <f>IF(ISNA(Tableau6[[#This Row],[Position 2022]]),Tableau6[[#This Row],[Position 2022]],Tableau6[[#This Row],[2022]]-H$2)</f>
        <v>#N/A</v>
      </c>
      <c r="J262" s="102" t="e">
        <f>MATCH(Tableau6[Jours Mois]&amp;"/"&amp;Tableau6[[#Headers],[2023]],tabSuiviConso[Jour Mois Année],0)</f>
        <v>#N/A</v>
      </c>
      <c r="K262" s="102" t="e">
        <f>Tableau6[[#This Row],[Cumul 2022]]-Tableau6[[#This Row],[Cumul 2021]]</f>
        <v>#N/A</v>
      </c>
      <c r="L262" s="104" t="e">
        <f>Tableau6[[#This Row],[Ecart 2021 2022]]/Tableau6[[#This Row],[Cumul 2021]]</f>
        <v>#N/A</v>
      </c>
      <c r="M262" s="102" t="str">
        <f>IF(ISNA(Tableau6[[#This Row],[Position 2023]]),"",INDEX(tabSuiviConso[HP + HC
cumul],Tableau6[[#This Row],[Position 2023]],1))</f>
        <v/>
      </c>
      <c r="N262" s="123" t="e">
        <f>IF(ISNA(Tableau6[[#This Row],[Position 2023]]),Tableau6[[#This Row],[Position 2023]],Tableau6[[#This Row],[2023]]-M$2)</f>
        <v>#N/A</v>
      </c>
      <c r="O262" s="102" t="e">
        <f>Tableau6[[#This Row],[Cumul 2023]]-Tableau6[[#This Row],[Cumul 2022]]</f>
        <v>#N/A</v>
      </c>
      <c r="P262" s="104" t="e">
        <f>Tableau6[[#This Row],[Ecart 2022 2023]]/Tableau6[[#This Row],[Cumul 2022]]</f>
        <v>#N/A</v>
      </c>
      <c r="Q262" s="102" t="e">
        <f>MATCH(Tableau6[Jours Mois]&amp;"/"&amp;Tableau6[[#Headers],[2024]],tabSuiviConso[Jour Mois Année],0)</f>
        <v>#N/A</v>
      </c>
      <c r="R262" s="102" t="str">
        <f>IF(ISNA(Tableau6[[#This Row],[Position 2024]]),"",INDEX(tabSuiviConso[HP + HC
cumul],Tableau6[[#This Row],[Position 2024]],1))</f>
        <v/>
      </c>
      <c r="S262" s="123" t="e">
        <f>IF(ISNA(Tableau6[[#This Row],[Position 2024]]),Tableau6[[#This Row],[Position 2024]],Tableau6[[#This Row],[2024]]-R$2)</f>
        <v>#N/A</v>
      </c>
      <c r="T262" s="102" t="e">
        <f>Tableau6[[#This Row],[Cumul 2024]]-Tableau6[[#This Row],[Cumul 2023]]</f>
        <v>#N/A</v>
      </c>
      <c r="U262" s="103" t="e">
        <f>Tableau6[[#This Row],[Ecart 2023 2024]]/Tableau6[[#This Row],[Cumul 2023]]</f>
        <v>#N/A</v>
      </c>
    </row>
    <row r="263" spans="1:21" x14ac:dyDescent="0.2">
      <c r="A263" s="102">
        <v>9</v>
      </c>
      <c r="B263" s="102">
        <v>17</v>
      </c>
      <c r="C263" s="102" t="str">
        <f>Tableau6[Jour]&amp;"/"&amp;Tableau6[Mois]</f>
        <v>17/9</v>
      </c>
      <c r="D263" s="102" t="e">
        <f>MATCH(Tableau6[Jours Mois]&amp;"/"&amp;Tableau6[[#Headers],[2021]],tabSuiviConso[Jour Mois Année],0)</f>
        <v>#N/A</v>
      </c>
      <c r="E263" s="102" t="str">
        <f>IF(ISNA(Tableau6[[#This Row],[Position 2021]]),"",INDEX(tabSuiviConso[HP + HC
cumul],Tableau6[[#This Row],[Position 2021]],1))</f>
        <v/>
      </c>
      <c r="F263" s="123" t="e">
        <f>IF(ISNA(Tableau6[[#This Row],[Position 2021]]),Tableau6[[#This Row],[Position 2021]],Tableau6[[#This Row],[2021]]-E$2)</f>
        <v>#N/A</v>
      </c>
      <c r="G263" s="102" t="e">
        <f>MATCH(Tableau6[Jours Mois]&amp;"/"&amp;Tableau6[[#Headers],[2022]],tabSuiviConso[Jour Mois Année],0)</f>
        <v>#N/A</v>
      </c>
      <c r="H263" s="102" t="str">
        <f>IF(ISNA(Tableau6[[#This Row],[Position 2022]]),"",INDEX(tabSuiviConso[HP + HC
cumul],Tableau6[[#This Row],[Position 2022]],1))</f>
        <v/>
      </c>
      <c r="I263" s="123" t="e">
        <f>IF(ISNA(Tableau6[[#This Row],[Position 2022]]),Tableau6[[#This Row],[Position 2022]],Tableau6[[#This Row],[2022]]-H$2)</f>
        <v>#N/A</v>
      </c>
      <c r="J263" s="102" t="e">
        <f>MATCH(Tableau6[Jours Mois]&amp;"/"&amp;Tableau6[[#Headers],[2023]],tabSuiviConso[Jour Mois Année],0)</f>
        <v>#N/A</v>
      </c>
      <c r="K263" s="102" t="e">
        <f>Tableau6[[#This Row],[Cumul 2022]]-Tableau6[[#This Row],[Cumul 2021]]</f>
        <v>#N/A</v>
      </c>
      <c r="L263" s="104" t="e">
        <f>Tableau6[[#This Row],[Ecart 2021 2022]]/Tableau6[[#This Row],[Cumul 2021]]</f>
        <v>#N/A</v>
      </c>
      <c r="M263" s="102" t="str">
        <f>IF(ISNA(Tableau6[[#This Row],[Position 2023]]),"",INDEX(tabSuiviConso[HP + HC
cumul],Tableau6[[#This Row],[Position 2023]],1))</f>
        <v/>
      </c>
      <c r="N263" s="123" t="e">
        <f>IF(ISNA(Tableau6[[#This Row],[Position 2023]]),Tableau6[[#This Row],[Position 2023]],Tableau6[[#This Row],[2023]]-M$2)</f>
        <v>#N/A</v>
      </c>
      <c r="O263" s="102" t="e">
        <f>Tableau6[[#This Row],[Cumul 2023]]-Tableau6[[#This Row],[Cumul 2022]]</f>
        <v>#N/A</v>
      </c>
      <c r="P263" s="104" t="e">
        <f>Tableau6[[#This Row],[Ecart 2022 2023]]/Tableau6[[#This Row],[Cumul 2022]]</f>
        <v>#N/A</v>
      </c>
      <c r="Q263" s="102" t="e">
        <f>MATCH(Tableau6[Jours Mois]&amp;"/"&amp;Tableau6[[#Headers],[2024]],tabSuiviConso[Jour Mois Année],0)</f>
        <v>#N/A</v>
      </c>
      <c r="R263" s="102" t="str">
        <f>IF(ISNA(Tableau6[[#This Row],[Position 2024]]),"",INDEX(tabSuiviConso[HP + HC
cumul],Tableau6[[#This Row],[Position 2024]],1))</f>
        <v/>
      </c>
      <c r="S263" s="123" t="e">
        <f>IF(ISNA(Tableau6[[#This Row],[Position 2024]]),Tableau6[[#This Row],[Position 2024]],Tableau6[[#This Row],[2024]]-R$2)</f>
        <v>#N/A</v>
      </c>
      <c r="T263" s="102" t="e">
        <f>Tableau6[[#This Row],[Cumul 2024]]-Tableau6[[#This Row],[Cumul 2023]]</f>
        <v>#N/A</v>
      </c>
      <c r="U263" s="103" t="e">
        <f>Tableau6[[#This Row],[Ecart 2023 2024]]/Tableau6[[#This Row],[Cumul 2023]]</f>
        <v>#N/A</v>
      </c>
    </row>
    <row r="264" spans="1:21" x14ac:dyDescent="0.2">
      <c r="A264" s="102">
        <v>9</v>
      </c>
      <c r="B264" s="102">
        <v>18</v>
      </c>
      <c r="C264" s="102" t="str">
        <f>Tableau6[Jour]&amp;"/"&amp;Tableau6[Mois]</f>
        <v>18/9</v>
      </c>
      <c r="D264" s="102" t="e">
        <f>MATCH(Tableau6[Jours Mois]&amp;"/"&amp;Tableau6[[#Headers],[2021]],tabSuiviConso[Jour Mois Année],0)</f>
        <v>#N/A</v>
      </c>
      <c r="E264" s="102" t="str">
        <f>IF(ISNA(Tableau6[[#This Row],[Position 2021]]),"",INDEX(tabSuiviConso[HP + HC
cumul],Tableau6[[#This Row],[Position 2021]],1))</f>
        <v/>
      </c>
      <c r="F264" s="123" t="e">
        <f>IF(ISNA(Tableau6[[#This Row],[Position 2021]]),Tableau6[[#This Row],[Position 2021]],Tableau6[[#This Row],[2021]]-E$2)</f>
        <v>#N/A</v>
      </c>
      <c r="G264" s="102" t="e">
        <f>MATCH(Tableau6[Jours Mois]&amp;"/"&amp;Tableau6[[#Headers],[2022]],tabSuiviConso[Jour Mois Année],0)</f>
        <v>#N/A</v>
      </c>
      <c r="H264" s="102" t="str">
        <f>IF(ISNA(Tableau6[[#This Row],[Position 2022]]),"",INDEX(tabSuiviConso[HP + HC
cumul],Tableau6[[#This Row],[Position 2022]],1))</f>
        <v/>
      </c>
      <c r="I264" s="123" t="e">
        <f>IF(ISNA(Tableau6[[#This Row],[Position 2022]]),Tableau6[[#This Row],[Position 2022]],Tableau6[[#This Row],[2022]]-H$2)</f>
        <v>#N/A</v>
      </c>
      <c r="J264" s="102" t="e">
        <f>MATCH(Tableau6[Jours Mois]&amp;"/"&amp;Tableau6[[#Headers],[2023]],tabSuiviConso[Jour Mois Année],0)</f>
        <v>#N/A</v>
      </c>
      <c r="K264" s="102" t="e">
        <f>Tableau6[[#This Row],[Cumul 2022]]-Tableau6[[#This Row],[Cumul 2021]]</f>
        <v>#N/A</v>
      </c>
      <c r="L264" s="104" t="e">
        <f>Tableau6[[#This Row],[Ecart 2021 2022]]/Tableau6[[#This Row],[Cumul 2021]]</f>
        <v>#N/A</v>
      </c>
      <c r="M264" s="102" t="str">
        <f>IF(ISNA(Tableau6[[#This Row],[Position 2023]]),"",INDEX(tabSuiviConso[HP + HC
cumul],Tableau6[[#This Row],[Position 2023]],1))</f>
        <v/>
      </c>
      <c r="N264" s="123" t="e">
        <f>IF(ISNA(Tableau6[[#This Row],[Position 2023]]),Tableau6[[#This Row],[Position 2023]],Tableau6[[#This Row],[2023]]-M$2)</f>
        <v>#N/A</v>
      </c>
      <c r="O264" s="102" t="e">
        <f>Tableau6[[#This Row],[Cumul 2023]]-Tableau6[[#This Row],[Cumul 2022]]</f>
        <v>#N/A</v>
      </c>
      <c r="P264" s="104" t="e">
        <f>Tableau6[[#This Row],[Ecart 2022 2023]]/Tableau6[[#This Row],[Cumul 2022]]</f>
        <v>#N/A</v>
      </c>
      <c r="Q264" s="102" t="e">
        <f>MATCH(Tableau6[Jours Mois]&amp;"/"&amp;Tableau6[[#Headers],[2024]],tabSuiviConso[Jour Mois Année],0)</f>
        <v>#N/A</v>
      </c>
      <c r="R264" s="102" t="str">
        <f>IF(ISNA(Tableau6[[#This Row],[Position 2024]]),"",INDEX(tabSuiviConso[HP + HC
cumul],Tableau6[[#This Row],[Position 2024]],1))</f>
        <v/>
      </c>
      <c r="S264" s="123" t="e">
        <f>IF(ISNA(Tableau6[[#This Row],[Position 2024]]),Tableau6[[#This Row],[Position 2024]],Tableau6[[#This Row],[2024]]-R$2)</f>
        <v>#N/A</v>
      </c>
      <c r="T264" s="102" t="e">
        <f>Tableau6[[#This Row],[Cumul 2024]]-Tableau6[[#This Row],[Cumul 2023]]</f>
        <v>#N/A</v>
      </c>
      <c r="U264" s="103" t="e">
        <f>Tableau6[[#This Row],[Ecart 2023 2024]]/Tableau6[[#This Row],[Cumul 2023]]</f>
        <v>#N/A</v>
      </c>
    </row>
    <row r="265" spans="1:21" x14ac:dyDescent="0.2">
      <c r="A265" s="102">
        <v>9</v>
      </c>
      <c r="B265" s="102">
        <v>19</v>
      </c>
      <c r="C265" s="102" t="str">
        <f>Tableau6[Jour]&amp;"/"&amp;Tableau6[Mois]</f>
        <v>19/9</v>
      </c>
      <c r="D265" s="102" t="e">
        <f>MATCH(Tableau6[Jours Mois]&amp;"/"&amp;Tableau6[[#Headers],[2021]],tabSuiviConso[Jour Mois Année],0)</f>
        <v>#N/A</v>
      </c>
      <c r="E265" s="102" t="str">
        <f>IF(ISNA(Tableau6[[#This Row],[Position 2021]]),"",INDEX(tabSuiviConso[HP + HC
cumul],Tableau6[[#This Row],[Position 2021]],1))</f>
        <v/>
      </c>
      <c r="F265" s="123" t="e">
        <f>IF(ISNA(Tableau6[[#This Row],[Position 2021]]),Tableau6[[#This Row],[Position 2021]],Tableau6[[#This Row],[2021]]-E$2)</f>
        <v>#N/A</v>
      </c>
      <c r="G265" s="102" t="e">
        <f>MATCH(Tableau6[Jours Mois]&amp;"/"&amp;Tableau6[[#Headers],[2022]],tabSuiviConso[Jour Mois Année],0)</f>
        <v>#N/A</v>
      </c>
      <c r="H265" s="102" t="str">
        <f>IF(ISNA(Tableau6[[#This Row],[Position 2022]]),"",INDEX(tabSuiviConso[HP + HC
cumul],Tableau6[[#This Row],[Position 2022]],1))</f>
        <v/>
      </c>
      <c r="I265" s="123" t="e">
        <f>IF(ISNA(Tableau6[[#This Row],[Position 2022]]),Tableau6[[#This Row],[Position 2022]],Tableau6[[#This Row],[2022]]-H$2)</f>
        <v>#N/A</v>
      </c>
      <c r="J265" s="102" t="e">
        <f>MATCH(Tableau6[Jours Mois]&amp;"/"&amp;Tableau6[[#Headers],[2023]],tabSuiviConso[Jour Mois Année],0)</f>
        <v>#N/A</v>
      </c>
      <c r="K265" s="102" t="e">
        <f>Tableau6[[#This Row],[Cumul 2022]]-Tableau6[[#This Row],[Cumul 2021]]</f>
        <v>#N/A</v>
      </c>
      <c r="L265" s="104" t="e">
        <f>Tableau6[[#This Row],[Ecart 2021 2022]]/Tableau6[[#This Row],[Cumul 2021]]</f>
        <v>#N/A</v>
      </c>
      <c r="M265" s="102" t="str">
        <f>IF(ISNA(Tableau6[[#This Row],[Position 2023]]),"",INDEX(tabSuiviConso[HP + HC
cumul],Tableau6[[#This Row],[Position 2023]],1))</f>
        <v/>
      </c>
      <c r="N265" s="123" t="e">
        <f>IF(ISNA(Tableau6[[#This Row],[Position 2023]]),Tableau6[[#This Row],[Position 2023]],Tableau6[[#This Row],[2023]]-M$2)</f>
        <v>#N/A</v>
      </c>
      <c r="O265" s="102" t="e">
        <f>Tableau6[[#This Row],[Cumul 2023]]-Tableau6[[#This Row],[Cumul 2022]]</f>
        <v>#N/A</v>
      </c>
      <c r="P265" s="104" t="e">
        <f>Tableau6[[#This Row],[Ecart 2022 2023]]/Tableau6[[#This Row],[Cumul 2022]]</f>
        <v>#N/A</v>
      </c>
      <c r="Q265" s="102" t="e">
        <f>MATCH(Tableau6[Jours Mois]&amp;"/"&amp;Tableau6[[#Headers],[2024]],tabSuiviConso[Jour Mois Année],0)</f>
        <v>#N/A</v>
      </c>
      <c r="R265" s="102" t="str">
        <f>IF(ISNA(Tableau6[[#This Row],[Position 2024]]),"",INDEX(tabSuiviConso[HP + HC
cumul],Tableau6[[#This Row],[Position 2024]],1))</f>
        <v/>
      </c>
      <c r="S265" s="123" t="e">
        <f>IF(ISNA(Tableau6[[#This Row],[Position 2024]]),Tableau6[[#This Row],[Position 2024]],Tableau6[[#This Row],[2024]]-R$2)</f>
        <v>#N/A</v>
      </c>
      <c r="T265" s="102" t="e">
        <f>Tableau6[[#This Row],[Cumul 2024]]-Tableau6[[#This Row],[Cumul 2023]]</f>
        <v>#N/A</v>
      </c>
      <c r="U265" s="103" t="e">
        <f>Tableau6[[#This Row],[Ecart 2023 2024]]/Tableau6[[#This Row],[Cumul 2023]]</f>
        <v>#N/A</v>
      </c>
    </row>
    <row r="266" spans="1:21" x14ac:dyDescent="0.2">
      <c r="A266" s="102">
        <v>9</v>
      </c>
      <c r="B266" s="102">
        <v>20</v>
      </c>
      <c r="C266" s="102" t="str">
        <f>Tableau6[Jour]&amp;"/"&amp;Tableau6[Mois]</f>
        <v>20/9</v>
      </c>
      <c r="D266" s="102" t="e">
        <f>MATCH(Tableau6[Jours Mois]&amp;"/"&amp;Tableau6[[#Headers],[2021]],tabSuiviConso[Jour Mois Année],0)</f>
        <v>#N/A</v>
      </c>
      <c r="E266" s="102" t="str">
        <f>IF(ISNA(Tableau6[[#This Row],[Position 2021]]),"",INDEX(tabSuiviConso[HP + HC
cumul],Tableau6[[#This Row],[Position 2021]],1))</f>
        <v/>
      </c>
      <c r="F266" s="123" t="e">
        <f>IF(ISNA(Tableau6[[#This Row],[Position 2021]]),Tableau6[[#This Row],[Position 2021]],Tableau6[[#This Row],[2021]]-E$2)</f>
        <v>#N/A</v>
      </c>
      <c r="G266" s="102" t="e">
        <f>MATCH(Tableau6[Jours Mois]&amp;"/"&amp;Tableau6[[#Headers],[2022]],tabSuiviConso[Jour Mois Année],0)</f>
        <v>#N/A</v>
      </c>
      <c r="H266" s="102" t="str">
        <f>IF(ISNA(Tableau6[[#This Row],[Position 2022]]),"",INDEX(tabSuiviConso[HP + HC
cumul],Tableau6[[#This Row],[Position 2022]],1))</f>
        <v/>
      </c>
      <c r="I266" s="123" t="e">
        <f>IF(ISNA(Tableau6[[#This Row],[Position 2022]]),Tableau6[[#This Row],[Position 2022]],Tableau6[[#This Row],[2022]]-H$2)</f>
        <v>#N/A</v>
      </c>
      <c r="J266" s="102" t="e">
        <f>MATCH(Tableau6[Jours Mois]&amp;"/"&amp;Tableau6[[#Headers],[2023]],tabSuiviConso[Jour Mois Année],0)</f>
        <v>#N/A</v>
      </c>
      <c r="K266" s="102" t="e">
        <f>Tableau6[[#This Row],[Cumul 2022]]-Tableau6[[#This Row],[Cumul 2021]]</f>
        <v>#N/A</v>
      </c>
      <c r="L266" s="104" t="e">
        <f>Tableau6[[#This Row],[Ecart 2021 2022]]/Tableau6[[#This Row],[Cumul 2021]]</f>
        <v>#N/A</v>
      </c>
      <c r="M266" s="102" t="str">
        <f>IF(ISNA(Tableau6[[#This Row],[Position 2023]]),"",INDEX(tabSuiviConso[HP + HC
cumul],Tableau6[[#This Row],[Position 2023]],1))</f>
        <v/>
      </c>
      <c r="N266" s="123" t="e">
        <f>IF(ISNA(Tableau6[[#This Row],[Position 2023]]),Tableau6[[#This Row],[Position 2023]],Tableau6[[#This Row],[2023]]-M$2)</f>
        <v>#N/A</v>
      </c>
      <c r="O266" s="102" t="e">
        <f>Tableau6[[#This Row],[Cumul 2023]]-Tableau6[[#This Row],[Cumul 2022]]</f>
        <v>#N/A</v>
      </c>
      <c r="P266" s="104" t="e">
        <f>Tableau6[[#This Row],[Ecart 2022 2023]]/Tableau6[[#This Row],[Cumul 2022]]</f>
        <v>#N/A</v>
      </c>
      <c r="Q266" s="102" t="e">
        <f>MATCH(Tableau6[Jours Mois]&amp;"/"&amp;Tableau6[[#Headers],[2024]],tabSuiviConso[Jour Mois Année],0)</f>
        <v>#N/A</v>
      </c>
      <c r="R266" s="102" t="str">
        <f>IF(ISNA(Tableau6[[#This Row],[Position 2024]]),"",INDEX(tabSuiviConso[HP + HC
cumul],Tableau6[[#This Row],[Position 2024]],1))</f>
        <v/>
      </c>
      <c r="S266" s="123" t="e">
        <f>IF(ISNA(Tableau6[[#This Row],[Position 2024]]),Tableau6[[#This Row],[Position 2024]],Tableau6[[#This Row],[2024]]-R$2)</f>
        <v>#N/A</v>
      </c>
      <c r="T266" s="102" t="e">
        <f>Tableau6[[#This Row],[Cumul 2024]]-Tableau6[[#This Row],[Cumul 2023]]</f>
        <v>#N/A</v>
      </c>
      <c r="U266" s="103" t="e">
        <f>Tableau6[[#This Row],[Ecart 2023 2024]]/Tableau6[[#This Row],[Cumul 2023]]</f>
        <v>#N/A</v>
      </c>
    </row>
    <row r="267" spans="1:21" x14ac:dyDescent="0.2">
      <c r="A267" s="102">
        <v>9</v>
      </c>
      <c r="B267" s="102">
        <v>21</v>
      </c>
      <c r="C267" s="102" t="str">
        <f>Tableau6[Jour]&amp;"/"&amp;Tableau6[Mois]</f>
        <v>21/9</v>
      </c>
      <c r="D267" s="102" t="e">
        <f>MATCH(Tableau6[Jours Mois]&amp;"/"&amp;Tableau6[[#Headers],[2021]],tabSuiviConso[Jour Mois Année],0)</f>
        <v>#N/A</v>
      </c>
      <c r="E267" s="102" t="str">
        <f>IF(ISNA(Tableau6[[#This Row],[Position 2021]]),"",INDEX(tabSuiviConso[HP + HC
cumul],Tableau6[[#This Row],[Position 2021]],1))</f>
        <v/>
      </c>
      <c r="F267" s="123" t="e">
        <f>IF(ISNA(Tableau6[[#This Row],[Position 2021]]),Tableau6[[#This Row],[Position 2021]],Tableau6[[#This Row],[2021]]-E$2)</f>
        <v>#N/A</v>
      </c>
      <c r="G267" s="102" t="e">
        <f>MATCH(Tableau6[Jours Mois]&amp;"/"&amp;Tableau6[[#Headers],[2022]],tabSuiviConso[Jour Mois Année],0)</f>
        <v>#N/A</v>
      </c>
      <c r="H267" s="102" t="str">
        <f>IF(ISNA(Tableau6[[#This Row],[Position 2022]]),"",INDEX(tabSuiviConso[HP + HC
cumul],Tableau6[[#This Row],[Position 2022]],1))</f>
        <v/>
      </c>
      <c r="I267" s="123" t="e">
        <f>IF(ISNA(Tableau6[[#This Row],[Position 2022]]),Tableau6[[#This Row],[Position 2022]],Tableau6[[#This Row],[2022]]-H$2)</f>
        <v>#N/A</v>
      </c>
      <c r="J267" s="102" t="e">
        <f>MATCH(Tableau6[Jours Mois]&amp;"/"&amp;Tableau6[[#Headers],[2023]],tabSuiviConso[Jour Mois Année],0)</f>
        <v>#N/A</v>
      </c>
      <c r="K267" s="102" t="e">
        <f>Tableau6[[#This Row],[Cumul 2022]]-Tableau6[[#This Row],[Cumul 2021]]</f>
        <v>#N/A</v>
      </c>
      <c r="L267" s="104" t="e">
        <f>Tableau6[[#This Row],[Ecart 2021 2022]]/Tableau6[[#This Row],[Cumul 2021]]</f>
        <v>#N/A</v>
      </c>
      <c r="M267" s="102" t="str">
        <f>IF(ISNA(Tableau6[[#This Row],[Position 2023]]),"",INDEX(tabSuiviConso[HP + HC
cumul],Tableau6[[#This Row],[Position 2023]],1))</f>
        <v/>
      </c>
      <c r="N267" s="123" t="e">
        <f>IF(ISNA(Tableau6[[#This Row],[Position 2023]]),Tableau6[[#This Row],[Position 2023]],Tableau6[[#This Row],[2023]]-M$2)</f>
        <v>#N/A</v>
      </c>
      <c r="O267" s="102" t="e">
        <f>Tableau6[[#This Row],[Cumul 2023]]-Tableau6[[#This Row],[Cumul 2022]]</f>
        <v>#N/A</v>
      </c>
      <c r="P267" s="104" t="e">
        <f>Tableau6[[#This Row],[Ecart 2022 2023]]/Tableau6[[#This Row],[Cumul 2022]]</f>
        <v>#N/A</v>
      </c>
      <c r="Q267" s="102" t="e">
        <f>MATCH(Tableau6[Jours Mois]&amp;"/"&amp;Tableau6[[#Headers],[2024]],tabSuiviConso[Jour Mois Année],0)</f>
        <v>#N/A</v>
      </c>
      <c r="R267" s="102" t="str">
        <f>IF(ISNA(Tableau6[[#This Row],[Position 2024]]),"",INDEX(tabSuiviConso[HP + HC
cumul],Tableau6[[#This Row],[Position 2024]],1))</f>
        <v/>
      </c>
      <c r="S267" s="123" t="e">
        <f>IF(ISNA(Tableau6[[#This Row],[Position 2024]]),Tableau6[[#This Row],[Position 2024]],Tableau6[[#This Row],[2024]]-R$2)</f>
        <v>#N/A</v>
      </c>
      <c r="T267" s="102" t="e">
        <f>Tableau6[[#This Row],[Cumul 2024]]-Tableau6[[#This Row],[Cumul 2023]]</f>
        <v>#N/A</v>
      </c>
      <c r="U267" s="103" t="e">
        <f>Tableau6[[#This Row],[Ecart 2023 2024]]/Tableau6[[#This Row],[Cumul 2023]]</f>
        <v>#N/A</v>
      </c>
    </row>
    <row r="268" spans="1:21" x14ac:dyDescent="0.2">
      <c r="A268" s="102">
        <v>9</v>
      </c>
      <c r="B268" s="102">
        <v>22</v>
      </c>
      <c r="C268" s="102" t="str">
        <f>Tableau6[Jour]&amp;"/"&amp;Tableau6[Mois]</f>
        <v>22/9</v>
      </c>
      <c r="D268" s="102" t="e">
        <f>MATCH(Tableau6[Jours Mois]&amp;"/"&amp;Tableau6[[#Headers],[2021]],tabSuiviConso[Jour Mois Année],0)</f>
        <v>#N/A</v>
      </c>
      <c r="E268" s="102" t="str">
        <f>IF(ISNA(Tableau6[[#This Row],[Position 2021]]),"",INDEX(tabSuiviConso[HP + HC
cumul],Tableau6[[#This Row],[Position 2021]],1))</f>
        <v/>
      </c>
      <c r="F268" s="123" t="e">
        <f>IF(ISNA(Tableau6[[#This Row],[Position 2021]]),Tableau6[[#This Row],[Position 2021]],Tableau6[[#This Row],[2021]]-E$2)</f>
        <v>#N/A</v>
      </c>
      <c r="G268" s="102" t="e">
        <f>MATCH(Tableau6[Jours Mois]&amp;"/"&amp;Tableau6[[#Headers],[2022]],tabSuiviConso[Jour Mois Année],0)</f>
        <v>#N/A</v>
      </c>
      <c r="H268" s="102" t="str">
        <f>IF(ISNA(Tableau6[[#This Row],[Position 2022]]),"",INDEX(tabSuiviConso[HP + HC
cumul],Tableau6[[#This Row],[Position 2022]],1))</f>
        <v/>
      </c>
      <c r="I268" s="123" t="e">
        <f>IF(ISNA(Tableau6[[#This Row],[Position 2022]]),Tableau6[[#This Row],[Position 2022]],Tableau6[[#This Row],[2022]]-H$2)</f>
        <v>#N/A</v>
      </c>
      <c r="J268" s="102" t="e">
        <f>MATCH(Tableau6[Jours Mois]&amp;"/"&amp;Tableau6[[#Headers],[2023]],tabSuiviConso[Jour Mois Année],0)</f>
        <v>#N/A</v>
      </c>
      <c r="K268" s="102" t="e">
        <f>Tableau6[[#This Row],[Cumul 2022]]-Tableau6[[#This Row],[Cumul 2021]]</f>
        <v>#N/A</v>
      </c>
      <c r="L268" s="104" t="e">
        <f>Tableau6[[#This Row],[Ecart 2021 2022]]/Tableau6[[#This Row],[Cumul 2021]]</f>
        <v>#N/A</v>
      </c>
      <c r="M268" s="102" t="str">
        <f>IF(ISNA(Tableau6[[#This Row],[Position 2023]]),"",INDEX(tabSuiviConso[HP + HC
cumul],Tableau6[[#This Row],[Position 2023]],1))</f>
        <v/>
      </c>
      <c r="N268" s="123" t="e">
        <f>IF(ISNA(Tableau6[[#This Row],[Position 2023]]),Tableau6[[#This Row],[Position 2023]],Tableau6[[#This Row],[2023]]-M$2)</f>
        <v>#N/A</v>
      </c>
      <c r="O268" s="102" t="e">
        <f>Tableau6[[#This Row],[Cumul 2023]]-Tableau6[[#This Row],[Cumul 2022]]</f>
        <v>#N/A</v>
      </c>
      <c r="P268" s="104" t="e">
        <f>Tableau6[[#This Row],[Ecart 2022 2023]]/Tableau6[[#This Row],[Cumul 2022]]</f>
        <v>#N/A</v>
      </c>
      <c r="Q268" s="102" t="e">
        <f>MATCH(Tableau6[Jours Mois]&amp;"/"&amp;Tableau6[[#Headers],[2024]],tabSuiviConso[Jour Mois Année],0)</f>
        <v>#N/A</v>
      </c>
      <c r="R268" s="102" t="str">
        <f>IF(ISNA(Tableau6[[#This Row],[Position 2024]]),"",INDEX(tabSuiviConso[HP + HC
cumul],Tableau6[[#This Row],[Position 2024]],1))</f>
        <v/>
      </c>
      <c r="S268" s="123" t="e">
        <f>IF(ISNA(Tableau6[[#This Row],[Position 2024]]),Tableau6[[#This Row],[Position 2024]],Tableau6[[#This Row],[2024]]-R$2)</f>
        <v>#N/A</v>
      </c>
      <c r="T268" s="102" t="e">
        <f>Tableau6[[#This Row],[Cumul 2024]]-Tableau6[[#This Row],[Cumul 2023]]</f>
        <v>#N/A</v>
      </c>
      <c r="U268" s="103" t="e">
        <f>Tableau6[[#This Row],[Ecart 2023 2024]]/Tableau6[[#This Row],[Cumul 2023]]</f>
        <v>#N/A</v>
      </c>
    </row>
    <row r="269" spans="1:21" x14ac:dyDescent="0.2">
      <c r="A269" s="102">
        <v>9</v>
      </c>
      <c r="B269" s="102">
        <v>23</v>
      </c>
      <c r="C269" s="102" t="str">
        <f>Tableau6[Jour]&amp;"/"&amp;Tableau6[Mois]</f>
        <v>23/9</v>
      </c>
      <c r="D269" s="102" t="e">
        <f>MATCH(Tableau6[Jours Mois]&amp;"/"&amp;Tableau6[[#Headers],[2021]],tabSuiviConso[Jour Mois Année],0)</f>
        <v>#N/A</v>
      </c>
      <c r="E269" s="102" t="str">
        <f>IF(ISNA(Tableau6[[#This Row],[Position 2021]]),"",INDEX(tabSuiviConso[HP + HC
cumul],Tableau6[[#This Row],[Position 2021]],1))</f>
        <v/>
      </c>
      <c r="F269" s="123" t="e">
        <f>IF(ISNA(Tableau6[[#This Row],[Position 2021]]),Tableau6[[#This Row],[Position 2021]],Tableau6[[#This Row],[2021]]-E$2)</f>
        <v>#N/A</v>
      </c>
      <c r="G269" s="102" t="e">
        <f>MATCH(Tableau6[Jours Mois]&amp;"/"&amp;Tableau6[[#Headers],[2022]],tabSuiviConso[Jour Mois Année],0)</f>
        <v>#N/A</v>
      </c>
      <c r="H269" s="102" t="str">
        <f>IF(ISNA(Tableau6[[#This Row],[Position 2022]]),"",INDEX(tabSuiviConso[HP + HC
cumul],Tableau6[[#This Row],[Position 2022]],1))</f>
        <v/>
      </c>
      <c r="I269" s="123" t="e">
        <f>IF(ISNA(Tableau6[[#This Row],[Position 2022]]),Tableau6[[#This Row],[Position 2022]],Tableau6[[#This Row],[2022]]-H$2)</f>
        <v>#N/A</v>
      </c>
      <c r="J269" s="102" t="e">
        <f>MATCH(Tableau6[Jours Mois]&amp;"/"&amp;Tableau6[[#Headers],[2023]],tabSuiviConso[Jour Mois Année],0)</f>
        <v>#N/A</v>
      </c>
      <c r="K269" s="102" t="e">
        <f>Tableau6[[#This Row],[Cumul 2022]]-Tableau6[[#This Row],[Cumul 2021]]</f>
        <v>#N/A</v>
      </c>
      <c r="L269" s="104" t="e">
        <f>Tableau6[[#This Row],[Ecart 2021 2022]]/Tableau6[[#This Row],[Cumul 2021]]</f>
        <v>#N/A</v>
      </c>
      <c r="M269" s="102" t="str">
        <f>IF(ISNA(Tableau6[[#This Row],[Position 2023]]),"",INDEX(tabSuiviConso[HP + HC
cumul],Tableau6[[#This Row],[Position 2023]],1))</f>
        <v/>
      </c>
      <c r="N269" s="123" t="e">
        <f>IF(ISNA(Tableau6[[#This Row],[Position 2023]]),Tableau6[[#This Row],[Position 2023]],Tableau6[[#This Row],[2023]]-M$2)</f>
        <v>#N/A</v>
      </c>
      <c r="O269" s="102" t="e">
        <f>Tableau6[[#This Row],[Cumul 2023]]-Tableau6[[#This Row],[Cumul 2022]]</f>
        <v>#N/A</v>
      </c>
      <c r="P269" s="104" t="e">
        <f>Tableau6[[#This Row],[Ecart 2022 2023]]/Tableau6[[#This Row],[Cumul 2022]]</f>
        <v>#N/A</v>
      </c>
      <c r="Q269" s="102" t="e">
        <f>MATCH(Tableau6[Jours Mois]&amp;"/"&amp;Tableau6[[#Headers],[2024]],tabSuiviConso[Jour Mois Année],0)</f>
        <v>#N/A</v>
      </c>
      <c r="R269" s="102" t="str">
        <f>IF(ISNA(Tableau6[[#This Row],[Position 2024]]),"",INDEX(tabSuiviConso[HP + HC
cumul],Tableau6[[#This Row],[Position 2024]],1))</f>
        <v/>
      </c>
      <c r="S269" s="123" t="e">
        <f>IF(ISNA(Tableau6[[#This Row],[Position 2024]]),Tableau6[[#This Row],[Position 2024]],Tableau6[[#This Row],[2024]]-R$2)</f>
        <v>#N/A</v>
      </c>
      <c r="T269" s="102" t="e">
        <f>Tableau6[[#This Row],[Cumul 2024]]-Tableau6[[#This Row],[Cumul 2023]]</f>
        <v>#N/A</v>
      </c>
      <c r="U269" s="103" t="e">
        <f>Tableau6[[#This Row],[Ecart 2023 2024]]/Tableau6[[#This Row],[Cumul 2023]]</f>
        <v>#N/A</v>
      </c>
    </row>
    <row r="270" spans="1:21" x14ac:dyDescent="0.2">
      <c r="A270" s="102">
        <v>9</v>
      </c>
      <c r="B270" s="102">
        <v>24</v>
      </c>
      <c r="C270" s="102" t="str">
        <f>Tableau6[Jour]&amp;"/"&amp;Tableau6[Mois]</f>
        <v>24/9</v>
      </c>
      <c r="D270" s="102" t="e">
        <f>MATCH(Tableau6[Jours Mois]&amp;"/"&amp;Tableau6[[#Headers],[2021]],tabSuiviConso[Jour Mois Année],0)</f>
        <v>#N/A</v>
      </c>
      <c r="E270" s="102" t="str">
        <f>IF(ISNA(Tableau6[[#This Row],[Position 2021]]),"",INDEX(tabSuiviConso[HP + HC
cumul],Tableau6[[#This Row],[Position 2021]],1))</f>
        <v/>
      </c>
      <c r="F270" s="123" t="e">
        <f>IF(ISNA(Tableau6[[#This Row],[Position 2021]]),Tableau6[[#This Row],[Position 2021]],Tableau6[[#This Row],[2021]]-E$2)</f>
        <v>#N/A</v>
      </c>
      <c r="G270" s="102" t="e">
        <f>MATCH(Tableau6[Jours Mois]&amp;"/"&amp;Tableau6[[#Headers],[2022]],tabSuiviConso[Jour Mois Année],0)</f>
        <v>#N/A</v>
      </c>
      <c r="H270" s="102" t="str">
        <f>IF(ISNA(Tableau6[[#This Row],[Position 2022]]),"",INDEX(tabSuiviConso[HP + HC
cumul],Tableau6[[#This Row],[Position 2022]],1))</f>
        <v/>
      </c>
      <c r="I270" s="123" t="e">
        <f>IF(ISNA(Tableau6[[#This Row],[Position 2022]]),Tableau6[[#This Row],[Position 2022]],Tableau6[[#This Row],[2022]]-H$2)</f>
        <v>#N/A</v>
      </c>
      <c r="J270" s="102" t="e">
        <f>MATCH(Tableau6[Jours Mois]&amp;"/"&amp;Tableau6[[#Headers],[2023]],tabSuiviConso[Jour Mois Année],0)</f>
        <v>#N/A</v>
      </c>
      <c r="K270" s="102" t="e">
        <f>Tableau6[[#This Row],[Cumul 2022]]-Tableau6[[#This Row],[Cumul 2021]]</f>
        <v>#N/A</v>
      </c>
      <c r="L270" s="104" t="e">
        <f>Tableau6[[#This Row],[Ecart 2021 2022]]/Tableau6[[#This Row],[Cumul 2021]]</f>
        <v>#N/A</v>
      </c>
      <c r="M270" s="102" t="str">
        <f>IF(ISNA(Tableau6[[#This Row],[Position 2023]]),"",INDEX(tabSuiviConso[HP + HC
cumul],Tableau6[[#This Row],[Position 2023]],1))</f>
        <v/>
      </c>
      <c r="N270" s="123" t="e">
        <f>IF(ISNA(Tableau6[[#This Row],[Position 2023]]),Tableau6[[#This Row],[Position 2023]],Tableau6[[#This Row],[2023]]-M$2)</f>
        <v>#N/A</v>
      </c>
      <c r="O270" s="102" t="e">
        <f>Tableau6[[#This Row],[Cumul 2023]]-Tableau6[[#This Row],[Cumul 2022]]</f>
        <v>#N/A</v>
      </c>
      <c r="P270" s="104" t="e">
        <f>Tableau6[[#This Row],[Ecart 2022 2023]]/Tableau6[[#This Row],[Cumul 2022]]</f>
        <v>#N/A</v>
      </c>
      <c r="Q270" s="102" t="e">
        <f>MATCH(Tableau6[Jours Mois]&amp;"/"&amp;Tableau6[[#Headers],[2024]],tabSuiviConso[Jour Mois Année],0)</f>
        <v>#N/A</v>
      </c>
      <c r="R270" s="102" t="str">
        <f>IF(ISNA(Tableau6[[#This Row],[Position 2024]]),"",INDEX(tabSuiviConso[HP + HC
cumul],Tableau6[[#This Row],[Position 2024]],1))</f>
        <v/>
      </c>
      <c r="S270" s="123" t="e">
        <f>IF(ISNA(Tableau6[[#This Row],[Position 2024]]),Tableau6[[#This Row],[Position 2024]],Tableau6[[#This Row],[2024]]-R$2)</f>
        <v>#N/A</v>
      </c>
      <c r="T270" s="102" t="e">
        <f>Tableau6[[#This Row],[Cumul 2024]]-Tableau6[[#This Row],[Cumul 2023]]</f>
        <v>#N/A</v>
      </c>
      <c r="U270" s="103" t="e">
        <f>Tableau6[[#This Row],[Ecart 2023 2024]]/Tableau6[[#This Row],[Cumul 2023]]</f>
        <v>#N/A</v>
      </c>
    </row>
    <row r="271" spans="1:21" x14ac:dyDescent="0.2">
      <c r="A271" s="102">
        <v>9</v>
      </c>
      <c r="B271" s="102">
        <v>25</v>
      </c>
      <c r="C271" s="102" t="str">
        <f>Tableau6[Jour]&amp;"/"&amp;Tableau6[Mois]</f>
        <v>25/9</v>
      </c>
      <c r="D271" s="102" t="e">
        <f>MATCH(Tableau6[Jours Mois]&amp;"/"&amp;Tableau6[[#Headers],[2021]],tabSuiviConso[Jour Mois Année],0)</f>
        <v>#N/A</v>
      </c>
      <c r="E271" s="102" t="str">
        <f>IF(ISNA(Tableau6[[#This Row],[Position 2021]]),"",INDEX(tabSuiviConso[HP + HC
cumul],Tableau6[[#This Row],[Position 2021]],1))</f>
        <v/>
      </c>
      <c r="F271" s="123" t="e">
        <f>IF(ISNA(Tableau6[[#This Row],[Position 2021]]),Tableau6[[#This Row],[Position 2021]],Tableau6[[#This Row],[2021]]-E$2)</f>
        <v>#N/A</v>
      </c>
      <c r="G271" s="102" t="e">
        <f>MATCH(Tableau6[Jours Mois]&amp;"/"&amp;Tableau6[[#Headers],[2022]],tabSuiviConso[Jour Mois Année],0)</f>
        <v>#N/A</v>
      </c>
      <c r="H271" s="102" t="str">
        <f>IF(ISNA(Tableau6[[#This Row],[Position 2022]]),"",INDEX(tabSuiviConso[HP + HC
cumul],Tableau6[[#This Row],[Position 2022]],1))</f>
        <v/>
      </c>
      <c r="I271" s="123" t="e">
        <f>IF(ISNA(Tableau6[[#This Row],[Position 2022]]),Tableau6[[#This Row],[Position 2022]],Tableau6[[#This Row],[2022]]-H$2)</f>
        <v>#N/A</v>
      </c>
      <c r="J271" s="102" t="e">
        <f>MATCH(Tableau6[Jours Mois]&amp;"/"&amp;Tableau6[[#Headers],[2023]],tabSuiviConso[Jour Mois Année],0)</f>
        <v>#N/A</v>
      </c>
      <c r="K271" s="102" t="e">
        <f>Tableau6[[#This Row],[Cumul 2022]]-Tableau6[[#This Row],[Cumul 2021]]</f>
        <v>#N/A</v>
      </c>
      <c r="L271" s="104" t="e">
        <f>Tableau6[[#This Row],[Ecart 2021 2022]]/Tableau6[[#This Row],[Cumul 2021]]</f>
        <v>#N/A</v>
      </c>
      <c r="M271" s="102" t="str">
        <f>IF(ISNA(Tableau6[[#This Row],[Position 2023]]),"",INDEX(tabSuiviConso[HP + HC
cumul],Tableau6[[#This Row],[Position 2023]],1))</f>
        <v/>
      </c>
      <c r="N271" s="123" t="e">
        <f>IF(ISNA(Tableau6[[#This Row],[Position 2023]]),Tableau6[[#This Row],[Position 2023]],Tableau6[[#This Row],[2023]]-M$2)</f>
        <v>#N/A</v>
      </c>
      <c r="O271" s="102" t="e">
        <f>Tableau6[[#This Row],[Cumul 2023]]-Tableau6[[#This Row],[Cumul 2022]]</f>
        <v>#N/A</v>
      </c>
      <c r="P271" s="104" t="e">
        <f>Tableau6[[#This Row],[Ecart 2022 2023]]/Tableau6[[#This Row],[Cumul 2022]]</f>
        <v>#N/A</v>
      </c>
      <c r="Q271" s="102" t="e">
        <f>MATCH(Tableau6[Jours Mois]&amp;"/"&amp;Tableau6[[#Headers],[2024]],tabSuiviConso[Jour Mois Année],0)</f>
        <v>#N/A</v>
      </c>
      <c r="R271" s="102" t="str">
        <f>IF(ISNA(Tableau6[[#This Row],[Position 2024]]),"",INDEX(tabSuiviConso[HP + HC
cumul],Tableau6[[#This Row],[Position 2024]],1))</f>
        <v/>
      </c>
      <c r="S271" s="123" t="e">
        <f>IF(ISNA(Tableau6[[#This Row],[Position 2024]]),Tableau6[[#This Row],[Position 2024]],Tableau6[[#This Row],[2024]]-R$2)</f>
        <v>#N/A</v>
      </c>
      <c r="T271" s="102" t="e">
        <f>Tableau6[[#This Row],[Cumul 2024]]-Tableau6[[#This Row],[Cumul 2023]]</f>
        <v>#N/A</v>
      </c>
      <c r="U271" s="103" t="e">
        <f>Tableau6[[#This Row],[Ecart 2023 2024]]/Tableau6[[#This Row],[Cumul 2023]]</f>
        <v>#N/A</v>
      </c>
    </row>
    <row r="272" spans="1:21" x14ac:dyDescent="0.2">
      <c r="A272" s="102">
        <v>9</v>
      </c>
      <c r="B272" s="102">
        <v>26</v>
      </c>
      <c r="C272" s="102" t="str">
        <f>Tableau6[Jour]&amp;"/"&amp;Tableau6[Mois]</f>
        <v>26/9</v>
      </c>
      <c r="D272" s="102" t="e">
        <f>MATCH(Tableau6[Jours Mois]&amp;"/"&amp;Tableau6[[#Headers],[2021]],tabSuiviConso[Jour Mois Année],0)</f>
        <v>#N/A</v>
      </c>
      <c r="E272" s="102" t="str">
        <f>IF(ISNA(Tableau6[[#This Row],[Position 2021]]),"",INDEX(tabSuiviConso[HP + HC
cumul],Tableau6[[#This Row],[Position 2021]],1))</f>
        <v/>
      </c>
      <c r="F272" s="123" t="e">
        <f>IF(ISNA(Tableau6[[#This Row],[Position 2021]]),Tableau6[[#This Row],[Position 2021]],Tableau6[[#This Row],[2021]]-E$2)</f>
        <v>#N/A</v>
      </c>
      <c r="G272" s="102" t="e">
        <f>MATCH(Tableau6[Jours Mois]&amp;"/"&amp;Tableau6[[#Headers],[2022]],tabSuiviConso[Jour Mois Année],0)</f>
        <v>#N/A</v>
      </c>
      <c r="H272" s="102" t="str">
        <f>IF(ISNA(Tableau6[[#This Row],[Position 2022]]),"",INDEX(tabSuiviConso[HP + HC
cumul],Tableau6[[#This Row],[Position 2022]],1))</f>
        <v/>
      </c>
      <c r="I272" s="123" t="e">
        <f>IF(ISNA(Tableau6[[#This Row],[Position 2022]]),Tableau6[[#This Row],[Position 2022]],Tableau6[[#This Row],[2022]]-H$2)</f>
        <v>#N/A</v>
      </c>
      <c r="J272" s="102" t="e">
        <f>MATCH(Tableau6[Jours Mois]&amp;"/"&amp;Tableau6[[#Headers],[2023]],tabSuiviConso[Jour Mois Année],0)</f>
        <v>#N/A</v>
      </c>
      <c r="K272" s="102" t="e">
        <f>Tableau6[[#This Row],[Cumul 2022]]-Tableau6[[#This Row],[Cumul 2021]]</f>
        <v>#N/A</v>
      </c>
      <c r="L272" s="104" t="e">
        <f>Tableau6[[#This Row],[Ecart 2021 2022]]/Tableau6[[#This Row],[Cumul 2021]]</f>
        <v>#N/A</v>
      </c>
      <c r="M272" s="102" t="str">
        <f>IF(ISNA(Tableau6[[#This Row],[Position 2023]]),"",INDEX(tabSuiviConso[HP + HC
cumul],Tableau6[[#This Row],[Position 2023]],1))</f>
        <v/>
      </c>
      <c r="N272" s="123" t="e">
        <f>IF(ISNA(Tableau6[[#This Row],[Position 2023]]),Tableau6[[#This Row],[Position 2023]],Tableau6[[#This Row],[2023]]-M$2)</f>
        <v>#N/A</v>
      </c>
      <c r="O272" s="102" t="e">
        <f>Tableau6[[#This Row],[Cumul 2023]]-Tableau6[[#This Row],[Cumul 2022]]</f>
        <v>#N/A</v>
      </c>
      <c r="P272" s="104" t="e">
        <f>Tableau6[[#This Row],[Ecart 2022 2023]]/Tableau6[[#This Row],[Cumul 2022]]</f>
        <v>#N/A</v>
      </c>
      <c r="Q272" s="102" t="e">
        <f>MATCH(Tableau6[Jours Mois]&amp;"/"&amp;Tableau6[[#Headers],[2024]],tabSuiviConso[Jour Mois Année],0)</f>
        <v>#N/A</v>
      </c>
      <c r="R272" s="102" t="str">
        <f>IF(ISNA(Tableau6[[#This Row],[Position 2024]]),"",INDEX(tabSuiviConso[HP + HC
cumul],Tableau6[[#This Row],[Position 2024]],1))</f>
        <v/>
      </c>
      <c r="S272" s="123" t="e">
        <f>IF(ISNA(Tableau6[[#This Row],[Position 2024]]),Tableau6[[#This Row],[Position 2024]],Tableau6[[#This Row],[2024]]-R$2)</f>
        <v>#N/A</v>
      </c>
      <c r="T272" s="102" t="e">
        <f>Tableau6[[#This Row],[Cumul 2024]]-Tableau6[[#This Row],[Cumul 2023]]</f>
        <v>#N/A</v>
      </c>
      <c r="U272" s="103" t="e">
        <f>Tableau6[[#This Row],[Ecart 2023 2024]]/Tableau6[[#This Row],[Cumul 2023]]</f>
        <v>#N/A</v>
      </c>
    </row>
    <row r="273" spans="1:21" x14ac:dyDescent="0.2">
      <c r="A273" s="102">
        <v>9</v>
      </c>
      <c r="B273" s="102">
        <v>27</v>
      </c>
      <c r="C273" s="102" t="str">
        <f>Tableau6[Jour]&amp;"/"&amp;Tableau6[Mois]</f>
        <v>27/9</v>
      </c>
      <c r="D273" s="102" t="e">
        <f>MATCH(Tableau6[Jours Mois]&amp;"/"&amp;Tableau6[[#Headers],[2021]],tabSuiviConso[Jour Mois Année],0)</f>
        <v>#N/A</v>
      </c>
      <c r="E273" s="102" t="str">
        <f>IF(ISNA(Tableau6[[#This Row],[Position 2021]]),"",INDEX(tabSuiviConso[HP + HC
cumul],Tableau6[[#This Row],[Position 2021]],1))</f>
        <v/>
      </c>
      <c r="F273" s="123" t="e">
        <f>IF(ISNA(Tableau6[[#This Row],[Position 2021]]),Tableau6[[#This Row],[Position 2021]],Tableau6[[#This Row],[2021]]-E$2)</f>
        <v>#N/A</v>
      </c>
      <c r="G273" s="102" t="e">
        <f>MATCH(Tableau6[Jours Mois]&amp;"/"&amp;Tableau6[[#Headers],[2022]],tabSuiviConso[Jour Mois Année],0)</f>
        <v>#N/A</v>
      </c>
      <c r="H273" s="102" t="str">
        <f>IF(ISNA(Tableau6[[#This Row],[Position 2022]]),"",INDEX(tabSuiviConso[HP + HC
cumul],Tableau6[[#This Row],[Position 2022]],1))</f>
        <v/>
      </c>
      <c r="I273" s="123" t="e">
        <f>IF(ISNA(Tableau6[[#This Row],[Position 2022]]),Tableau6[[#This Row],[Position 2022]],Tableau6[[#This Row],[2022]]-H$2)</f>
        <v>#N/A</v>
      </c>
      <c r="J273" s="102" t="e">
        <f>MATCH(Tableau6[Jours Mois]&amp;"/"&amp;Tableau6[[#Headers],[2023]],tabSuiviConso[Jour Mois Année],0)</f>
        <v>#N/A</v>
      </c>
      <c r="K273" s="102" t="e">
        <f>Tableau6[[#This Row],[Cumul 2022]]-Tableau6[[#This Row],[Cumul 2021]]</f>
        <v>#N/A</v>
      </c>
      <c r="L273" s="104" t="e">
        <f>Tableau6[[#This Row],[Ecart 2021 2022]]/Tableau6[[#This Row],[Cumul 2021]]</f>
        <v>#N/A</v>
      </c>
      <c r="M273" s="102" t="str">
        <f>IF(ISNA(Tableau6[[#This Row],[Position 2023]]),"",INDEX(tabSuiviConso[HP + HC
cumul],Tableau6[[#This Row],[Position 2023]],1))</f>
        <v/>
      </c>
      <c r="N273" s="123" t="e">
        <f>IF(ISNA(Tableau6[[#This Row],[Position 2023]]),Tableau6[[#This Row],[Position 2023]],Tableau6[[#This Row],[2023]]-M$2)</f>
        <v>#N/A</v>
      </c>
      <c r="O273" s="102" t="e">
        <f>Tableau6[[#This Row],[Cumul 2023]]-Tableau6[[#This Row],[Cumul 2022]]</f>
        <v>#N/A</v>
      </c>
      <c r="P273" s="104" t="e">
        <f>Tableau6[[#This Row],[Ecart 2022 2023]]/Tableau6[[#This Row],[Cumul 2022]]</f>
        <v>#N/A</v>
      </c>
      <c r="Q273" s="102" t="e">
        <f>MATCH(Tableau6[Jours Mois]&amp;"/"&amp;Tableau6[[#Headers],[2024]],tabSuiviConso[Jour Mois Année],0)</f>
        <v>#N/A</v>
      </c>
      <c r="R273" s="102" t="str">
        <f>IF(ISNA(Tableau6[[#This Row],[Position 2024]]),"",INDEX(tabSuiviConso[HP + HC
cumul],Tableau6[[#This Row],[Position 2024]],1))</f>
        <v/>
      </c>
      <c r="S273" s="123" t="e">
        <f>IF(ISNA(Tableau6[[#This Row],[Position 2024]]),Tableau6[[#This Row],[Position 2024]],Tableau6[[#This Row],[2024]]-R$2)</f>
        <v>#N/A</v>
      </c>
      <c r="T273" s="102" t="e">
        <f>Tableau6[[#This Row],[Cumul 2024]]-Tableau6[[#This Row],[Cumul 2023]]</f>
        <v>#N/A</v>
      </c>
      <c r="U273" s="103" t="e">
        <f>Tableau6[[#This Row],[Ecart 2023 2024]]/Tableau6[[#This Row],[Cumul 2023]]</f>
        <v>#N/A</v>
      </c>
    </row>
    <row r="274" spans="1:21" x14ac:dyDescent="0.2">
      <c r="A274" s="102">
        <v>9</v>
      </c>
      <c r="B274" s="102">
        <v>28</v>
      </c>
      <c r="C274" s="102" t="str">
        <f>Tableau6[Jour]&amp;"/"&amp;Tableau6[Mois]</f>
        <v>28/9</v>
      </c>
      <c r="D274" s="102" t="e">
        <f>MATCH(Tableau6[Jours Mois]&amp;"/"&amp;Tableau6[[#Headers],[2021]],tabSuiviConso[Jour Mois Année],0)</f>
        <v>#N/A</v>
      </c>
      <c r="E274" s="102" t="str">
        <f>IF(ISNA(Tableau6[[#This Row],[Position 2021]]),"",INDEX(tabSuiviConso[HP + HC
cumul],Tableau6[[#This Row],[Position 2021]],1))</f>
        <v/>
      </c>
      <c r="F274" s="123" t="e">
        <f>IF(ISNA(Tableau6[[#This Row],[Position 2021]]),Tableau6[[#This Row],[Position 2021]],Tableau6[[#This Row],[2021]]-E$2)</f>
        <v>#N/A</v>
      </c>
      <c r="G274" s="102" t="e">
        <f>MATCH(Tableau6[Jours Mois]&amp;"/"&amp;Tableau6[[#Headers],[2022]],tabSuiviConso[Jour Mois Année],0)</f>
        <v>#N/A</v>
      </c>
      <c r="H274" s="102" t="str">
        <f>IF(ISNA(Tableau6[[#This Row],[Position 2022]]),"",INDEX(tabSuiviConso[HP + HC
cumul],Tableau6[[#This Row],[Position 2022]],1))</f>
        <v/>
      </c>
      <c r="I274" s="123" t="e">
        <f>IF(ISNA(Tableau6[[#This Row],[Position 2022]]),Tableau6[[#This Row],[Position 2022]],Tableau6[[#This Row],[2022]]-H$2)</f>
        <v>#N/A</v>
      </c>
      <c r="J274" s="102" t="e">
        <f>MATCH(Tableau6[Jours Mois]&amp;"/"&amp;Tableau6[[#Headers],[2023]],tabSuiviConso[Jour Mois Année],0)</f>
        <v>#N/A</v>
      </c>
      <c r="K274" s="102" t="e">
        <f>Tableau6[[#This Row],[Cumul 2022]]-Tableau6[[#This Row],[Cumul 2021]]</f>
        <v>#N/A</v>
      </c>
      <c r="L274" s="104" t="e">
        <f>Tableau6[[#This Row],[Ecart 2021 2022]]/Tableau6[[#This Row],[Cumul 2021]]</f>
        <v>#N/A</v>
      </c>
      <c r="M274" s="102" t="str">
        <f>IF(ISNA(Tableau6[[#This Row],[Position 2023]]),"",INDEX(tabSuiviConso[HP + HC
cumul],Tableau6[[#This Row],[Position 2023]],1))</f>
        <v/>
      </c>
      <c r="N274" s="123" t="e">
        <f>IF(ISNA(Tableau6[[#This Row],[Position 2023]]),Tableau6[[#This Row],[Position 2023]],Tableau6[[#This Row],[2023]]-M$2)</f>
        <v>#N/A</v>
      </c>
      <c r="O274" s="102" t="e">
        <f>Tableau6[[#This Row],[Cumul 2023]]-Tableau6[[#This Row],[Cumul 2022]]</f>
        <v>#N/A</v>
      </c>
      <c r="P274" s="104" t="e">
        <f>Tableau6[[#This Row],[Ecart 2022 2023]]/Tableau6[[#This Row],[Cumul 2022]]</f>
        <v>#N/A</v>
      </c>
      <c r="Q274" s="102" t="e">
        <f>MATCH(Tableau6[Jours Mois]&amp;"/"&amp;Tableau6[[#Headers],[2024]],tabSuiviConso[Jour Mois Année],0)</f>
        <v>#N/A</v>
      </c>
      <c r="R274" s="102" t="str">
        <f>IF(ISNA(Tableau6[[#This Row],[Position 2024]]),"",INDEX(tabSuiviConso[HP + HC
cumul],Tableau6[[#This Row],[Position 2024]],1))</f>
        <v/>
      </c>
      <c r="S274" s="123" t="e">
        <f>IF(ISNA(Tableau6[[#This Row],[Position 2024]]),Tableau6[[#This Row],[Position 2024]],Tableau6[[#This Row],[2024]]-R$2)</f>
        <v>#N/A</v>
      </c>
      <c r="T274" s="102" t="e">
        <f>Tableau6[[#This Row],[Cumul 2024]]-Tableau6[[#This Row],[Cumul 2023]]</f>
        <v>#N/A</v>
      </c>
      <c r="U274" s="103" t="e">
        <f>Tableau6[[#This Row],[Ecart 2023 2024]]/Tableau6[[#This Row],[Cumul 2023]]</f>
        <v>#N/A</v>
      </c>
    </row>
    <row r="275" spans="1:21" x14ac:dyDescent="0.2">
      <c r="A275" s="102">
        <v>9</v>
      </c>
      <c r="B275" s="102">
        <v>29</v>
      </c>
      <c r="C275" s="102" t="str">
        <f>Tableau6[Jour]&amp;"/"&amp;Tableau6[Mois]</f>
        <v>29/9</v>
      </c>
      <c r="D275" s="102" t="e">
        <f>MATCH(Tableau6[Jours Mois]&amp;"/"&amp;Tableau6[[#Headers],[2021]],tabSuiviConso[Jour Mois Année],0)</f>
        <v>#N/A</v>
      </c>
      <c r="E275" s="102" t="str">
        <f>IF(ISNA(Tableau6[[#This Row],[Position 2021]]),"",INDEX(tabSuiviConso[HP + HC
cumul],Tableau6[[#This Row],[Position 2021]],1))</f>
        <v/>
      </c>
      <c r="F275" s="123" t="e">
        <f>IF(ISNA(Tableau6[[#This Row],[Position 2021]]),Tableau6[[#This Row],[Position 2021]],Tableau6[[#This Row],[2021]]-E$2)</f>
        <v>#N/A</v>
      </c>
      <c r="G275" s="102" t="e">
        <f>MATCH(Tableau6[Jours Mois]&amp;"/"&amp;Tableau6[[#Headers],[2022]],tabSuiviConso[Jour Mois Année],0)</f>
        <v>#N/A</v>
      </c>
      <c r="H275" s="102" t="str">
        <f>IF(ISNA(Tableau6[[#This Row],[Position 2022]]),"",INDEX(tabSuiviConso[HP + HC
cumul],Tableau6[[#This Row],[Position 2022]],1))</f>
        <v/>
      </c>
      <c r="I275" s="123" t="e">
        <f>IF(ISNA(Tableau6[[#This Row],[Position 2022]]),Tableau6[[#This Row],[Position 2022]],Tableau6[[#This Row],[2022]]-H$2)</f>
        <v>#N/A</v>
      </c>
      <c r="J275" s="102" t="e">
        <f>MATCH(Tableau6[Jours Mois]&amp;"/"&amp;Tableau6[[#Headers],[2023]],tabSuiviConso[Jour Mois Année],0)</f>
        <v>#N/A</v>
      </c>
      <c r="K275" s="102" t="e">
        <f>Tableau6[[#This Row],[Cumul 2022]]-Tableau6[[#This Row],[Cumul 2021]]</f>
        <v>#N/A</v>
      </c>
      <c r="L275" s="104" t="e">
        <f>Tableau6[[#This Row],[Ecart 2021 2022]]/Tableau6[[#This Row],[Cumul 2021]]</f>
        <v>#N/A</v>
      </c>
      <c r="M275" s="102" t="str">
        <f>IF(ISNA(Tableau6[[#This Row],[Position 2023]]),"",INDEX(tabSuiviConso[HP + HC
cumul],Tableau6[[#This Row],[Position 2023]],1))</f>
        <v/>
      </c>
      <c r="N275" s="123" t="e">
        <f>IF(ISNA(Tableau6[[#This Row],[Position 2023]]),Tableau6[[#This Row],[Position 2023]],Tableau6[[#This Row],[2023]]-M$2)</f>
        <v>#N/A</v>
      </c>
      <c r="O275" s="102" t="e">
        <f>Tableau6[[#This Row],[Cumul 2023]]-Tableau6[[#This Row],[Cumul 2022]]</f>
        <v>#N/A</v>
      </c>
      <c r="P275" s="104" t="e">
        <f>Tableau6[[#This Row],[Ecart 2022 2023]]/Tableau6[[#This Row],[Cumul 2022]]</f>
        <v>#N/A</v>
      </c>
      <c r="Q275" s="102" t="e">
        <f>MATCH(Tableau6[Jours Mois]&amp;"/"&amp;Tableau6[[#Headers],[2024]],tabSuiviConso[Jour Mois Année],0)</f>
        <v>#N/A</v>
      </c>
      <c r="R275" s="102" t="str">
        <f>IF(ISNA(Tableau6[[#This Row],[Position 2024]]),"",INDEX(tabSuiviConso[HP + HC
cumul],Tableau6[[#This Row],[Position 2024]],1))</f>
        <v/>
      </c>
      <c r="S275" s="123" t="e">
        <f>IF(ISNA(Tableau6[[#This Row],[Position 2024]]),Tableau6[[#This Row],[Position 2024]],Tableau6[[#This Row],[2024]]-R$2)</f>
        <v>#N/A</v>
      </c>
      <c r="T275" s="102" t="e">
        <f>Tableau6[[#This Row],[Cumul 2024]]-Tableau6[[#This Row],[Cumul 2023]]</f>
        <v>#N/A</v>
      </c>
      <c r="U275" s="103" t="e">
        <f>Tableau6[[#This Row],[Ecart 2023 2024]]/Tableau6[[#This Row],[Cumul 2023]]</f>
        <v>#N/A</v>
      </c>
    </row>
    <row r="276" spans="1:21" x14ac:dyDescent="0.2">
      <c r="A276" s="102">
        <v>9</v>
      </c>
      <c r="B276" s="102">
        <v>30</v>
      </c>
      <c r="C276" s="102" t="str">
        <f>Tableau6[Jour]&amp;"/"&amp;Tableau6[Mois]</f>
        <v>30/9</v>
      </c>
      <c r="D276" s="102" t="e">
        <f>MATCH(Tableau6[Jours Mois]&amp;"/"&amp;Tableau6[[#Headers],[2021]],tabSuiviConso[Jour Mois Année],0)</f>
        <v>#N/A</v>
      </c>
      <c r="E276" s="102" t="str">
        <f>IF(ISNA(Tableau6[[#This Row],[Position 2021]]),"",INDEX(tabSuiviConso[HP + HC
cumul],Tableau6[[#This Row],[Position 2021]],1))</f>
        <v/>
      </c>
      <c r="F276" s="123" t="e">
        <f>IF(ISNA(Tableau6[[#This Row],[Position 2021]]),Tableau6[[#This Row],[Position 2021]],Tableau6[[#This Row],[2021]]-E$2)</f>
        <v>#N/A</v>
      </c>
      <c r="G276" s="102" t="e">
        <f>MATCH(Tableau6[Jours Mois]&amp;"/"&amp;Tableau6[[#Headers],[2022]],tabSuiviConso[Jour Mois Année],0)</f>
        <v>#N/A</v>
      </c>
      <c r="H276" s="102" t="str">
        <f>IF(ISNA(Tableau6[[#This Row],[Position 2022]]),"",INDEX(tabSuiviConso[HP + HC
cumul],Tableau6[[#This Row],[Position 2022]],1))</f>
        <v/>
      </c>
      <c r="I276" s="123" t="e">
        <f>IF(ISNA(Tableau6[[#This Row],[Position 2022]]),Tableau6[[#This Row],[Position 2022]],Tableau6[[#This Row],[2022]]-H$2)</f>
        <v>#N/A</v>
      </c>
      <c r="J276" s="102" t="e">
        <f>MATCH(Tableau6[Jours Mois]&amp;"/"&amp;Tableau6[[#Headers],[2023]],tabSuiviConso[Jour Mois Année],0)</f>
        <v>#N/A</v>
      </c>
      <c r="K276" s="102" t="e">
        <f>Tableau6[[#This Row],[Cumul 2022]]-Tableau6[[#This Row],[Cumul 2021]]</f>
        <v>#N/A</v>
      </c>
      <c r="L276" s="104" t="e">
        <f>Tableau6[[#This Row],[Ecart 2021 2022]]/Tableau6[[#This Row],[Cumul 2021]]</f>
        <v>#N/A</v>
      </c>
      <c r="M276" s="102" t="str">
        <f>IF(ISNA(Tableau6[[#This Row],[Position 2023]]),"",INDEX(tabSuiviConso[HP + HC
cumul],Tableau6[[#This Row],[Position 2023]],1))</f>
        <v/>
      </c>
      <c r="N276" s="123" t="e">
        <f>IF(ISNA(Tableau6[[#This Row],[Position 2023]]),Tableau6[[#This Row],[Position 2023]],Tableau6[[#This Row],[2023]]-M$2)</f>
        <v>#N/A</v>
      </c>
      <c r="O276" s="102" t="e">
        <f>Tableau6[[#This Row],[Cumul 2023]]-Tableau6[[#This Row],[Cumul 2022]]</f>
        <v>#N/A</v>
      </c>
      <c r="P276" s="104" t="e">
        <f>Tableau6[[#This Row],[Ecart 2022 2023]]/Tableau6[[#This Row],[Cumul 2022]]</f>
        <v>#N/A</v>
      </c>
      <c r="Q276" s="102" t="e">
        <f>MATCH(Tableau6[Jours Mois]&amp;"/"&amp;Tableau6[[#Headers],[2024]],tabSuiviConso[Jour Mois Année],0)</f>
        <v>#N/A</v>
      </c>
      <c r="R276" s="102" t="str">
        <f>IF(ISNA(Tableau6[[#This Row],[Position 2024]]),"",INDEX(tabSuiviConso[HP + HC
cumul],Tableau6[[#This Row],[Position 2024]],1))</f>
        <v/>
      </c>
      <c r="S276" s="123" t="e">
        <f>IF(ISNA(Tableau6[[#This Row],[Position 2024]]),Tableau6[[#This Row],[Position 2024]],Tableau6[[#This Row],[2024]]-R$2)</f>
        <v>#N/A</v>
      </c>
      <c r="T276" s="102" t="e">
        <f>Tableau6[[#This Row],[Cumul 2024]]-Tableau6[[#This Row],[Cumul 2023]]</f>
        <v>#N/A</v>
      </c>
      <c r="U276" s="103" t="e">
        <f>Tableau6[[#This Row],[Ecart 2023 2024]]/Tableau6[[#This Row],[Cumul 2023]]</f>
        <v>#N/A</v>
      </c>
    </row>
    <row r="277" spans="1:21" x14ac:dyDescent="0.2">
      <c r="A277" s="102">
        <v>10</v>
      </c>
      <c r="B277" s="102">
        <v>1</v>
      </c>
      <c r="C277" s="102" t="str">
        <f>Tableau6[Jour]&amp;"/"&amp;Tableau6[Mois]</f>
        <v>1/10</v>
      </c>
      <c r="D277" s="102" t="e">
        <f>MATCH(Tableau6[Jours Mois]&amp;"/"&amp;Tableau6[[#Headers],[2021]],tabSuiviConso[Jour Mois Année],0)</f>
        <v>#N/A</v>
      </c>
      <c r="E277" s="102" t="str">
        <f>IF(ISNA(Tableau6[[#This Row],[Position 2021]]),"",INDEX(tabSuiviConso[HP + HC
cumul],Tableau6[[#This Row],[Position 2021]],1))</f>
        <v/>
      </c>
      <c r="F277" s="123" t="e">
        <f>IF(ISNA(Tableau6[[#This Row],[Position 2021]]),Tableau6[[#This Row],[Position 2021]],Tableau6[[#This Row],[2021]]-E$2)</f>
        <v>#N/A</v>
      </c>
      <c r="G277" s="102" t="e">
        <f>MATCH(Tableau6[Jours Mois]&amp;"/"&amp;Tableau6[[#Headers],[2022]],tabSuiviConso[Jour Mois Année],0)</f>
        <v>#N/A</v>
      </c>
      <c r="H277" s="102" t="str">
        <f>IF(ISNA(Tableau6[[#This Row],[Position 2022]]),"",INDEX(tabSuiviConso[HP + HC
cumul],Tableau6[[#This Row],[Position 2022]],1))</f>
        <v/>
      </c>
      <c r="I277" s="123" t="e">
        <f>IF(ISNA(Tableau6[[#This Row],[Position 2022]]),Tableau6[[#This Row],[Position 2022]],Tableau6[[#This Row],[2022]]-H$2)</f>
        <v>#N/A</v>
      </c>
      <c r="J277" s="102" t="e">
        <f>MATCH(Tableau6[Jours Mois]&amp;"/"&amp;Tableau6[[#Headers],[2023]],tabSuiviConso[Jour Mois Année],0)</f>
        <v>#N/A</v>
      </c>
      <c r="K277" s="102" t="e">
        <f>Tableau6[[#This Row],[Cumul 2022]]-Tableau6[[#This Row],[Cumul 2021]]</f>
        <v>#N/A</v>
      </c>
      <c r="L277" s="104" t="e">
        <f>Tableau6[[#This Row],[Ecart 2021 2022]]/Tableau6[[#This Row],[Cumul 2021]]</f>
        <v>#N/A</v>
      </c>
      <c r="M277" s="102" t="str">
        <f>IF(ISNA(Tableau6[[#This Row],[Position 2023]]),"",INDEX(tabSuiviConso[HP + HC
cumul],Tableau6[[#This Row],[Position 2023]],1))</f>
        <v/>
      </c>
      <c r="N277" s="123" t="e">
        <f>IF(ISNA(Tableau6[[#This Row],[Position 2023]]),Tableau6[[#This Row],[Position 2023]],Tableau6[[#This Row],[2023]]-M$2)</f>
        <v>#N/A</v>
      </c>
      <c r="O277" s="102" t="e">
        <f>Tableau6[[#This Row],[Cumul 2023]]-Tableau6[[#This Row],[Cumul 2022]]</f>
        <v>#N/A</v>
      </c>
      <c r="P277" s="104" t="e">
        <f>Tableau6[[#This Row],[Ecart 2022 2023]]/Tableau6[[#This Row],[Cumul 2022]]</f>
        <v>#N/A</v>
      </c>
      <c r="Q277" s="102" t="e">
        <f>MATCH(Tableau6[Jours Mois]&amp;"/"&amp;Tableau6[[#Headers],[2024]],tabSuiviConso[Jour Mois Année],0)</f>
        <v>#N/A</v>
      </c>
      <c r="R277" s="102" t="str">
        <f>IF(ISNA(Tableau6[[#This Row],[Position 2024]]),"",INDEX(tabSuiviConso[HP + HC
cumul],Tableau6[[#This Row],[Position 2024]],1))</f>
        <v/>
      </c>
      <c r="S277" s="123" t="e">
        <f>IF(ISNA(Tableau6[[#This Row],[Position 2024]]),Tableau6[[#This Row],[Position 2024]],Tableau6[[#This Row],[2024]]-R$2)</f>
        <v>#N/A</v>
      </c>
      <c r="T277" s="102" t="e">
        <f>Tableau6[[#This Row],[Cumul 2024]]-Tableau6[[#This Row],[Cumul 2023]]</f>
        <v>#N/A</v>
      </c>
      <c r="U277" s="103" t="e">
        <f>Tableau6[[#This Row],[Ecart 2023 2024]]/Tableau6[[#This Row],[Cumul 2023]]</f>
        <v>#N/A</v>
      </c>
    </row>
    <row r="278" spans="1:21" x14ac:dyDescent="0.2">
      <c r="A278" s="102">
        <v>10</v>
      </c>
      <c r="B278" s="102">
        <v>2</v>
      </c>
      <c r="C278" s="102" t="str">
        <f>Tableau6[Jour]&amp;"/"&amp;Tableau6[Mois]</f>
        <v>2/10</v>
      </c>
      <c r="D278" s="102" t="e">
        <f>MATCH(Tableau6[Jours Mois]&amp;"/"&amp;Tableau6[[#Headers],[2021]],tabSuiviConso[Jour Mois Année],0)</f>
        <v>#N/A</v>
      </c>
      <c r="E278" s="102" t="str">
        <f>IF(ISNA(Tableau6[[#This Row],[Position 2021]]),"",INDEX(tabSuiviConso[HP + HC
cumul],Tableau6[[#This Row],[Position 2021]],1))</f>
        <v/>
      </c>
      <c r="F278" s="123" t="e">
        <f>IF(ISNA(Tableau6[[#This Row],[Position 2021]]),Tableau6[[#This Row],[Position 2021]],Tableau6[[#This Row],[2021]]-E$2)</f>
        <v>#N/A</v>
      </c>
      <c r="G278" s="102" t="e">
        <f>MATCH(Tableau6[Jours Mois]&amp;"/"&amp;Tableau6[[#Headers],[2022]],tabSuiviConso[Jour Mois Année],0)</f>
        <v>#N/A</v>
      </c>
      <c r="H278" s="102" t="str">
        <f>IF(ISNA(Tableau6[[#This Row],[Position 2022]]),"",INDEX(tabSuiviConso[HP + HC
cumul],Tableau6[[#This Row],[Position 2022]],1))</f>
        <v/>
      </c>
      <c r="I278" s="123" t="e">
        <f>IF(ISNA(Tableau6[[#This Row],[Position 2022]]),Tableau6[[#This Row],[Position 2022]],Tableau6[[#This Row],[2022]]-H$2)</f>
        <v>#N/A</v>
      </c>
      <c r="J278" s="102" t="e">
        <f>MATCH(Tableau6[Jours Mois]&amp;"/"&amp;Tableau6[[#Headers],[2023]],tabSuiviConso[Jour Mois Année],0)</f>
        <v>#N/A</v>
      </c>
      <c r="K278" s="102" t="e">
        <f>Tableau6[[#This Row],[Cumul 2022]]-Tableau6[[#This Row],[Cumul 2021]]</f>
        <v>#N/A</v>
      </c>
      <c r="L278" s="104" t="e">
        <f>Tableau6[[#This Row],[Ecart 2021 2022]]/Tableau6[[#This Row],[Cumul 2021]]</f>
        <v>#N/A</v>
      </c>
      <c r="M278" s="102" t="str">
        <f>IF(ISNA(Tableau6[[#This Row],[Position 2023]]),"",INDEX(tabSuiviConso[HP + HC
cumul],Tableau6[[#This Row],[Position 2023]],1))</f>
        <v/>
      </c>
      <c r="N278" s="123" t="e">
        <f>IF(ISNA(Tableau6[[#This Row],[Position 2023]]),Tableau6[[#This Row],[Position 2023]],Tableau6[[#This Row],[2023]]-M$2)</f>
        <v>#N/A</v>
      </c>
      <c r="O278" s="102" t="e">
        <f>Tableau6[[#This Row],[Cumul 2023]]-Tableau6[[#This Row],[Cumul 2022]]</f>
        <v>#N/A</v>
      </c>
      <c r="P278" s="104" t="e">
        <f>Tableau6[[#This Row],[Ecart 2022 2023]]/Tableau6[[#This Row],[Cumul 2022]]</f>
        <v>#N/A</v>
      </c>
      <c r="Q278" s="102" t="e">
        <f>MATCH(Tableau6[Jours Mois]&amp;"/"&amp;Tableau6[[#Headers],[2024]],tabSuiviConso[Jour Mois Année],0)</f>
        <v>#N/A</v>
      </c>
      <c r="R278" s="102" t="str">
        <f>IF(ISNA(Tableau6[[#This Row],[Position 2024]]),"",INDEX(tabSuiviConso[HP + HC
cumul],Tableau6[[#This Row],[Position 2024]],1))</f>
        <v/>
      </c>
      <c r="S278" s="123" t="e">
        <f>IF(ISNA(Tableau6[[#This Row],[Position 2024]]),Tableau6[[#This Row],[Position 2024]],Tableau6[[#This Row],[2024]]-R$2)</f>
        <v>#N/A</v>
      </c>
      <c r="T278" s="102" t="e">
        <f>Tableau6[[#This Row],[Cumul 2024]]-Tableau6[[#This Row],[Cumul 2023]]</f>
        <v>#N/A</v>
      </c>
      <c r="U278" s="103" t="e">
        <f>Tableau6[[#This Row],[Ecart 2023 2024]]/Tableau6[[#This Row],[Cumul 2023]]</f>
        <v>#N/A</v>
      </c>
    </row>
    <row r="279" spans="1:21" x14ac:dyDescent="0.2">
      <c r="A279" s="102">
        <v>10</v>
      </c>
      <c r="B279" s="102">
        <v>3</v>
      </c>
      <c r="C279" s="102" t="str">
        <f>Tableau6[Jour]&amp;"/"&amp;Tableau6[Mois]</f>
        <v>3/10</v>
      </c>
      <c r="D279" s="102" t="e">
        <f>MATCH(Tableau6[Jours Mois]&amp;"/"&amp;Tableau6[[#Headers],[2021]],tabSuiviConso[Jour Mois Année],0)</f>
        <v>#N/A</v>
      </c>
      <c r="E279" s="102" t="str">
        <f>IF(ISNA(Tableau6[[#This Row],[Position 2021]]),"",INDEX(tabSuiviConso[HP + HC
cumul],Tableau6[[#This Row],[Position 2021]],1))</f>
        <v/>
      </c>
      <c r="F279" s="123" t="e">
        <f>IF(ISNA(Tableau6[[#This Row],[Position 2021]]),Tableau6[[#This Row],[Position 2021]],Tableau6[[#This Row],[2021]]-E$2)</f>
        <v>#N/A</v>
      </c>
      <c r="G279" s="102" t="e">
        <f>MATCH(Tableau6[Jours Mois]&amp;"/"&amp;Tableau6[[#Headers],[2022]],tabSuiviConso[Jour Mois Année],0)</f>
        <v>#N/A</v>
      </c>
      <c r="H279" s="102" t="str">
        <f>IF(ISNA(Tableau6[[#This Row],[Position 2022]]),"",INDEX(tabSuiviConso[HP + HC
cumul],Tableau6[[#This Row],[Position 2022]],1))</f>
        <v/>
      </c>
      <c r="I279" s="123" t="e">
        <f>IF(ISNA(Tableau6[[#This Row],[Position 2022]]),Tableau6[[#This Row],[Position 2022]],Tableau6[[#This Row],[2022]]-H$2)</f>
        <v>#N/A</v>
      </c>
      <c r="J279" s="102" t="e">
        <f>MATCH(Tableau6[Jours Mois]&amp;"/"&amp;Tableau6[[#Headers],[2023]],tabSuiviConso[Jour Mois Année],0)</f>
        <v>#N/A</v>
      </c>
      <c r="K279" s="102" t="e">
        <f>Tableau6[[#This Row],[Cumul 2022]]-Tableau6[[#This Row],[Cumul 2021]]</f>
        <v>#N/A</v>
      </c>
      <c r="L279" s="104" t="e">
        <f>Tableau6[[#This Row],[Ecart 2021 2022]]/Tableau6[[#This Row],[Cumul 2021]]</f>
        <v>#N/A</v>
      </c>
      <c r="M279" s="102" t="str">
        <f>IF(ISNA(Tableau6[[#This Row],[Position 2023]]),"",INDEX(tabSuiviConso[HP + HC
cumul],Tableau6[[#This Row],[Position 2023]],1))</f>
        <v/>
      </c>
      <c r="N279" s="123" t="e">
        <f>IF(ISNA(Tableau6[[#This Row],[Position 2023]]),Tableau6[[#This Row],[Position 2023]],Tableau6[[#This Row],[2023]]-M$2)</f>
        <v>#N/A</v>
      </c>
      <c r="O279" s="102" t="e">
        <f>Tableau6[[#This Row],[Cumul 2023]]-Tableau6[[#This Row],[Cumul 2022]]</f>
        <v>#N/A</v>
      </c>
      <c r="P279" s="104" t="e">
        <f>Tableau6[[#This Row],[Ecart 2022 2023]]/Tableau6[[#This Row],[Cumul 2022]]</f>
        <v>#N/A</v>
      </c>
      <c r="Q279" s="102" t="e">
        <f>MATCH(Tableau6[Jours Mois]&amp;"/"&amp;Tableau6[[#Headers],[2024]],tabSuiviConso[Jour Mois Année],0)</f>
        <v>#N/A</v>
      </c>
      <c r="R279" s="102" t="str">
        <f>IF(ISNA(Tableau6[[#This Row],[Position 2024]]),"",INDEX(tabSuiviConso[HP + HC
cumul],Tableau6[[#This Row],[Position 2024]],1))</f>
        <v/>
      </c>
      <c r="S279" s="123" t="e">
        <f>IF(ISNA(Tableau6[[#This Row],[Position 2024]]),Tableau6[[#This Row],[Position 2024]],Tableau6[[#This Row],[2024]]-R$2)</f>
        <v>#N/A</v>
      </c>
      <c r="T279" s="102" t="e">
        <f>Tableau6[[#This Row],[Cumul 2024]]-Tableau6[[#This Row],[Cumul 2023]]</f>
        <v>#N/A</v>
      </c>
      <c r="U279" s="103" t="e">
        <f>Tableau6[[#This Row],[Ecart 2023 2024]]/Tableau6[[#This Row],[Cumul 2023]]</f>
        <v>#N/A</v>
      </c>
    </row>
    <row r="280" spans="1:21" x14ac:dyDescent="0.2">
      <c r="A280" s="102">
        <v>10</v>
      </c>
      <c r="B280" s="102">
        <v>4</v>
      </c>
      <c r="C280" s="102" t="str">
        <f>Tableau6[Jour]&amp;"/"&amp;Tableau6[Mois]</f>
        <v>4/10</v>
      </c>
      <c r="D280" s="102" t="e">
        <f>MATCH(Tableau6[Jours Mois]&amp;"/"&amp;Tableau6[[#Headers],[2021]],tabSuiviConso[Jour Mois Année],0)</f>
        <v>#N/A</v>
      </c>
      <c r="E280" s="102" t="str">
        <f>IF(ISNA(Tableau6[[#This Row],[Position 2021]]),"",INDEX(tabSuiviConso[HP + HC
cumul],Tableau6[[#This Row],[Position 2021]],1))</f>
        <v/>
      </c>
      <c r="F280" s="123" t="e">
        <f>IF(ISNA(Tableau6[[#This Row],[Position 2021]]),Tableau6[[#This Row],[Position 2021]],Tableau6[[#This Row],[2021]]-E$2)</f>
        <v>#N/A</v>
      </c>
      <c r="G280" s="102" t="e">
        <f>MATCH(Tableau6[Jours Mois]&amp;"/"&amp;Tableau6[[#Headers],[2022]],tabSuiviConso[Jour Mois Année],0)</f>
        <v>#N/A</v>
      </c>
      <c r="H280" s="102" t="str">
        <f>IF(ISNA(Tableau6[[#This Row],[Position 2022]]),"",INDEX(tabSuiviConso[HP + HC
cumul],Tableau6[[#This Row],[Position 2022]],1))</f>
        <v/>
      </c>
      <c r="I280" s="123" t="e">
        <f>IF(ISNA(Tableau6[[#This Row],[Position 2022]]),Tableau6[[#This Row],[Position 2022]],Tableau6[[#This Row],[2022]]-H$2)</f>
        <v>#N/A</v>
      </c>
      <c r="J280" s="102" t="e">
        <f>MATCH(Tableau6[Jours Mois]&amp;"/"&amp;Tableau6[[#Headers],[2023]],tabSuiviConso[Jour Mois Année],0)</f>
        <v>#N/A</v>
      </c>
      <c r="K280" s="102" t="e">
        <f>Tableau6[[#This Row],[Cumul 2022]]-Tableau6[[#This Row],[Cumul 2021]]</f>
        <v>#N/A</v>
      </c>
      <c r="L280" s="104" t="e">
        <f>Tableau6[[#This Row],[Ecart 2021 2022]]/Tableau6[[#This Row],[Cumul 2021]]</f>
        <v>#N/A</v>
      </c>
      <c r="M280" s="102" t="str">
        <f>IF(ISNA(Tableau6[[#This Row],[Position 2023]]),"",INDEX(tabSuiviConso[HP + HC
cumul],Tableau6[[#This Row],[Position 2023]],1))</f>
        <v/>
      </c>
      <c r="N280" s="123" t="e">
        <f>IF(ISNA(Tableau6[[#This Row],[Position 2023]]),Tableau6[[#This Row],[Position 2023]],Tableau6[[#This Row],[2023]]-M$2)</f>
        <v>#N/A</v>
      </c>
      <c r="O280" s="102" t="e">
        <f>Tableau6[[#This Row],[Cumul 2023]]-Tableau6[[#This Row],[Cumul 2022]]</f>
        <v>#N/A</v>
      </c>
      <c r="P280" s="104" t="e">
        <f>Tableau6[[#This Row],[Ecart 2022 2023]]/Tableau6[[#This Row],[Cumul 2022]]</f>
        <v>#N/A</v>
      </c>
      <c r="Q280" s="102" t="e">
        <f>MATCH(Tableau6[Jours Mois]&amp;"/"&amp;Tableau6[[#Headers],[2024]],tabSuiviConso[Jour Mois Année],0)</f>
        <v>#N/A</v>
      </c>
      <c r="R280" s="102" t="str">
        <f>IF(ISNA(Tableau6[[#This Row],[Position 2024]]),"",INDEX(tabSuiviConso[HP + HC
cumul],Tableau6[[#This Row],[Position 2024]],1))</f>
        <v/>
      </c>
      <c r="S280" s="123" t="e">
        <f>IF(ISNA(Tableau6[[#This Row],[Position 2024]]),Tableau6[[#This Row],[Position 2024]],Tableau6[[#This Row],[2024]]-R$2)</f>
        <v>#N/A</v>
      </c>
      <c r="T280" s="102" t="e">
        <f>Tableau6[[#This Row],[Cumul 2024]]-Tableau6[[#This Row],[Cumul 2023]]</f>
        <v>#N/A</v>
      </c>
      <c r="U280" s="103" t="e">
        <f>Tableau6[[#This Row],[Ecart 2023 2024]]/Tableau6[[#This Row],[Cumul 2023]]</f>
        <v>#N/A</v>
      </c>
    </row>
    <row r="281" spans="1:21" x14ac:dyDescent="0.2">
      <c r="A281" s="102">
        <v>10</v>
      </c>
      <c r="B281" s="102">
        <v>5</v>
      </c>
      <c r="C281" s="102" t="str">
        <f>Tableau6[Jour]&amp;"/"&amp;Tableau6[Mois]</f>
        <v>5/10</v>
      </c>
      <c r="D281" s="102" t="e">
        <f>MATCH(Tableau6[Jours Mois]&amp;"/"&amp;Tableau6[[#Headers],[2021]],tabSuiviConso[Jour Mois Année],0)</f>
        <v>#N/A</v>
      </c>
      <c r="E281" s="102" t="str">
        <f>IF(ISNA(Tableau6[[#This Row],[Position 2021]]),"",INDEX(tabSuiviConso[HP + HC
cumul],Tableau6[[#This Row],[Position 2021]],1))</f>
        <v/>
      </c>
      <c r="F281" s="123" t="e">
        <f>IF(ISNA(Tableau6[[#This Row],[Position 2021]]),Tableau6[[#This Row],[Position 2021]],Tableau6[[#This Row],[2021]]-E$2)</f>
        <v>#N/A</v>
      </c>
      <c r="G281" s="102" t="e">
        <f>MATCH(Tableau6[Jours Mois]&amp;"/"&amp;Tableau6[[#Headers],[2022]],tabSuiviConso[Jour Mois Année],0)</f>
        <v>#N/A</v>
      </c>
      <c r="H281" s="102" t="str">
        <f>IF(ISNA(Tableau6[[#This Row],[Position 2022]]),"",INDEX(tabSuiviConso[HP + HC
cumul],Tableau6[[#This Row],[Position 2022]],1))</f>
        <v/>
      </c>
      <c r="I281" s="123" t="e">
        <f>IF(ISNA(Tableau6[[#This Row],[Position 2022]]),Tableau6[[#This Row],[Position 2022]],Tableau6[[#This Row],[2022]]-H$2)</f>
        <v>#N/A</v>
      </c>
      <c r="J281" s="102" t="e">
        <f>MATCH(Tableau6[Jours Mois]&amp;"/"&amp;Tableau6[[#Headers],[2023]],tabSuiviConso[Jour Mois Année],0)</f>
        <v>#N/A</v>
      </c>
      <c r="K281" s="102" t="e">
        <f>Tableau6[[#This Row],[Cumul 2022]]-Tableau6[[#This Row],[Cumul 2021]]</f>
        <v>#N/A</v>
      </c>
      <c r="L281" s="104" t="e">
        <f>Tableau6[[#This Row],[Ecart 2021 2022]]/Tableau6[[#This Row],[Cumul 2021]]</f>
        <v>#N/A</v>
      </c>
      <c r="M281" s="102" t="str">
        <f>IF(ISNA(Tableau6[[#This Row],[Position 2023]]),"",INDEX(tabSuiviConso[HP + HC
cumul],Tableau6[[#This Row],[Position 2023]],1))</f>
        <v/>
      </c>
      <c r="N281" s="123" t="e">
        <f>IF(ISNA(Tableau6[[#This Row],[Position 2023]]),Tableau6[[#This Row],[Position 2023]],Tableau6[[#This Row],[2023]]-M$2)</f>
        <v>#N/A</v>
      </c>
      <c r="O281" s="102" t="e">
        <f>Tableau6[[#This Row],[Cumul 2023]]-Tableau6[[#This Row],[Cumul 2022]]</f>
        <v>#N/A</v>
      </c>
      <c r="P281" s="104" t="e">
        <f>Tableau6[[#This Row],[Ecart 2022 2023]]/Tableau6[[#This Row],[Cumul 2022]]</f>
        <v>#N/A</v>
      </c>
      <c r="Q281" s="102" t="e">
        <f>MATCH(Tableau6[Jours Mois]&amp;"/"&amp;Tableau6[[#Headers],[2024]],tabSuiviConso[Jour Mois Année],0)</f>
        <v>#N/A</v>
      </c>
      <c r="R281" s="102" t="str">
        <f>IF(ISNA(Tableau6[[#This Row],[Position 2024]]),"",INDEX(tabSuiviConso[HP + HC
cumul],Tableau6[[#This Row],[Position 2024]],1))</f>
        <v/>
      </c>
      <c r="S281" s="123" t="e">
        <f>IF(ISNA(Tableau6[[#This Row],[Position 2024]]),Tableau6[[#This Row],[Position 2024]],Tableau6[[#This Row],[2024]]-R$2)</f>
        <v>#N/A</v>
      </c>
      <c r="T281" s="102" t="e">
        <f>Tableau6[[#This Row],[Cumul 2024]]-Tableau6[[#This Row],[Cumul 2023]]</f>
        <v>#N/A</v>
      </c>
      <c r="U281" s="103" t="e">
        <f>Tableau6[[#This Row],[Ecart 2023 2024]]/Tableau6[[#This Row],[Cumul 2023]]</f>
        <v>#N/A</v>
      </c>
    </row>
    <row r="282" spans="1:21" x14ac:dyDescent="0.2">
      <c r="A282" s="102">
        <v>10</v>
      </c>
      <c r="B282" s="102">
        <v>6</v>
      </c>
      <c r="C282" s="102" t="str">
        <f>Tableau6[Jour]&amp;"/"&amp;Tableau6[Mois]</f>
        <v>6/10</v>
      </c>
      <c r="D282" s="102" t="e">
        <f>MATCH(Tableau6[Jours Mois]&amp;"/"&amp;Tableau6[[#Headers],[2021]],tabSuiviConso[Jour Mois Année],0)</f>
        <v>#N/A</v>
      </c>
      <c r="E282" s="102" t="str">
        <f>IF(ISNA(Tableau6[[#This Row],[Position 2021]]),"",INDEX(tabSuiviConso[HP + HC
cumul],Tableau6[[#This Row],[Position 2021]],1))</f>
        <v/>
      </c>
      <c r="F282" s="123" t="e">
        <f>IF(ISNA(Tableau6[[#This Row],[Position 2021]]),Tableau6[[#This Row],[Position 2021]],Tableau6[[#This Row],[2021]]-E$2)</f>
        <v>#N/A</v>
      </c>
      <c r="G282" s="102" t="e">
        <f>MATCH(Tableau6[Jours Mois]&amp;"/"&amp;Tableau6[[#Headers],[2022]],tabSuiviConso[Jour Mois Année],0)</f>
        <v>#N/A</v>
      </c>
      <c r="H282" s="102" t="str">
        <f>IF(ISNA(Tableau6[[#This Row],[Position 2022]]),"",INDEX(tabSuiviConso[HP + HC
cumul],Tableau6[[#This Row],[Position 2022]],1))</f>
        <v/>
      </c>
      <c r="I282" s="123" t="e">
        <f>IF(ISNA(Tableau6[[#This Row],[Position 2022]]),Tableau6[[#This Row],[Position 2022]],Tableau6[[#This Row],[2022]]-H$2)</f>
        <v>#N/A</v>
      </c>
      <c r="J282" s="102" t="e">
        <f>MATCH(Tableau6[Jours Mois]&amp;"/"&amp;Tableau6[[#Headers],[2023]],tabSuiviConso[Jour Mois Année],0)</f>
        <v>#N/A</v>
      </c>
      <c r="K282" s="102" t="e">
        <f>Tableau6[[#This Row],[Cumul 2022]]-Tableau6[[#This Row],[Cumul 2021]]</f>
        <v>#N/A</v>
      </c>
      <c r="L282" s="104" t="e">
        <f>Tableau6[[#This Row],[Ecart 2021 2022]]/Tableau6[[#This Row],[Cumul 2021]]</f>
        <v>#N/A</v>
      </c>
      <c r="M282" s="102" t="str">
        <f>IF(ISNA(Tableau6[[#This Row],[Position 2023]]),"",INDEX(tabSuiviConso[HP + HC
cumul],Tableau6[[#This Row],[Position 2023]],1))</f>
        <v/>
      </c>
      <c r="N282" s="123" t="e">
        <f>IF(ISNA(Tableau6[[#This Row],[Position 2023]]),Tableau6[[#This Row],[Position 2023]],Tableau6[[#This Row],[2023]]-M$2)</f>
        <v>#N/A</v>
      </c>
      <c r="O282" s="102" t="e">
        <f>Tableau6[[#This Row],[Cumul 2023]]-Tableau6[[#This Row],[Cumul 2022]]</f>
        <v>#N/A</v>
      </c>
      <c r="P282" s="104" t="e">
        <f>Tableau6[[#This Row],[Ecart 2022 2023]]/Tableau6[[#This Row],[Cumul 2022]]</f>
        <v>#N/A</v>
      </c>
      <c r="Q282" s="102" t="e">
        <f>MATCH(Tableau6[Jours Mois]&amp;"/"&amp;Tableau6[[#Headers],[2024]],tabSuiviConso[Jour Mois Année],0)</f>
        <v>#N/A</v>
      </c>
      <c r="R282" s="102" t="str">
        <f>IF(ISNA(Tableau6[[#This Row],[Position 2024]]),"",INDEX(tabSuiviConso[HP + HC
cumul],Tableau6[[#This Row],[Position 2024]],1))</f>
        <v/>
      </c>
      <c r="S282" s="123" t="e">
        <f>IF(ISNA(Tableau6[[#This Row],[Position 2024]]),Tableau6[[#This Row],[Position 2024]],Tableau6[[#This Row],[2024]]-R$2)</f>
        <v>#N/A</v>
      </c>
      <c r="T282" s="102" t="e">
        <f>Tableau6[[#This Row],[Cumul 2024]]-Tableau6[[#This Row],[Cumul 2023]]</f>
        <v>#N/A</v>
      </c>
      <c r="U282" s="103" t="e">
        <f>Tableau6[[#This Row],[Ecart 2023 2024]]/Tableau6[[#This Row],[Cumul 2023]]</f>
        <v>#N/A</v>
      </c>
    </row>
    <row r="283" spans="1:21" x14ac:dyDescent="0.2">
      <c r="A283" s="102">
        <v>10</v>
      </c>
      <c r="B283" s="102">
        <v>7</v>
      </c>
      <c r="C283" s="102" t="str">
        <f>Tableau6[Jour]&amp;"/"&amp;Tableau6[Mois]</f>
        <v>7/10</v>
      </c>
      <c r="D283" s="102" t="e">
        <f>MATCH(Tableau6[Jours Mois]&amp;"/"&amp;Tableau6[[#Headers],[2021]],tabSuiviConso[Jour Mois Année],0)</f>
        <v>#N/A</v>
      </c>
      <c r="E283" s="102" t="str">
        <f>IF(ISNA(Tableau6[[#This Row],[Position 2021]]),"",INDEX(tabSuiviConso[HP + HC
cumul],Tableau6[[#This Row],[Position 2021]],1))</f>
        <v/>
      </c>
      <c r="F283" s="123" t="e">
        <f>IF(ISNA(Tableau6[[#This Row],[Position 2021]]),Tableau6[[#This Row],[Position 2021]],Tableau6[[#This Row],[2021]]-E$2)</f>
        <v>#N/A</v>
      </c>
      <c r="G283" s="102" t="e">
        <f>MATCH(Tableau6[Jours Mois]&amp;"/"&amp;Tableau6[[#Headers],[2022]],tabSuiviConso[Jour Mois Année],0)</f>
        <v>#N/A</v>
      </c>
      <c r="H283" s="102" t="str">
        <f>IF(ISNA(Tableau6[[#This Row],[Position 2022]]),"",INDEX(tabSuiviConso[HP + HC
cumul],Tableau6[[#This Row],[Position 2022]],1))</f>
        <v/>
      </c>
      <c r="I283" s="123" t="e">
        <f>IF(ISNA(Tableau6[[#This Row],[Position 2022]]),Tableau6[[#This Row],[Position 2022]],Tableau6[[#This Row],[2022]]-H$2)</f>
        <v>#N/A</v>
      </c>
      <c r="J283" s="102" t="e">
        <f>MATCH(Tableau6[Jours Mois]&amp;"/"&amp;Tableau6[[#Headers],[2023]],tabSuiviConso[Jour Mois Année],0)</f>
        <v>#N/A</v>
      </c>
      <c r="K283" s="102" t="e">
        <f>Tableau6[[#This Row],[Cumul 2022]]-Tableau6[[#This Row],[Cumul 2021]]</f>
        <v>#N/A</v>
      </c>
      <c r="L283" s="104" t="e">
        <f>Tableau6[[#This Row],[Ecart 2021 2022]]/Tableau6[[#This Row],[Cumul 2021]]</f>
        <v>#N/A</v>
      </c>
      <c r="M283" s="102" t="str">
        <f>IF(ISNA(Tableau6[[#This Row],[Position 2023]]),"",INDEX(tabSuiviConso[HP + HC
cumul],Tableau6[[#This Row],[Position 2023]],1))</f>
        <v/>
      </c>
      <c r="N283" s="123" t="e">
        <f>IF(ISNA(Tableau6[[#This Row],[Position 2023]]),Tableau6[[#This Row],[Position 2023]],Tableau6[[#This Row],[2023]]-M$2)</f>
        <v>#N/A</v>
      </c>
      <c r="O283" s="102" t="e">
        <f>Tableau6[[#This Row],[Cumul 2023]]-Tableau6[[#This Row],[Cumul 2022]]</f>
        <v>#N/A</v>
      </c>
      <c r="P283" s="104" t="e">
        <f>Tableau6[[#This Row],[Ecart 2022 2023]]/Tableau6[[#This Row],[Cumul 2022]]</f>
        <v>#N/A</v>
      </c>
      <c r="Q283" s="102" t="e">
        <f>MATCH(Tableau6[Jours Mois]&amp;"/"&amp;Tableau6[[#Headers],[2024]],tabSuiviConso[Jour Mois Année],0)</f>
        <v>#N/A</v>
      </c>
      <c r="R283" s="102" t="str">
        <f>IF(ISNA(Tableau6[[#This Row],[Position 2024]]),"",INDEX(tabSuiviConso[HP + HC
cumul],Tableau6[[#This Row],[Position 2024]],1))</f>
        <v/>
      </c>
      <c r="S283" s="123" t="e">
        <f>IF(ISNA(Tableau6[[#This Row],[Position 2024]]),Tableau6[[#This Row],[Position 2024]],Tableau6[[#This Row],[2024]]-R$2)</f>
        <v>#N/A</v>
      </c>
      <c r="T283" s="102" t="e">
        <f>Tableau6[[#This Row],[Cumul 2024]]-Tableau6[[#This Row],[Cumul 2023]]</f>
        <v>#N/A</v>
      </c>
      <c r="U283" s="103" t="e">
        <f>Tableau6[[#This Row],[Ecart 2023 2024]]/Tableau6[[#This Row],[Cumul 2023]]</f>
        <v>#N/A</v>
      </c>
    </row>
    <row r="284" spans="1:21" x14ac:dyDescent="0.2">
      <c r="A284" s="102">
        <v>10</v>
      </c>
      <c r="B284" s="102">
        <v>8</v>
      </c>
      <c r="C284" s="102" t="str">
        <f>Tableau6[Jour]&amp;"/"&amp;Tableau6[Mois]</f>
        <v>8/10</v>
      </c>
      <c r="D284" s="102" t="e">
        <f>MATCH(Tableau6[Jours Mois]&amp;"/"&amp;Tableau6[[#Headers],[2021]],tabSuiviConso[Jour Mois Année],0)</f>
        <v>#N/A</v>
      </c>
      <c r="E284" s="102" t="str">
        <f>IF(ISNA(Tableau6[[#This Row],[Position 2021]]),"",INDEX(tabSuiviConso[HP + HC
cumul],Tableau6[[#This Row],[Position 2021]],1))</f>
        <v/>
      </c>
      <c r="F284" s="123" t="e">
        <f>IF(ISNA(Tableau6[[#This Row],[Position 2021]]),Tableau6[[#This Row],[Position 2021]],Tableau6[[#This Row],[2021]]-E$2)</f>
        <v>#N/A</v>
      </c>
      <c r="G284" s="102" t="e">
        <f>MATCH(Tableau6[Jours Mois]&amp;"/"&amp;Tableau6[[#Headers],[2022]],tabSuiviConso[Jour Mois Année],0)</f>
        <v>#N/A</v>
      </c>
      <c r="H284" s="102" t="str">
        <f>IF(ISNA(Tableau6[[#This Row],[Position 2022]]),"",INDEX(tabSuiviConso[HP + HC
cumul],Tableau6[[#This Row],[Position 2022]],1))</f>
        <v/>
      </c>
      <c r="I284" s="123" t="e">
        <f>IF(ISNA(Tableau6[[#This Row],[Position 2022]]),Tableau6[[#This Row],[Position 2022]],Tableau6[[#This Row],[2022]]-H$2)</f>
        <v>#N/A</v>
      </c>
      <c r="J284" s="102" t="e">
        <f>MATCH(Tableau6[Jours Mois]&amp;"/"&amp;Tableau6[[#Headers],[2023]],tabSuiviConso[Jour Mois Année],0)</f>
        <v>#N/A</v>
      </c>
      <c r="K284" s="102" t="e">
        <f>Tableau6[[#This Row],[Cumul 2022]]-Tableau6[[#This Row],[Cumul 2021]]</f>
        <v>#N/A</v>
      </c>
      <c r="L284" s="104" t="e">
        <f>Tableau6[[#This Row],[Ecart 2021 2022]]/Tableau6[[#This Row],[Cumul 2021]]</f>
        <v>#N/A</v>
      </c>
      <c r="M284" s="102" t="str">
        <f>IF(ISNA(Tableau6[[#This Row],[Position 2023]]),"",INDEX(tabSuiviConso[HP + HC
cumul],Tableau6[[#This Row],[Position 2023]],1))</f>
        <v/>
      </c>
      <c r="N284" s="123" t="e">
        <f>IF(ISNA(Tableau6[[#This Row],[Position 2023]]),Tableau6[[#This Row],[Position 2023]],Tableau6[[#This Row],[2023]]-M$2)</f>
        <v>#N/A</v>
      </c>
      <c r="O284" s="102" t="e">
        <f>Tableau6[[#This Row],[Cumul 2023]]-Tableau6[[#This Row],[Cumul 2022]]</f>
        <v>#N/A</v>
      </c>
      <c r="P284" s="104" t="e">
        <f>Tableau6[[#This Row],[Ecart 2022 2023]]/Tableau6[[#This Row],[Cumul 2022]]</f>
        <v>#N/A</v>
      </c>
      <c r="Q284" s="102" t="e">
        <f>MATCH(Tableau6[Jours Mois]&amp;"/"&amp;Tableau6[[#Headers],[2024]],tabSuiviConso[Jour Mois Année],0)</f>
        <v>#N/A</v>
      </c>
      <c r="R284" s="102" t="str">
        <f>IF(ISNA(Tableau6[[#This Row],[Position 2024]]),"",INDEX(tabSuiviConso[HP + HC
cumul],Tableau6[[#This Row],[Position 2024]],1))</f>
        <v/>
      </c>
      <c r="S284" s="123" t="e">
        <f>IF(ISNA(Tableau6[[#This Row],[Position 2024]]),Tableau6[[#This Row],[Position 2024]],Tableau6[[#This Row],[2024]]-R$2)</f>
        <v>#N/A</v>
      </c>
      <c r="T284" s="102" t="e">
        <f>Tableau6[[#This Row],[Cumul 2024]]-Tableau6[[#This Row],[Cumul 2023]]</f>
        <v>#N/A</v>
      </c>
      <c r="U284" s="103" t="e">
        <f>Tableau6[[#This Row],[Ecart 2023 2024]]/Tableau6[[#This Row],[Cumul 2023]]</f>
        <v>#N/A</v>
      </c>
    </row>
    <row r="285" spans="1:21" x14ac:dyDescent="0.2">
      <c r="A285" s="102">
        <v>10</v>
      </c>
      <c r="B285" s="102">
        <v>9</v>
      </c>
      <c r="C285" s="102" t="str">
        <f>Tableau6[Jour]&amp;"/"&amp;Tableau6[Mois]</f>
        <v>9/10</v>
      </c>
      <c r="D285" s="102" t="e">
        <f>MATCH(Tableau6[Jours Mois]&amp;"/"&amp;Tableau6[[#Headers],[2021]],tabSuiviConso[Jour Mois Année],0)</f>
        <v>#N/A</v>
      </c>
      <c r="E285" s="102" t="str">
        <f>IF(ISNA(Tableau6[[#This Row],[Position 2021]]),"",INDEX(tabSuiviConso[HP + HC
cumul],Tableau6[[#This Row],[Position 2021]],1))</f>
        <v/>
      </c>
      <c r="F285" s="123" t="e">
        <f>IF(ISNA(Tableau6[[#This Row],[Position 2021]]),Tableau6[[#This Row],[Position 2021]],Tableau6[[#This Row],[2021]]-E$2)</f>
        <v>#N/A</v>
      </c>
      <c r="G285" s="102" t="e">
        <f>MATCH(Tableau6[Jours Mois]&amp;"/"&amp;Tableau6[[#Headers],[2022]],tabSuiviConso[Jour Mois Année],0)</f>
        <v>#N/A</v>
      </c>
      <c r="H285" s="102" t="str">
        <f>IF(ISNA(Tableau6[[#This Row],[Position 2022]]),"",INDEX(tabSuiviConso[HP + HC
cumul],Tableau6[[#This Row],[Position 2022]],1))</f>
        <v/>
      </c>
      <c r="I285" s="123" t="e">
        <f>IF(ISNA(Tableau6[[#This Row],[Position 2022]]),Tableau6[[#This Row],[Position 2022]],Tableau6[[#This Row],[2022]]-H$2)</f>
        <v>#N/A</v>
      </c>
      <c r="J285" s="102" t="e">
        <f>MATCH(Tableau6[Jours Mois]&amp;"/"&amp;Tableau6[[#Headers],[2023]],tabSuiviConso[Jour Mois Année],0)</f>
        <v>#N/A</v>
      </c>
      <c r="K285" s="102" t="e">
        <f>Tableau6[[#This Row],[Cumul 2022]]-Tableau6[[#This Row],[Cumul 2021]]</f>
        <v>#N/A</v>
      </c>
      <c r="L285" s="104" t="e">
        <f>Tableau6[[#This Row],[Ecart 2021 2022]]/Tableau6[[#This Row],[Cumul 2021]]</f>
        <v>#N/A</v>
      </c>
      <c r="M285" s="102" t="str">
        <f>IF(ISNA(Tableau6[[#This Row],[Position 2023]]),"",INDEX(tabSuiviConso[HP + HC
cumul],Tableau6[[#This Row],[Position 2023]],1))</f>
        <v/>
      </c>
      <c r="N285" s="123" t="e">
        <f>IF(ISNA(Tableau6[[#This Row],[Position 2023]]),Tableau6[[#This Row],[Position 2023]],Tableau6[[#This Row],[2023]]-M$2)</f>
        <v>#N/A</v>
      </c>
      <c r="O285" s="102" t="e">
        <f>Tableau6[[#This Row],[Cumul 2023]]-Tableau6[[#This Row],[Cumul 2022]]</f>
        <v>#N/A</v>
      </c>
      <c r="P285" s="104" t="e">
        <f>Tableau6[[#This Row],[Ecart 2022 2023]]/Tableau6[[#This Row],[Cumul 2022]]</f>
        <v>#N/A</v>
      </c>
      <c r="Q285" s="102" t="e">
        <f>MATCH(Tableau6[Jours Mois]&amp;"/"&amp;Tableau6[[#Headers],[2024]],tabSuiviConso[Jour Mois Année],0)</f>
        <v>#N/A</v>
      </c>
      <c r="R285" s="102" t="str">
        <f>IF(ISNA(Tableau6[[#This Row],[Position 2024]]),"",INDEX(tabSuiviConso[HP + HC
cumul],Tableau6[[#This Row],[Position 2024]],1))</f>
        <v/>
      </c>
      <c r="S285" s="123" t="e">
        <f>IF(ISNA(Tableau6[[#This Row],[Position 2024]]),Tableau6[[#This Row],[Position 2024]],Tableau6[[#This Row],[2024]]-R$2)</f>
        <v>#N/A</v>
      </c>
      <c r="T285" s="102" t="e">
        <f>Tableau6[[#This Row],[Cumul 2024]]-Tableau6[[#This Row],[Cumul 2023]]</f>
        <v>#N/A</v>
      </c>
      <c r="U285" s="103" t="e">
        <f>Tableau6[[#This Row],[Ecart 2023 2024]]/Tableau6[[#This Row],[Cumul 2023]]</f>
        <v>#N/A</v>
      </c>
    </row>
    <row r="286" spans="1:21" x14ac:dyDescent="0.2">
      <c r="A286" s="102">
        <v>10</v>
      </c>
      <c r="B286" s="102">
        <v>10</v>
      </c>
      <c r="C286" s="102" t="str">
        <f>Tableau6[Jour]&amp;"/"&amp;Tableau6[Mois]</f>
        <v>10/10</v>
      </c>
      <c r="D286" s="102" t="e">
        <f>MATCH(Tableau6[Jours Mois]&amp;"/"&amp;Tableau6[[#Headers],[2021]],tabSuiviConso[Jour Mois Année],0)</f>
        <v>#N/A</v>
      </c>
      <c r="E286" s="102" t="str">
        <f>IF(ISNA(Tableau6[[#This Row],[Position 2021]]),"",INDEX(tabSuiviConso[HP + HC
cumul],Tableau6[[#This Row],[Position 2021]],1))</f>
        <v/>
      </c>
      <c r="F286" s="123" t="e">
        <f>IF(ISNA(Tableau6[[#This Row],[Position 2021]]),Tableau6[[#This Row],[Position 2021]],Tableau6[[#This Row],[2021]]-E$2)</f>
        <v>#N/A</v>
      </c>
      <c r="G286" s="102" t="e">
        <f>MATCH(Tableau6[Jours Mois]&amp;"/"&amp;Tableau6[[#Headers],[2022]],tabSuiviConso[Jour Mois Année],0)</f>
        <v>#N/A</v>
      </c>
      <c r="H286" s="102" t="str">
        <f>IF(ISNA(Tableau6[[#This Row],[Position 2022]]),"",INDEX(tabSuiviConso[HP + HC
cumul],Tableau6[[#This Row],[Position 2022]],1))</f>
        <v/>
      </c>
      <c r="I286" s="123" t="e">
        <f>IF(ISNA(Tableau6[[#This Row],[Position 2022]]),Tableau6[[#This Row],[Position 2022]],Tableau6[[#This Row],[2022]]-H$2)</f>
        <v>#N/A</v>
      </c>
      <c r="J286" s="102" t="e">
        <f>MATCH(Tableau6[Jours Mois]&amp;"/"&amp;Tableau6[[#Headers],[2023]],tabSuiviConso[Jour Mois Année],0)</f>
        <v>#N/A</v>
      </c>
      <c r="K286" s="102" t="e">
        <f>Tableau6[[#This Row],[Cumul 2022]]-Tableau6[[#This Row],[Cumul 2021]]</f>
        <v>#N/A</v>
      </c>
      <c r="L286" s="104" t="e">
        <f>Tableau6[[#This Row],[Ecart 2021 2022]]/Tableau6[[#This Row],[Cumul 2021]]</f>
        <v>#N/A</v>
      </c>
      <c r="M286" s="102" t="str">
        <f>IF(ISNA(Tableau6[[#This Row],[Position 2023]]),"",INDEX(tabSuiviConso[HP + HC
cumul],Tableau6[[#This Row],[Position 2023]],1))</f>
        <v/>
      </c>
      <c r="N286" s="123" t="e">
        <f>IF(ISNA(Tableau6[[#This Row],[Position 2023]]),Tableau6[[#This Row],[Position 2023]],Tableau6[[#This Row],[2023]]-M$2)</f>
        <v>#N/A</v>
      </c>
      <c r="O286" s="102" t="e">
        <f>Tableau6[[#This Row],[Cumul 2023]]-Tableau6[[#This Row],[Cumul 2022]]</f>
        <v>#N/A</v>
      </c>
      <c r="P286" s="104" t="e">
        <f>Tableau6[[#This Row],[Ecart 2022 2023]]/Tableau6[[#This Row],[Cumul 2022]]</f>
        <v>#N/A</v>
      </c>
      <c r="Q286" s="102" t="e">
        <f>MATCH(Tableau6[Jours Mois]&amp;"/"&amp;Tableau6[[#Headers],[2024]],tabSuiviConso[Jour Mois Année],0)</f>
        <v>#N/A</v>
      </c>
      <c r="R286" s="102" t="str">
        <f>IF(ISNA(Tableau6[[#This Row],[Position 2024]]),"",INDEX(tabSuiviConso[HP + HC
cumul],Tableau6[[#This Row],[Position 2024]],1))</f>
        <v/>
      </c>
      <c r="S286" s="123" t="e">
        <f>IF(ISNA(Tableau6[[#This Row],[Position 2024]]),Tableau6[[#This Row],[Position 2024]],Tableau6[[#This Row],[2024]]-R$2)</f>
        <v>#N/A</v>
      </c>
      <c r="T286" s="102" t="e">
        <f>Tableau6[[#This Row],[Cumul 2024]]-Tableau6[[#This Row],[Cumul 2023]]</f>
        <v>#N/A</v>
      </c>
      <c r="U286" s="103" t="e">
        <f>Tableau6[[#This Row],[Ecart 2023 2024]]/Tableau6[[#This Row],[Cumul 2023]]</f>
        <v>#N/A</v>
      </c>
    </row>
    <row r="287" spans="1:21" x14ac:dyDescent="0.2">
      <c r="A287" s="102">
        <v>10</v>
      </c>
      <c r="B287" s="102">
        <v>11</v>
      </c>
      <c r="C287" s="102" t="str">
        <f>Tableau6[Jour]&amp;"/"&amp;Tableau6[Mois]</f>
        <v>11/10</v>
      </c>
      <c r="D287" s="102" t="e">
        <f>MATCH(Tableau6[Jours Mois]&amp;"/"&amp;Tableau6[[#Headers],[2021]],tabSuiviConso[Jour Mois Année],0)</f>
        <v>#N/A</v>
      </c>
      <c r="E287" s="102" t="str">
        <f>IF(ISNA(Tableau6[[#This Row],[Position 2021]]),"",INDEX(tabSuiviConso[HP + HC
cumul],Tableau6[[#This Row],[Position 2021]],1))</f>
        <v/>
      </c>
      <c r="F287" s="123" t="e">
        <f>IF(ISNA(Tableau6[[#This Row],[Position 2021]]),Tableau6[[#This Row],[Position 2021]],Tableau6[[#This Row],[2021]]-E$2)</f>
        <v>#N/A</v>
      </c>
      <c r="G287" s="102" t="e">
        <f>MATCH(Tableau6[Jours Mois]&amp;"/"&amp;Tableau6[[#Headers],[2022]],tabSuiviConso[Jour Mois Année],0)</f>
        <v>#N/A</v>
      </c>
      <c r="H287" s="102" t="str">
        <f>IF(ISNA(Tableau6[[#This Row],[Position 2022]]),"",INDEX(tabSuiviConso[HP + HC
cumul],Tableau6[[#This Row],[Position 2022]],1))</f>
        <v/>
      </c>
      <c r="I287" s="123" t="e">
        <f>IF(ISNA(Tableau6[[#This Row],[Position 2022]]),Tableau6[[#This Row],[Position 2022]],Tableau6[[#This Row],[2022]]-H$2)</f>
        <v>#N/A</v>
      </c>
      <c r="J287" s="102" t="e">
        <f>MATCH(Tableau6[Jours Mois]&amp;"/"&amp;Tableau6[[#Headers],[2023]],tabSuiviConso[Jour Mois Année],0)</f>
        <v>#N/A</v>
      </c>
      <c r="K287" s="102" t="e">
        <f>Tableau6[[#This Row],[Cumul 2022]]-Tableau6[[#This Row],[Cumul 2021]]</f>
        <v>#N/A</v>
      </c>
      <c r="L287" s="104" t="e">
        <f>Tableau6[[#This Row],[Ecart 2021 2022]]/Tableau6[[#This Row],[Cumul 2021]]</f>
        <v>#N/A</v>
      </c>
      <c r="M287" s="102" t="str">
        <f>IF(ISNA(Tableau6[[#This Row],[Position 2023]]),"",INDEX(tabSuiviConso[HP + HC
cumul],Tableau6[[#This Row],[Position 2023]],1))</f>
        <v/>
      </c>
      <c r="N287" s="123" t="e">
        <f>IF(ISNA(Tableau6[[#This Row],[Position 2023]]),Tableau6[[#This Row],[Position 2023]],Tableau6[[#This Row],[2023]]-M$2)</f>
        <v>#N/A</v>
      </c>
      <c r="O287" s="102" t="e">
        <f>Tableau6[[#This Row],[Cumul 2023]]-Tableau6[[#This Row],[Cumul 2022]]</f>
        <v>#N/A</v>
      </c>
      <c r="P287" s="104" t="e">
        <f>Tableau6[[#This Row],[Ecart 2022 2023]]/Tableau6[[#This Row],[Cumul 2022]]</f>
        <v>#N/A</v>
      </c>
      <c r="Q287" s="102" t="e">
        <f>MATCH(Tableau6[Jours Mois]&amp;"/"&amp;Tableau6[[#Headers],[2024]],tabSuiviConso[Jour Mois Année],0)</f>
        <v>#N/A</v>
      </c>
      <c r="R287" s="102" t="str">
        <f>IF(ISNA(Tableau6[[#This Row],[Position 2024]]),"",INDEX(tabSuiviConso[HP + HC
cumul],Tableau6[[#This Row],[Position 2024]],1))</f>
        <v/>
      </c>
      <c r="S287" s="123" t="e">
        <f>IF(ISNA(Tableau6[[#This Row],[Position 2024]]),Tableau6[[#This Row],[Position 2024]],Tableau6[[#This Row],[2024]]-R$2)</f>
        <v>#N/A</v>
      </c>
      <c r="T287" s="102" t="e">
        <f>Tableau6[[#This Row],[Cumul 2024]]-Tableau6[[#This Row],[Cumul 2023]]</f>
        <v>#N/A</v>
      </c>
      <c r="U287" s="103" t="e">
        <f>Tableau6[[#This Row],[Ecart 2023 2024]]/Tableau6[[#This Row],[Cumul 2023]]</f>
        <v>#N/A</v>
      </c>
    </row>
    <row r="288" spans="1:21" x14ac:dyDescent="0.2">
      <c r="A288" s="102">
        <v>10</v>
      </c>
      <c r="B288" s="102">
        <v>12</v>
      </c>
      <c r="C288" s="102" t="str">
        <f>Tableau6[Jour]&amp;"/"&amp;Tableau6[Mois]</f>
        <v>12/10</v>
      </c>
      <c r="D288" s="102" t="e">
        <f>MATCH(Tableau6[Jours Mois]&amp;"/"&amp;Tableau6[[#Headers],[2021]],tabSuiviConso[Jour Mois Année],0)</f>
        <v>#N/A</v>
      </c>
      <c r="E288" s="102" t="str">
        <f>IF(ISNA(Tableau6[[#This Row],[Position 2021]]),"",INDEX(tabSuiviConso[HP + HC
cumul],Tableau6[[#This Row],[Position 2021]],1))</f>
        <v/>
      </c>
      <c r="F288" s="123" t="e">
        <f>IF(ISNA(Tableau6[[#This Row],[Position 2021]]),Tableau6[[#This Row],[Position 2021]],Tableau6[[#This Row],[2021]]-E$2)</f>
        <v>#N/A</v>
      </c>
      <c r="G288" s="102" t="e">
        <f>MATCH(Tableau6[Jours Mois]&amp;"/"&amp;Tableau6[[#Headers],[2022]],tabSuiviConso[Jour Mois Année],0)</f>
        <v>#N/A</v>
      </c>
      <c r="H288" s="102" t="str">
        <f>IF(ISNA(Tableau6[[#This Row],[Position 2022]]),"",INDEX(tabSuiviConso[HP + HC
cumul],Tableau6[[#This Row],[Position 2022]],1))</f>
        <v/>
      </c>
      <c r="I288" s="123" t="e">
        <f>IF(ISNA(Tableau6[[#This Row],[Position 2022]]),Tableau6[[#This Row],[Position 2022]],Tableau6[[#This Row],[2022]]-H$2)</f>
        <v>#N/A</v>
      </c>
      <c r="J288" s="102" t="e">
        <f>MATCH(Tableau6[Jours Mois]&amp;"/"&amp;Tableau6[[#Headers],[2023]],tabSuiviConso[Jour Mois Année],0)</f>
        <v>#N/A</v>
      </c>
      <c r="K288" s="102" t="e">
        <f>Tableau6[[#This Row],[Cumul 2022]]-Tableau6[[#This Row],[Cumul 2021]]</f>
        <v>#N/A</v>
      </c>
      <c r="L288" s="104" t="e">
        <f>Tableau6[[#This Row],[Ecart 2021 2022]]/Tableau6[[#This Row],[Cumul 2021]]</f>
        <v>#N/A</v>
      </c>
      <c r="M288" s="102" t="str">
        <f>IF(ISNA(Tableau6[[#This Row],[Position 2023]]),"",INDEX(tabSuiviConso[HP + HC
cumul],Tableau6[[#This Row],[Position 2023]],1))</f>
        <v/>
      </c>
      <c r="N288" s="123" t="e">
        <f>IF(ISNA(Tableau6[[#This Row],[Position 2023]]),Tableau6[[#This Row],[Position 2023]],Tableau6[[#This Row],[2023]]-M$2)</f>
        <v>#N/A</v>
      </c>
      <c r="O288" s="102" t="e">
        <f>Tableau6[[#This Row],[Cumul 2023]]-Tableau6[[#This Row],[Cumul 2022]]</f>
        <v>#N/A</v>
      </c>
      <c r="P288" s="104" t="e">
        <f>Tableau6[[#This Row],[Ecart 2022 2023]]/Tableau6[[#This Row],[Cumul 2022]]</f>
        <v>#N/A</v>
      </c>
      <c r="Q288" s="102" t="e">
        <f>MATCH(Tableau6[Jours Mois]&amp;"/"&amp;Tableau6[[#Headers],[2024]],tabSuiviConso[Jour Mois Année],0)</f>
        <v>#N/A</v>
      </c>
      <c r="R288" s="102" t="str">
        <f>IF(ISNA(Tableau6[[#This Row],[Position 2024]]),"",INDEX(tabSuiviConso[HP + HC
cumul],Tableau6[[#This Row],[Position 2024]],1))</f>
        <v/>
      </c>
      <c r="S288" s="123" t="e">
        <f>IF(ISNA(Tableau6[[#This Row],[Position 2024]]),Tableau6[[#This Row],[Position 2024]],Tableau6[[#This Row],[2024]]-R$2)</f>
        <v>#N/A</v>
      </c>
      <c r="T288" s="102" t="e">
        <f>Tableau6[[#This Row],[Cumul 2024]]-Tableau6[[#This Row],[Cumul 2023]]</f>
        <v>#N/A</v>
      </c>
      <c r="U288" s="103" t="e">
        <f>Tableau6[[#This Row],[Ecart 2023 2024]]/Tableau6[[#This Row],[Cumul 2023]]</f>
        <v>#N/A</v>
      </c>
    </row>
    <row r="289" spans="1:21" x14ac:dyDescent="0.2">
      <c r="A289" s="102">
        <v>10</v>
      </c>
      <c r="B289" s="102">
        <v>13</v>
      </c>
      <c r="C289" s="102" t="str">
        <f>Tableau6[Jour]&amp;"/"&amp;Tableau6[Mois]</f>
        <v>13/10</v>
      </c>
      <c r="D289" s="102" t="e">
        <f>MATCH(Tableau6[Jours Mois]&amp;"/"&amp;Tableau6[[#Headers],[2021]],tabSuiviConso[Jour Mois Année],0)</f>
        <v>#N/A</v>
      </c>
      <c r="E289" s="102" t="str">
        <f>IF(ISNA(Tableau6[[#This Row],[Position 2021]]),"",INDEX(tabSuiviConso[HP + HC
cumul],Tableau6[[#This Row],[Position 2021]],1))</f>
        <v/>
      </c>
      <c r="F289" s="123" t="e">
        <f>IF(ISNA(Tableau6[[#This Row],[Position 2021]]),Tableau6[[#This Row],[Position 2021]],Tableau6[[#This Row],[2021]]-E$2)</f>
        <v>#N/A</v>
      </c>
      <c r="G289" s="102" t="e">
        <f>MATCH(Tableau6[Jours Mois]&amp;"/"&amp;Tableau6[[#Headers],[2022]],tabSuiviConso[Jour Mois Année],0)</f>
        <v>#N/A</v>
      </c>
      <c r="H289" s="102" t="str">
        <f>IF(ISNA(Tableau6[[#This Row],[Position 2022]]),"",INDEX(tabSuiviConso[HP + HC
cumul],Tableau6[[#This Row],[Position 2022]],1))</f>
        <v/>
      </c>
      <c r="I289" s="123" t="e">
        <f>IF(ISNA(Tableau6[[#This Row],[Position 2022]]),Tableau6[[#This Row],[Position 2022]],Tableau6[[#This Row],[2022]]-H$2)</f>
        <v>#N/A</v>
      </c>
      <c r="J289" s="102" t="e">
        <f>MATCH(Tableau6[Jours Mois]&amp;"/"&amp;Tableau6[[#Headers],[2023]],tabSuiviConso[Jour Mois Année],0)</f>
        <v>#N/A</v>
      </c>
      <c r="K289" s="102" t="e">
        <f>Tableau6[[#This Row],[Cumul 2022]]-Tableau6[[#This Row],[Cumul 2021]]</f>
        <v>#N/A</v>
      </c>
      <c r="L289" s="104" t="e">
        <f>Tableau6[[#This Row],[Ecart 2021 2022]]/Tableau6[[#This Row],[Cumul 2021]]</f>
        <v>#N/A</v>
      </c>
      <c r="M289" s="102" t="str">
        <f>IF(ISNA(Tableau6[[#This Row],[Position 2023]]),"",INDEX(tabSuiviConso[HP + HC
cumul],Tableau6[[#This Row],[Position 2023]],1))</f>
        <v/>
      </c>
      <c r="N289" s="123" t="e">
        <f>IF(ISNA(Tableau6[[#This Row],[Position 2023]]),Tableau6[[#This Row],[Position 2023]],Tableau6[[#This Row],[2023]]-M$2)</f>
        <v>#N/A</v>
      </c>
      <c r="O289" s="102" t="e">
        <f>Tableau6[[#This Row],[Cumul 2023]]-Tableau6[[#This Row],[Cumul 2022]]</f>
        <v>#N/A</v>
      </c>
      <c r="P289" s="104" t="e">
        <f>Tableau6[[#This Row],[Ecart 2022 2023]]/Tableau6[[#This Row],[Cumul 2022]]</f>
        <v>#N/A</v>
      </c>
      <c r="Q289" s="102" t="e">
        <f>MATCH(Tableau6[Jours Mois]&amp;"/"&amp;Tableau6[[#Headers],[2024]],tabSuiviConso[Jour Mois Année],0)</f>
        <v>#N/A</v>
      </c>
      <c r="R289" s="102" t="str">
        <f>IF(ISNA(Tableau6[[#This Row],[Position 2024]]),"",INDEX(tabSuiviConso[HP + HC
cumul],Tableau6[[#This Row],[Position 2024]],1))</f>
        <v/>
      </c>
      <c r="S289" s="123" t="e">
        <f>IF(ISNA(Tableau6[[#This Row],[Position 2024]]),Tableau6[[#This Row],[Position 2024]],Tableau6[[#This Row],[2024]]-R$2)</f>
        <v>#N/A</v>
      </c>
      <c r="T289" s="102" t="e">
        <f>Tableau6[[#This Row],[Cumul 2024]]-Tableau6[[#This Row],[Cumul 2023]]</f>
        <v>#N/A</v>
      </c>
      <c r="U289" s="103" t="e">
        <f>Tableau6[[#This Row],[Ecart 2023 2024]]/Tableau6[[#This Row],[Cumul 2023]]</f>
        <v>#N/A</v>
      </c>
    </row>
    <row r="290" spans="1:21" x14ac:dyDescent="0.2">
      <c r="A290" s="102">
        <v>10</v>
      </c>
      <c r="B290" s="102">
        <v>14</v>
      </c>
      <c r="C290" s="102" t="str">
        <f>Tableau6[Jour]&amp;"/"&amp;Tableau6[Mois]</f>
        <v>14/10</v>
      </c>
      <c r="D290" s="102" t="e">
        <f>MATCH(Tableau6[Jours Mois]&amp;"/"&amp;Tableau6[[#Headers],[2021]],tabSuiviConso[Jour Mois Année],0)</f>
        <v>#N/A</v>
      </c>
      <c r="E290" s="102" t="str">
        <f>IF(ISNA(Tableau6[[#This Row],[Position 2021]]),"",INDEX(tabSuiviConso[HP + HC
cumul],Tableau6[[#This Row],[Position 2021]],1))</f>
        <v/>
      </c>
      <c r="F290" s="123" t="e">
        <f>IF(ISNA(Tableau6[[#This Row],[Position 2021]]),Tableau6[[#This Row],[Position 2021]],Tableau6[[#This Row],[2021]]-E$2)</f>
        <v>#N/A</v>
      </c>
      <c r="G290" s="102" t="e">
        <f>MATCH(Tableau6[Jours Mois]&amp;"/"&amp;Tableau6[[#Headers],[2022]],tabSuiviConso[Jour Mois Année],0)</f>
        <v>#N/A</v>
      </c>
      <c r="H290" s="102" t="str">
        <f>IF(ISNA(Tableau6[[#This Row],[Position 2022]]),"",INDEX(tabSuiviConso[HP + HC
cumul],Tableau6[[#This Row],[Position 2022]],1))</f>
        <v/>
      </c>
      <c r="I290" s="123" t="e">
        <f>IF(ISNA(Tableau6[[#This Row],[Position 2022]]),Tableau6[[#This Row],[Position 2022]],Tableau6[[#This Row],[2022]]-H$2)</f>
        <v>#N/A</v>
      </c>
      <c r="J290" s="102" t="e">
        <f>MATCH(Tableau6[Jours Mois]&amp;"/"&amp;Tableau6[[#Headers],[2023]],tabSuiviConso[Jour Mois Année],0)</f>
        <v>#N/A</v>
      </c>
      <c r="K290" s="102" t="e">
        <f>Tableau6[[#This Row],[Cumul 2022]]-Tableau6[[#This Row],[Cumul 2021]]</f>
        <v>#N/A</v>
      </c>
      <c r="L290" s="104" t="e">
        <f>Tableau6[[#This Row],[Ecart 2021 2022]]/Tableau6[[#This Row],[Cumul 2021]]</f>
        <v>#N/A</v>
      </c>
      <c r="M290" s="102" t="str">
        <f>IF(ISNA(Tableau6[[#This Row],[Position 2023]]),"",INDEX(tabSuiviConso[HP + HC
cumul],Tableau6[[#This Row],[Position 2023]],1))</f>
        <v/>
      </c>
      <c r="N290" s="123" t="e">
        <f>IF(ISNA(Tableau6[[#This Row],[Position 2023]]),Tableau6[[#This Row],[Position 2023]],Tableau6[[#This Row],[2023]]-M$2)</f>
        <v>#N/A</v>
      </c>
      <c r="O290" s="102" t="e">
        <f>Tableau6[[#This Row],[Cumul 2023]]-Tableau6[[#This Row],[Cumul 2022]]</f>
        <v>#N/A</v>
      </c>
      <c r="P290" s="104" t="e">
        <f>Tableau6[[#This Row],[Ecart 2022 2023]]/Tableau6[[#This Row],[Cumul 2022]]</f>
        <v>#N/A</v>
      </c>
      <c r="Q290" s="102" t="e">
        <f>MATCH(Tableau6[Jours Mois]&amp;"/"&amp;Tableau6[[#Headers],[2024]],tabSuiviConso[Jour Mois Année],0)</f>
        <v>#N/A</v>
      </c>
      <c r="R290" s="102" t="str">
        <f>IF(ISNA(Tableau6[[#This Row],[Position 2024]]),"",INDEX(tabSuiviConso[HP + HC
cumul],Tableau6[[#This Row],[Position 2024]],1))</f>
        <v/>
      </c>
      <c r="S290" s="123" t="e">
        <f>IF(ISNA(Tableau6[[#This Row],[Position 2024]]),Tableau6[[#This Row],[Position 2024]],Tableau6[[#This Row],[2024]]-R$2)</f>
        <v>#N/A</v>
      </c>
      <c r="T290" s="102" t="e">
        <f>Tableau6[[#This Row],[Cumul 2024]]-Tableau6[[#This Row],[Cumul 2023]]</f>
        <v>#N/A</v>
      </c>
      <c r="U290" s="103" t="e">
        <f>Tableau6[[#This Row],[Ecart 2023 2024]]/Tableau6[[#This Row],[Cumul 2023]]</f>
        <v>#N/A</v>
      </c>
    </row>
    <row r="291" spans="1:21" x14ac:dyDescent="0.2">
      <c r="A291" s="102">
        <v>10</v>
      </c>
      <c r="B291" s="102">
        <v>15</v>
      </c>
      <c r="C291" s="102" t="str">
        <f>Tableau6[Jour]&amp;"/"&amp;Tableau6[Mois]</f>
        <v>15/10</v>
      </c>
      <c r="D291" s="102" t="e">
        <f>MATCH(Tableau6[Jours Mois]&amp;"/"&amp;Tableau6[[#Headers],[2021]],tabSuiviConso[Jour Mois Année],0)</f>
        <v>#N/A</v>
      </c>
      <c r="E291" s="102" t="str">
        <f>IF(ISNA(Tableau6[[#This Row],[Position 2021]]),"",INDEX(tabSuiviConso[HP + HC
cumul],Tableau6[[#This Row],[Position 2021]],1))</f>
        <v/>
      </c>
      <c r="F291" s="123" t="e">
        <f>IF(ISNA(Tableau6[[#This Row],[Position 2021]]),Tableau6[[#This Row],[Position 2021]],Tableau6[[#This Row],[2021]]-E$2)</f>
        <v>#N/A</v>
      </c>
      <c r="G291" s="102" t="e">
        <f>MATCH(Tableau6[Jours Mois]&amp;"/"&amp;Tableau6[[#Headers],[2022]],tabSuiviConso[Jour Mois Année],0)</f>
        <v>#N/A</v>
      </c>
      <c r="H291" s="102" t="str">
        <f>IF(ISNA(Tableau6[[#This Row],[Position 2022]]),"",INDEX(tabSuiviConso[HP + HC
cumul],Tableau6[[#This Row],[Position 2022]],1))</f>
        <v/>
      </c>
      <c r="I291" s="123" t="e">
        <f>IF(ISNA(Tableau6[[#This Row],[Position 2022]]),Tableau6[[#This Row],[Position 2022]],Tableau6[[#This Row],[2022]]-H$2)</f>
        <v>#N/A</v>
      </c>
      <c r="J291" s="102" t="e">
        <f>MATCH(Tableau6[Jours Mois]&amp;"/"&amp;Tableau6[[#Headers],[2023]],tabSuiviConso[Jour Mois Année],0)</f>
        <v>#N/A</v>
      </c>
      <c r="K291" s="102" t="e">
        <f>Tableau6[[#This Row],[Cumul 2022]]-Tableau6[[#This Row],[Cumul 2021]]</f>
        <v>#N/A</v>
      </c>
      <c r="L291" s="104" t="e">
        <f>Tableau6[[#This Row],[Ecart 2021 2022]]/Tableau6[[#This Row],[Cumul 2021]]</f>
        <v>#N/A</v>
      </c>
      <c r="M291" s="102" t="str">
        <f>IF(ISNA(Tableau6[[#This Row],[Position 2023]]),"",INDEX(tabSuiviConso[HP + HC
cumul],Tableau6[[#This Row],[Position 2023]],1))</f>
        <v/>
      </c>
      <c r="N291" s="123" t="e">
        <f>IF(ISNA(Tableau6[[#This Row],[Position 2023]]),Tableau6[[#This Row],[Position 2023]],Tableau6[[#This Row],[2023]]-M$2)</f>
        <v>#N/A</v>
      </c>
      <c r="O291" s="102" t="e">
        <f>Tableau6[[#This Row],[Cumul 2023]]-Tableau6[[#This Row],[Cumul 2022]]</f>
        <v>#N/A</v>
      </c>
      <c r="P291" s="104" t="e">
        <f>Tableau6[[#This Row],[Ecart 2022 2023]]/Tableau6[[#This Row],[Cumul 2022]]</f>
        <v>#N/A</v>
      </c>
      <c r="Q291" s="102" t="e">
        <f>MATCH(Tableau6[Jours Mois]&amp;"/"&amp;Tableau6[[#Headers],[2024]],tabSuiviConso[Jour Mois Année],0)</f>
        <v>#N/A</v>
      </c>
      <c r="R291" s="102" t="str">
        <f>IF(ISNA(Tableau6[[#This Row],[Position 2024]]),"",INDEX(tabSuiviConso[HP + HC
cumul],Tableau6[[#This Row],[Position 2024]],1))</f>
        <v/>
      </c>
      <c r="S291" s="123" t="e">
        <f>IF(ISNA(Tableau6[[#This Row],[Position 2024]]),Tableau6[[#This Row],[Position 2024]],Tableau6[[#This Row],[2024]]-R$2)</f>
        <v>#N/A</v>
      </c>
      <c r="T291" s="102" t="e">
        <f>Tableau6[[#This Row],[Cumul 2024]]-Tableau6[[#This Row],[Cumul 2023]]</f>
        <v>#N/A</v>
      </c>
      <c r="U291" s="103" t="e">
        <f>Tableau6[[#This Row],[Ecart 2023 2024]]/Tableau6[[#This Row],[Cumul 2023]]</f>
        <v>#N/A</v>
      </c>
    </row>
    <row r="292" spans="1:21" x14ac:dyDescent="0.2">
      <c r="A292" s="102">
        <v>10</v>
      </c>
      <c r="B292" s="102">
        <v>16</v>
      </c>
      <c r="C292" s="102" t="str">
        <f>Tableau6[Jour]&amp;"/"&amp;Tableau6[Mois]</f>
        <v>16/10</v>
      </c>
      <c r="D292" s="102" t="e">
        <f>MATCH(Tableau6[Jours Mois]&amp;"/"&amp;Tableau6[[#Headers],[2021]],tabSuiviConso[Jour Mois Année],0)</f>
        <v>#N/A</v>
      </c>
      <c r="E292" s="102" t="str">
        <f>IF(ISNA(Tableau6[[#This Row],[Position 2021]]),"",INDEX(tabSuiviConso[HP + HC
cumul],Tableau6[[#This Row],[Position 2021]],1))</f>
        <v/>
      </c>
      <c r="F292" s="123" t="e">
        <f>IF(ISNA(Tableau6[[#This Row],[Position 2021]]),Tableau6[[#This Row],[Position 2021]],Tableau6[[#This Row],[2021]]-E$2)</f>
        <v>#N/A</v>
      </c>
      <c r="G292" s="102" t="e">
        <f>MATCH(Tableau6[Jours Mois]&amp;"/"&amp;Tableau6[[#Headers],[2022]],tabSuiviConso[Jour Mois Année],0)</f>
        <v>#N/A</v>
      </c>
      <c r="H292" s="102" t="str">
        <f>IF(ISNA(Tableau6[[#This Row],[Position 2022]]),"",INDEX(tabSuiviConso[HP + HC
cumul],Tableau6[[#This Row],[Position 2022]],1))</f>
        <v/>
      </c>
      <c r="I292" s="123" t="e">
        <f>IF(ISNA(Tableau6[[#This Row],[Position 2022]]),Tableau6[[#This Row],[Position 2022]],Tableau6[[#This Row],[2022]]-H$2)</f>
        <v>#N/A</v>
      </c>
      <c r="J292" s="102" t="e">
        <f>MATCH(Tableau6[Jours Mois]&amp;"/"&amp;Tableau6[[#Headers],[2023]],tabSuiviConso[Jour Mois Année],0)</f>
        <v>#N/A</v>
      </c>
      <c r="K292" s="102" t="e">
        <f>Tableau6[[#This Row],[Cumul 2022]]-Tableau6[[#This Row],[Cumul 2021]]</f>
        <v>#N/A</v>
      </c>
      <c r="L292" s="104" t="e">
        <f>Tableau6[[#This Row],[Ecart 2021 2022]]/Tableau6[[#This Row],[Cumul 2021]]</f>
        <v>#N/A</v>
      </c>
      <c r="M292" s="102" t="str">
        <f>IF(ISNA(Tableau6[[#This Row],[Position 2023]]),"",INDEX(tabSuiviConso[HP + HC
cumul],Tableau6[[#This Row],[Position 2023]],1))</f>
        <v/>
      </c>
      <c r="N292" s="123" t="e">
        <f>IF(ISNA(Tableau6[[#This Row],[Position 2023]]),Tableau6[[#This Row],[Position 2023]],Tableau6[[#This Row],[2023]]-M$2)</f>
        <v>#N/A</v>
      </c>
      <c r="O292" s="102" t="e">
        <f>Tableau6[[#This Row],[Cumul 2023]]-Tableau6[[#This Row],[Cumul 2022]]</f>
        <v>#N/A</v>
      </c>
      <c r="P292" s="104" t="e">
        <f>Tableau6[[#This Row],[Ecart 2022 2023]]/Tableau6[[#This Row],[Cumul 2022]]</f>
        <v>#N/A</v>
      </c>
      <c r="Q292" s="102" t="e">
        <f>MATCH(Tableau6[Jours Mois]&amp;"/"&amp;Tableau6[[#Headers],[2024]],tabSuiviConso[Jour Mois Année],0)</f>
        <v>#N/A</v>
      </c>
      <c r="R292" s="102" t="str">
        <f>IF(ISNA(Tableau6[[#This Row],[Position 2024]]),"",INDEX(tabSuiviConso[HP + HC
cumul],Tableau6[[#This Row],[Position 2024]],1))</f>
        <v/>
      </c>
      <c r="S292" s="123" t="e">
        <f>IF(ISNA(Tableau6[[#This Row],[Position 2024]]),Tableau6[[#This Row],[Position 2024]],Tableau6[[#This Row],[2024]]-R$2)</f>
        <v>#N/A</v>
      </c>
      <c r="T292" s="102" t="e">
        <f>Tableau6[[#This Row],[Cumul 2024]]-Tableau6[[#This Row],[Cumul 2023]]</f>
        <v>#N/A</v>
      </c>
      <c r="U292" s="103" t="e">
        <f>Tableau6[[#This Row],[Ecart 2023 2024]]/Tableau6[[#This Row],[Cumul 2023]]</f>
        <v>#N/A</v>
      </c>
    </row>
    <row r="293" spans="1:21" x14ac:dyDescent="0.2">
      <c r="A293" s="102">
        <v>10</v>
      </c>
      <c r="B293" s="102">
        <v>17</v>
      </c>
      <c r="C293" s="102" t="str">
        <f>Tableau6[Jour]&amp;"/"&amp;Tableau6[Mois]</f>
        <v>17/10</v>
      </c>
      <c r="D293" s="102" t="e">
        <f>MATCH(Tableau6[Jours Mois]&amp;"/"&amp;Tableau6[[#Headers],[2021]],tabSuiviConso[Jour Mois Année],0)</f>
        <v>#N/A</v>
      </c>
      <c r="E293" s="102" t="str">
        <f>IF(ISNA(Tableau6[[#This Row],[Position 2021]]),"",INDEX(tabSuiviConso[HP + HC
cumul],Tableau6[[#This Row],[Position 2021]],1))</f>
        <v/>
      </c>
      <c r="F293" s="123" t="e">
        <f>IF(ISNA(Tableau6[[#This Row],[Position 2021]]),Tableau6[[#This Row],[Position 2021]],Tableau6[[#This Row],[2021]]-E$2)</f>
        <v>#N/A</v>
      </c>
      <c r="G293" s="102" t="e">
        <f>MATCH(Tableau6[Jours Mois]&amp;"/"&amp;Tableau6[[#Headers],[2022]],tabSuiviConso[Jour Mois Année],0)</f>
        <v>#N/A</v>
      </c>
      <c r="H293" s="102" t="str">
        <f>IF(ISNA(Tableau6[[#This Row],[Position 2022]]),"",INDEX(tabSuiviConso[HP + HC
cumul],Tableau6[[#This Row],[Position 2022]],1))</f>
        <v/>
      </c>
      <c r="I293" s="123" t="e">
        <f>IF(ISNA(Tableau6[[#This Row],[Position 2022]]),Tableau6[[#This Row],[Position 2022]],Tableau6[[#This Row],[2022]]-H$2)</f>
        <v>#N/A</v>
      </c>
      <c r="J293" s="102" t="e">
        <f>MATCH(Tableau6[Jours Mois]&amp;"/"&amp;Tableau6[[#Headers],[2023]],tabSuiviConso[Jour Mois Année],0)</f>
        <v>#N/A</v>
      </c>
      <c r="K293" s="102" t="e">
        <f>Tableau6[[#This Row],[Cumul 2022]]-Tableau6[[#This Row],[Cumul 2021]]</f>
        <v>#N/A</v>
      </c>
      <c r="L293" s="104" t="e">
        <f>Tableau6[[#This Row],[Ecart 2021 2022]]/Tableau6[[#This Row],[Cumul 2021]]</f>
        <v>#N/A</v>
      </c>
      <c r="M293" s="102" t="str">
        <f>IF(ISNA(Tableau6[[#This Row],[Position 2023]]),"",INDEX(tabSuiviConso[HP + HC
cumul],Tableau6[[#This Row],[Position 2023]],1))</f>
        <v/>
      </c>
      <c r="N293" s="123" t="e">
        <f>IF(ISNA(Tableau6[[#This Row],[Position 2023]]),Tableau6[[#This Row],[Position 2023]],Tableau6[[#This Row],[2023]]-M$2)</f>
        <v>#N/A</v>
      </c>
      <c r="O293" s="102" t="e">
        <f>Tableau6[[#This Row],[Cumul 2023]]-Tableau6[[#This Row],[Cumul 2022]]</f>
        <v>#N/A</v>
      </c>
      <c r="P293" s="104" t="e">
        <f>Tableau6[[#This Row],[Ecart 2022 2023]]/Tableau6[[#This Row],[Cumul 2022]]</f>
        <v>#N/A</v>
      </c>
      <c r="Q293" s="102" t="e">
        <f>MATCH(Tableau6[Jours Mois]&amp;"/"&amp;Tableau6[[#Headers],[2024]],tabSuiviConso[Jour Mois Année],0)</f>
        <v>#N/A</v>
      </c>
      <c r="R293" s="102" t="str">
        <f>IF(ISNA(Tableau6[[#This Row],[Position 2024]]),"",INDEX(tabSuiviConso[HP + HC
cumul],Tableau6[[#This Row],[Position 2024]],1))</f>
        <v/>
      </c>
      <c r="S293" s="123" t="e">
        <f>IF(ISNA(Tableau6[[#This Row],[Position 2024]]),Tableau6[[#This Row],[Position 2024]],Tableau6[[#This Row],[2024]]-R$2)</f>
        <v>#N/A</v>
      </c>
      <c r="T293" s="102" t="e">
        <f>Tableau6[[#This Row],[Cumul 2024]]-Tableau6[[#This Row],[Cumul 2023]]</f>
        <v>#N/A</v>
      </c>
      <c r="U293" s="103" t="e">
        <f>Tableau6[[#This Row],[Ecart 2023 2024]]/Tableau6[[#This Row],[Cumul 2023]]</f>
        <v>#N/A</v>
      </c>
    </row>
    <row r="294" spans="1:21" x14ac:dyDescent="0.2">
      <c r="A294" s="102">
        <v>10</v>
      </c>
      <c r="B294" s="102">
        <v>18</v>
      </c>
      <c r="C294" s="102" t="str">
        <f>Tableau6[Jour]&amp;"/"&amp;Tableau6[Mois]</f>
        <v>18/10</v>
      </c>
      <c r="D294" s="102" t="e">
        <f>MATCH(Tableau6[Jours Mois]&amp;"/"&amp;Tableau6[[#Headers],[2021]],tabSuiviConso[Jour Mois Année],0)</f>
        <v>#N/A</v>
      </c>
      <c r="E294" s="102" t="str">
        <f>IF(ISNA(Tableau6[[#This Row],[Position 2021]]),"",INDEX(tabSuiviConso[HP + HC
cumul],Tableau6[[#This Row],[Position 2021]],1))</f>
        <v/>
      </c>
      <c r="F294" s="123" t="e">
        <f>IF(ISNA(Tableau6[[#This Row],[Position 2021]]),Tableau6[[#This Row],[Position 2021]],Tableau6[[#This Row],[2021]]-E$2)</f>
        <v>#N/A</v>
      </c>
      <c r="G294" s="102" t="e">
        <f>MATCH(Tableau6[Jours Mois]&amp;"/"&amp;Tableau6[[#Headers],[2022]],tabSuiviConso[Jour Mois Année],0)</f>
        <v>#N/A</v>
      </c>
      <c r="H294" s="102" t="str">
        <f>IF(ISNA(Tableau6[[#This Row],[Position 2022]]),"",INDEX(tabSuiviConso[HP + HC
cumul],Tableau6[[#This Row],[Position 2022]],1))</f>
        <v/>
      </c>
      <c r="I294" s="123" t="e">
        <f>IF(ISNA(Tableau6[[#This Row],[Position 2022]]),Tableau6[[#This Row],[Position 2022]],Tableau6[[#This Row],[2022]]-H$2)</f>
        <v>#N/A</v>
      </c>
      <c r="J294" s="102" t="e">
        <f>MATCH(Tableau6[Jours Mois]&amp;"/"&amp;Tableau6[[#Headers],[2023]],tabSuiviConso[Jour Mois Année],0)</f>
        <v>#N/A</v>
      </c>
      <c r="K294" s="102" t="e">
        <f>Tableau6[[#This Row],[Cumul 2022]]-Tableau6[[#This Row],[Cumul 2021]]</f>
        <v>#N/A</v>
      </c>
      <c r="L294" s="104" t="e">
        <f>Tableau6[[#This Row],[Ecart 2021 2022]]/Tableau6[[#This Row],[Cumul 2021]]</f>
        <v>#N/A</v>
      </c>
      <c r="M294" s="102" t="str">
        <f>IF(ISNA(Tableau6[[#This Row],[Position 2023]]),"",INDEX(tabSuiviConso[HP + HC
cumul],Tableau6[[#This Row],[Position 2023]],1))</f>
        <v/>
      </c>
      <c r="N294" s="123" t="e">
        <f>IF(ISNA(Tableau6[[#This Row],[Position 2023]]),Tableau6[[#This Row],[Position 2023]],Tableau6[[#This Row],[2023]]-M$2)</f>
        <v>#N/A</v>
      </c>
      <c r="O294" s="102" t="e">
        <f>Tableau6[[#This Row],[Cumul 2023]]-Tableau6[[#This Row],[Cumul 2022]]</f>
        <v>#N/A</v>
      </c>
      <c r="P294" s="104" t="e">
        <f>Tableau6[[#This Row],[Ecart 2022 2023]]/Tableau6[[#This Row],[Cumul 2022]]</f>
        <v>#N/A</v>
      </c>
      <c r="Q294" s="102" t="e">
        <f>MATCH(Tableau6[Jours Mois]&amp;"/"&amp;Tableau6[[#Headers],[2024]],tabSuiviConso[Jour Mois Année],0)</f>
        <v>#N/A</v>
      </c>
      <c r="R294" s="102" t="str">
        <f>IF(ISNA(Tableau6[[#This Row],[Position 2024]]),"",INDEX(tabSuiviConso[HP + HC
cumul],Tableau6[[#This Row],[Position 2024]],1))</f>
        <v/>
      </c>
      <c r="S294" s="123" t="e">
        <f>IF(ISNA(Tableau6[[#This Row],[Position 2024]]),Tableau6[[#This Row],[Position 2024]],Tableau6[[#This Row],[2024]]-R$2)</f>
        <v>#N/A</v>
      </c>
      <c r="T294" s="102" t="e">
        <f>Tableau6[[#This Row],[Cumul 2024]]-Tableau6[[#This Row],[Cumul 2023]]</f>
        <v>#N/A</v>
      </c>
      <c r="U294" s="103" t="e">
        <f>Tableau6[[#This Row],[Ecart 2023 2024]]/Tableau6[[#This Row],[Cumul 2023]]</f>
        <v>#N/A</v>
      </c>
    </row>
    <row r="295" spans="1:21" x14ac:dyDescent="0.2">
      <c r="A295" s="102">
        <v>10</v>
      </c>
      <c r="B295" s="102">
        <v>19</v>
      </c>
      <c r="C295" s="102" t="str">
        <f>Tableau6[Jour]&amp;"/"&amp;Tableau6[Mois]</f>
        <v>19/10</v>
      </c>
      <c r="D295" s="102" t="e">
        <f>MATCH(Tableau6[Jours Mois]&amp;"/"&amp;Tableau6[[#Headers],[2021]],tabSuiviConso[Jour Mois Année],0)</f>
        <v>#N/A</v>
      </c>
      <c r="E295" s="102" t="str">
        <f>IF(ISNA(Tableau6[[#This Row],[Position 2021]]),"",INDEX(tabSuiviConso[HP + HC
cumul],Tableau6[[#This Row],[Position 2021]],1))</f>
        <v/>
      </c>
      <c r="F295" s="123" t="e">
        <f>IF(ISNA(Tableau6[[#This Row],[Position 2021]]),Tableau6[[#This Row],[Position 2021]],Tableau6[[#This Row],[2021]]-E$2)</f>
        <v>#N/A</v>
      </c>
      <c r="G295" s="102" t="e">
        <f>MATCH(Tableau6[Jours Mois]&amp;"/"&amp;Tableau6[[#Headers],[2022]],tabSuiviConso[Jour Mois Année],0)</f>
        <v>#N/A</v>
      </c>
      <c r="H295" s="102" t="str">
        <f>IF(ISNA(Tableau6[[#This Row],[Position 2022]]),"",INDEX(tabSuiviConso[HP + HC
cumul],Tableau6[[#This Row],[Position 2022]],1))</f>
        <v/>
      </c>
      <c r="I295" s="123" t="e">
        <f>IF(ISNA(Tableau6[[#This Row],[Position 2022]]),Tableau6[[#This Row],[Position 2022]],Tableau6[[#This Row],[2022]]-H$2)</f>
        <v>#N/A</v>
      </c>
      <c r="J295" s="102" t="e">
        <f>MATCH(Tableau6[Jours Mois]&amp;"/"&amp;Tableau6[[#Headers],[2023]],tabSuiviConso[Jour Mois Année],0)</f>
        <v>#N/A</v>
      </c>
      <c r="K295" s="102" t="e">
        <f>Tableau6[[#This Row],[Cumul 2022]]-Tableau6[[#This Row],[Cumul 2021]]</f>
        <v>#N/A</v>
      </c>
      <c r="L295" s="104" t="e">
        <f>Tableau6[[#This Row],[Ecart 2021 2022]]/Tableau6[[#This Row],[Cumul 2021]]</f>
        <v>#N/A</v>
      </c>
      <c r="M295" s="102" t="str">
        <f>IF(ISNA(Tableau6[[#This Row],[Position 2023]]),"",INDEX(tabSuiviConso[HP + HC
cumul],Tableau6[[#This Row],[Position 2023]],1))</f>
        <v/>
      </c>
      <c r="N295" s="123" t="e">
        <f>IF(ISNA(Tableau6[[#This Row],[Position 2023]]),Tableau6[[#This Row],[Position 2023]],Tableau6[[#This Row],[2023]]-M$2)</f>
        <v>#N/A</v>
      </c>
      <c r="O295" s="102" t="e">
        <f>Tableau6[[#This Row],[Cumul 2023]]-Tableau6[[#This Row],[Cumul 2022]]</f>
        <v>#N/A</v>
      </c>
      <c r="P295" s="104" t="e">
        <f>Tableau6[[#This Row],[Ecart 2022 2023]]/Tableau6[[#This Row],[Cumul 2022]]</f>
        <v>#N/A</v>
      </c>
      <c r="Q295" s="102" t="e">
        <f>MATCH(Tableau6[Jours Mois]&amp;"/"&amp;Tableau6[[#Headers],[2024]],tabSuiviConso[Jour Mois Année],0)</f>
        <v>#N/A</v>
      </c>
      <c r="R295" s="102" t="str">
        <f>IF(ISNA(Tableau6[[#This Row],[Position 2024]]),"",INDEX(tabSuiviConso[HP + HC
cumul],Tableau6[[#This Row],[Position 2024]],1))</f>
        <v/>
      </c>
      <c r="S295" s="123" t="e">
        <f>IF(ISNA(Tableau6[[#This Row],[Position 2024]]),Tableau6[[#This Row],[Position 2024]],Tableau6[[#This Row],[2024]]-R$2)</f>
        <v>#N/A</v>
      </c>
      <c r="T295" s="102" t="e">
        <f>Tableau6[[#This Row],[Cumul 2024]]-Tableau6[[#This Row],[Cumul 2023]]</f>
        <v>#N/A</v>
      </c>
      <c r="U295" s="103" t="e">
        <f>Tableau6[[#This Row],[Ecart 2023 2024]]/Tableau6[[#This Row],[Cumul 2023]]</f>
        <v>#N/A</v>
      </c>
    </row>
    <row r="296" spans="1:21" x14ac:dyDescent="0.2">
      <c r="A296" s="102">
        <v>10</v>
      </c>
      <c r="B296" s="102">
        <v>20</v>
      </c>
      <c r="C296" s="102" t="str">
        <f>Tableau6[Jour]&amp;"/"&amp;Tableau6[Mois]</f>
        <v>20/10</v>
      </c>
      <c r="D296" s="102" t="e">
        <f>MATCH(Tableau6[Jours Mois]&amp;"/"&amp;Tableau6[[#Headers],[2021]],tabSuiviConso[Jour Mois Année],0)</f>
        <v>#N/A</v>
      </c>
      <c r="E296" s="102" t="str">
        <f>IF(ISNA(Tableau6[[#This Row],[Position 2021]]),"",INDEX(tabSuiviConso[HP + HC
cumul],Tableau6[[#This Row],[Position 2021]],1))</f>
        <v/>
      </c>
      <c r="F296" s="123" t="e">
        <f>IF(ISNA(Tableau6[[#This Row],[Position 2021]]),Tableau6[[#This Row],[Position 2021]],Tableau6[[#This Row],[2021]]-E$2)</f>
        <v>#N/A</v>
      </c>
      <c r="G296" s="102" t="e">
        <f>MATCH(Tableau6[Jours Mois]&amp;"/"&amp;Tableau6[[#Headers],[2022]],tabSuiviConso[Jour Mois Année],0)</f>
        <v>#N/A</v>
      </c>
      <c r="H296" s="102" t="str">
        <f>IF(ISNA(Tableau6[[#This Row],[Position 2022]]),"",INDEX(tabSuiviConso[HP + HC
cumul],Tableau6[[#This Row],[Position 2022]],1))</f>
        <v/>
      </c>
      <c r="I296" s="123" t="e">
        <f>IF(ISNA(Tableau6[[#This Row],[Position 2022]]),Tableau6[[#This Row],[Position 2022]],Tableau6[[#This Row],[2022]]-H$2)</f>
        <v>#N/A</v>
      </c>
      <c r="J296" s="102" t="e">
        <f>MATCH(Tableau6[Jours Mois]&amp;"/"&amp;Tableau6[[#Headers],[2023]],tabSuiviConso[Jour Mois Année],0)</f>
        <v>#N/A</v>
      </c>
      <c r="K296" s="102" t="e">
        <f>Tableau6[[#This Row],[Cumul 2022]]-Tableau6[[#This Row],[Cumul 2021]]</f>
        <v>#N/A</v>
      </c>
      <c r="L296" s="104" t="e">
        <f>Tableau6[[#This Row],[Ecart 2021 2022]]/Tableau6[[#This Row],[Cumul 2021]]</f>
        <v>#N/A</v>
      </c>
      <c r="M296" s="102" t="str">
        <f>IF(ISNA(Tableau6[[#This Row],[Position 2023]]),"",INDEX(tabSuiviConso[HP + HC
cumul],Tableau6[[#This Row],[Position 2023]],1))</f>
        <v/>
      </c>
      <c r="N296" s="123" t="e">
        <f>IF(ISNA(Tableau6[[#This Row],[Position 2023]]),Tableau6[[#This Row],[Position 2023]],Tableau6[[#This Row],[2023]]-M$2)</f>
        <v>#N/A</v>
      </c>
      <c r="O296" s="102" t="e">
        <f>Tableau6[[#This Row],[Cumul 2023]]-Tableau6[[#This Row],[Cumul 2022]]</f>
        <v>#N/A</v>
      </c>
      <c r="P296" s="104" t="e">
        <f>Tableau6[[#This Row],[Ecart 2022 2023]]/Tableau6[[#This Row],[Cumul 2022]]</f>
        <v>#N/A</v>
      </c>
      <c r="Q296" s="102" t="e">
        <f>MATCH(Tableau6[Jours Mois]&amp;"/"&amp;Tableau6[[#Headers],[2024]],tabSuiviConso[Jour Mois Année],0)</f>
        <v>#N/A</v>
      </c>
      <c r="R296" s="102" t="str">
        <f>IF(ISNA(Tableau6[[#This Row],[Position 2024]]),"",INDEX(tabSuiviConso[HP + HC
cumul],Tableau6[[#This Row],[Position 2024]],1))</f>
        <v/>
      </c>
      <c r="S296" s="123" t="e">
        <f>IF(ISNA(Tableau6[[#This Row],[Position 2024]]),Tableau6[[#This Row],[Position 2024]],Tableau6[[#This Row],[2024]]-R$2)</f>
        <v>#N/A</v>
      </c>
      <c r="T296" s="102" t="e">
        <f>Tableau6[[#This Row],[Cumul 2024]]-Tableau6[[#This Row],[Cumul 2023]]</f>
        <v>#N/A</v>
      </c>
      <c r="U296" s="103" t="e">
        <f>Tableau6[[#This Row],[Ecart 2023 2024]]/Tableau6[[#This Row],[Cumul 2023]]</f>
        <v>#N/A</v>
      </c>
    </row>
    <row r="297" spans="1:21" x14ac:dyDescent="0.2">
      <c r="A297" s="102">
        <v>10</v>
      </c>
      <c r="B297" s="102">
        <v>21</v>
      </c>
      <c r="C297" s="102" t="str">
        <f>Tableau6[Jour]&amp;"/"&amp;Tableau6[Mois]</f>
        <v>21/10</v>
      </c>
      <c r="D297" s="102" t="e">
        <f>MATCH(Tableau6[Jours Mois]&amp;"/"&amp;Tableau6[[#Headers],[2021]],tabSuiviConso[Jour Mois Année],0)</f>
        <v>#N/A</v>
      </c>
      <c r="E297" s="102" t="str">
        <f>IF(ISNA(Tableau6[[#This Row],[Position 2021]]),"",INDEX(tabSuiviConso[HP + HC
cumul],Tableau6[[#This Row],[Position 2021]],1))</f>
        <v/>
      </c>
      <c r="F297" s="123" t="e">
        <f>IF(ISNA(Tableau6[[#This Row],[Position 2021]]),Tableau6[[#This Row],[Position 2021]],Tableau6[[#This Row],[2021]]-E$2)</f>
        <v>#N/A</v>
      </c>
      <c r="G297" s="102" t="e">
        <f>MATCH(Tableau6[Jours Mois]&amp;"/"&amp;Tableau6[[#Headers],[2022]],tabSuiviConso[Jour Mois Année],0)</f>
        <v>#N/A</v>
      </c>
      <c r="H297" s="102" t="str">
        <f>IF(ISNA(Tableau6[[#This Row],[Position 2022]]),"",INDEX(tabSuiviConso[HP + HC
cumul],Tableau6[[#This Row],[Position 2022]],1))</f>
        <v/>
      </c>
      <c r="I297" s="123" t="e">
        <f>IF(ISNA(Tableau6[[#This Row],[Position 2022]]),Tableau6[[#This Row],[Position 2022]],Tableau6[[#This Row],[2022]]-H$2)</f>
        <v>#N/A</v>
      </c>
      <c r="J297" s="102" t="e">
        <f>MATCH(Tableau6[Jours Mois]&amp;"/"&amp;Tableau6[[#Headers],[2023]],tabSuiviConso[Jour Mois Année],0)</f>
        <v>#N/A</v>
      </c>
      <c r="K297" s="102" t="e">
        <f>Tableau6[[#This Row],[Cumul 2022]]-Tableau6[[#This Row],[Cumul 2021]]</f>
        <v>#N/A</v>
      </c>
      <c r="L297" s="104" t="e">
        <f>Tableau6[[#This Row],[Ecart 2021 2022]]/Tableau6[[#This Row],[Cumul 2021]]</f>
        <v>#N/A</v>
      </c>
      <c r="M297" s="102" t="str">
        <f>IF(ISNA(Tableau6[[#This Row],[Position 2023]]),"",INDEX(tabSuiviConso[HP + HC
cumul],Tableau6[[#This Row],[Position 2023]],1))</f>
        <v/>
      </c>
      <c r="N297" s="123" t="e">
        <f>IF(ISNA(Tableau6[[#This Row],[Position 2023]]),Tableau6[[#This Row],[Position 2023]],Tableau6[[#This Row],[2023]]-M$2)</f>
        <v>#N/A</v>
      </c>
      <c r="O297" s="102" t="e">
        <f>Tableau6[[#This Row],[Cumul 2023]]-Tableau6[[#This Row],[Cumul 2022]]</f>
        <v>#N/A</v>
      </c>
      <c r="P297" s="104" t="e">
        <f>Tableau6[[#This Row],[Ecart 2022 2023]]/Tableau6[[#This Row],[Cumul 2022]]</f>
        <v>#N/A</v>
      </c>
      <c r="Q297" s="102" t="e">
        <f>MATCH(Tableau6[Jours Mois]&amp;"/"&amp;Tableau6[[#Headers],[2024]],tabSuiviConso[Jour Mois Année],0)</f>
        <v>#N/A</v>
      </c>
      <c r="R297" s="102" t="str">
        <f>IF(ISNA(Tableau6[[#This Row],[Position 2024]]),"",INDEX(tabSuiviConso[HP + HC
cumul],Tableau6[[#This Row],[Position 2024]],1))</f>
        <v/>
      </c>
      <c r="S297" s="123" t="e">
        <f>IF(ISNA(Tableau6[[#This Row],[Position 2024]]),Tableau6[[#This Row],[Position 2024]],Tableau6[[#This Row],[2024]]-R$2)</f>
        <v>#N/A</v>
      </c>
      <c r="T297" s="102" t="e">
        <f>Tableau6[[#This Row],[Cumul 2024]]-Tableau6[[#This Row],[Cumul 2023]]</f>
        <v>#N/A</v>
      </c>
      <c r="U297" s="103" t="e">
        <f>Tableau6[[#This Row],[Ecart 2023 2024]]/Tableau6[[#This Row],[Cumul 2023]]</f>
        <v>#N/A</v>
      </c>
    </row>
    <row r="298" spans="1:21" x14ac:dyDescent="0.2">
      <c r="A298" s="102">
        <v>10</v>
      </c>
      <c r="B298" s="102">
        <v>22</v>
      </c>
      <c r="C298" s="102" t="str">
        <f>Tableau6[Jour]&amp;"/"&amp;Tableau6[Mois]</f>
        <v>22/10</v>
      </c>
      <c r="D298" s="102" t="e">
        <f>MATCH(Tableau6[Jours Mois]&amp;"/"&amp;Tableau6[[#Headers],[2021]],tabSuiviConso[Jour Mois Année],0)</f>
        <v>#N/A</v>
      </c>
      <c r="E298" s="102" t="str">
        <f>IF(ISNA(Tableau6[[#This Row],[Position 2021]]),"",INDEX(tabSuiviConso[HP + HC
cumul],Tableau6[[#This Row],[Position 2021]],1))</f>
        <v/>
      </c>
      <c r="F298" s="123" t="e">
        <f>IF(ISNA(Tableau6[[#This Row],[Position 2021]]),Tableau6[[#This Row],[Position 2021]],Tableau6[[#This Row],[2021]]-E$2)</f>
        <v>#N/A</v>
      </c>
      <c r="G298" s="102" t="e">
        <f>MATCH(Tableau6[Jours Mois]&amp;"/"&amp;Tableau6[[#Headers],[2022]],tabSuiviConso[Jour Mois Année],0)</f>
        <v>#N/A</v>
      </c>
      <c r="H298" s="102" t="str">
        <f>IF(ISNA(Tableau6[[#This Row],[Position 2022]]),"",INDEX(tabSuiviConso[HP + HC
cumul],Tableau6[[#This Row],[Position 2022]],1))</f>
        <v/>
      </c>
      <c r="I298" s="123" t="e">
        <f>IF(ISNA(Tableau6[[#This Row],[Position 2022]]),Tableau6[[#This Row],[Position 2022]],Tableau6[[#This Row],[2022]]-H$2)</f>
        <v>#N/A</v>
      </c>
      <c r="J298" s="102" t="e">
        <f>MATCH(Tableau6[Jours Mois]&amp;"/"&amp;Tableau6[[#Headers],[2023]],tabSuiviConso[Jour Mois Année],0)</f>
        <v>#N/A</v>
      </c>
      <c r="K298" s="102" t="e">
        <f>Tableau6[[#This Row],[Cumul 2022]]-Tableau6[[#This Row],[Cumul 2021]]</f>
        <v>#N/A</v>
      </c>
      <c r="L298" s="104" t="e">
        <f>Tableau6[[#This Row],[Ecart 2021 2022]]/Tableau6[[#This Row],[Cumul 2021]]</f>
        <v>#N/A</v>
      </c>
      <c r="M298" s="102" t="str">
        <f>IF(ISNA(Tableau6[[#This Row],[Position 2023]]),"",INDEX(tabSuiviConso[HP + HC
cumul],Tableau6[[#This Row],[Position 2023]],1))</f>
        <v/>
      </c>
      <c r="N298" s="123" t="e">
        <f>IF(ISNA(Tableau6[[#This Row],[Position 2023]]),Tableau6[[#This Row],[Position 2023]],Tableau6[[#This Row],[2023]]-M$2)</f>
        <v>#N/A</v>
      </c>
      <c r="O298" s="102" t="e">
        <f>Tableau6[[#This Row],[Cumul 2023]]-Tableau6[[#This Row],[Cumul 2022]]</f>
        <v>#N/A</v>
      </c>
      <c r="P298" s="104" t="e">
        <f>Tableau6[[#This Row],[Ecart 2022 2023]]/Tableau6[[#This Row],[Cumul 2022]]</f>
        <v>#N/A</v>
      </c>
      <c r="Q298" s="102" t="e">
        <f>MATCH(Tableau6[Jours Mois]&amp;"/"&amp;Tableau6[[#Headers],[2024]],tabSuiviConso[Jour Mois Année],0)</f>
        <v>#N/A</v>
      </c>
      <c r="R298" s="102" t="str">
        <f>IF(ISNA(Tableau6[[#This Row],[Position 2024]]),"",INDEX(tabSuiviConso[HP + HC
cumul],Tableau6[[#This Row],[Position 2024]],1))</f>
        <v/>
      </c>
      <c r="S298" s="123" t="e">
        <f>IF(ISNA(Tableau6[[#This Row],[Position 2024]]),Tableau6[[#This Row],[Position 2024]],Tableau6[[#This Row],[2024]]-R$2)</f>
        <v>#N/A</v>
      </c>
      <c r="T298" s="102" t="e">
        <f>Tableau6[[#This Row],[Cumul 2024]]-Tableau6[[#This Row],[Cumul 2023]]</f>
        <v>#N/A</v>
      </c>
      <c r="U298" s="103" t="e">
        <f>Tableau6[[#This Row],[Ecart 2023 2024]]/Tableau6[[#This Row],[Cumul 2023]]</f>
        <v>#N/A</v>
      </c>
    </row>
    <row r="299" spans="1:21" x14ac:dyDescent="0.2">
      <c r="A299" s="102">
        <v>10</v>
      </c>
      <c r="B299" s="102">
        <v>23</v>
      </c>
      <c r="C299" s="102" t="str">
        <f>Tableau6[Jour]&amp;"/"&amp;Tableau6[Mois]</f>
        <v>23/10</v>
      </c>
      <c r="D299" s="102" t="e">
        <f>MATCH(Tableau6[Jours Mois]&amp;"/"&amp;Tableau6[[#Headers],[2021]],tabSuiviConso[Jour Mois Année],0)</f>
        <v>#N/A</v>
      </c>
      <c r="E299" s="102" t="str">
        <f>IF(ISNA(Tableau6[[#This Row],[Position 2021]]),"",INDEX(tabSuiviConso[HP + HC
cumul],Tableau6[[#This Row],[Position 2021]],1))</f>
        <v/>
      </c>
      <c r="F299" s="123" t="e">
        <f>IF(ISNA(Tableau6[[#This Row],[Position 2021]]),Tableau6[[#This Row],[Position 2021]],Tableau6[[#This Row],[2021]]-E$2)</f>
        <v>#N/A</v>
      </c>
      <c r="G299" s="102" t="e">
        <f>MATCH(Tableau6[Jours Mois]&amp;"/"&amp;Tableau6[[#Headers],[2022]],tabSuiviConso[Jour Mois Année],0)</f>
        <v>#N/A</v>
      </c>
      <c r="H299" s="102" t="str">
        <f>IF(ISNA(Tableau6[[#This Row],[Position 2022]]),"",INDEX(tabSuiviConso[HP + HC
cumul],Tableau6[[#This Row],[Position 2022]],1))</f>
        <v/>
      </c>
      <c r="I299" s="123" t="e">
        <f>IF(ISNA(Tableau6[[#This Row],[Position 2022]]),Tableau6[[#This Row],[Position 2022]],Tableau6[[#This Row],[2022]]-H$2)</f>
        <v>#N/A</v>
      </c>
      <c r="J299" s="102" t="e">
        <f>MATCH(Tableau6[Jours Mois]&amp;"/"&amp;Tableau6[[#Headers],[2023]],tabSuiviConso[Jour Mois Année],0)</f>
        <v>#N/A</v>
      </c>
      <c r="K299" s="102" t="e">
        <f>Tableau6[[#This Row],[Cumul 2022]]-Tableau6[[#This Row],[Cumul 2021]]</f>
        <v>#N/A</v>
      </c>
      <c r="L299" s="104" t="e">
        <f>Tableau6[[#This Row],[Ecart 2021 2022]]/Tableau6[[#This Row],[Cumul 2021]]</f>
        <v>#N/A</v>
      </c>
      <c r="M299" s="102" t="str">
        <f>IF(ISNA(Tableau6[[#This Row],[Position 2023]]),"",INDEX(tabSuiviConso[HP + HC
cumul],Tableau6[[#This Row],[Position 2023]],1))</f>
        <v/>
      </c>
      <c r="N299" s="123" t="e">
        <f>IF(ISNA(Tableau6[[#This Row],[Position 2023]]),Tableau6[[#This Row],[Position 2023]],Tableau6[[#This Row],[2023]]-M$2)</f>
        <v>#N/A</v>
      </c>
      <c r="O299" s="102" t="e">
        <f>Tableau6[[#This Row],[Cumul 2023]]-Tableau6[[#This Row],[Cumul 2022]]</f>
        <v>#N/A</v>
      </c>
      <c r="P299" s="104" t="e">
        <f>Tableau6[[#This Row],[Ecart 2022 2023]]/Tableau6[[#This Row],[Cumul 2022]]</f>
        <v>#N/A</v>
      </c>
      <c r="Q299" s="102" t="e">
        <f>MATCH(Tableau6[Jours Mois]&amp;"/"&amp;Tableau6[[#Headers],[2024]],tabSuiviConso[Jour Mois Année],0)</f>
        <v>#N/A</v>
      </c>
      <c r="R299" s="102" t="str">
        <f>IF(ISNA(Tableau6[[#This Row],[Position 2024]]),"",INDEX(tabSuiviConso[HP + HC
cumul],Tableau6[[#This Row],[Position 2024]],1))</f>
        <v/>
      </c>
      <c r="S299" s="123" t="e">
        <f>IF(ISNA(Tableau6[[#This Row],[Position 2024]]),Tableau6[[#This Row],[Position 2024]],Tableau6[[#This Row],[2024]]-R$2)</f>
        <v>#N/A</v>
      </c>
      <c r="T299" s="102" t="e">
        <f>Tableau6[[#This Row],[Cumul 2024]]-Tableau6[[#This Row],[Cumul 2023]]</f>
        <v>#N/A</v>
      </c>
      <c r="U299" s="103" t="e">
        <f>Tableau6[[#This Row],[Ecart 2023 2024]]/Tableau6[[#This Row],[Cumul 2023]]</f>
        <v>#N/A</v>
      </c>
    </row>
    <row r="300" spans="1:21" x14ac:dyDescent="0.2">
      <c r="A300" s="102">
        <v>10</v>
      </c>
      <c r="B300" s="102">
        <v>24</v>
      </c>
      <c r="C300" s="102" t="str">
        <f>Tableau6[Jour]&amp;"/"&amp;Tableau6[Mois]</f>
        <v>24/10</v>
      </c>
      <c r="D300" s="102" t="e">
        <f>MATCH(Tableau6[Jours Mois]&amp;"/"&amp;Tableau6[[#Headers],[2021]],tabSuiviConso[Jour Mois Année],0)</f>
        <v>#N/A</v>
      </c>
      <c r="E300" s="102" t="str">
        <f>IF(ISNA(Tableau6[[#This Row],[Position 2021]]),"",INDEX(tabSuiviConso[HP + HC
cumul],Tableau6[[#This Row],[Position 2021]],1))</f>
        <v/>
      </c>
      <c r="F300" s="123" t="e">
        <f>IF(ISNA(Tableau6[[#This Row],[Position 2021]]),Tableau6[[#This Row],[Position 2021]],Tableau6[[#This Row],[2021]]-E$2)</f>
        <v>#N/A</v>
      </c>
      <c r="G300" s="102" t="e">
        <f>MATCH(Tableau6[Jours Mois]&amp;"/"&amp;Tableau6[[#Headers],[2022]],tabSuiviConso[Jour Mois Année],0)</f>
        <v>#N/A</v>
      </c>
      <c r="H300" s="102" t="str">
        <f>IF(ISNA(Tableau6[[#This Row],[Position 2022]]),"",INDEX(tabSuiviConso[HP + HC
cumul],Tableau6[[#This Row],[Position 2022]],1))</f>
        <v/>
      </c>
      <c r="I300" s="123" t="e">
        <f>IF(ISNA(Tableau6[[#This Row],[Position 2022]]),Tableau6[[#This Row],[Position 2022]],Tableau6[[#This Row],[2022]]-H$2)</f>
        <v>#N/A</v>
      </c>
      <c r="J300" s="102" t="e">
        <f>MATCH(Tableau6[Jours Mois]&amp;"/"&amp;Tableau6[[#Headers],[2023]],tabSuiviConso[Jour Mois Année],0)</f>
        <v>#N/A</v>
      </c>
      <c r="K300" s="102" t="e">
        <f>Tableau6[[#This Row],[Cumul 2022]]-Tableau6[[#This Row],[Cumul 2021]]</f>
        <v>#N/A</v>
      </c>
      <c r="L300" s="104" t="e">
        <f>Tableau6[[#This Row],[Ecart 2021 2022]]/Tableau6[[#This Row],[Cumul 2021]]</f>
        <v>#N/A</v>
      </c>
      <c r="M300" s="102" t="str">
        <f>IF(ISNA(Tableau6[[#This Row],[Position 2023]]),"",INDEX(tabSuiviConso[HP + HC
cumul],Tableau6[[#This Row],[Position 2023]],1))</f>
        <v/>
      </c>
      <c r="N300" s="123" t="e">
        <f>IF(ISNA(Tableau6[[#This Row],[Position 2023]]),Tableau6[[#This Row],[Position 2023]],Tableau6[[#This Row],[2023]]-M$2)</f>
        <v>#N/A</v>
      </c>
      <c r="O300" s="102" t="e">
        <f>Tableau6[[#This Row],[Cumul 2023]]-Tableau6[[#This Row],[Cumul 2022]]</f>
        <v>#N/A</v>
      </c>
      <c r="P300" s="104" t="e">
        <f>Tableau6[[#This Row],[Ecart 2022 2023]]/Tableau6[[#This Row],[Cumul 2022]]</f>
        <v>#N/A</v>
      </c>
      <c r="Q300" s="102" t="e">
        <f>MATCH(Tableau6[Jours Mois]&amp;"/"&amp;Tableau6[[#Headers],[2024]],tabSuiviConso[Jour Mois Année],0)</f>
        <v>#N/A</v>
      </c>
      <c r="R300" s="102" t="str">
        <f>IF(ISNA(Tableau6[[#This Row],[Position 2024]]),"",INDEX(tabSuiviConso[HP + HC
cumul],Tableau6[[#This Row],[Position 2024]],1))</f>
        <v/>
      </c>
      <c r="S300" s="123" t="e">
        <f>IF(ISNA(Tableau6[[#This Row],[Position 2024]]),Tableau6[[#This Row],[Position 2024]],Tableau6[[#This Row],[2024]]-R$2)</f>
        <v>#N/A</v>
      </c>
      <c r="T300" s="102" t="e">
        <f>Tableau6[[#This Row],[Cumul 2024]]-Tableau6[[#This Row],[Cumul 2023]]</f>
        <v>#N/A</v>
      </c>
      <c r="U300" s="103" t="e">
        <f>Tableau6[[#This Row],[Ecart 2023 2024]]/Tableau6[[#This Row],[Cumul 2023]]</f>
        <v>#N/A</v>
      </c>
    </row>
    <row r="301" spans="1:21" x14ac:dyDescent="0.2">
      <c r="A301" s="102">
        <v>10</v>
      </c>
      <c r="B301" s="102">
        <v>25</v>
      </c>
      <c r="C301" s="102" t="str">
        <f>Tableau6[Jour]&amp;"/"&amp;Tableau6[Mois]</f>
        <v>25/10</v>
      </c>
      <c r="D301" s="102" t="e">
        <f>MATCH(Tableau6[Jours Mois]&amp;"/"&amp;Tableau6[[#Headers],[2021]],tabSuiviConso[Jour Mois Année],0)</f>
        <v>#N/A</v>
      </c>
      <c r="E301" s="102" t="str">
        <f>IF(ISNA(Tableau6[[#This Row],[Position 2021]]),"",INDEX(tabSuiviConso[HP + HC
cumul],Tableau6[[#This Row],[Position 2021]],1))</f>
        <v/>
      </c>
      <c r="F301" s="123" t="e">
        <f>IF(ISNA(Tableau6[[#This Row],[Position 2021]]),Tableau6[[#This Row],[Position 2021]],Tableau6[[#This Row],[2021]]-E$2)</f>
        <v>#N/A</v>
      </c>
      <c r="G301" s="102" t="e">
        <f>MATCH(Tableau6[Jours Mois]&amp;"/"&amp;Tableau6[[#Headers],[2022]],tabSuiviConso[Jour Mois Année],0)</f>
        <v>#N/A</v>
      </c>
      <c r="H301" s="102" t="str">
        <f>IF(ISNA(Tableau6[[#This Row],[Position 2022]]),"",INDEX(tabSuiviConso[HP + HC
cumul],Tableau6[[#This Row],[Position 2022]],1))</f>
        <v/>
      </c>
      <c r="I301" s="123" t="e">
        <f>IF(ISNA(Tableau6[[#This Row],[Position 2022]]),Tableau6[[#This Row],[Position 2022]],Tableau6[[#This Row],[2022]]-H$2)</f>
        <v>#N/A</v>
      </c>
      <c r="J301" s="102" t="e">
        <f>MATCH(Tableau6[Jours Mois]&amp;"/"&amp;Tableau6[[#Headers],[2023]],tabSuiviConso[Jour Mois Année],0)</f>
        <v>#N/A</v>
      </c>
      <c r="K301" s="102" t="e">
        <f>Tableau6[[#This Row],[Cumul 2022]]-Tableau6[[#This Row],[Cumul 2021]]</f>
        <v>#N/A</v>
      </c>
      <c r="L301" s="104" t="e">
        <f>Tableau6[[#This Row],[Ecart 2021 2022]]/Tableau6[[#This Row],[Cumul 2021]]</f>
        <v>#N/A</v>
      </c>
      <c r="M301" s="102" t="str">
        <f>IF(ISNA(Tableau6[[#This Row],[Position 2023]]),"",INDEX(tabSuiviConso[HP + HC
cumul],Tableau6[[#This Row],[Position 2023]],1))</f>
        <v/>
      </c>
      <c r="N301" s="123" t="e">
        <f>IF(ISNA(Tableau6[[#This Row],[Position 2023]]),Tableau6[[#This Row],[Position 2023]],Tableau6[[#This Row],[2023]]-M$2)</f>
        <v>#N/A</v>
      </c>
      <c r="O301" s="102" t="e">
        <f>Tableau6[[#This Row],[Cumul 2023]]-Tableau6[[#This Row],[Cumul 2022]]</f>
        <v>#N/A</v>
      </c>
      <c r="P301" s="104" t="e">
        <f>Tableau6[[#This Row],[Ecart 2022 2023]]/Tableau6[[#This Row],[Cumul 2022]]</f>
        <v>#N/A</v>
      </c>
      <c r="Q301" s="102" t="e">
        <f>MATCH(Tableau6[Jours Mois]&amp;"/"&amp;Tableau6[[#Headers],[2024]],tabSuiviConso[Jour Mois Année],0)</f>
        <v>#N/A</v>
      </c>
      <c r="R301" s="102" t="str">
        <f>IF(ISNA(Tableau6[[#This Row],[Position 2024]]),"",INDEX(tabSuiviConso[HP + HC
cumul],Tableau6[[#This Row],[Position 2024]],1))</f>
        <v/>
      </c>
      <c r="S301" s="123" t="e">
        <f>IF(ISNA(Tableau6[[#This Row],[Position 2024]]),Tableau6[[#This Row],[Position 2024]],Tableau6[[#This Row],[2024]]-R$2)</f>
        <v>#N/A</v>
      </c>
      <c r="T301" s="102" t="e">
        <f>Tableau6[[#This Row],[Cumul 2024]]-Tableau6[[#This Row],[Cumul 2023]]</f>
        <v>#N/A</v>
      </c>
      <c r="U301" s="103" t="e">
        <f>Tableau6[[#This Row],[Ecart 2023 2024]]/Tableau6[[#This Row],[Cumul 2023]]</f>
        <v>#N/A</v>
      </c>
    </row>
    <row r="302" spans="1:21" x14ac:dyDescent="0.2">
      <c r="A302" s="102">
        <v>10</v>
      </c>
      <c r="B302" s="102">
        <v>26</v>
      </c>
      <c r="C302" s="102" t="str">
        <f>Tableau6[Jour]&amp;"/"&amp;Tableau6[Mois]</f>
        <v>26/10</v>
      </c>
      <c r="D302" s="102" t="e">
        <f>MATCH(Tableau6[Jours Mois]&amp;"/"&amp;Tableau6[[#Headers],[2021]],tabSuiviConso[Jour Mois Année],0)</f>
        <v>#N/A</v>
      </c>
      <c r="E302" s="102" t="str">
        <f>IF(ISNA(Tableau6[[#This Row],[Position 2021]]),"",INDEX(tabSuiviConso[HP + HC
cumul],Tableau6[[#This Row],[Position 2021]],1))</f>
        <v/>
      </c>
      <c r="F302" s="123" t="e">
        <f>IF(ISNA(Tableau6[[#This Row],[Position 2021]]),Tableau6[[#This Row],[Position 2021]],Tableau6[[#This Row],[2021]]-E$2)</f>
        <v>#N/A</v>
      </c>
      <c r="G302" s="102" t="e">
        <f>MATCH(Tableau6[Jours Mois]&amp;"/"&amp;Tableau6[[#Headers],[2022]],tabSuiviConso[Jour Mois Année],0)</f>
        <v>#N/A</v>
      </c>
      <c r="H302" s="102" t="str">
        <f>IF(ISNA(Tableau6[[#This Row],[Position 2022]]),"",INDEX(tabSuiviConso[HP + HC
cumul],Tableau6[[#This Row],[Position 2022]],1))</f>
        <v/>
      </c>
      <c r="I302" s="123" t="e">
        <f>IF(ISNA(Tableau6[[#This Row],[Position 2022]]),Tableau6[[#This Row],[Position 2022]],Tableau6[[#This Row],[2022]]-H$2)</f>
        <v>#N/A</v>
      </c>
      <c r="J302" s="102" t="e">
        <f>MATCH(Tableau6[Jours Mois]&amp;"/"&amp;Tableau6[[#Headers],[2023]],tabSuiviConso[Jour Mois Année],0)</f>
        <v>#N/A</v>
      </c>
      <c r="K302" s="102" t="e">
        <f>Tableau6[[#This Row],[Cumul 2022]]-Tableau6[[#This Row],[Cumul 2021]]</f>
        <v>#N/A</v>
      </c>
      <c r="L302" s="104" t="e">
        <f>Tableau6[[#This Row],[Ecart 2021 2022]]/Tableau6[[#This Row],[Cumul 2021]]</f>
        <v>#N/A</v>
      </c>
      <c r="M302" s="102" t="str">
        <f>IF(ISNA(Tableau6[[#This Row],[Position 2023]]),"",INDEX(tabSuiviConso[HP + HC
cumul],Tableau6[[#This Row],[Position 2023]],1))</f>
        <v/>
      </c>
      <c r="N302" s="123" t="e">
        <f>IF(ISNA(Tableau6[[#This Row],[Position 2023]]),Tableau6[[#This Row],[Position 2023]],Tableau6[[#This Row],[2023]]-M$2)</f>
        <v>#N/A</v>
      </c>
      <c r="O302" s="102" t="e">
        <f>Tableau6[[#This Row],[Cumul 2023]]-Tableau6[[#This Row],[Cumul 2022]]</f>
        <v>#N/A</v>
      </c>
      <c r="P302" s="104" t="e">
        <f>Tableau6[[#This Row],[Ecart 2022 2023]]/Tableau6[[#This Row],[Cumul 2022]]</f>
        <v>#N/A</v>
      </c>
      <c r="Q302" s="102" t="e">
        <f>MATCH(Tableau6[Jours Mois]&amp;"/"&amp;Tableau6[[#Headers],[2024]],tabSuiviConso[Jour Mois Année],0)</f>
        <v>#N/A</v>
      </c>
      <c r="R302" s="102" t="str">
        <f>IF(ISNA(Tableau6[[#This Row],[Position 2024]]),"",INDEX(tabSuiviConso[HP + HC
cumul],Tableau6[[#This Row],[Position 2024]],1))</f>
        <v/>
      </c>
      <c r="S302" s="123" t="e">
        <f>IF(ISNA(Tableau6[[#This Row],[Position 2024]]),Tableau6[[#This Row],[Position 2024]],Tableau6[[#This Row],[2024]]-R$2)</f>
        <v>#N/A</v>
      </c>
      <c r="T302" s="102" t="e">
        <f>Tableau6[[#This Row],[Cumul 2024]]-Tableau6[[#This Row],[Cumul 2023]]</f>
        <v>#N/A</v>
      </c>
      <c r="U302" s="103" t="e">
        <f>Tableau6[[#This Row],[Ecart 2023 2024]]/Tableau6[[#This Row],[Cumul 2023]]</f>
        <v>#N/A</v>
      </c>
    </row>
    <row r="303" spans="1:21" x14ac:dyDescent="0.2">
      <c r="A303" s="102">
        <v>10</v>
      </c>
      <c r="B303" s="102">
        <v>27</v>
      </c>
      <c r="C303" s="102" t="str">
        <f>Tableau6[Jour]&amp;"/"&amp;Tableau6[Mois]</f>
        <v>27/10</v>
      </c>
      <c r="D303" s="102" t="e">
        <f>MATCH(Tableau6[Jours Mois]&amp;"/"&amp;Tableau6[[#Headers],[2021]],tabSuiviConso[Jour Mois Année],0)</f>
        <v>#N/A</v>
      </c>
      <c r="E303" s="102" t="str">
        <f>IF(ISNA(Tableau6[[#This Row],[Position 2021]]),"",INDEX(tabSuiviConso[HP + HC
cumul],Tableau6[[#This Row],[Position 2021]],1))</f>
        <v/>
      </c>
      <c r="F303" s="123" t="e">
        <f>IF(ISNA(Tableau6[[#This Row],[Position 2021]]),Tableau6[[#This Row],[Position 2021]],Tableau6[[#This Row],[2021]]-E$2)</f>
        <v>#N/A</v>
      </c>
      <c r="G303" s="102" t="e">
        <f>MATCH(Tableau6[Jours Mois]&amp;"/"&amp;Tableau6[[#Headers],[2022]],tabSuiviConso[Jour Mois Année],0)</f>
        <v>#N/A</v>
      </c>
      <c r="H303" s="102" t="str">
        <f>IF(ISNA(Tableau6[[#This Row],[Position 2022]]),"",INDEX(tabSuiviConso[HP + HC
cumul],Tableau6[[#This Row],[Position 2022]],1))</f>
        <v/>
      </c>
      <c r="I303" s="123" t="e">
        <f>IF(ISNA(Tableau6[[#This Row],[Position 2022]]),Tableau6[[#This Row],[Position 2022]],Tableau6[[#This Row],[2022]]-H$2)</f>
        <v>#N/A</v>
      </c>
      <c r="J303" s="102" t="e">
        <f>MATCH(Tableau6[Jours Mois]&amp;"/"&amp;Tableau6[[#Headers],[2023]],tabSuiviConso[Jour Mois Année],0)</f>
        <v>#N/A</v>
      </c>
      <c r="K303" s="102" t="e">
        <f>Tableau6[[#This Row],[Cumul 2022]]-Tableau6[[#This Row],[Cumul 2021]]</f>
        <v>#N/A</v>
      </c>
      <c r="L303" s="104" t="e">
        <f>Tableau6[[#This Row],[Ecart 2021 2022]]/Tableau6[[#This Row],[Cumul 2021]]</f>
        <v>#N/A</v>
      </c>
      <c r="M303" s="102" t="str">
        <f>IF(ISNA(Tableau6[[#This Row],[Position 2023]]),"",INDEX(tabSuiviConso[HP + HC
cumul],Tableau6[[#This Row],[Position 2023]],1))</f>
        <v/>
      </c>
      <c r="N303" s="123" t="e">
        <f>IF(ISNA(Tableau6[[#This Row],[Position 2023]]),Tableau6[[#This Row],[Position 2023]],Tableau6[[#This Row],[2023]]-M$2)</f>
        <v>#N/A</v>
      </c>
      <c r="O303" s="102" t="e">
        <f>Tableau6[[#This Row],[Cumul 2023]]-Tableau6[[#This Row],[Cumul 2022]]</f>
        <v>#N/A</v>
      </c>
      <c r="P303" s="104" t="e">
        <f>Tableau6[[#This Row],[Ecart 2022 2023]]/Tableau6[[#This Row],[Cumul 2022]]</f>
        <v>#N/A</v>
      </c>
      <c r="Q303" s="102" t="e">
        <f>MATCH(Tableau6[Jours Mois]&amp;"/"&amp;Tableau6[[#Headers],[2024]],tabSuiviConso[Jour Mois Année],0)</f>
        <v>#N/A</v>
      </c>
      <c r="R303" s="102" t="str">
        <f>IF(ISNA(Tableau6[[#This Row],[Position 2024]]),"",INDEX(tabSuiviConso[HP + HC
cumul],Tableau6[[#This Row],[Position 2024]],1))</f>
        <v/>
      </c>
      <c r="S303" s="123" t="e">
        <f>IF(ISNA(Tableau6[[#This Row],[Position 2024]]),Tableau6[[#This Row],[Position 2024]],Tableau6[[#This Row],[2024]]-R$2)</f>
        <v>#N/A</v>
      </c>
      <c r="T303" s="102" t="e">
        <f>Tableau6[[#This Row],[Cumul 2024]]-Tableau6[[#This Row],[Cumul 2023]]</f>
        <v>#N/A</v>
      </c>
      <c r="U303" s="103" t="e">
        <f>Tableau6[[#This Row],[Ecart 2023 2024]]/Tableau6[[#This Row],[Cumul 2023]]</f>
        <v>#N/A</v>
      </c>
    </row>
    <row r="304" spans="1:21" x14ac:dyDescent="0.2">
      <c r="A304" s="102">
        <v>10</v>
      </c>
      <c r="B304" s="102">
        <v>28</v>
      </c>
      <c r="C304" s="102" t="str">
        <f>Tableau6[Jour]&amp;"/"&amp;Tableau6[Mois]</f>
        <v>28/10</v>
      </c>
      <c r="D304" s="102" t="e">
        <f>MATCH(Tableau6[Jours Mois]&amp;"/"&amp;Tableau6[[#Headers],[2021]],tabSuiviConso[Jour Mois Année],0)</f>
        <v>#N/A</v>
      </c>
      <c r="E304" s="102" t="str">
        <f>IF(ISNA(Tableau6[[#This Row],[Position 2021]]),"",INDEX(tabSuiviConso[HP + HC
cumul],Tableau6[[#This Row],[Position 2021]],1))</f>
        <v/>
      </c>
      <c r="F304" s="123" t="e">
        <f>IF(ISNA(Tableau6[[#This Row],[Position 2021]]),Tableau6[[#This Row],[Position 2021]],Tableau6[[#This Row],[2021]]-E$2)</f>
        <v>#N/A</v>
      </c>
      <c r="G304" s="102" t="e">
        <f>MATCH(Tableau6[Jours Mois]&amp;"/"&amp;Tableau6[[#Headers],[2022]],tabSuiviConso[Jour Mois Année],0)</f>
        <v>#N/A</v>
      </c>
      <c r="H304" s="102" t="str">
        <f>IF(ISNA(Tableau6[[#This Row],[Position 2022]]),"",INDEX(tabSuiviConso[HP + HC
cumul],Tableau6[[#This Row],[Position 2022]],1))</f>
        <v/>
      </c>
      <c r="I304" s="123" t="e">
        <f>IF(ISNA(Tableau6[[#This Row],[Position 2022]]),Tableau6[[#This Row],[Position 2022]],Tableau6[[#This Row],[2022]]-H$2)</f>
        <v>#N/A</v>
      </c>
      <c r="J304" s="102" t="e">
        <f>MATCH(Tableau6[Jours Mois]&amp;"/"&amp;Tableau6[[#Headers],[2023]],tabSuiviConso[Jour Mois Année],0)</f>
        <v>#N/A</v>
      </c>
      <c r="K304" s="102" t="e">
        <f>Tableau6[[#This Row],[Cumul 2022]]-Tableau6[[#This Row],[Cumul 2021]]</f>
        <v>#N/A</v>
      </c>
      <c r="L304" s="104" t="e">
        <f>Tableau6[[#This Row],[Ecart 2021 2022]]/Tableau6[[#This Row],[Cumul 2021]]</f>
        <v>#N/A</v>
      </c>
      <c r="M304" s="102" t="str">
        <f>IF(ISNA(Tableau6[[#This Row],[Position 2023]]),"",INDEX(tabSuiviConso[HP + HC
cumul],Tableau6[[#This Row],[Position 2023]],1))</f>
        <v/>
      </c>
      <c r="N304" s="123" t="e">
        <f>IF(ISNA(Tableau6[[#This Row],[Position 2023]]),Tableau6[[#This Row],[Position 2023]],Tableau6[[#This Row],[2023]]-M$2)</f>
        <v>#N/A</v>
      </c>
      <c r="O304" s="102" t="e">
        <f>Tableau6[[#This Row],[Cumul 2023]]-Tableau6[[#This Row],[Cumul 2022]]</f>
        <v>#N/A</v>
      </c>
      <c r="P304" s="104" t="e">
        <f>Tableau6[[#This Row],[Ecart 2022 2023]]/Tableau6[[#This Row],[Cumul 2022]]</f>
        <v>#N/A</v>
      </c>
      <c r="Q304" s="102" t="e">
        <f>MATCH(Tableau6[Jours Mois]&amp;"/"&amp;Tableau6[[#Headers],[2024]],tabSuiviConso[Jour Mois Année],0)</f>
        <v>#N/A</v>
      </c>
      <c r="R304" s="102" t="str">
        <f>IF(ISNA(Tableau6[[#This Row],[Position 2024]]),"",INDEX(tabSuiviConso[HP + HC
cumul],Tableau6[[#This Row],[Position 2024]],1))</f>
        <v/>
      </c>
      <c r="S304" s="123" t="e">
        <f>IF(ISNA(Tableau6[[#This Row],[Position 2024]]),Tableau6[[#This Row],[Position 2024]],Tableau6[[#This Row],[2024]]-R$2)</f>
        <v>#N/A</v>
      </c>
      <c r="T304" s="102" t="e">
        <f>Tableau6[[#This Row],[Cumul 2024]]-Tableau6[[#This Row],[Cumul 2023]]</f>
        <v>#N/A</v>
      </c>
      <c r="U304" s="103" t="e">
        <f>Tableau6[[#This Row],[Ecart 2023 2024]]/Tableau6[[#This Row],[Cumul 2023]]</f>
        <v>#N/A</v>
      </c>
    </row>
    <row r="305" spans="1:21" x14ac:dyDescent="0.2">
      <c r="A305" s="102">
        <v>10</v>
      </c>
      <c r="B305" s="102">
        <v>29</v>
      </c>
      <c r="C305" s="102" t="str">
        <f>Tableau6[Jour]&amp;"/"&amp;Tableau6[Mois]</f>
        <v>29/10</v>
      </c>
      <c r="D305" s="102" t="e">
        <f>MATCH(Tableau6[Jours Mois]&amp;"/"&amp;Tableau6[[#Headers],[2021]],tabSuiviConso[Jour Mois Année],0)</f>
        <v>#N/A</v>
      </c>
      <c r="E305" s="102" t="str">
        <f>IF(ISNA(Tableau6[[#This Row],[Position 2021]]),"",INDEX(tabSuiviConso[HP + HC
cumul],Tableau6[[#This Row],[Position 2021]],1))</f>
        <v/>
      </c>
      <c r="F305" s="123" t="e">
        <f>IF(ISNA(Tableau6[[#This Row],[Position 2021]]),Tableau6[[#This Row],[Position 2021]],Tableau6[[#This Row],[2021]]-E$2)</f>
        <v>#N/A</v>
      </c>
      <c r="G305" s="102" t="e">
        <f>MATCH(Tableau6[Jours Mois]&amp;"/"&amp;Tableau6[[#Headers],[2022]],tabSuiviConso[Jour Mois Année],0)</f>
        <v>#N/A</v>
      </c>
      <c r="H305" s="102" t="str">
        <f>IF(ISNA(Tableau6[[#This Row],[Position 2022]]),"",INDEX(tabSuiviConso[HP + HC
cumul],Tableau6[[#This Row],[Position 2022]],1))</f>
        <v/>
      </c>
      <c r="I305" s="123" t="e">
        <f>IF(ISNA(Tableau6[[#This Row],[Position 2022]]),Tableau6[[#This Row],[Position 2022]],Tableau6[[#This Row],[2022]]-H$2)</f>
        <v>#N/A</v>
      </c>
      <c r="J305" s="102" t="e">
        <f>MATCH(Tableau6[Jours Mois]&amp;"/"&amp;Tableau6[[#Headers],[2023]],tabSuiviConso[Jour Mois Année],0)</f>
        <v>#N/A</v>
      </c>
      <c r="K305" s="102" t="e">
        <f>Tableau6[[#This Row],[Cumul 2022]]-Tableau6[[#This Row],[Cumul 2021]]</f>
        <v>#N/A</v>
      </c>
      <c r="L305" s="104" t="e">
        <f>Tableau6[[#This Row],[Ecart 2021 2022]]/Tableau6[[#This Row],[Cumul 2021]]</f>
        <v>#N/A</v>
      </c>
      <c r="M305" s="102" t="str">
        <f>IF(ISNA(Tableau6[[#This Row],[Position 2023]]),"",INDEX(tabSuiviConso[HP + HC
cumul],Tableau6[[#This Row],[Position 2023]],1))</f>
        <v/>
      </c>
      <c r="N305" s="123" t="e">
        <f>IF(ISNA(Tableau6[[#This Row],[Position 2023]]),Tableau6[[#This Row],[Position 2023]],Tableau6[[#This Row],[2023]]-M$2)</f>
        <v>#N/A</v>
      </c>
      <c r="O305" s="102" t="e">
        <f>Tableau6[[#This Row],[Cumul 2023]]-Tableau6[[#This Row],[Cumul 2022]]</f>
        <v>#N/A</v>
      </c>
      <c r="P305" s="104" t="e">
        <f>Tableau6[[#This Row],[Ecart 2022 2023]]/Tableau6[[#This Row],[Cumul 2022]]</f>
        <v>#N/A</v>
      </c>
      <c r="Q305" s="102" t="e">
        <f>MATCH(Tableau6[Jours Mois]&amp;"/"&amp;Tableau6[[#Headers],[2024]],tabSuiviConso[Jour Mois Année],0)</f>
        <v>#N/A</v>
      </c>
      <c r="R305" s="102" t="str">
        <f>IF(ISNA(Tableau6[[#This Row],[Position 2024]]),"",INDEX(tabSuiviConso[HP + HC
cumul],Tableau6[[#This Row],[Position 2024]],1))</f>
        <v/>
      </c>
      <c r="S305" s="123" t="e">
        <f>IF(ISNA(Tableau6[[#This Row],[Position 2024]]),Tableau6[[#This Row],[Position 2024]],Tableau6[[#This Row],[2024]]-R$2)</f>
        <v>#N/A</v>
      </c>
      <c r="T305" s="102" t="e">
        <f>Tableau6[[#This Row],[Cumul 2024]]-Tableau6[[#This Row],[Cumul 2023]]</f>
        <v>#N/A</v>
      </c>
      <c r="U305" s="103" t="e">
        <f>Tableau6[[#This Row],[Ecart 2023 2024]]/Tableau6[[#This Row],[Cumul 2023]]</f>
        <v>#N/A</v>
      </c>
    </row>
    <row r="306" spans="1:21" x14ac:dyDescent="0.2">
      <c r="A306" s="102">
        <v>10</v>
      </c>
      <c r="B306" s="102">
        <v>30</v>
      </c>
      <c r="C306" s="102" t="str">
        <f>Tableau6[Jour]&amp;"/"&amp;Tableau6[Mois]</f>
        <v>30/10</v>
      </c>
      <c r="D306" s="102" t="e">
        <f>MATCH(Tableau6[Jours Mois]&amp;"/"&amp;Tableau6[[#Headers],[2021]],tabSuiviConso[Jour Mois Année],0)</f>
        <v>#N/A</v>
      </c>
      <c r="E306" s="102" t="str">
        <f>IF(ISNA(Tableau6[[#This Row],[Position 2021]]),"",INDEX(tabSuiviConso[HP + HC
cumul],Tableau6[[#This Row],[Position 2021]],1))</f>
        <v/>
      </c>
      <c r="F306" s="123" t="e">
        <f>IF(ISNA(Tableau6[[#This Row],[Position 2021]]),Tableau6[[#This Row],[Position 2021]],Tableau6[[#This Row],[2021]]-E$2)</f>
        <v>#N/A</v>
      </c>
      <c r="G306" s="102" t="e">
        <f>MATCH(Tableau6[Jours Mois]&amp;"/"&amp;Tableau6[[#Headers],[2022]],tabSuiviConso[Jour Mois Année],0)</f>
        <v>#N/A</v>
      </c>
      <c r="H306" s="102" t="str">
        <f>IF(ISNA(Tableau6[[#This Row],[Position 2022]]),"",INDEX(tabSuiviConso[HP + HC
cumul],Tableau6[[#This Row],[Position 2022]],1))</f>
        <v/>
      </c>
      <c r="I306" s="123" t="e">
        <f>IF(ISNA(Tableau6[[#This Row],[Position 2022]]),Tableau6[[#This Row],[Position 2022]],Tableau6[[#This Row],[2022]]-H$2)</f>
        <v>#N/A</v>
      </c>
      <c r="J306" s="102" t="e">
        <f>MATCH(Tableau6[Jours Mois]&amp;"/"&amp;Tableau6[[#Headers],[2023]],tabSuiviConso[Jour Mois Année],0)</f>
        <v>#N/A</v>
      </c>
      <c r="K306" s="102" t="e">
        <f>Tableau6[[#This Row],[Cumul 2022]]-Tableau6[[#This Row],[Cumul 2021]]</f>
        <v>#N/A</v>
      </c>
      <c r="L306" s="104" t="e">
        <f>Tableau6[[#This Row],[Ecart 2021 2022]]/Tableau6[[#This Row],[Cumul 2021]]</f>
        <v>#N/A</v>
      </c>
      <c r="M306" s="102" t="str">
        <f>IF(ISNA(Tableau6[[#This Row],[Position 2023]]),"",INDEX(tabSuiviConso[HP + HC
cumul],Tableau6[[#This Row],[Position 2023]],1))</f>
        <v/>
      </c>
      <c r="N306" s="123" t="e">
        <f>IF(ISNA(Tableau6[[#This Row],[Position 2023]]),Tableau6[[#This Row],[Position 2023]],Tableau6[[#This Row],[2023]]-M$2)</f>
        <v>#N/A</v>
      </c>
      <c r="O306" s="102" t="e">
        <f>Tableau6[[#This Row],[Cumul 2023]]-Tableau6[[#This Row],[Cumul 2022]]</f>
        <v>#N/A</v>
      </c>
      <c r="P306" s="104" t="e">
        <f>Tableau6[[#This Row],[Ecart 2022 2023]]/Tableau6[[#This Row],[Cumul 2022]]</f>
        <v>#N/A</v>
      </c>
      <c r="Q306" s="102" t="e">
        <f>MATCH(Tableau6[Jours Mois]&amp;"/"&amp;Tableau6[[#Headers],[2024]],tabSuiviConso[Jour Mois Année],0)</f>
        <v>#N/A</v>
      </c>
      <c r="R306" s="102" t="str">
        <f>IF(ISNA(Tableau6[[#This Row],[Position 2024]]),"",INDEX(tabSuiviConso[HP + HC
cumul],Tableau6[[#This Row],[Position 2024]],1))</f>
        <v/>
      </c>
      <c r="S306" s="123" t="e">
        <f>IF(ISNA(Tableau6[[#This Row],[Position 2024]]),Tableau6[[#This Row],[Position 2024]],Tableau6[[#This Row],[2024]]-R$2)</f>
        <v>#N/A</v>
      </c>
      <c r="T306" s="102" t="e">
        <f>Tableau6[[#This Row],[Cumul 2024]]-Tableau6[[#This Row],[Cumul 2023]]</f>
        <v>#N/A</v>
      </c>
      <c r="U306" s="103" t="e">
        <f>Tableau6[[#This Row],[Ecart 2023 2024]]/Tableau6[[#This Row],[Cumul 2023]]</f>
        <v>#N/A</v>
      </c>
    </row>
    <row r="307" spans="1:21" x14ac:dyDescent="0.2">
      <c r="A307" s="102">
        <v>10</v>
      </c>
      <c r="B307" s="102">
        <v>31</v>
      </c>
      <c r="C307" s="102" t="str">
        <f>Tableau6[Jour]&amp;"/"&amp;Tableau6[Mois]</f>
        <v>31/10</v>
      </c>
      <c r="D307" s="102" t="e">
        <f>MATCH(Tableau6[Jours Mois]&amp;"/"&amp;Tableau6[[#Headers],[2021]],tabSuiviConso[Jour Mois Année],0)</f>
        <v>#N/A</v>
      </c>
      <c r="E307" s="102" t="str">
        <f>IF(ISNA(Tableau6[[#This Row],[Position 2021]]),"",INDEX(tabSuiviConso[HP + HC
cumul],Tableau6[[#This Row],[Position 2021]],1))</f>
        <v/>
      </c>
      <c r="F307" s="123" t="e">
        <f>IF(ISNA(Tableau6[[#This Row],[Position 2021]]),Tableau6[[#This Row],[Position 2021]],Tableau6[[#This Row],[2021]]-E$2)</f>
        <v>#N/A</v>
      </c>
      <c r="G307" s="102" t="e">
        <f>MATCH(Tableau6[Jours Mois]&amp;"/"&amp;Tableau6[[#Headers],[2022]],tabSuiviConso[Jour Mois Année],0)</f>
        <v>#N/A</v>
      </c>
      <c r="H307" s="102" t="str">
        <f>IF(ISNA(Tableau6[[#This Row],[Position 2022]]),"",INDEX(tabSuiviConso[HP + HC
cumul],Tableau6[[#This Row],[Position 2022]],1))</f>
        <v/>
      </c>
      <c r="I307" s="123" t="e">
        <f>IF(ISNA(Tableau6[[#This Row],[Position 2022]]),Tableau6[[#This Row],[Position 2022]],Tableau6[[#This Row],[2022]]-H$2)</f>
        <v>#N/A</v>
      </c>
      <c r="J307" s="102" t="e">
        <f>MATCH(Tableau6[Jours Mois]&amp;"/"&amp;Tableau6[[#Headers],[2023]],tabSuiviConso[Jour Mois Année],0)</f>
        <v>#N/A</v>
      </c>
      <c r="K307" s="102" t="e">
        <f>Tableau6[[#This Row],[Cumul 2022]]-Tableau6[[#This Row],[Cumul 2021]]</f>
        <v>#N/A</v>
      </c>
      <c r="L307" s="104" t="e">
        <f>Tableau6[[#This Row],[Ecart 2021 2022]]/Tableau6[[#This Row],[Cumul 2021]]</f>
        <v>#N/A</v>
      </c>
      <c r="M307" s="102" t="str">
        <f>IF(ISNA(Tableau6[[#This Row],[Position 2023]]),"",INDEX(tabSuiviConso[HP + HC
cumul],Tableau6[[#This Row],[Position 2023]],1))</f>
        <v/>
      </c>
      <c r="N307" s="123" t="e">
        <f>IF(ISNA(Tableau6[[#This Row],[Position 2023]]),Tableau6[[#This Row],[Position 2023]],Tableau6[[#This Row],[2023]]-M$2)</f>
        <v>#N/A</v>
      </c>
      <c r="O307" s="102" t="e">
        <f>Tableau6[[#This Row],[Cumul 2023]]-Tableau6[[#This Row],[Cumul 2022]]</f>
        <v>#N/A</v>
      </c>
      <c r="P307" s="104" t="e">
        <f>Tableau6[[#This Row],[Ecart 2022 2023]]/Tableau6[[#This Row],[Cumul 2022]]</f>
        <v>#N/A</v>
      </c>
      <c r="Q307" s="102" t="e">
        <f>MATCH(Tableau6[Jours Mois]&amp;"/"&amp;Tableau6[[#Headers],[2024]],tabSuiviConso[Jour Mois Année],0)</f>
        <v>#N/A</v>
      </c>
      <c r="R307" s="102" t="str">
        <f>IF(ISNA(Tableau6[[#This Row],[Position 2024]]),"",INDEX(tabSuiviConso[HP + HC
cumul],Tableau6[[#This Row],[Position 2024]],1))</f>
        <v/>
      </c>
      <c r="S307" s="123" t="e">
        <f>IF(ISNA(Tableau6[[#This Row],[Position 2024]]),Tableau6[[#This Row],[Position 2024]],Tableau6[[#This Row],[2024]]-R$2)</f>
        <v>#N/A</v>
      </c>
      <c r="T307" s="102" t="e">
        <f>Tableau6[[#This Row],[Cumul 2024]]-Tableau6[[#This Row],[Cumul 2023]]</f>
        <v>#N/A</v>
      </c>
      <c r="U307" s="103" t="e">
        <f>Tableau6[[#This Row],[Ecart 2023 2024]]/Tableau6[[#This Row],[Cumul 2023]]</f>
        <v>#N/A</v>
      </c>
    </row>
    <row r="308" spans="1:21" x14ac:dyDescent="0.2">
      <c r="A308" s="102">
        <v>11</v>
      </c>
      <c r="B308" s="102">
        <v>1</v>
      </c>
      <c r="C308" s="102" t="str">
        <f>Tableau6[Jour]&amp;"/"&amp;Tableau6[Mois]</f>
        <v>1/11</v>
      </c>
      <c r="D308" s="102" t="e">
        <f>MATCH(Tableau6[Jours Mois]&amp;"/"&amp;Tableau6[[#Headers],[2021]],tabSuiviConso[Jour Mois Année],0)</f>
        <v>#N/A</v>
      </c>
      <c r="E308" s="102" t="str">
        <f>IF(ISNA(Tableau6[[#This Row],[Position 2021]]),"",INDEX(tabSuiviConso[HP + HC
cumul],Tableau6[[#This Row],[Position 2021]],1))</f>
        <v/>
      </c>
      <c r="F308" s="123" t="e">
        <f>IF(ISNA(Tableau6[[#This Row],[Position 2021]]),Tableau6[[#This Row],[Position 2021]],Tableau6[[#This Row],[2021]]-E$2)</f>
        <v>#N/A</v>
      </c>
      <c r="G308" s="102" t="e">
        <f>MATCH(Tableau6[Jours Mois]&amp;"/"&amp;Tableau6[[#Headers],[2022]],tabSuiviConso[Jour Mois Année],0)</f>
        <v>#N/A</v>
      </c>
      <c r="H308" s="102" t="str">
        <f>IF(ISNA(Tableau6[[#This Row],[Position 2022]]),"",INDEX(tabSuiviConso[HP + HC
cumul],Tableau6[[#This Row],[Position 2022]],1))</f>
        <v/>
      </c>
      <c r="I308" s="123" t="e">
        <f>IF(ISNA(Tableau6[[#This Row],[Position 2022]]),Tableau6[[#This Row],[Position 2022]],Tableau6[[#This Row],[2022]]-H$2)</f>
        <v>#N/A</v>
      </c>
      <c r="J308" s="102" t="e">
        <f>MATCH(Tableau6[Jours Mois]&amp;"/"&amp;Tableau6[[#Headers],[2023]],tabSuiviConso[Jour Mois Année],0)</f>
        <v>#N/A</v>
      </c>
      <c r="K308" s="102" t="e">
        <f>Tableau6[[#This Row],[Cumul 2022]]-Tableau6[[#This Row],[Cumul 2021]]</f>
        <v>#N/A</v>
      </c>
      <c r="L308" s="104" t="e">
        <f>Tableau6[[#This Row],[Ecart 2021 2022]]/Tableau6[[#This Row],[Cumul 2021]]</f>
        <v>#N/A</v>
      </c>
      <c r="M308" s="102" t="str">
        <f>IF(ISNA(Tableau6[[#This Row],[Position 2023]]),"",INDEX(tabSuiviConso[HP + HC
cumul],Tableau6[[#This Row],[Position 2023]],1))</f>
        <v/>
      </c>
      <c r="N308" s="123" t="e">
        <f>IF(ISNA(Tableau6[[#This Row],[Position 2023]]),Tableau6[[#This Row],[Position 2023]],Tableau6[[#This Row],[2023]]-M$2)</f>
        <v>#N/A</v>
      </c>
      <c r="O308" s="102" t="e">
        <f>Tableau6[[#This Row],[Cumul 2023]]-Tableau6[[#This Row],[Cumul 2022]]</f>
        <v>#N/A</v>
      </c>
      <c r="P308" s="104" t="e">
        <f>Tableau6[[#This Row],[Ecart 2022 2023]]/Tableau6[[#This Row],[Cumul 2022]]</f>
        <v>#N/A</v>
      </c>
      <c r="Q308" s="102" t="e">
        <f>MATCH(Tableau6[Jours Mois]&amp;"/"&amp;Tableau6[[#Headers],[2024]],tabSuiviConso[Jour Mois Année],0)</f>
        <v>#N/A</v>
      </c>
      <c r="R308" s="102" t="str">
        <f>IF(ISNA(Tableau6[[#This Row],[Position 2024]]),"",INDEX(tabSuiviConso[HP + HC
cumul],Tableau6[[#This Row],[Position 2024]],1))</f>
        <v/>
      </c>
      <c r="S308" s="123" t="e">
        <f>IF(ISNA(Tableau6[[#This Row],[Position 2024]]),Tableau6[[#This Row],[Position 2024]],Tableau6[[#This Row],[2024]]-R$2)</f>
        <v>#N/A</v>
      </c>
      <c r="T308" s="102" t="e">
        <f>Tableau6[[#This Row],[Cumul 2024]]-Tableau6[[#This Row],[Cumul 2023]]</f>
        <v>#N/A</v>
      </c>
      <c r="U308" s="103" t="e">
        <f>Tableau6[[#This Row],[Ecart 2023 2024]]/Tableau6[[#This Row],[Cumul 2023]]</f>
        <v>#N/A</v>
      </c>
    </row>
    <row r="309" spans="1:21" x14ac:dyDescent="0.2">
      <c r="A309" s="102">
        <v>11</v>
      </c>
      <c r="B309" s="102">
        <v>2</v>
      </c>
      <c r="C309" s="102" t="str">
        <f>Tableau6[Jour]&amp;"/"&amp;Tableau6[Mois]</f>
        <v>2/11</v>
      </c>
      <c r="D309" s="102" t="e">
        <f>MATCH(Tableau6[Jours Mois]&amp;"/"&amp;Tableau6[[#Headers],[2021]],tabSuiviConso[Jour Mois Année],0)</f>
        <v>#N/A</v>
      </c>
      <c r="E309" s="102" t="str">
        <f>IF(ISNA(Tableau6[[#This Row],[Position 2021]]),"",INDEX(tabSuiviConso[HP + HC
cumul],Tableau6[[#This Row],[Position 2021]],1))</f>
        <v/>
      </c>
      <c r="F309" s="123" t="e">
        <f>IF(ISNA(Tableau6[[#This Row],[Position 2021]]),Tableau6[[#This Row],[Position 2021]],Tableau6[[#This Row],[2021]]-E$2)</f>
        <v>#N/A</v>
      </c>
      <c r="G309" s="102" t="e">
        <f>MATCH(Tableau6[Jours Mois]&amp;"/"&amp;Tableau6[[#Headers],[2022]],tabSuiviConso[Jour Mois Année],0)</f>
        <v>#N/A</v>
      </c>
      <c r="H309" s="102" t="str">
        <f>IF(ISNA(Tableau6[[#This Row],[Position 2022]]),"",INDEX(tabSuiviConso[HP + HC
cumul],Tableau6[[#This Row],[Position 2022]],1))</f>
        <v/>
      </c>
      <c r="I309" s="123" t="e">
        <f>IF(ISNA(Tableau6[[#This Row],[Position 2022]]),Tableau6[[#This Row],[Position 2022]],Tableau6[[#This Row],[2022]]-H$2)</f>
        <v>#N/A</v>
      </c>
      <c r="J309" s="102" t="e">
        <f>MATCH(Tableau6[Jours Mois]&amp;"/"&amp;Tableau6[[#Headers],[2023]],tabSuiviConso[Jour Mois Année],0)</f>
        <v>#N/A</v>
      </c>
      <c r="K309" s="102" t="e">
        <f>Tableau6[[#This Row],[Cumul 2022]]-Tableau6[[#This Row],[Cumul 2021]]</f>
        <v>#N/A</v>
      </c>
      <c r="L309" s="104" t="e">
        <f>Tableau6[[#This Row],[Ecart 2021 2022]]/Tableau6[[#This Row],[Cumul 2021]]</f>
        <v>#N/A</v>
      </c>
      <c r="M309" s="102" t="str">
        <f>IF(ISNA(Tableau6[[#This Row],[Position 2023]]),"",INDEX(tabSuiviConso[HP + HC
cumul],Tableau6[[#This Row],[Position 2023]],1))</f>
        <v/>
      </c>
      <c r="N309" s="123" t="e">
        <f>IF(ISNA(Tableau6[[#This Row],[Position 2023]]),Tableau6[[#This Row],[Position 2023]],Tableau6[[#This Row],[2023]]-M$2)</f>
        <v>#N/A</v>
      </c>
      <c r="O309" s="102" t="e">
        <f>Tableau6[[#This Row],[Cumul 2023]]-Tableau6[[#This Row],[Cumul 2022]]</f>
        <v>#N/A</v>
      </c>
      <c r="P309" s="104" t="e">
        <f>Tableau6[[#This Row],[Ecart 2022 2023]]/Tableau6[[#This Row],[Cumul 2022]]</f>
        <v>#N/A</v>
      </c>
      <c r="Q309" s="102" t="e">
        <f>MATCH(Tableau6[Jours Mois]&amp;"/"&amp;Tableau6[[#Headers],[2024]],tabSuiviConso[Jour Mois Année],0)</f>
        <v>#N/A</v>
      </c>
      <c r="R309" s="102" t="str">
        <f>IF(ISNA(Tableau6[[#This Row],[Position 2024]]),"",INDEX(tabSuiviConso[HP + HC
cumul],Tableau6[[#This Row],[Position 2024]],1))</f>
        <v/>
      </c>
      <c r="S309" s="123" t="e">
        <f>IF(ISNA(Tableau6[[#This Row],[Position 2024]]),Tableau6[[#This Row],[Position 2024]],Tableau6[[#This Row],[2024]]-R$2)</f>
        <v>#N/A</v>
      </c>
      <c r="T309" s="102" t="e">
        <f>Tableau6[[#This Row],[Cumul 2024]]-Tableau6[[#This Row],[Cumul 2023]]</f>
        <v>#N/A</v>
      </c>
      <c r="U309" s="103" t="e">
        <f>Tableau6[[#This Row],[Ecart 2023 2024]]/Tableau6[[#This Row],[Cumul 2023]]</f>
        <v>#N/A</v>
      </c>
    </row>
    <row r="310" spans="1:21" x14ac:dyDescent="0.2">
      <c r="A310" s="102">
        <v>11</v>
      </c>
      <c r="B310" s="102">
        <v>3</v>
      </c>
      <c r="C310" s="102" t="str">
        <f>Tableau6[Jour]&amp;"/"&amp;Tableau6[Mois]</f>
        <v>3/11</v>
      </c>
      <c r="D310" s="102" t="e">
        <f>MATCH(Tableau6[Jours Mois]&amp;"/"&amp;Tableau6[[#Headers],[2021]],tabSuiviConso[Jour Mois Année],0)</f>
        <v>#N/A</v>
      </c>
      <c r="E310" s="102" t="str">
        <f>IF(ISNA(Tableau6[[#This Row],[Position 2021]]),"",INDEX(tabSuiviConso[HP + HC
cumul],Tableau6[[#This Row],[Position 2021]],1))</f>
        <v/>
      </c>
      <c r="F310" s="123" t="e">
        <f>IF(ISNA(Tableau6[[#This Row],[Position 2021]]),Tableau6[[#This Row],[Position 2021]],Tableau6[[#This Row],[2021]]-E$2)</f>
        <v>#N/A</v>
      </c>
      <c r="G310" s="102" t="e">
        <f>MATCH(Tableau6[Jours Mois]&amp;"/"&amp;Tableau6[[#Headers],[2022]],tabSuiviConso[Jour Mois Année],0)</f>
        <v>#N/A</v>
      </c>
      <c r="H310" s="102" t="str">
        <f>IF(ISNA(Tableau6[[#This Row],[Position 2022]]),"",INDEX(tabSuiviConso[HP + HC
cumul],Tableau6[[#This Row],[Position 2022]],1))</f>
        <v/>
      </c>
      <c r="I310" s="123" t="e">
        <f>IF(ISNA(Tableau6[[#This Row],[Position 2022]]),Tableau6[[#This Row],[Position 2022]],Tableau6[[#This Row],[2022]]-H$2)</f>
        <v>#N/A</v>
      </c>
      <c r="J310" s="102" t="e">
        <f>MATCH(Tableau6[Jours Mois]&amp;"/"&amp;Tableau6[[#Headers],[2023]],tabSuiviConso[Jour Mois Année],0)</f>
        <v>#N/A</v>
      </c>
      <c r="K310" s="102" t="e">
        <f>Tableau6[[#This Row],[Cumul 2022]]-Tableau6[[#This Row],[Cumul 2021]]</f>
        <v>#N/A</v>
      </c>
      <c r="L310" s="104" t="e">
        <f>Tableau6[[#This Row],[Ecart 2021 2022]]/Tableau6[[#This Row],[Cumul 2021]]</f>
        <v>#N/A</v>
      </c>
      <c r="M310" s="102" t="str">
        <f>IF(ISNA(Tableau6[[#This Row],[Position 2023]]),"",INDEX(tabSuiviConso[HP + HC
cumul],Tableau6[[#This Row],[Position 2023]],1))</f>
        <v/>
      </c>
      <c r="N310" s="123" t="e">
        <f>IF(ISNA(Tableau6[[#This Row],[Position 2023]]),Tableau6[[#This Row],[Position 2023]],Tableau6[[#This Row],[2023]]-M$2)</f>
        <v>#N/A</v>
      </c>
      <c r="O310" s="102" t="e">
        <f>Tableau6[[#This Row],[Cumul 2023]]-Tableau6[[#This Row],[Cumul 2022]]</f>
        <v>#N/A</v>
      </c>
      <c r="P310" s="104" t="e">
        <f>Tableau6[[#This Row],[Ecart 2022 2023]]/Tableau6[[#This Row],[Cumul 2022]]</f>
        <v>#N/A</v>
      </c>
      <c r="Q310" s="102" t="e">
        <f>MATCH(Tableau6[Jours Mois]&amp;"/"&amp;Tableau6[[#Headers],[2024]],tabSuiviConso[Jour Mois Année],0)</f>
        <v>#N/A</v>
      </c>
      <c r="R310" s="102" t="str">
        <f>IF(ISNA(Tableau6[[#This Row],[Position 2024]]),"",INDEX(tabSuiviConso[HP + HC
cumul],Tableau6[[#This Row],[Position 2024]],1))</f>
        <v/>
      </c>
      <c r="S310" s="123" t="e">
        <f>IF(ISNA(Tableau6[[#This Row],[Position 2024]]),Tableau6[[#This Row],[Position 2024]],Tableau6[[#This Row],[2024]]-R$2)</f>
        <v>#N/A</v>
      </c>
      <c r="T310" s="102" t="e">
        <f>Tableau6[[#This Row],[Cumul 2024]]-Tableau6[[#This Row],[Cumul 2023]]</f>
        <v>#N/A</v>
      </c>
      <c r="U310" s="103" t="e">
        <f>Tableau6[[#This Row],[Ecart 2023 2024]]/Tableau6[[#This Row],[Cumul 2023]]</f>
        <v>#N/A</v>
      </c>
    </row>
    <row r="311" spans="1:21" x14ac:dyDescent="0.2">
      <c r="A311" s="102">
        <v>11</v>
      </c>
      <c r="B311" s="102">
        <v>4</v>
      </c>
      <c r="C311" s="102" t="str">
        <f>Tableau6[Jour]&amp;"/"&amp;Tableau6[Mois]</f>
        <v>4/11</v>
      </c>
      <c r="D311" s="102" t="e">
        <f>MATCH(Tableau6[Jours Mois]&amp;"/"&amp;Tableau6[[#Headers],[2021]],tabSuiviConso[Jour Mois Année],0)</f>
        <v>#N/A</v>
      </c>
      <c r="E311" s="102" t="str">
        <f>IF(ISNA(Tableau6[[#This Row],[Position 2021]]),"",INDEX(tabSuiviConso[HP + HC
cumul],Tableau6[[#This Row],[Position 2021]],1))</f>
        <v/>
      </c>
      <c r="F311" s="123" t="e">
        <f>IF(ISNA(Tableau6[[#This Row],[Position 2021]]),Tableau6[[#This Row],[Position 2021]],Tableau6[[#This Row],[2021]]-E$2)</f>
        <v>#N/A</v>
      </c>
      <c r="G311" s="102" t="e">
        <f>MATCH(Tableau6[Jours Mois]&amp;"/"&amp;Tableau6[[#Headers],[2022]],tabSuiviConso[Jour Mois Année],0)</f>
        <v>#N/A</v>
      </c>
      <c r="H311" s="102" t="str">
        <f>IF(ISNA(Tableau6[[#This Row],[Position 2022]]),"",INDEX(tabSuiviConso[HP + HC
cumul],Tableau6[[#This Row],[Position 2022]],1))</f>
        <v/>
      </c>
      <c r="I311" s="123" t="e">
        <f>IF(ISNA(Tableau6[[#This Row],[Position 2022]]),Tableau6[[#This Row],[Position 2022]],Tableau6[[#This Row],[2022]]-H$2)</f>
        <v>#N/A</v>
      </c>
      <c r="J311" s="102" t="e">
        <f>MATCH(Tableau6[Jours Mois]&amp;"/"&amp;Tableau6[[#Headers],[2023]],tabSuiviConso[Jour Mois Année],0)</f>
        <v>#N/A</v>
      </c>
      <c r="K311" s="102" t="e">
        <f>Tableau6[[#This Row],[Cumul 2022]]-Tableau6[[#This Row],[Cumul 2021]]</f>
        <v>#N/A</v>
      </c>
      <c r="L311" s="104" t="e">
        <f>Tableau6[[#This Row],[Ecart 2021 2022]]/Tableau6[[#This Row],[Cumul 2021]]</f>
        <v>#N/A</v>
      </c>
      <c r="M311" s="102" t="str">
        <f>IF(ISNA(Tableau6[[#This Row],[Position 2023]]),"",INDEX(tabSuiviConso[HP + HC
cumul],Tableau6[[#This Row],[Position 2023]],1))</f>
        <v/>
      </c>
      <c r="N311" s="123" t="e">
        <f>IF(ISNA(Tableau6[[#This Row],[Position 2023]]),Tableau6[[#This Row],[Position 2023]],Tableau6[[#This Row],[2023]]-M$2)</f>
        <v>#N/A</v>
      </c>
      <c r="O311" s="102" t="e">
        <f>Tableau6[[#This Row],[Cumul 2023]]-Tableau6[[#This Row],[Cumul 2022]]</f>
        <v>#N/A</v>
      </c>
      <c r="P311" s="104" t="e">
        <f>Tableau6[[#This Row],[Ecart 2022 2023]]/Tableau6[[#This Row],[Cumul 2022]]</f>
        <v>#N/A</v>
      </c>
      <c r="Q311" s="102" t="e">
        <f>MATCH(Tableau6[Jours Mois]&amp;"/"&amp;Tableau6[[#Headers],[2024]],tabSuiviConso[Jour Mois Année],0)</f>
        <v>#N/A</v>
      </c>
      <c r="R311" s="102" t="str">
        <f>IF(ISNA(Tableau6[[#This Row],[Position 2024]]),"",INDEX(tabSuiviConso[HP + HC
cumul],Tableau6[[#This Row],[Position 2024]],1))</f>
        <v/>
      </c>
      <c r="S311" s="123" t="e">
        <f>IF(ISNA(Tableau6[[#This Row],[Position 2024]]),Tableau6[[#This Row],[Position 2024]],Tableau6[[#This Row],[2024]]-R$2)</f>
        <v>#N/A</v>
      </c>
      <c r="T311" s="102" t="e">
        <f>Tableau6[[#This Row],[Cumul 2024]]-Tableau6[[#This Row],[Cumul 2023]]</f>
        <v>#N/A</v>
      </c>
      <c r="U311" s="103" t="e">
        <f>Tableau6[[#This Row],[Ecart 2023 2024]]/Tableau6[[#This Row],[Cumul 2023]]</f>
        <v>#N/A</v>
      </c>
    </row>
    <row r="312" spans="1:21" x14ac:dyDescent="0.2">
      <c r="A312" s="102">
        <v>11</v>
      </c>
      <c r="B312" s="102">
        <v>5</v>
      </c>
      <c r="C312" s="102" t="str">
        <f>Tableau6[Jour]&amp;"/"&amp;Tableau6[Mois]</f>
        <v>5/11</v>
      </c>
      <c r="D312" s="102" t="e">
        <f>MATCH(Tableau6[Jours Mois]&amp;"/"&amp;Tableau6[[#Headers],[2021]],tabSuiviConso[Jour Mois Année],0)</f>
        <v>#N/A</v>
      </c>
      <c r="E312" s="102" t="str">
        <f>IF(ISNA(Tableau6[[#This Row],[Position 2021]]),"",INDEX(tabSuiviConso[HP + HC
cumul],Tableau6[[#This Row],[Position 2021]],1))</f>
        <v/>
      </c>
      <c r="F312" s="123" t="e">
        <f>IF(ISNA(Tableau6[[#This Row],[Position 2021]]),Tableau6[[#This Row],[Position 2021]],Tableau6[[#This Row],[2021]]-E$2)</f>
        <v>#N/A</v>
      </c>
      <c r="G312" s="102" t="e">
        <f>MATCH(Tableau6[Jours Mois]&amp;"/"&amp;Tableau6[[#Headers],[2022]],tabSuiviConso[Jour Mois Année],0)</f>
        <v>#N/A</v>
      </c>
      <c r="H312" s="102" t="str">
        <f>IF(ISNA(Tableau6[[#This Row],[Position 2022]]),"",INDEX(tabSuiviConso[HP + HC
cumul],Tableau6[[#This Row],[Position 2022]],1))</f>
        <v/>
      </c>
      <c r="I312" s="123" t="e">
        <f>IF(ISNA(Tableau6[[#This Row],[Position 2022]]),Tableau6[[#This Row],[Position 2022]],Tableau6[[#This Row],[2022]]-H$2)</f>
        <v>#N/A</v>
      </c>
      <c r="J312" s="102" t="e">
        <f>MATCH(Tableau6[Jours Mois]&amp;"/"&amp;Tableau6[[#Headers],[2023]],tabSuiviConso[Jour Mois Année],0)</f>
        <v>#N/A</v>
      </c>
      <c r="K312" s="102" t="e">
        <f>Tableau6[[#This Row],[Cumul 2022]]-Tableau6[[#This Row],[Cumul 2021]]</f>
        <v>#N/A</v>
      </c>
      <c r="L312" s="104" t="e">
        <f>Tableau6[[#This Row],[Ecart 2021 2022]]/Tableau6[[#This Row],[Cumul 2021]]</f>
        <v>#N/A</v>
      </c>
      <c r="M312" s="102" t="str">
        <f>IF(ISNA(Tableau6[[#This Row],[Position 2023]]),"",INDEX(tabSuiviConso[HP + HC
cumul],Tableau6[[#This Row],[Position 2023]],1))</f>
        <v/>
      </c>
      <c r="N312" s="123" t="e">
        <f>IF(ISNA(Tableau6[[#This Row],[Position 2023]]),Tableau6[[#This Row],[Position 2023]],Tableau6[[#This Row],[2023]]-M$2)</f>
        <v>#N/A</v>
      </c>
      <c r="O312" s="102" t="e">
        <f>Tableau6[[#This Row],[Cumul 2023]]-Tableau6[[#This Row],[Cumul 2022]]</f>
        <v>#N/A</v>
      </c>
      <c r="P312" s="104" t="e">
        <f>Tableau6[[#This Row],[Ecart 2022 2023]]/Tableau6[[#This Row],[Cumul 2022]]</f>
        <v>#N/A</v>
      </c>
      <c r="Q312" s="102" t="e">
        <f>MATCH(Tableau6[Jours Mois]&amp;"/"&amp;Tableau6[[#Headers],[2024]],tabSuiviConso[Jour Mois Année],0)</f>
        <v>#N/A</v>
      </c>
      <c r="R312" s="102" t="str">
        <f>IF(ISNA(Tableau6[[#This Row],[Position 2024]]),"",INDEX(tabSuiviConso[HP + HC
cumul],Tableau6[[#This Row],[Position 2024]],1))</f>
        <v/>
      </c>
      <c r="S312" s="123" t="e">
        <f>IF(ISNA(Tableau6[[#This Row],[Position 2024]]),Tableau6[[#This Row],[Position 2024]],Tableau6[[#This Row],[2024]]-R$2)</f>
        <v>#N/A</v>
      </c>
      <c r="T312" s="102" t="e">
        <f>Tableau6[[#This Row],[Cumul 2024]]-Tableau6[[#This Row],[Cumul 2023]]</f>
        <v>#N/A</v>
      </c>
      <c r="U312" s="103" t="e">
        <f>Tableau6[[#This Row],[Ecart 2023 2024]]/Tableau6[[#This Row],[Cumul 2023]]</f>
        <v>#N/A</v>
      </c>
    </row>
    <row r="313" spans="1:21" x14ac:dyDescent="0.2">
      <c r="A313" s="102">
        <v>11</v>
      </c>
      <c r="B313" s="102">
        <v>6</v>
      </c>
      <c r="C313" s="102" t="str">
        <f>Tableau6[Jour]&amp;"/"&amp;Tableau6[Mois]</f>
        <v>6/11</v>
      </c>
      <c r="D313" s="102" t="e">
        <f>MATCH(Tableau6[Jours Mois]&amp;"/"&amp;Tableau6[[#Headers],[2021]],tabSuiviConso[Jour Mois Année],0)</f>
        <v>#N/A</v>
      </c>
      <c r="E313" s="102" t="str">
        <f>IF(ISNA(Tableau6[[#This Row],[Position 2021]]),"",INDEX(tabSuiviConso[HP + HC
cumul],Tableau6[[#This Row],[Position 2021]],1))</f>
        <v/>
      </c>
      <c r="F313" s="123" t="e">
        <f>IF(ISNA(Tableau6[[#This Row],[Position 2021]]),Tableau6[[#This Row],[Position 2021]],Tableau6[[#This Row],[2021]]-E$2)</f>
        <v>#N/A</v>
      </c>
      <c r="G313" s="102" t="e">
        <f>MATCH(Tableau6[Jours Mois]&amp;"/"&amp;Tableau6[[#Headers],[2022]],tabSuiviConso[Jour Mois Année],0)</f>
        <v>#N/A</v>
      </c>
      <c r="H313" s="102" t="str">
        <f>IF(ISNA(Tableau6[[#This Row],[Position 2022]]),"",INDEX(tabSuiviConso[HP + HC
cumul],Tableau6[[#This Row],[Position 2022]],1))</f>
        <v/>
      </c>
      <c r="I313" s="123" t="e">
        <f>IF(ISNA(Tableau6[[#This Row],[Position 2022]]),Tableau6[[#This Row],[Position 2022]],Tableau6[[#This Row],[2022]]-H$2)</f>
        <v>#N/A</v>
      </c>
      <c r="J313" s="102" t="e">
        <f>MATCH(Tableau6[Jours Mois]&amp;"/"&amp;Tableau6[[#Headers],[2023]],tabSuiviConso[Jour Mois Année],0)</f>
        <v>#N/A</v>
      </c>
      <c r="K313" s="102" t="e">
        <f>Tableau6[[#This Row],[Cumul 2022]]-Tableau6[[#This Row],[Cumul 2021]]</f>
        <v>#N/A</v>
      </c>
      <c r="L313" s="104" t="e">
        <f>Tableau6[[#This Row],[Ecart 2021 2022]]/Tableau6[[#This Row],[Cumul 2021]]</f>
        <v>#N/A</v>
      </c>
      <c r="M313" s="102" t="str">
        <f>IF(ISNA(Tableau6[[#This Row],[Position 2023]]),"",INDEX(tabSuiviConso[HP + HC
cumul],Tableau6[[#This Row],[Position 2023]],1))</f>
        <v/>
      </c>
      <c r="N313" s="123" t="e">
        <f>IF(ISNA(Tableau6[[#This Row],[Position 2023]]),Tableau6[[#This Row],[Position 2023]],Tableau6[[#This Row],[2023]]-M$2)</f>
        <v>#N/A</v>
      </c>
      <c r="O313" s="102" t="e">
        <f>Tableau6[[#This Row],[Cumul 2023]]-Tableau6[[#This Row],[Cumul 2022]]</f>
        <v>#N/A</v>
      </c>
      <c r="P313" s="104" t="e">
        <f>Tableau6[[#This Row],[Ecart 2022 2023]]/Tableau6[[#This Row],[Cumul 2022]]</f>
        <v>#N/A</v>
      </c>
      <c r="Q313" s="102" t="e">
        <f>MATCH(Tableau6[Jours Mois]&amp;"/"&amp;Tableau6[[#Headers],[2024]],tabSuiviConso[Jour Mois Année],0)</f>
        <v>#N/A</v>
      </c>
      <c r="R313" s="102" t="str">
        <f>IF(ISNA(Tableau6[[#This Row],[Position 2024]]),"",INDEX(tabSuiviConso[HP + HC
cumul],Tableau6[[#This Row],[Position 2024]],1))</f>
        <v/>
      </c>
      <c r="S313" s="123" t="e">
        <f>IF(ISNA(Tableau6[[#This Row],[Position 2024]]),Tableau6[[#This Row],[Position 2024]],Tableau6[[#This Row],[2024]]-R$2)</f>
        <v>#N/A</v>
      </c>
      <c r="T313" s="102" t="e">
        <f>Tableau6[[#This Row],[Cumul 2024]]-Tableau6[[#This Row],[Cumul 2023]]</f>
        <v>#N/A</v>
      </c>
      <c r="U313" s="103" t="e">
        <f>Tableau6[[#This Row],[Ecart 2023 2024]]/Tableau6[[#This Row],[Cumul 2023]]</f>
        <v>#N/A</v>
      </c>
    </row>
    <row r="314" spans="1:21" x14ac:dyDescent="0.2">
      <c r="A314" s="102">
        <v>11</v>
      </c>
      <c r="B314" s="102">
        <v>7</v>
      </c>
      <c r="C314" s="102" t="str">
        <f>Tableau6[Jour]&amp;"/"&amp;Tableau6[Mois]</f>
        <v>7/11</v>
      </c>
      <c r="D314" s="102" t="e">
        <f>MATCH(Tableau6[Jours Mois]&amp;"/"&amp;Tableau6[[#Headers],[2021]],tabSuiviConso[Jour Mois Année],0)</f>
        <v>#N/A</v>
      </c>
      <c r="E314" s="102" t="str">
        <f>IF(ISNA(Tableau6[[#This Row],[Position 2021]]),"",INDEX(tabSuiviConso[HP + HC
cumul],Tableau6[[#This Row],[Position 2021]],1))</f>
        <v/>
      </c>
      <c r="F314" s="123" t="e">
        <f>IF(ISNA(Tableau6[[#This Row],[Position 2021]]),Tableau6[[#This Row],[Position 2021]],Tableau6[[#This Row],[2021]]-E$2)</f>
        <v>#N/A</v>
      </c>
      <c r="G314" s="102" t="e">
        <f>MATCH(Tableau6[Jours Mois]&amp;"/"&amp;Tableau6[[#Headers],[2022]],tabSuiviConso[Jour Mois Année],0)</f>
        <v>#N/A</v>
      </c>
      <c r="H314" s="102" t="str">
        <f>IF(ISNA(Tableau6[[#This Row],[Position 2022]]),"",INDEX(tabSuiviConso[HP + HC
cumul],Tableau6[[#This Row],[Position 2022]],1))</f>
        <v/>
      </c>
      <c r="I314" s="123" t="e">
        <f>IF(ISNA(Tableau6[[#This Row],[Position 2022]]),Tableau6[[#This Row],[Position 2022]],Tableau6[[#This Row],[2022]]-H$2)</f>
        <v>#N/A</v>
      </c>
      <c r="J314" s="102" t="e">
        <f>MATCH(Tableau6[Jours Mois]&amp;"/"&amp;Tableau6[[#Headers],[2023]],tabSuiviConso[Jour Mois Année],0)</f>
        <v>#N/A</v>
      </c>
      <c r="K314" s="102" t="e">
        <f>Tableau6[[#This Row],[Cumul 2022]]-Tableau6[[#This Row],[Cumul 2021]]</f>
        <v>#N/A</v>
      </c>
      <c r="L314" s="104" t="e">
        <f>Tableau6[[#This Row],[Ecart 2021 2022]]/Tableau6[[#This Row],[Cumul 2021]]</f>
        <v>#N/A</v>
      </c>
      <c r="M314" s="102" t="str">
        <f>IF(ISNA(Tableau6[[#This Row],[Position 2023]]),"",INDEX(tabSuiviConso[HP + HC
cumul],Tableau6[[#This Row],[Position 2023]],1))</f>
        <v/>
      </c>
      <c r="N314" s="123" t="e">
        <f>IF(ISNA(Tableau6[[#This Row],[Position 2023]]),Tableau6[[#This Row],[Position 2023]],Tableau6[[#This Row],[2023]]-M$2)</f>
        <v>#N/A</v>
      </c>
      <c r="O314" s="102" t="e">
        <f>Tableau6[[#This Row],[Cumul 2023]]-Tableau6[[#This Row],[Cumul 2022]]</f>
        <v>#N/A</v>
      </c>
      <c r="P314" s="104" t="e">
        <f>Tableau6[[#This Row],[Ecart 2022 2023]]/Tableau6[[#This Row],[Cumul 2022]]</f>
        <v>#N/A</v>
      </c>
      <c r="Q314" s="102" t="e">
        <f>MATCH(Tableau6[Jours Mois]&amp;"/"&amp;Tableau6[[#Headers],[2024]],tabSuiviConso[Jour Mois Année],0)</f>
        <v>#N/A</v>
      </c>
      <c r="R314" s="102" t="str">
        <f>IF(ISNA(Tableau6[[#This Row],[Position 2024]]),"",INDEX(tabSuiviConso[HP + HC
cumul],Tableau6[[#This Row],[Position 2024]],1))</f>
        <v/>
      </c>
      <c r="S314" s="123" t="e">
        <f>IF(ISNA(Tableau6[[#This Row],[Position 2024]]),Tableau6[[#This Row],[Position 2024]],Tableau6[[#This Row],[2024]]-R$2)</f>
        <v>#N/A</v>
      </c>
      <c r="T314" s="102" t="e">
        <f>Tableau6[[#This Row],[Cumul 2024]]-Tableau6[[#This Row],[Cumul 2023]]</f>
        <v>#N/A</v>
      </c>
      <c r="U314" s="103" t="e">
        <f>Tableau6[[#This Row],[Ecart 2023 2024]]/Tableau6[[#This Row],[Cumul 2023]]</f>
        <v>#N/A</v>
      </c>
    </row>
    <row r="315" spans="1:21" x14ac:dyDescent="0.2">
      <c r="A315" s="102">
        <v>11</v>
      </c>
      <c r="B315" s="102">
        <v>8</v>
      </c>
      <c r="C315" s="102" t="str">
        <f>Tableau6[Jour]&amp;"/"&amp;Tableau6[Mois]</f>
        <v>8/11</v>
      </c>
      <c r="D315" s="102" t="e">
        <f>MATCH(Tableau6[Jours Mois]&amp;"/"&amp;Tableau6[[#Headers],[2021]],tabSuiviConso[Jour Mois Année],0)</f>
        <v>#N/A</v>
      </c>
      <c r="E315" s="102" t="str">
        <f>IF(ISNA(Tableau6[[#This Row],[Position 2021]]),"",INDEX(tabSuiviConso[HP + HC
cumul],Tableau6[[#This Row],[Position 2021]],1))</f>
        <v/>
      </c>
      <c r="F315" s="123" t="e">
        <f>IF(ISNA(Tableau6[[#This Row],[Position 2021]]),Tableau6[[#This Row],[Position 2021]],Tableau6[[#This Row],[2021]]-E$2)</f>
        <v>#N/A</v>
      </c>
      <c r="G315" s="102" t="e">
        <f>MATCH(Tableau6[Jours Mois]&amp;"/"&amp;Tableau6[[#Headers],[2022]],tabSuiviConso[Jour Mois Année],0)</f>
        <v>#N/A</v>
      </c>
      <c r="H315" s="102" t="str">
        <f>IF(ISNA(Tableau6[[#This Row],[Position 2022]]),"",INDEX(tabSuiviConso[HP + HC
cumul],Tableau6[[#This Row],[Position 2022]],1))</f>
        <v/>
      </c>
      <c r="I315" s="123" t="e">
        <f>IF(ISNA(Tableau6[[#This Row],[Position 2022]]),Tableau6[[#This Row],[Position 2022]],Tableau6[[#This Row],[2022]]-H$2)</f>
        <v>#N/A</v>
      </c>
      <c r="J315" s="102" t="e">
        <f>MATCH(Tableau6[Jours Mois]&amp;"/"&amp;Tableau6[[#Headers],[2023]],tabSuiviConso[Jour Mois Année],0)</f>
        <v>#N/A</v>
      </c>
      <c r="K315" s="102" t="e">
        <f>Tableau6[[#This Row],[Cumul 2022]]-Tableau6[[#This Row],[Cumul 2021]]</f>
        <v>#N/A</v>
      </c>
      <c r="L315" s="104" t="e">
        <f>Tableau6[[#This Row],[Ecart 2021 2022]]/Tableau6[[#This Row],[Cumul 2021]]</f>
        <v>#N/A</v>
      </c>
      <c r="M315" s="102" t="str">
        <f>IF(ISNA(Tableau6[[#This Row],[Position 2023]]),"",INDEX(tabSuiviConso[HP + HC
cumul],Tableau6[[#This Row],[Position 2023]],1))</f>
        <v/>
      </c>
      <c r="N315" s="123" t="e">
        <f>IF(ISNA(Tableau6[[#This Row],[Position 2023]]),Tableau6[[#This Row],[Position 2023]],Tableau6[[#This Row],[2023]]-M$2)</f>
        <v>#N/A</v>
      </c>
      <c r="O315" s="102" t="e">
        <f>Tableau6[[#This Row],[Cumul 2023]]-Tableau6[[#This Row],[Cumul 2022]]</f>
        <v>#N/A</v>
      </c>
      <c r="P315" s="104" t="e">
        <f>Tableau6[[#This Row],[Ecart 2022 2023]]/Tableau6[[#This Row],[Cumul 2022]]</f>
        <v>#N/A</v>
      </c>
      <c r="Q315" s="102" t="e">
        <f>MATCH(Tableau6[Jours Mois]&amp;"/"&amp;Tableau6[[#Headers],[2024]],tabSuiviConso[Jour Mois Année],0)</f>
        <v>#N/A</v>
      </c>
      <c r="R315" s="102" t="str">
        <f>IF(ISNA(Tableau6[[#This Row],[Position 2024]]),"",INDEX(tabSuiviConso[HP + HC
cumul],Tableau6[[#This Row],[Position 2024]],1))</f>
        <v/>
      </c>
      <c r="S315" s="123" t="e">
        <f>IF(ISNA(Tableau6[[#This Row],[Position 2024]]),Tableau6[[#This Row],[Position 2024]],Tableau6[[#This Row],[2024]]-R$2)</f>
        <v>#N/A</v>
      </c>
      <c r="T315" s="102" t="e">
        <f>Tableau6[[#This Row],[Cumul 2024]]-Tableau6[[#This Row],[Cumul 2023]]</f>
        <v>#N/A</v>
      </c>
      <c r="U315" s="103" t="e">
        <f>Tableau6[[#This Row],[Ecart 2023 2024]]/Tableau6[[#This Row],[Cumul 2023]]</f>
        <v>#N/A</v>
      </c>
    </row>
    <row r="316" spans="1:21" x14ac:dyDescent="0.2">
      <c r="A316" s="102">
        <v>11</v>
      </c>
      <c r="B316" s="102">
        <v>9</v>
      </c>
      <c r="C316" s="102" t="str">
        <f>Tableau6[Jour]&amp;"/"&amp;Tableau6[Mois]</f>
        <v>9/11</v>
      </c>
      <c r="D316" s="102" t="e">
        <f>MATCH(Tableau6[Jours Mois]&amp;"/"&amp;Tableau6[[#Headers],[2021]],tabSuiviConso[Jour Mois Année],0)</f>
        <v>#N/A</v>
      </c>
      <c r="E316" s="102" t="str">
        <f>IF(ISNA(Tableau6[[#This Row],[Position 2021]]),"",INDEX(tabSuiviConso[HP + HC
cumul],Tableau6[[#This Row],[Position 2021]],1))</f>
        <v/>
      </c>
      <c r="F316" s="123" t="e">
        <f>IF(ISNA(Tableau6[[#This Row],[Position 2021]]),Tableau6[[#This Row],[Position 2021]],Tableau6[[#This Row],[2021]]-E$2)</f>
        <v>#N/A</v>
      </c>
      <c r="G316" s="102" t="e">
        <f>MATCH(Tableau6[Jours Mois]&amp;"/"&amp;Tableau6[[#Headers],[2022]],tabSuiviConso[Jour Mois Année],0)</f>
        <v>#N/A</v>
      </c>
      <c r="H316" s="102" t="str">
        <f>IF(ISNA(Tableau6[[#This Row],[Position 2022]]),"",INDEX(tabSuiviConso[HP + HC
cumul],Tableau6[[#This Row],[Position 2022]],1))</f>
        <v/>
      </c>
      <c r="I316" s="123" t="e">
        <f>IF(ISNA(Tableau6[[#This Row],[Position 2022]]),Tableau6[[#This Row],[Position 2022]],Tableau6[[#This Row],[2022]]-H$2)</f>
        <v>#N/A</v>
      </c>
      <c r="J316" s="102" t="e">
        <f>MATCH(Tableau6[Jours Mois]&amp;"/"&amp;Tableau6[[#Headers],[2023]],tabSuiviConso[Jour Mois Année],0)</f>
        <v>#N/A</v>
      </c>
      <c r="K316" s="102" t="e">
        <f>Tableau6[[#This Row],[Cumul 2022]]-Tableau6[[#This Row],[Cumul 2021]]</f>
        <v>#N/A</v>
      </c>
      <c r="L316" s="104" t="e">
        <f>Tableau6[[#This Row],[Ecart 2021 2022]]/Tableau6[[#This Row],[Cumul 2021]]</f>
        <v>#N/A</v>
      </c>
      <c r="M316" s="102" t="str">
        <f>IF(ISNA(Tableau6[[#This Row],[Position 2023]]),"",INDEX(tabSuiviConso[HP + HC
cumul],Tableau6[[#This Row],[Position 2023]],1))</f>
        <v/>
      </c>
      <c r="N316" s="123" t="e">
        <f>IF(ISNA(Tableau6[[#This Row],[Position 2023]]),Tableau6[[#This Row],[Position 2023]],Tableau6[[#This Row],[2023]]-M$2)</f>
        <v>#N/A</v>
      </c>
      <c r="O316" s="102" t="e">
        <f>Tableau6[[#This Row],[Cumul 2023]]-Tableau6[[#This Row],[Cumul 2022]]</f>
        <v>#N/A</v>
      </c>
      <c r="P316" s="104" t="e">
        <f>Tableau6[[#This Row],[Ecart 2022 2023]]/Tableau6[[#This Row],[Cumul 2022]]</f>
        <v>#N/A</v>
      </c>
      <c r="Q316" s="102" t="e">
        <f>MATCH(Tableau6[Jours Mois]&amp;"/"&amp;Tableau6[[#Headers],[2024]],tabSuiviConso[Jour Mois Année],0)</f>
        <v>#N/A</v>
      </c>
      <c r="R316" s="102" t="str">
        <f>IF(ISNA(Tableau6[[#This Row],[Position 2024]]),"",INDEX(tabSuiviConso[HP + HC
cumul],Tableau6[[#This Row],[Position 2024]],1))</f>
        <v/>
      </c>
      <c r="S316" s="123" t="e">
        <f>IF(ISNA(Tableau6[[#This Row],[Position 2024]]),Tableau6[[#This Row],[Position 2024]],Tableau6[[#This Row],[2024]]-R$2)</f>
        <v>#N/A</v>
      </c>
      <c r="T316" s="102" t="e">
        <f>Tableau6[[#This Row],[Cumul 2024]]-Tableau6[[#This Row],[Cumul 2023]]</f>
        <v>#N/A</v>
      </c>
      <c r="U316" s="103" t="e">
        <f>Tableau6[[#This Row],[Ecart 2023 2024]]/Tableau6[[#This Row],[Cumul 2023]]</f>
        <v>#N/A</v>
      </c>
    </row>
    <row r="317" spans="1:21" x14ac:dyDescent="0.2">
      <c r="A317" s="102">
        <v>11</v>
      </c>
      <c r="B317" s="102">
        <v>10</v>
      </c>
      <c r="C317" s="102" t="str">
        <f>Tableau6[Jour]&amp;"/"&amp;Tableau6[Mois]</f>
        <v>10/11</v>
      </c>
      <c r="D317" s="102" t="e">
        <f>MATCH(Tableau6[Jours Mois]&amp;"/"&amp;Tableau6[[#Headers],[2021]],tabSuiviConso[Jour Mois Année],0)</f>
        <v>#N/A</v>
      </c>
      <c r="E317" s="102" t="str">
        <f>IF(ISNA(Tableau6[[#This Row],[Position 2021]]),"",INDEX(tabSuiviConso[HP + HC
cumul],Tableau6[[#This Row],[Position 2021]],1))</f>
        <v/>
      </c>
      <c r="F317" s="123" t="e">
        <f>IF(ISNA(Tableau6[[#This Row],[Position 2021]]),Tableau6[[#This Row],[Position 2021]],Tableau6[[#This Row],[2021]]-E$2)</f>
        <v>#N/A</v>
      </c>
      <c r="G317" s="102" t="e">
        <f>MATCH(Tableau6[Jours Mois]&amp;"/"&amp;Tableau6[[#Headers],[2022]],tabSuiviConso[Jour Mois Année],0)</f>
        <v>#N/A</v>
      </c>
      <c r="H317" s="102" t="str">
        <f>IF(ISNA(Tableau6[[#This Row],[Position 2022]]),"",INDEX(tabSuiviConso[HP + HC
cumul],Tableau6[[#This Row],[Position 2022]],1))</f>
        <v/>
      </c>
      <c r="I317" s="123" t="e">
        <f>IF(ISNA(Tableau6[[#This Row],[Position 2022]]),Tableau6[[#This Row],[Position 2022]],Tableau6[[#This Row],[2022]]-H$2)</f>
        <v>#N/A</v>
      </c>
      <c r="J317" s="102" t="e">
        <f>MATCH(Tableau6[Jours Mois]&amp;"/"&amp;Tableau6[[#Headers],[2023]],tabSuiviConso[Jour Mois Année],0)</f>
        <v>#N/A</v>
      </c>
      <c r="K317" s="102" t="e">
        <f>Tableau6[[#This Row],[Cumul 2022]]-Tableau6[[#This Row],[Cumul 2021]]</f>
        <v>#N/A</v>
      </c>
      <c r="L317" s="104" t="e">
        <f>Tableau6[[#This Row],[Ecart 2021 2022]]/Tableau6[[#This Row],[Cumul 2021]]</f>
        <v>#N/A</v>
      </c>
      <c r="M317" s="102" t="str">
        <f>IF(ISNA(Tableau6[[#This Row],[Position 2023]]),"",INDEX(tabSuiviConso[HP + HC
cumul],Tableau6[[#This Row],[Position 2023]],1))</f>
        <v/>
      </c>
      <c r="N317" s="123" t="e">
        <f>IF(ISNA(Tableau6[[#This Row],[Position 2023]]),Tableau6[[#This Row],[Position 2023]],Tableau6[[#This Row],[2023]]-M$2)</f>
        <v>#N/A</v>
      </c>
      <c r="O317" s="102" t="e">
        <f>Tableau6[[#This Row],[Cumul 2023]]-Tableau6[[#This Row],[Cumul 2022]]</f>
        <v>#N/A</v>
      </c>
      <c r="P317" s="104" t="e">
        <f>Tableau6[[#This Row],[Ecart 2022 2023]]/Tableau6[[#This Row],[Cumul 2022]]</f>
        <v>#N/A</v>
      </c>
      <c r="Q317" s="102" t="e">
        <f>MATCH(Tableau6[Jours Mois]&amp;"/"&amp;Tableau6[[#Headers],[2024]],tabSuiviConso[Jour Mois Année],0)</f>
        <v>#N/A</v>
      </c>
      <c r="R317" s="102" t="str">
        <f>IF(ISNA(Tableau6[[#This Row],[Position 2024]]),"",INDEX(tabSuiviConso[HP + HC
cumul],Tableau6[[#This Row],[Position 2024]],1))</f>
        <v/>
      </c>
      <c r="S317" s="123" t="e">
        <f>IF(ISNA(Tableau6[[#This Row],[Position 2024]]),Tableau6[[#This Row],[Position 2024]],Tableau6[[#This Row],[2024]]-R$2)</f>
        <v>#N/A</v>
      </c>
      <c r="T317" s="102" t="e">
        <f>Tableau6[[#This Row],[Cumul 2024]]-Tableau6[[#This Row],[Cumul 2023]]</f>
        <v>#N/A</v>
      </c>
      <c r="U317" s="103" t="e">
        <f>Tableau6[[#This Row],[Ecart 2023 2024]]/Tableau6[[#This Row],[Cumul 2023]]</f>
        <v>#N/A</v>
      </c>
    </row>
    <row r="318" spans="1:21" x14ac:dyDescent="0.2">
      <c r="A318" s="102">
        <v>11</v>
      </c>
      <c r="B318" s="102">
        <v>11</v>
      </c>
      <c r="C318" s="102" t="str">
        <f>Tableau6[Jour]&amp;"/"&amp;Tableau6[Mois]</f>
        <v>11/11</v>
      </c>
      <c r="D318" s="102" t="e">
        <f>MATCH(Tableau6[Jours Mois]&amp;"/"&amp;Tableau6[[#Headers],[2021]],tabSuiviConso[Jour Mois Année],0)</f>
        <v>#N/A</v>
      </c>
      <c r="E318" s="102" t="str">
        <f>IF(ISNA(Tableau6[[#This Row],[Position 2021]]),"",INDEX(tabSuiviConso[HP + HC
cumul],Tableau6[[#This Row],[Position 2021]],1))</f>
        <v/>
      </c>
      <c r="F318" s="123" t="e">
        <f>IF(ISNA(Tableau6[[#This Row],[Position 2021]]),Tableau6[[#This Row],[Position 2021]],Tableau6[[#This Row],[2021]]-E$2)</f>
        <v>#N/A</v>
      </c>
      <c r="G318" s="102" t="e">
        <f>MATCH(Tableau6[Jours Mois]&amp;"/"&amp;Tableau6[[#Headers],[2022]],tabSuiviConso[Jour Mois Année],0)</f>
        <v>#N/A</v>
      </c>
      <c r="H318" s="102" t="str">
        <f>IF(ISNA(Tableau6[[#This Row],[Position 2022]]),"",INDEX(tabSuiviConso[HP + HC
cumul],Tableau6[[#This Row],[Position 2022]],1))</f>
        <v/>
      </c>
      <c r="I318" s="123" t="e">
        <f>IF(ISNA(Tableau6[[#This Row],[Position 2022]]),Tableau6[[#This Row],[Position 2022]],Tableau6[[#This Row],[2022]]-H$2)</f>
        <v>#N/A</v>
      </c>
      <c r="J318" s="102" t="e">
        <f>MATCH(Tableau6[Jours Mois]&amp;"/"&amp;Tableau6[[#Headers],[2023]],tabSuiviConso[Jour Mois Année],0)</f>
        <v>#N/A</v>
      </c>
      <c r="K318" s="102" t="e">
        <f>Tableau6[[#This Row],[Cumul 2022]]-Tableau6[[#This Row],[Cumul 2021]]</f>
        <v>#N/A</v>
      </c>
      <c r="L318" s="104" t="e">
        <f>Tableau6[[#This Row],[Ecart 2021 2022]]/Tableau6[[#This Row],[Cumul 2021]]</f>
        <v>#N/A</v>
      </c>
      <c r="M318" s="102" t="str">
        <f>IF(ISNA(Tableau6[[#This Row],[Position 2023]]),"",INDEX(tabSuiviConso[HP + HC
cumul],Tableau6[[#This Row],[Position 2023]],1))</f>
        <v/>
      </c>
      <c r="N318" s="123" t="e">
        <f>IF(ISNA(Tableau6[[#This Row],[Position 2023]]),Tableau6[[#This Row],[Position 2023]],Tableau6[[#This Row],[2023]]-M$2)</f>
        <v>#N/A</v>
      </c>
      <c r="O318" s="102" t="e">
        <f>Tableau6[[#This Row],[Cumul 2023]]-Tableau6[[#This Row],[Cumul 2022]]</f>
        <v>#N/A</v>
      </c>
      <c r="P318" s="104" t="e">
        <f>Tableau6[[#This Row],[Ecart 2022 2023]]/Tableau6[[#This Row],[Cumul 2022]]</f>
        <v>#N/A</v>
      </c>
      <c r="Q318" s="102" t="e">
        <f>MATCH(Tableau6[Jours Mois]&amp;"/"&amp;Tableau6[[#Headers],[2024]],tabSuiviConso[Jour Mois Année],0)</f>
        <v>#N/A</v>
      </c>
      <c r="R318" s="102" t="str">
        <f>IF(ISNA(Tableau6[[#This Row],[Position 2024]]),"",INDEX(tabSuiviConso[HP + HC
cumul],Tableau6[[#This Row],[Position 2024]],1))</f>
        <v/>
      </c>
      <c r="S318" s="123" t="e">
        <f>IF(ISNA(Tableau6[[#This Row],[Position 2024]]),Tableau6[[#This Row],[Position 2024]],Tableau6[[#This Row],[2024]]-R$2)</f>
        <v>#N/A</v>
      </c>
      <c r="T318" s="102" t="e">
        <f>Tableau6[[#This Row],[Cumul 2024]]-Tableau6[[#This Row],[Cumul 2023]]</f>
        <v>#N/A</v>
      </c>
      <c r="U318" s="103" t="e">
        <f>Tableau6[[#This Row],[Ecart 2023 2024]]/Tableau6[[#This Row],[Cumul 2023]]</f>
        <v>#N/A</v>
      </c>
    </row>
    <row r="319" spans="1:21" x14ac:dyDescent="0.2">
      <c r="A319" s="102">
        <v>11</v>
      </c>
      <c r="B319" s="102">
        <v>12</v>
      </c>
      <c r="C319" s="102" t="str">
        <f>Tableau6[Jour]&amp;"/"&amp;Tableau6[Mois]</f>
        <v>12/11</v>
      </c>
      <c r="D319" s="102" t="e">
        <f>MATCH(Tableau6[Jours Mois]&amp;"/"&amp;Tableau6[[#Headers],[2021]],tabSuiviConso[Jour Mois Année],0)</f>
        <v>#N/A</v>
      </c>
      <c r="E319" s="102" t="str">
        <f>IF(ISNA(Tableau6[[#This Row],[Position 2021]]),"",INDEX(tabSuiviConso[HP + HC
cumul],Tableau6[[#This Row],[Position 2021]],1))</f>
        <v/>
      </c>
      <c r="F319" s="123" t="e">
        <f>IF(ISNA(Tableau6[[#This Row],[Position 2021]]),Tableau6[[#This Row],[Position 2021]],Tableau6[[#This Row],[2021]]-E$2)</f>
        <v>#N/A</v>
      </c>
      <c r="G319" s="102" t="e">
        <f>MATCH(Tableau6[Jours Mois]&amp;"/"&amp;Tableau6[[#Headers],[2022]],tabSuiviConso[Jour Mois Année],0)</f>
        <v>#N/A</v>
      </c>
      <c r="H319" s="102" t="str">
        <f>IF(ISNA(Tableau6[[#This Row],[Position 2022]]),"",INDEX(tabSuiviConso[HP + HC
cumul],Tableau6[[#This Row],[Position 2022]],1))</f>
        <v/>
      </c>
      <c r="I319" s="123" t="e">
        <f>IF(ISNA(Tableau6[[#This Row],[Position 2022]]),Tableau6[[#This Row],[Position 2022]],Tableau6[[#This Row],[2022]]-H$2)</f>
        <v>#N/A</v>
      </c>
      <c r="J319" s="102" t="e">
        <f>MATCH(Tableau6[Jours Mois]&amp;"/"&amp;Tableau6[[#Headers],[2023]],tabSuiviConso[Jour Mois Année],0)</f>
        <v>#N/A</v>
      </c>
      <c r="K319" s="102" t="e">
        <f>Tableau6[[#This Row],[Cumul 2022]]-Tableau6[[#This Row],[Cumul 2021]]</f>
        <v>#N/A</v>
      </c>
      <c r="L319" s="104" t="e">
        <f>Tableau6[[#This Row],[Ecart 2021 2022]]/Tableau6[[#This Row],[Cumul 2021]]</f>
        <v>#N/A</v>
      </c>
      <c r="M319" s="102" t="str">
        <f>IF(ISNA(Tableau6[[#This Row],[Position 2023]]),"",INDEX(tabSuiviConso[HP + HC
cumul],Tableau6[[#This Row],[Position 2023]],1))</f>
        <v/>
      </c>
      <c r="N319" s="123" t="e">
        <f>IF(ISNA(Tableau6[[#This Row],[Position 2023]]),Tableau6[[#This Row],[Position 2023]],Tableau6[[#This Row],[2023]]-M$2)</f>
        <v>#N/A</v>
      </c>
      <c r="O319" s="102" t="e">
        <f>Tableau6[[#This Row],[Cumul 2023]]-Tableau6[[#This Row],[Cumul 2022]]</f>
        <v>#N/A</v>
      </c>
      <c r="P319" s="104" t="e">
        <f>Tableau6[[#This Row],[Ecart 2022 2023]]/Tableau6[[#This Row],[Cumul 2022]]</f>
        <v>#N/A</v>
      </c>
      <c r="Q319" s="102" t="e">
        <f>MATCH(Tableau6[Jours Mois]&amp;"/"&amp;Tableau6[[#Headers],[2024]],tabSuiviConso[Jour Mois Année],0)</f>
        <v>#N/A</v>
      </c>
      <c r="R319" s="102" t="str">
        <f>IF(ISNA(Tableau6[[#This Row],[Position 2024]]),"",INDEX(tabSuiviConso[HP + HC
cumul],Tableau6[[#This Row],[Position 2024]],1))</f>
        <v/>
      </c>
      <c r="S319" s="123" t="e">
        <f>IF(ISNA(Tableau6[[#This Row],[Position 2024]]),Tableau6[[#This Row],[Position 2024]],Tableau6[[#This Row],[2024]]-R$2)</f>
        <v>#N/A</v>
      </c>
      <c r="T319" s="102" t="e">
        <f>Tableau6[[#This Row],[Cumul 2024]]-Tableau6[[#This Row],[Cumul 2023]]</f>
        <v>#N/A</v>
      </c>
      <c r="U319" s="103" t="e">
        <f>Tableau6[[#This Row],[Ecart 2023 2024]]/Tableau6[[#This Row],[Cumul 2023]]</f>
        <v>#N/A</v>
      </c>
    </row>
    <row r="320" spans="1:21" x14ac:dyDescent="0.2">
      <c r="A320" s="102">
        <v>11</v>
      </c>
      <c r="B320" s="102">
        <v>13</v>
      </c>
      <c r="C320" s="102" t="str">
        <f>Tableau6[Jour]&amp;"/"&amp;Tableau6[Mois]</f>
        <v>13/11</v>
      </c>
      <c r="D320" s="102" t="e">
        <f>MATCH(Tableau6[Jours Mois]&amp;"/"&amp;Tableau6[[#Headers],[2021]],tabSuiviConso[Jour Mois Année],0)</f>
        <v>#N/A</v>
      </c>
      <c r="E320" s="102" t="str">
        <f>IF(ISNA(Tableau6[[#This Row],[Position 2021]]),"",INDEX(tabSuiviConso[HP + HC
cumul],Tableau6[[#This Row],[Position 2021]],1))</f>
        <v/>
      </c>
      <c r="F320" s="123" t="e">
        <f>IF(ISNA(Tableau6[[#This Row],[Position 2021]]),Tableau6[[#This Row],[Position 2021]],Tableau6[[#This Row],[2021]]-E$2)</f>
        <v>#N/A</v>
      </c>
      <c r="G320" s="102" t="e">
        <f>MATCH(Tableau6[Jours Mois]&amp;"/"&amp;Tableau6[[#Headers],[2022]],tabSuiviConso[Jour Mois Année],0)</f>
        <v>#N/A</v>
      </c>
      <c r="H320" s="102" t="str">
        <f>IF(ISNA(Tableau6[[#This Row],[Position 2022]]),"",INDEX(tabSuiviConso[HP + HC
cumul],Tableau6[[#This Row],[Position 2022]],1))</f>
        <v/>
      </c>
      <c r="I320" s="123" t="e">
        <f>IF(ISNA(Tableau6[[#This Row],[Position 2022]]),Tableau6[[#This Row],[Position 2022]],Tableau6[[#This Row],[2022]]-H$2)</f>
        <v>#N/A</v>
      </c>
      <c r="J320" s="102" t="e">
        <f>MATCH(Tableau6[Jours Mois]&amp;"/"&amp;Tableau6[[#Headers],[2023]],tabSuiviConso[Jour Mois Année],0)</f>
        <v>#N/A</v>
      </c>
      <c r="K320" s="102" t="e">
        <f>Tableau6[[#This Row],[Cumul 2022]]-Tableau6[[#This Row],[Cumul 2021]]</f>
        <v>#N/A</v>
      </c>
      <c r="L320" s="104" t="e">
        <f>Tableau6[[#This Row],[Ecart 2021 2022]]/Tableau6[[#This Row],[Cumul 2021]]</f>
        <v>#N/A</v>
      </c>
      <c r="M320" s="102" t="str">
        <f>IF(ISNA(Tableau6[[#This Row],[Position 2023]]),"",INDEX(tabSuiviConso[HP + HC
cumul],Tableau6[[#This Row],[Position 2023]],1))</f>
        <v/>
      </c>
      <c r="N320" s="123" t="e">
        <f>IF(ISNA(Tableau6[[#This Row],[Position 2023]]),Tableau6[[#This Row],[Position 2023]],Tableau6[[#This Row],[2023]]-M$2)</f>
        <v>#N/A</v>
      </c>
      <c r="O320" s="102" t="e">
        <f>Tableau6[[#This Row],[Cumul 2023]]-Tableau6[[#This Row],[Cumul 2022]]</f>
        <v>#N/A</v>
      </c>
      <c r="P320" s="104" t="e">
        <f>Tableau6[[#This Row],[Ecart 2022 2023]]/Tableau6[[#This Row],[Cumul 2022]]</f>
        <v>#N/A</v>
      </c>
      <c r="Q320" s="102" t="e">
        <f>MATCH(Tableau6[Jours Mois]&amp;"/"&amp;Tableau6[[#Headers],[2024]],tabSuiviConso[Jour Mois Année],0)</f>
        <v>#N/A</v>
      </c>
      <c r="R320" s="102" t="str">
        <f>IF(ISNA(Tableau6[[#This Row],[Position 2024]]),"",INDEX(tabSuiviConso[HP + HC
cumul],Tableau6[[#This Row],[Position 2024]],1))</f>
        <v/>
      </c>
      <c r="S320" s="123" t="e">
        <f>IF(ISNA(Tableau6[[#This Row],[Position 2024]]),Tableau6[[#This Row],[Position 2024]],Tableau6[[#This Row],[2024]]-R$2)</f>
        <v>#N/A</v>
      </c>
      <c r="T320" s="102" t="e">
        <f>Tableau6[[#This Row],[Cumul 2024]]-Tableau6[[#This Row],[Cumul 2023]]</f>
        <v>#N/A</v>
      </c>
      <c r="U320" s="103" t="e">
        <f>Tableau6[[#This Row],[Ecart 2023 2024]]/Tableau6[[#This Row],[Cumul 2023]]</f>
        <v>#N/A</v>
      </c>
    </row>
    <row r="321" spans="1:21" x14ac:dyDescent="0.2">
      <c r="A321" s="102">
        <v>11</v>
      </c>
      <c r="B321" s="102">
        <v>14</v>
      </c>
      <c r="C321" s="102" t="str">
        <f>Tableau6[Jour]&amp;"/"&amp;Tableau6[Mois]</f>
        <v>14/11</v>
      </c>
      <c r="D321" s="102" t="e">
        <f>MATCH(Tableau6[Jours Mois]&amp;"/"&amp;Tableau6[[#Headers],[2021]],tabSuiviConso[Jour Mois Année],0)</f>
        <v>#N/A</v>
      </c>
      <c r="E321" s="102" t="str">
        <f>IF(ISNA(Tableau6[[#This Row],[Position 2021]]),"",INDEX(tabSuiviConso[HP + HC
cumul],Tableau6[[#This Row],[Position 2021]],1))</f>
        <v/>
      </c>
      <c r="F321" s="123" t="e">
        <f>IF(ISNA(Tableau6[[#This Row],[Position 2021]]),Tableau6[[#This Row],[Position 2021]],Tableau6[[#This Row],[2021]]-E$2)</f>
        <v>#N/A</v>
      </c>
      <c r="G321" s="102" t="e">
        <f>MATCH(Tableau6[Jours Mois]&amp;"/"&amp;Tableau6[[#Headers],[2022]],tabSuiviConso[Jour Mois Année],0)</f>
        <v>#N/A</v>
      </c>
      <c r="H321" s="102" t="str">
        <f>IF(ISNA(Tableau6[[#This Row],[Position 2022]]),"",INDEX(tabSuiviConso[HP + HC
cumul],Tableau6[[#This Row],[Position 2022]],1))</f>
        <v/>
      </c>
      <c r="I321" s="123" t="e">
        <f>IF(ISNA(Tableau6[[#This Row],[Position 2022]]),Tableau6[[#This Row],[Position 2022]],Tableau6[[#This Row],[2022]]-H$2)</f>
        <v>#N/A</v>
      </c>
      <c r="J321" s="102" t="e">
        <f>MATCH(Tableau6[Jours Mois]&amp;"/"&amp;Tableau6[[#Headers],[2023]],tabSuiviConso[Jour Mois Année],0)</f>
        <v>#N/A</v>
      </c>
      <c r="K321" s="102" t="e">
        <f>Tableau6[[#This Row],[Cumul 2022]]-Tableau6[[#This Row],[Cumul 2021]]</f>
        <v>#N/A</v>
      </c>
      <c r="L321" s="104" t="e">
        <f>Tableau6[[#This Row],[Ecart 2021 2022]]/Tableau6[[#This Row],[Cumul 2021]]</f>
        <v>#N/A</v>
      </c>
      <c r="M321" s="102" t="str">
        <f>IF(ISNA(Tableau6[[#This Row],[Position 2023]]),"",INDEX(tabSuiviConso[HP + HC
cumul],Tableau6[[#This Row],[Position 2023]],1))</f>
        <v/>
      </c>
      <c r="N321" s="123" t="e">
        <f>IF(ISNA(Tableau6[[#This Row],[Position 2023]]),Tableau6[[#This Row],[Position 2023]],Tableau6[[#This Row],[2023]]-M$2)</f>
        <v>#N/A</v>
      </c>
      <c r="O321" s="102" t="e">
        <f>Tableau6[[#This Row],[Cumul 2023]]-Tableau6[[#This Row],[Cumul 2022]]</f>
        <v>#N/A</v>
      </c>
      <c r="P321" s="104" t="e">
        <f>Tableau6[[#This Row],[Ecart 2022 2023]]/Tableau6[[#This Row],[Cumul 2022]]</f>
        <v>#N/A</v>
      </c>
      <c r="Q321" s="102" t="e">
        <f>MATCH(Tableau6[Jours Mois]&amp;"/"&amp;Tableau6[[#Headers],[2024]],tabSuiviConso[Jour Mois Année],0)</f>
        <v>#N/A</v>
      </c>
      <c r="R321" s="102" t="str">
        <f>IF(ISNA(Tableau6[[#This Row],[Position 2024]]),"",INDEX(tabSuiviConso[HP + HC
cumul],Tableau6[[#This Row],[Position 2024]],1))</f>
        <v/>
      </c>
      <c r="S321" s="123" t="e">
        <f>IF(ISNA(Tableau6[[#This Row],[Position 2024]]),Tableau6[[#This Row],[Position 2024]],Tableau6[[#This Row],[2024]]-R$2)</f>
        <v>#N/A</v>
      </c>
      <c r="T321" s="102" t="e">
        <f>Tableau6[[#This Row],[Cumul 2024]]-Tableau6[[#This Row],[Cumul 2023]]</f>
        <v>#N/A</v>
      </c>
      <c r="U321" s="103" t="e">
        <f>Tableau6[[#This Row],[Ecart 2023 2024]]/Tableau6[[#This Row],[Cumul 2023]]</f>
        <v>#N/A</v>
      </c>
    </row>
    <row r="322" spans="1:21" x14ac:dyDescent="0.2">
      <c r="A322" s="102">
        <v>11</v>
      </c>
      <c r="B322" s="102">
        <v>15</v>
      </c>
      <c r="C322" s="102" t="str">
        <f>Tableau6[Jour]&amp;"/"&amp;Tableau6[Mois]</f>
        <v>15/11</v>
      </c>
      <c r="D322" s="102" t="e">
        <f>MATCH(Tableau6[Jours Mois]&amp;"/"&amp;Tableau6[[#Headers],[2021]],tabSuiviConso[Jour Mois Année],0)</f>
        <v>#N/A</v>
      </c>
      <c r="E322" s="102" t="str">
        <f>IF(ISNA(Tableau6[[#This Row],[Position 2021]]),"",INDEX(tabSuiviConso[HP + HC
cumul],Tableau6[[#This Row],[Position 2021]],1))</f>
        <v/>
      </c>
      <c r="F322" s="123" t="e">
        <f>IF(ISNA(Tableau6[[#This Row],[Position 2021]]),Tableau6[[#This Row],[Position 2021]],Tableau6[[#This Row],[2021]]-E$2)</f>
        <v>#N/A</v>
      </c>
      <c r="G322" s="102" t="e">
        <f>MATCH(Tableau6[Jours Mois]&amp;"/"&amp;Tableau6[[#Headers],[2022]],tabSuiviConso[Jour Mois Année],0)</f>
        <v>#N/A</v>
      </c>
      <c r="H322" s="102" t="str">
        <f>IF(ISNA(Tableau6[[#This Row],[Position 2022]]),"",INDEX(tabSuiviConso[HP + HC
cumul],Tableau6[[#This Row],[Position 2022]],1))</f>
        <v/>
      </c>
      <c r="I322" s="123" t="e">
        <f>IF(ISNA(Tableau6[[#This Row],[Position 2022]]),Tableau6[[#This Row],[Position 2022]],Tableau6[[#This Row],[2022]]-H$2)</f>
        <v>#N/A</v>
      </c>
      <c r="J322" s="102" t="e">
        <f>MATCH(Tableau6[Jours Mois]&amp;"/"&amp;Tableau6[[#Headers],[2023]],tabSuiviConso[Jour Mois Année],0)</f>
        <v>#N/A</v>
      </c>
      <c r="K322" s="102" t="e">
        <f>Tableau6[[#This Row],[Cumul 2022]]-Tableau6[[#This Row],[Cumul 2021]]</f>
        <v>#N/A</v>
      </c>
      <c r="L322" s="104" t="e">
        <f>Tableau6[[#This Row],[Ecart 2021 2022]]/Tableau6[[#This Row],[Cumul 2021]]</f>
        <v>#N/A</v>
      </c>
      <c r="M322" s="102" t="str">
        <f>IF(ISNA(Tableau6[[#This Row],[Position 2023]]),"",INDEX(tabSuiviConso[HP + HC
cumul],Tableau6[[#This Row],[Position 2023]],1))</f>
        <v/>
      </c>
      <c r="N322" s="123" t="e">
        <f>IF(ISNA(Tableau6[[#This Row],[Position 2023]]),Tableau6[[#This Row],[Position 2023]],Tableau6[[#This Row],[2023]]-M$2)</f>
        <v>#N/A</v>
      </c>
      <c r="O322" s="102" t="e">
        <f>Tableau6[[#This Row],[Cumul 2023]]-Tableau6[[#This Row],[Cumul 2022]]</f>
        <v>#N/A</v>
      </c>
      <c r="P322" s="104" t="e">
        <f>Tableau6[[#This Row],[Ecart 2022 2023]]/Tableau6[[#This Row],[Cumul 2022]]</f>
        <v>#N/A</v>
      </c>
      <c r="Q322" s="102" t="e">
        <f>MATCH(Tableau6[Jours Mois]&amp;"/"&amp;Tableau6[[#Headers],[2024]],tabSuiviConso[Jour Mois Année],0)</f>
        <v>#N/A</v>
      </c>
      <c r="R322" s="102" t="str">
        <f>IF(ISNA(Tableau6[[#This Row],[Position 2024]]),"",INDEX(tabSuiviConso[HP + HC
cumul],Tableau6[[#This Row],[Position 2024]],1))</f>
        <v/>
      </c>
      <c r="S322" s="123" t="e">
        <f>IF(ISNA(Tableau6[[#This Row],[Position 2024]]),Tableau6[[#This Row],[Position 2024]],Tableau6[[#This Row],[2024]]-R$2)</f>
        <v>#N/A</v>
      </c>
      <c r="T322" s="102" t="e">
        <f>Tableau6[[#This Row],[Cumul 2024]]-Tableau6[[#This Row],[Cumul 2023]]</f>
        <v>#N/A</v>
      </c>
      <c r="U322" s="103" t="e">
        <f>Tableau6[[#This Row],[Ecart 2023 2024]]/Tableau6[[#This Row],[Cumul 2023]]</f>
        <v>#N/A</v>
      </c>
    </row>
    <row r="323" spans="1:21" x14ac:dyDescent="0.2">
      <c r="A323" s="102">
        <v>11</v>
      </c>
      <c r="B323" s="102">
        <v>16</v>
      </c>
      <c r="C323" s="102" t="str">
        <f>Tableau6[Jour]&amp;"/"&amp;Tableau6[Mois]</f>
        <v>16/11</v>
      </c>
      <c r="D323" s="102" t="e">
        <f>MATCH(Tableau6[Jours Mois]&amp;"/"&amp;Tableau6[[#Headers],[2021]],tabSuiviConso[Jour Mois Année],0)</f>
        <v>#N/A</v>
      </c>
      <c r="E323" s="102" t="str">
        <f>IF(ISNA(Tableau6[[#This Row],[Position 2021]]),"",INDEX(tabSuiviConso[HP + HC
cumul],Tableau6[[#This Row],[Position 2021]],1))</f>
        <v/>
      </c>
      <c r="F323" s="123" t="e">
        <f>IF(ISNA(Tableau6[[#This Row],[Position 2021]]),Tableau6[[#This Row],[Position 2021]],Tableau6[[#This Row],[2021]]-E$2)</f>
        <v>#N/A</v>
      </c>
      <c r="G323" s="102" t="e">
        <f>MATCH(Tableau6[Jours Mois]&amp;"/"&amp;Tableau6[[#Headers],[2022]],tabSuiviConso[Jour Mois Année],0)</f>
        <v>#N/A</v>
      </c>
      <c r="H323" s="102" t="str">
        <f>IF(ISNA(Tableau6[[#This Row],[Position 2022]]),"",INDEX(tabSuiviConso[HP + HC
cumul],Tableau6[[#This Row],[Position 2022]],1))</f>
        <v/>
      </c>
      <c r="I323" s="123" t="e">
        <f>IF(ISNA(Tableau6[[#This Row],[Position 2022]]),Tableau6[[#This Row],[Position 2022]],Tableau6[[#This Row],[2022]]-H$2)</f>
        <v>#N/A</v>
      </c>
      <c r="J323" s="102" t="e">
        <f>MATCH(Tableau6[Jours Mois]&amp;"/"&amp;Tableau6[[#Headers],[2023]],tabSuiviConso[Jour Mois Année],0)</f>
        <v>#N/A</v>
      </c>
      <c r="K323" s="102" t="e">
        <f>Tableau6[[#This Row],[Cumul 2022]]-Tableau6[[#This Row],[Cumul 2021]]</f>
        <v>#N/A</v>
      </c>
      <c r="L323" s="104" t="e">
        <f>Tableau6[[#This Row],[Ecart 2021 2022]]/Tableau6[[#This Row],[Cumul 2021]]</f>
        <v>#N/A</v>
      </c>
      <c r="M323" s="102" t="str">
        <f>IF(ISNA(Tableau6[[#This Row],[Position 2023]]),"",INDEX(tabSuiviConso[HP + HC
cumul],Tableau6[[#This Row],[Position 2023]],1))</f>
        <v/>
      </c>
      <c r="N323" s="123" t="e">
        <f>IF(ISNA(Tableau6[[#This Row],[Position 2023]]),Tableau6[[#This Row],[Position 2023]],Tableau6[[#This Row],[2023]]-M$2)</f>
        <v>#N/A</v>
      </c>
      <c r="O323" s="102" t="e">
        <f>Tableau6[[#This Row],[Cumul 2023]]-Tableau6[[#This Row],[Cumul 2022]]</f>
        <v>#N/A</v>
      </c>
      <c r="P323" s="104" t="e">
        <f>Tableau6[[#This Row],[Ecart 2022 2023]]/Tableau6[[#This Row],[Cumul 2022]]</f>
        <v>#N/A</v>
      </c>
      <c r="Q323" s="102" t="e">
        <f>MATCH(Tableau6[Jours Mois]&amp;"/"&amp;Tableau6[[#Headers],[2024]],tabSuiviConso[Jour Mois Année],0)</f>
        <v>#N/A</v>
      </c>
      <c r="R323" s="102" t="str">
        <f>IF(ISNA(Tableau6[[#This Row],[Position 2024]]),"",INDEX(tabSuiviConso[HP + HC
cumul],Tableau6[[#This Row],[Position 2024]],1))</f>
        <v/>
      </c>
      <c r="S323" s="123" t="e">
        <f>IF(ISNA(Tableau6[[#This Row],[Position 2024]]),Tableau6[[#This Row],[Position 2024]],Tableau6[[#This Row],[2024]]-R$2)</f>
        <v>#N/A</v>
      </c>
      <c r="T323" s="102" t="e">
        <f>Tableau6[[#This Row],[Cumul 2024]]-Tableau6[[#This Row],[Cumul 2023]]</f>
        <v>#N/A</v>
      </c>
      <c r="U323" s="103" t="e">
        <f>Tableau6[[#This Row],[Ecart 2023 2024]]/Tableau6[[#This Row],[Cumul 2023]]</f>
        <v>#N/A</v>
      </c>
    </row>
    <row r="324" spans="1:21" x14ac:dyDescent="0.2">
      <c r="A324" s="102">
        <v>11</v>
      </c>
      <c r="B324" s="102">
        <v>17</v>
      </c>
      <c r="C324" s="102" t="str">
        <f>Tableau6[Jour]&amp;"/"&amp;Tableau6[Mois]</f>
        <v>17/11</v>
      </c>
      <c r="D324" s="102" t="e">
        <f>MATCH(Tableau6[Jours Mois]&amp;"/"&amp;Tableau6[[#Headers],[2021]],tabSuiviConso[Jour Mois Année],0)</f>
        <v>#N/A</v>
      </c>
      <c r="E324" s="102" t="str">
        <f>IF(ISNA(Tableau6[[#This Row],[Position 2021]]),"",INDEX(tabSuiviConso[HP + HC
cumul],Tableau6[[#This Row],[Position 2021]],1))</f>
        <v/>
      </c>
      <c r="F324" s="123" t="e">
        <f>IF(ISNA(Tableau6[[#This Row],[Position 2021]]),Tableau6[[#This Row],[Position 2021]],Tableau6[[#This Row],[2021]]-E$2)</f>
        <v>#N/A</v>
      </c>
      <c r="G324" s="102" t="e">
        <f>MATCH(Tableau6[Jours Mois]&amp;"/"&amp;Tableau6[[#Headers],[2022]],tabSuiviConso[Jour Mois Année],0)</f>
        <v>#N/A</v>
      </c>
      <c r="H324" s="102" t="str">
        <f>IF(ISNA(Tableau6[[#This Row],[Position 2022]]),"",INDEX(tabSuiviConso[HP + HC
cumul],Tableau6[[#This Row],[Position 2022]],1))</f>
        <v/>
      </c>
      <c r="I324" s="123" t="e">
        <f>IF(ISNA(Tableau6[[#This Row],[Position 2022]]),Tableau6[[#This Row],[Position 2022]],Tableau6[[#This Row],[2022]]-H$2)</f>
        <v>#N/A</v>
      </c>
      <c r="J324" s="102" t="e">
        <f>MATCH(Tableau6[Jours Mois]&amp;"/"&amp;Tableau6[[#Headers],[2023]],tabSuiviConso[Jour Mois Année],0)</f>
        <v>#N/A</v>
      </c>
      <c r="K324" s="102" t="e">
        <f>Tableau6[[#This Row],[Cumul 2022]]-Tableau6[[#This Row],[Cumul 2021]]</f>
        <v>#N/A</v>
      </c>
      <c r="L324" s="104" t="e">
        <f>Tableau6[[#This Row],[Ecart 2021 2022]]/Tableau6[[#This Row],[Cumul 2021]]</f>
        <v>#N/A</v>
      </c>
      <c r="M324" s="102" t="str">
        <f>IF(ISNA(Tableau6[[#This Row],[Position 2023]]),"",INDEX(tabSuiviConso[HP + HC
cumul],Tableau6[[#This Row],[Position 2023]],1))</f>
        <v/>
      </c>
      <c r="N324" s="123" t="e">
        <f>IF(ISNA(Tableau6[[#This Row],[Position 2023]]),Tableau6[[#This Row],[Position 2023]],Tableau6[[#This Row],[2023]]-M$2)</f>
        <v>#N/A</v>
      </c>
      <c r="O324" s="102" t="e">
        <f>Tableau6[[#This Row],[Cumul 2023]]-Tableau6[[#This Row],[Cumul 2022]]</f>
        <v>#N/A</v>
      </c>
      <c r="P324" s="104" t="e">
        <f>Tableau6[[#This Row],[Ecart 2022 2023]]/Tableau6[[#This Row],[Cumul 2022]]</f>
        <v>#N/A</v>
      </c>
      <c r="Q324" s="102" t="e">
        <f>MATCH(Tableau6[Jours Mois]&amp;"/"&amp;Tableau6[[#Headers],[2024]],tabSuiviConso[Jour Mois Année],0)</f>
        <v>#N/A</v>
      </c>
      <c r="R324" s="102" t="str">
        <f>IF(ISNA(Tableau6[[#This Row],[Position 2024]]),"",INDEX(tabSuiviConso[HP + HC
cumul],Tableau6[[#This Row],[Position 2024]],1))</f>
        <v/>
      </c>
      <c r="S324" s="123" t="e">
        <f>IF(ISNA(Tableau6[[#This Row],[Position 2024]]),Tableau6[[#This Row],[Position 2024]],Tableau6[[#This Row],[2024]]-R$2)</f>
        <v>#N/A</v>
      </c>
      <c r="T324" s="102" t="e">
        <f>Tableau6[[#This Row],[Cumul 2024]]-Tableau6[[#This Row],[Cumul 2023]]</f>
        <v>#N/A</v>
      </c>
      <c r="U324" s="103" t="e">
        <f>Tableau6[[#This Row],[Ecart 2023 2024]]/Tableau6[[#This Row],[Cumul 2023]]</f>
        <v>#N/A</v>
      </c>
    </row>
    <row r="325" spans="1:21" x14ac:dyDescent="0.2">
      <c r="A325" s="102">
        <v>11</v>
      </c>
      <c r="B325" s="102">
        <v>18</v>
      </c>
      <c r="C325" s="102" t="str">
        <f>Tableau6[Jour]&amp;"/"&amp;Tableau6[Mois]</f>
        <v>18/11</v>
      </c>
      <c r="D325" s="102" t="e">
        <f>MATCH(Tableau6[Jours Mois]&amp;"/"&amp;Tableau6[[#Headers],[2021]],tabSuiviConso[Jour Mois Année],0)</f>
        <v>#N/A</v>
      </c>
      <c r="E325" s="102" t="str">
        <f>IF(ISNA(Tableau6[[#This Row],[Position 2021]]),"",INDEX(tabSuiviConso[HP + HC
cumul],Tableau6[[#This Row],[Position 2021]],1))</f>
        <v/>
      </c>
      <c r="F325" s="123" t="e">
        <f>IF(ISNA(Tableau6[[#This Row],[Position 2021]]),Tableau6[[#This Row],[Position 2021]],Tableau6[[#This Row],[2021]]-E$2)</f>
        <v>#N/A</v>
      </c>
      <c r="G325" s="102" t="e">
        <f>MATCH(Tableau6[Jours Mois]&amp;"/"&amp;Tableau6[[#Headers],[2022]],tabSuiviConso[Jour Mois Année],0)</f>
        <v>#N/A</v>
      </c>
      <c r="H325" s="102" t="str">
        <f>IF(ISNA(Tableau6[[#This Row],[Position 2022]]),"",INDEX(tabSuiviConso[HP + HC
cumul],Tableau6[[#This Row],[Position 2022]],1))</f>
        <v/>
      </c>
      <c r="I325" s="123" t="e">
        <f>IF(ISNA(Tableau6[[#This Row],[Position 2022]]),Tableau6[[#This Row],[Position 2022]],Tableau6[[#This Row],[2022]]-H$2)</f>
        <v>#N/A</v>
      </c>
      <c r="J325" s="102" t="e">
        <f>MATCH(Tableau6[Jours Mois]&amp;"/"&amp;Tableau6[[#Headers],[2023]],tabSuiviConso[Jour Mois Année],0)</f>
        <v>#N/A</v>
      </c>
      <c r="K325" s="102" t="e">
        <f>Tableau6[[#This Row],[Cumul 2022]]-Tableau6[[#This Row],[Cumul 2021]]</f>
        <v>#N/A</v>
      </c>
      <c r="L325" s="104" t="e">
        <f>Tableau6[[#This Row],[Ecart 2021 2022]]/Tableau6[[#This Row],[Cumul 2021]]</f>
        <v>#N/A</v>
      </c>
      <c r="M325" s="102" t="str">
        <f>IF(ISNA(Tableau6[[#This Row],[Position 2023]]),"",INDEX(tabSuiviConso[HP + HC
cumul],Tableau6[[#This Row],[Position 2023]],1))</f>
        <v/>
      </c>
      <c r="N325" s="123" t="e">
        <f>IF(ISNA(Tableau6[[#This Row],[Position 2023]]),Tableau6[[#This Row],[Position 2023]],Tableau6[[#This Row],[2023]]-M$2)</f>
        <v>#N/A</v>
      </c>
      <c r="O325" s="102" t="e">
        <f>Tableau6[[#This Row],[Cumul 2023]]-Tableau6[[#This Row],[Cumul 2022]]</f>
        <v>#N/A</v>
      </c>
      <c r="P325" s="104" t="e">
        <f>Tableau6[[#This Row],[Ecart 2022 2023]]/Tableau6[[#This Row],[Cumul 2022]]</f>
        <v>#N/A</v>
      </c>
      <c r="Q325" s="102" t="e">
        <f>MATCH(Tableau6[Jours Mois]&amp;"/"&amp;Tableau6[[#Headers],[2024]],tabSuiviConso[Jour Mois Année],0)</f>
        <v>#N/A</v>
      </c>
      <c r="R325" s="102" t="str">
        <f>IF(ISNA(Tableau6[[#This Row],[Position 2024]]),"",INDEX(tabSuiviConso[HP + HC
cumul],Tableau6[[#This Row],[Position 2024]],1))</f>
        <v/>
      </c>
      <c r="S325" s="123" t="e">
        <f>IF(ISNA(Tableau6[[#This Row],[Position 2024]]),Tableau6[[#This Row],[Position 2024]],Tableau6[[#This Row],[2024]]-R$2)</f>
        <v>#N/A</v>
      </c>
      <c r="T325" s="102" t="e">
        <f>Tableau6[[#This Row],[Cumul 2024]]-Tableau6[[#This Row],[Cumul 2023]]</f>
        <v>#N/A</v>
      </c>
      <c r="U325" s="103" t="e">
        <f>Tableau6[[#This Row],[Ecart 2023 2024]]/Tableau6[[#This Row],[Cumul 2023]]</f>
        <v>#N/A</v>
      </c>
    </row>
    <row r="326" spans="1:21" x14ac:dyDescent="0.2">
      <c r="A326" s="102">
        <v>11</v>
      </c>
      <c r="B326" s="102">
        <v>19</v>
      </c>
      <c r="C326" s="102" t="str">
        <f>Tableau6[Jour]&amp;"/"&amp;Tableau6[Mois]</f>
        <v>19/11</v>
      </c>
      <c r="D326" s="102" t="e">
        <f>MATCH(Tableau6[Jours Mois]&amp;"/"&amp;Tableau6[[#Headers],[2021]],tabSuiviConso[Jour Mois Année],0)</f>
        <v>#N/A</v>
      </c>
      <c r="E326" s="102" t="str">
        <f>IF(ISNA(Tableau6[[#This Row],[Position 2021]]),"",INDEX(tabSuiviConso[HP + HC
cumul],Tableau6[[#This Row],[Position 2021]],1))</f>
        <v/>
      </c>
      <c r="F326" s="123" t="e">
        <f>IF(ISNA(Tableau6[[#This Row],[Position 2021]]),Tableau6[[#This Row],[Position 2021]],Tableau6[[#This Row],[2021]]-E$2)</f>
        <v>#N/A</v>
      </c>
      <c r="G326" s="102" t="e">
        <f>MATCH(Tableau6[Jours Mois]&amp;"/"&amp;Tableau6[[#Headers],[2022]],tabSuiviConso[Jour Mois Année],0)</f>
        <v>#N/A</v>
      </c>
      <c r="H326" s="102" t="str">
        <f>IF(ISNA(Tableau6[[#This Row],[Position 2022]]),"",INDEX(tabSuiviConso[HP + HC
cumul],Tableau6[[#This Row],[Position 2022]],1))</f>
        <v/>
      </c>
      <c r="I326" s="123" t="e">
        <f>IF(ISNA(Tableau6[[#This Row],[Position 2022]]),Tableau6[[#This Row],[Position 2022]],Tableau6[[#This Row],[2022]]-H$2)</f>
        <v>#N/A</v>
      </c>
      <c r="J326" s="102" t="e">
        <f>MATCH(Tableau6[Jours Mois]&amp;"/"&amp;Tableau6[[#Headers],[2023]],tabSuiviConso[Jour Mois Année],0)</f>
        <v>#N/A</v>
      </c>
      <c r="K326" s="102" t="e">
        <f>Tableau6[[#This Row],[Cumul 2022]]-Tableau6[[#This Row],[Cumul 2021]]</f>
        <v>#N/A</v>
      </c>
      <c r="L326" s="104" t="e">
        <f>Tableau6[[#This Row],[Ecart 2021 2022]]/Tableau6[[#This Row],[Cumul 2021]]</f>
        <v>#N/A</v>
      </c>
      <c r="M326" s="102" t="str">
        <f>IF(ISNA(Tableau6[[#This Row],[Position 2023]]),"",INDEX(tabSuiviConso[HP + HC
cumul],Tableau6[[#This Row],[Position 2023]],1))</f>
        <v/>
      </c>
      <c r="N326" s="123" t="e">
        <f>IF(ISNA(Tableau6[[#This Row],[Position 2023]]),Tableau6[[#This Row],[Position 2023]],Tableau6[[#This Row],[2023]]-M$2)</f>
        <v>#N/A</v>
      </c>
      <c r="O326" s="102" t="e">
        <f>Tableau6[[#This Row],[Cumul 2023]]-Tableau6[[#This Row],[Cumul 2022]]</f>
        <v>#N/A</v>
      </c>
      <c r="P326" s="104" t="e">
        <f>Tableau6[[#This Row],[Ecart 2022 2023]]/Tableau6[[#This Row],[Cumul 2022]]</f>
        <v>#N/A</v>
      </c>
      <c r="Q326" s="102" t="e">
        <f>MATCH(Tableau6[Jours Mois]&amp;"/"&amp;Tableau6[[#Headers],[2024]],tabSuiviConso[Jour Mois Année],0)</f>
        <v>#N/A</v>
      </c>
      <c r="R326" s="102" t="str">
        <f>IF(ISNA(Tableau6[[#This Row],[Position 2024]]),"",INDEX(tabSuiviConso[HP + HC
cumul],Tableau6[[#This Row],[Position 2024]],1))</f>
        <v/>
      </c>
      <c r="S326" s="123" t="e">
        <f>IF(ISNA(Tableau6[[#This Row],[Position 2024]]),Tableau6[[#This Row],[Position 2024]],Tableau6[[#This Row],[2024]]-R$2)</f>
        <v>#N/A</v>
      </c>
      <c r="T326" s="102" t="e">
        <f>Tableau6[[#This Row],[Cumul 2024]]-Tableau6[[#This Row],[Cumul 2023]]</f>
        <v>#N/A</v>
      </c>
      <c r="U326" s="103" t="e">
        <f>Tableau6[[#This Row],[Ecart 2023 2024]]/Tableau6[[#This Row],[Cumul 2023]]</f>
        <v>#N/A</v>
      </c>
    </row>
    <row r="327" spans="1:21" x14ac:dyDescent="0.2">
      <c r="A327" s="102">
        <v>11</v>
      </c>
      <c r="B327" s="102">
        <v>20</v>
      </c>
      <c r="C327" s="102" t="str">
        <f>Tableau6[Jour]&amp;"/"&amp;Tableau6[Mois]</f>
        <v>20/11</v>
      </c>
      <c r="D327" s="102" t="e">
        <f>MATCH(Tableau6[Jours Mois]&amp;"/"&amp;Tableau6[[#Headers],[2021]],tabSuiviConso[Jour Mois Année],0)</f>
        <v>#N/A</v>
      </c>
      <c r="E327" s="102" t="str">
        <f>IF(ISNA(Tableau6[[#This Row],[Position 2021]]),"",INDEX(tabSuiviConso[HP + HC
cumul],Tableau6[[#This Row],[Position 2021]],1))</f>
        <v/>
      </c>
      <c r="F327" s="123" t="e">
        <f>IF(ISNA(Tableau6[[#This Row],[Position 2021]]),Tableau6[[#This Row],[Position 2021]],Tableau6[[#This Row],[2021]]-E$2)</f>
        <v>#N/A</v>
      </c>
      <c r="G327" s="102" t="e">
        <f>MATCH(Tableau6[Jours Mois]&amp;"/"&amp;Tableau6[[#Headers],[2022]],tabSuiviConso[Jour Mois Année],0)</f>
        <v>#N/A</v>
      </c>
      <c r="H327" s="102" t="str">
        <f>IF(ISNA(Tableau6[[#This Row],[Position 2022]]),"",INDEX(tabSuiviConso[HP + HC
cumul],Tableau6[[#This Row],[Position 2022]],1))</f>
        <v/>
      </c>
      <c r="I327" s="123" t="e">
        <f>IF(ISNA(Tableau6[[#This Row],[Position 2022]]),Tableau6[[#This Row],[Position 2022]],Tableau6[[#This Row],[2022]]-H$2)</f>
        <v>#N/A</v>
      </c>
      <c r="J327" s="102" t="e">
        <f>MATCH(Tableau6[Jours Mois]&amp;"/"&amp;Tableau6[[#Headers],[2023]],tabSuiviConso[Jour Mois Année],0)</f>
        <v>#N/A</v>
      </c>
      <c r="K327" s="102" t="e">
        <f>Tableau6[[#This Row],[Cumul 2022]]-Tableau6[[#This Row],[Cumul 2021]]</f>
        <v>#N/A</v>
      </c>
      <c r="L327" s="104" t="e">
        <f>Tableau6[[#This Row],[Ecart 2021 2022]]/Tableau6[[#This Row],[Cumul 2021]]</f>
        <v>#N/A</v>
      </c>
      <c r="M327" s="102" t="str">
        <f>IF(ISNA(Tableau6[[#This Row],[Position 2023]]),"",INDEX(tabSuiviConso[HP + HC
cumul],Tableau6[[#This Row],[Position 2023]],1))</f>
        <v/>
      </c>
      <c r="N327" s="123" t="e">
        <f>IF(ISNA(Tableau6[[#This Row],[Position 2023]]),Tableau6[[#This Row],[Position 2023]],Tableau6[[#This Row],[2023]]-M$2)</f>
        <v>#N/A</v>
      </c>
      <c r="O327" s="102" t="e">
        <f>Tableau6[[#This Row],[Cumul 2023]]-Tableau6[[#This Row],[Cumul 2022]]</f>
        <v>#N/A</v>
      </c>
      <c r="P327" s="104" t="e">
        <f>Tableau6[[#This Row],[Ecart 2022 2023]]/Tableau6[[#This Row],[Cumul 2022]]</f>
        <v>#N/A</v>
      </c>
      <c r="Q327" s="102" t="e">
        <f>MATCH(Tableau6[Jours Mois]&amp;"/"&amp;Tableau6[[#Headers],[2024]],tabSuiviConso[Jour Mois Année],0)</f>
        <v>#N/A</v>
      </c>
      <c r="R327" s="102" t="str">
        <f>IF(ISNA(Tableau6[[#This Row],[Position 2024]]),"",INDEX(tabSuiviConso[HP + HC
cumul],Tableau6[[#This Row],[Position 2024]],1))</f>
        <v/>
      </c>
      <c r="S327" s="123" t="e">
        <f>IF(ISNA(Tableau6[[#This Row],[Position 2024]]),Tableau6[[#This Row],[Position 2024]],Tableau6[[#This Row],[2024]]-R$2)</f>
        <v>#N/A</v>
      </c>
      <c r="T327" s="102" t="e">
        <f>Tableau6[[#This Row],[Cumul 2024]]-Tableau6[[#This Row],[Cumul 2023]]</f>
        <v>#N/A</v>
      </c>
      <c r="U327" s="103" t="e">
        <f>Tableau6[[#This Row],[Ecart 2023 2024]]/Tableau6[[#This Row],[Cumul 2023]]</f>
        <v>#N/A</v>
      </c>
    </row>
    <row r="328" spans="1:21" x14ac:dyDescent="0.2">
      <c r="A328" s="102">
        <v>11</v>
      </c>
      <c r="B328" s="102">
        <v>21</v>
      </c>
      <c r="C328" s="102" t="str">
        <f>Tableau6[Jour]&amp;"/"&amp;Tableau6[Mois]</f>
        <v>21/11</v>
      </c>
      <c r="D328" s="102" t="e">
        <f>MATCH(Tableau6[Jours Mois]&amp;"/"&amp;Tableau6[[#Headers],[2021]],tabSuiviConso[Jour Mois Année],0)</f>
        <v>#N/A</v>
      </c>
      <c r="E328" s="102" t="str">
        <f>IF(ISNA(Tableau6[[#This Row],[Position 2021]]),"",INDEX(tabSuiviConso[HP + HC
cumul],Tableau6[[#This Row],[Position 2021]],1))</f>
        <v/>
      </c>
      <c r="F328" s="123" t="e">
        <f>IF(ISNA(Tableau6[[#This Row],[Position 2021]]),Tableau6[[#This Row],[Position 2021]],Tableau6[[#This Row],[2021]]-E$2)</f>
        <v>#N/A</v>
      </c>
      <c r="G328" s="102" t="e">
        <f>MATCH(Tableau6[Jours Mois]&amp;"/"&amp;Tableau6[[#Headers],[2022]],tabSuiviConso[Jour Mois Année],0)</f>
        <v>#N/A</v>
      </c>
      <c r="H328" s="102" t="str">
        <f>IF(ISNA(Tableau6[[#This Row],[Position 2022]]),"",INDEX(tabSuiviConso[HP + HC
cumul],Tableau6[[#This Row],[Position 2022]],1))</f>
        <v/>
      </c>
      <c r="I328" s="123" t="e">
        <f>IF(ISNA(Tableau6[[#This Row],[Position 2022]]),Tableau6[[#This Row],[Position 2022]],Tableau6[[#This Row],[2022]]-H$2)</f>
        <v>#N/A</v>
      </c>
      <c r="J328" s="102" t="e">
        <f>MATCH(Tableau6[Jours Mois]&amp;"/"&amp;Tableau6[[#Headers],[2023]],tabSuiviConso[Jour Mois Année],0)</f>
        <v>#N/A</v>
      </c>
      <c r="K328" s="102" t="e">
        <f>Tableau6[[#This Row],[Cumul 2022]]-Tableau6[[#This Row],[Cumul 2021]]</f>
        <v>#N/A</v>
      </c>
      <c r="L328" s="104" t="e">
        <f>Tableau6[[#This Row],[Ecart 2021 2022]]/Tableau6[[#This Row],[Cumul 2021]]</f>
        <v>#N/A</v>
      </c>
      <c r="M328" s="102" t="str">
        <f>IF(ISNA(Tableau6[[#This Row],[Position 2023]]),"",INDEX(tabSuiviConso[HP + HC
cumul],Tableau6[[#This Row],[Position 2023]],1))</f>
        <v/>
      </c>
      <c r="N328" s="123" t="e">
        <f>IF(ISNA(Tableau6[[#This Row],[Position 2023]]),Tableau6[[#This Row],[Position 2023]],Tableau6[[#This Row],[2023]]-M$2)</f>
        <v>#N/A</v>
      </c>
      <c r="O328" s="102" t="e">
        <f>Tableau6[[#This Row],[Cumul 2023]]-Tableau6[[#This Row],[Cumul 2022]]</f>
        <v>#N/A</v>
      </c>
      <c r="P328" s="104" t="e">
        <f>Tableau6[[#This Row],[Ecart 2022 2023]]/Tableau6[[#This Row],[Cumul 2022]]</f>
        <v>#N/A</v>
      </c>
      <c r="Q328" s="102" t="e">
        <f>MATCH(Tableau6[Jours Mois]&amp;"/"&amp;Tableau6[[#Headers],[2024]],tabSuiviConso[Jour Mois Année],0)</f>
        <v>#N/A</v>
      </c>
      <c r="R328" s="102" t="str">
        <f>IF(ISNA(Tableau6[[#This Row],[Position 2024]]),"",INDEX(tabSuiviConso[HP + HC
cumul],Tableau6[[#This Row],[Position 2024]],1))</f>
        <v/>
      </c>
      <c r="S328" s="123" t="e">
        <f>IF(ISNA(Tableau6[[#This Row],[Position 2024]]),Tableau6[[#This Row],[Position 2024]],Tableau6[[#This Row],[2024]]-R$2)</f>
        <v>#N/A</v>
      </c>
      <c r="T328" s="102" t="e">
        <f>Tableau6[[#This Row],[Cumul 2024]]-Tableau6[[#This Row],[Cumul 2023]]</f>
        <v>#N/A</v>
      </c>
      <c r="U328" s="103" t="e">
        <f>Tableau6[[#This Row],[Ecart 2023 2024]]/Tableau6[[#This Row],[Cumul 2023]]</f>
        <v>#N/A</v>
      </c>
    </row>
    <row r="329" spans="1:21" x14ac:dyDescent="0.2">
      <c r="A329" s="102">
        <v>11</v>
      </c>
      <c r="B329" s="102">
        <v>22</v>
      </c>
      <c r="C329" s="102" t="str">
        <f>Tableau6[Jour]&amp;"/"&amp;Tableau6[Mois]</f>
        <v>22/11</v>
      </c>
      <c r="D329" s="102" t="e">
        <f>MATCH(Tableau6[Jours Mois]&amp;"/"&amp;Tableau6[[#Headers],[2021]],tabSuiviConso[Jour Mois Année],0)</f>
        <v>#N/A</v>
      </c>
      <c r="E329" s="102" t="str">
        <f>IF(ISNA(Tableau6[[#This Row],[Position 2021]]),"",INDEX(tabSuiviConso[HP + HC
cumul],Tableau6[[#This Row],[Position 2021]],1))</f>
        <v/>
      </c>
      <c r="F329" s="123" t="e">
        <f>IF(ISNA(Tableau6[[#This Row],[Position 2021]]),Tableau6[[#This Row],[Position 2021]],Tableau6[[#This Row],[2021]]-E$2)</f>
        <v>#N/A</v>
      </c>
      <c r="G329" s="102" t="e">
        <f>MATCH(Tableau6[Jours Mois]&amp;"/"&amp;Tableau6[[#Headers],[2022]],tabSuiviConso[Jour Mois Année],0)</f>
        <v>#N/A</v>
      </c>
      <c r="H329" s="102" t="str">
        <f>IF(ISNA(Tableau6[[#This Row],[Position 2022]]),"",INDEX(tabSuiviConso[HP + HC
cumul],Tableau6[[#This Row],[Position 2022]],1))</f>
        <v/>
      </c>
      <c r="I329" s="123" t="e">
        <f>IF(ISNA(Tableau6[[#This Row],[Position 2022]]),Tableau6[[#This Row],[Position 2022]],Tableau6[[#This Row],[2022]]-H$2)</f>
        <v>#N/A</v>
      </c>
      <c r="J329" s="102" t="e">
        <f>MATCH(Tableau6[Jours Mois]&amp;"/"&amp;Tableau6[[#Headers],[2023]],tabSuiviConso[Jour Mois Année],0)</f>
        <v>#N/A</v>
      </c>
      <c r="K329" s="102" t="e">
        <f>Tableau6[[#This Row],[Cumul 2022]]-Tableau6[[#This Row],[Cumul 2021]]</f>
        <v>#N/A</v>
      </c>
      <c r="L329" s="104" t="e">
        <f>Tableau6[[#This Row],[Ecart 2021 2022]]/Tableau6[[#This Row],[Cumul 2021]]</f>
        <v>#N/A</v>
      </c>
      <c r="M329" s="102" t="str">
        <f>IF(ISNA(Tableau6[[#This Row],[Position 2023]]),"",INDEX(tabSuiviConso[HP + HC
cumul],Tableau6[[#This Row],[Position 2023]],1))</f>
        <v/>
      </c>
      <c r="N329" s="123" t="e">
        <f>IF(ISNA(Tableau6[[#This Row],[Position 2023]]),Tableau6[[#This Row],[Position 2023]],Tableau6[[#This Row],[2023]]-M$2)</f>
        <v>#N/A</v>
      </c>
      <c r="O329" s="102" t="e">
        <f>Tableau6[[#This Row],[Cumul 2023]]-Tableau6[[#This Row],[Cumul 2022]]</f>
        <v>#N/A</v>
      </c>
      <c r="P329" s="104" t="e">
        <f>Tableau6[[#This Row],[Ecart 2022 2023]]/Tableau6[[#This Row],[Cumul 2022]]</f>
        <v>#N/A</v>
      </c>
      <c r="Q329" s="102" t="e">
        <f>MATCH(Tableau6[Jours Mois]&amp;"/"&amp;Tableau6[[#Headers],[2024]],tabSuiviConso[Jour Mois Année],0)</f>
        <v>#N/A</v>
      </c>
      <c r="R329" s="102" t="str">
        <f>IF(ISNA(Tableau6[[#This Row],[Position 2024]]),"",INDEX(tabSuiviConso[HP + HC
cumul],Tableau6[[#This Row],[Position 2024]],1))</f>
        <v/>
      </c>
      <c r="S329" s="123" t="e">
        <f>IF(ISNA(Tableau6[[#This Row],[Position 2024]]),Tableau6[[#This Row],[Position 2024]],Tableau6[[#This Row],[2024]]-R$2)</f>
        <v>#N/A</v>
      </c>
      <c r="T329" s="102" t="e">
        <f>Tableau6[[#This Row],[Cumul 2024]]-Tableau6[[#This Row],[Cumul 2023]]</f>
        <v>#N/A</v>
      </c>
      <c r="U329" s="103" t="e">
        <f>Tableau6[[#This Row],[Ecart 2023 2024]]/Tableau6[[#This Row],[Cumul 2023]]</f>
        <v>#N/A</v>
      </c>
    </row>
    <row r="330" spans="1:21" x14ac:dyDescent="0.2">
      <c r="A330" s="102">
        <v>11</v>
      </c>
      <c r="B330" s="102">
        <v>23</v>
      </c>
      <c r="C330" s="102" t="str">
        <f>Tableau6[Jour]&amp;"/"&amp;Tableau6[Mois]</f>
        <v>23/11</v>
      </c>
      <c r="D330" s="102" t="e">
        <f>MATCH(Tableau6[Jours Mois]&amp;"/"&amp;Tableau6[[#Headers],[2021]],tabSuiviConso[Jour Mois Année],0)</f>
        <v>#N/A</v>
      </c>
      <c r="E330" s="102" t="str">
        <f>IF(ISNA(Tableau6[[#This Row],[Position 2021]]),"",INDEX(tabSuiviConso[HP + HC
cumul],Tableau6[[#This Row],[Position 2021]],1))</f>
        <v/>
      </c>
      <c r="F330" s="123" t="e">
        <f>IF(ISNA(Tableau6[[#This Row],[Position 2021]]),Tableau6[[#This Row],[Position 2021]],Tableau6[[#This Row],[2021]]-E$2)</f>
        <v>#N/A</v>
      </c>
      <c r="G330" s="102" t="e">
        <f>MATCH(Tableau6[Jours Mois]&amp;"/"&amp;Tableau6[[#Headers],[2022]],tabSuiviConso[Jour Mois Année],0)</f>
        <v>#N/A</v>
      </c>
      <c r="H330" s="102" t="str">
        <f>IF(ISNA(Tableau6[[#This Row],[Position 2022]]),"",INDEX(tabSuiviConso[HP + HC
cumul],Tableau6[[#This Row],[Position 2022]],1))</f>
        <v/>
      </c>
      <c r="I330" s="123" t="e">
        <f>IF(ISNA(Tableau6[[#This Row],[Position 2022]]),Tableau6[[#This Row],[Position 2022]],Tableau6[[#This Row],[2022]]-H$2)</f>
        <v>#N/A</v>
      </c>
      <c r="J330" s="102" t="e">
        <f>MATCH(Tableau6[Jours Mois]&amp;"/"&amp;Tableau6[[#Headers],[2023]],tabSuiviConso[Jour Mois Année],0)</f>
        <v>#N/A</v>
      </c>
      <c r="K330" s="102" t="e">
        <f>Tableau6[[#This Row],[Cumul 2022]]-Tableau6[[#This Row],[Cumul 2021]]</f>
        <v>#N/A</v>
      </c>
      <c r="L330" s="104" t="e">
        <f>Tableau6[[#This Row],[Ecart 2021 2022]]/Tableau6[[#This Row],[Cumul 2021]]</f>
        <v>#N/A</v>
      </c>
      <c r="M330" s="102" t="str">
        <f>IF(ISNA(Tableau6[[#This Row],[Position 2023]]),"",INDEX(tabSuiviConso[HP + HC
cumul],Tableau6[[#This Row],[Position 2023]],1))</f>
        <v/>
      </c>
      <c r="N330" s="123" t="e">
        <f>IF(ISNA(Tableau6[[#This Row],[Position 2023]]),Tableau6[[#This Row],[Position 2023]],Tableau6[[#This Row],[2023]]-M$2)</f>
        <v>#N/A</v>
      </c>
      <c r="O330" s="102" t="e">
        <f>Tableau6[[#This Row],[Cumul 2023]]-Tableau6[[#This Row],[Cumul 2022]]</f>
        <v>#N/A</v>
      </c>
      <c r="P330" s="104" t="e">
        <f>Tableau6[[#This Row],[Ecart 2022 2023]]/Tableau6[[#This Row],[Cumul 2022]]</f>
        <v>#N/A</v>
      </c>
      <c r="Q330" s="102" t="e">
        <f>MATCH(Tableau6[Jours Mois]&amp;"/"&amp;Tableau6[[#Headers],[2024]],tabSuiviConso[Jour Mois Année],0)</f>
        <v>#N/A</v>
      </c>
      <c r="R330" s="102" t="str">
        <f>IF(ISNA(Tableau6[[#This Row],[Position 2024]]),"",INDEX(tabSuiviConso[HP + HC
cumul],Tableau6[[#This Row],[Position 2024]],1))</f>
        <v/>
      </c>
      <c r="S330" s="123" t="e">
        <f>IF(ISNA(Tableau6[[#This Row],[Position 2024]]),Tableau6[[#This Row],[Position 2024]],Tableau6[[#This Row],[2024]]-R$2)</f>
        <v>#N/A</v>
      </c>
      <c r="T330" s="102" t="e">
        <f>Tableau6[[#This Row],[Cumul 2024]]-Tableau6[[#This Row],[Cumul 2023]]</f>
        <v>#N/A</v>
      </c>
      <c r="U330" s="103" t="e">
        <f>Tableau6[[#This Row],[Ecart 2023 2024]]/Tableau6[[#This Row],[Cumul 2023]]</f>
        <v>#N/A</v>
      </c>
    </row>
    <row r="331" spans="1:21" x14ac:dyDescent="0.2">
      <c r="A331" s="102">
        <v>11</v>
      </c>
      <c r="B331" s="102">
        <v>24</v>
      </c>
      <c r="C331" s="102" t="str">
        <f>Tableau6[Jour]&amp;"/"&amp;Tableau6[Mois]</f>
        <v>24/11</v>
      </c>
      <c r="D331" s="102" t="e">
        <f>MATCH(Tableau6[Jours Mois]&amp;"/"&amp;Tableau6[[#Headers],[2021]],tabSuiviConso[Jour Mois Année],0)</f>
        <v>#N/A</v>
      </c>
      <c r="E331" s="102" t="str">
        <f>IF(ISNA(Tableau6[[#This Row],[Position 2021]]),"",INDEX(tabSuiviConso[HP + HC
cumul],Tableau6[[#This Row],[Position 2021]],1))</f>
        <v/>
      </c>
      <c r="F331" s="123" t="e">
        <f>IF(ISNA(Tableau6[[#This Row],[Position 2021]]),Tableau6[[#This Row],[Position 2021]],Tableau6[[#This Row],[2021]]-E$2)</f>
        <v>#N/A</v>
      </c>
      <c r="G331" s="102" t="e">
        <f>MATCH(Tableau6[Jours Mois]&amp;"/"&amp;Tableau6[[#Headers],[2022]],tabSuiviConso[Jour Mois Année],0)</f>
        <v>#N/A</v>
      </c>
      <c r="H331" s="102" t="str">
        <f>IF(ISNA(Tableau6[[#This Row],[Position 2022]]),"",INDEX(tabSuiviConso[HP + HC
cumul],Tableau6[[#This Row],[Position 2022]],1))</f>
        <v/>
      </c>
      <c r="I331" s="123" t="e">
        <f>IF(ISNA(Tableau6[[#This Row],[Position 2022]]),Tableau6[[#This Row],[Position 2022]],Tableau6[[#This Row],[2022]]-H$2)</f>
        <v>#N/A</v>
      </c>
      <c r="J331" s="102" t="e">
        <f>MATCH(Tableau6[Jours Mois]&amp;"/"&amp;Tableau6[[#Headers],[2023]],tabSuiviConso[Jour Mois Année],0)</f>
        <v>#N/A</v>
      </c>
      <c r="K331" s="102" t="e">
        <f>Tableau6[[#This Row],[Cumul 2022]]-Tableau6[[#This Row],[Cumul 2021]]</f>
        <v>#N/A</v>
      </c>
      <c r="L331" s="104" t="e">
        <f>Tableau6[[#This Row],[Ecart 2021 2022]]/Tableau6[[#This Row],[Cumul 2021]]</f>
        <v>#N/A</v>
      </c>
      <c r="M331" s="102" t="str">
        <f>IF(ISNA(Tableau6[[#This Row],[Position 2023]]),"",INDEX(tabSuiviConso[HP + HC
cumul],Tableau6[[#This Row],[Position 2023]],1))</f>
        <v/>
      </c>
      <c r="N331" s="123" t="e">
        <f>IF(ISNA(Tableau6[[#This Row],[Position 2023]]),Tableau6[[#This Row],[Position 2023]],Tableau6[[#This Row],[2023]]-M$2)</f>
        <v>#N/A</v>
      </c>
      <c r="O331" s="102" t="e">
        <f>Tableau6[[#This Row],[Cumul 2023]]-Tableau6[[#This Row],[Cumul 2022]]</f>
        <v>#N/A</v>
      </c>
      <c r="P331" s="104" t="e">
        <f>Tableau6[[#This Row],[Ecart 2022 2023]]/Tableau6[[#This Row],[Cumul 2022]]</f>
        <v>#N/A</v>
      </c>
      <c r="Q331" s="102" t="e">
        <f>MATCH(Tableau6[Jours Mois]&amp;"/"&amp;Tableau6[[#Headers],[2024]],tabSuiviConso[Jour Mois Année],0)</f>
        <v>#N/A</v>
      </c>
      <c r="R331" s="102" t="str">
        <f>IF(ISNA(Tableau6[[#This Row],[Position 2024]]),"",INDEX(tabSuiviConso[HP + HC
cumul],Tableau6[[#This Row],[Position 2024]],1))</f>
        <v/>
      </c>
      <c r="S331" s="123" t="e">
        <f>IF(ISNA(Tableau6[[#This Row],[Position 2024]]),Tableau6[[#This Row],[Position 2024]],Tableau6[[#This Row],[2024]]-R$2)</f>
        <v>#N/A</v>
      </c>
      <c r="T331" s="102" t="e">
        <f>Tableau6[[#This Row],[Cumul 2024]]-Tableau6[[#This Row],[Cumul 2023]]</f>
        <v>#N/A</v>
      </c>
      <c r="U331" s="103" t="e">
        <f>Tableau6[[#This Row],[Ecart 2023 2024]]/Tableau6[[#This Row],[Cumul 2023]]</f>
        <v>#N/A</v>
      </c>
    </row>
    <row r="332" spans="1:21" x14ac:dyDescent="0.2">
      <c r="A332" s="102">
        <v>11</v>
      </c>
      <c r="B332" s="102">
        <v>25</v>
      </c>
      <c r="C332" s="102" t="str">
        <f>Tableau6[Jour]&amp;"/"&amp;Tableau6[Mois]</f>
        <v>25/11</v>
      </c>
      <c r="D332" s="102" t="e">
        <f>MATCH(Tableau6[Jours Mois]&amp;"/"&amp;Tableau6[[#Headers],[2021]],tabSuiviConso[Jour Mois Année],0)</f>
        <v>#N/A</v>
      </c>
      <c r="E332" s="102" t="str">
        <f>IF(ISNA(Tableau6[[#This Row],[Position 2021]]),"",INDEX(tabSuiviConso[HP + HC
cumul],Tableau6[[#This Row],[Position 2021]],1))</f>
        <v/>
      </c>
      <c r="F332" s="123" t="e">
        <f>IF(ISNA(Tableau6[[#This Row],[Position 2021]]),Tableau6[[#This Row],[Position 2021]],Tableau6[[#This Row],[2021]]-E$2)</f>
        <v>#N/A</v>
      </c>
      <c r="G332" s="102" t="e">
        <f>MATCH(Tableau6[Jours Mois]&amp;"/"&amp;Tableau6[[#Headers],[2022]],tabSuiviConso[Jour Mois Année],0)</f>
        <v>#N/A</v>
      </c>
      <c r="H332" s="102" t="str">
        <f>IF(ISNA(Tableau6[[#This Row],[Position 2022]]),"",INDEX(tabSuiviConso[HP + HC
cumul],Tableau6[[#This Row],[Position 2022]],1))</f>
        <v/>
      </c>
      <c r="I332" s="123" t="e">
        <f>IF(ISNA(Tableau6[[#This Row],[Position 2022]]),Tableau6[[#This Row],[Position 2022]],Tableau6[[#This Row],[2022]]-H$2)</f>
        <v>#N/A</v>
      </c>
      <c r="J332" s="102" t="e">
        <f>MATCH(Tableau6[Jours Mois]&amp;"/"&amp;Tableau6[[#Headers],[2023]],tabSuiviConso[Jour Mois Année],0)</f>
        <v>#N/A</v>
      </c>
      <c r="K332" s="102" t="e">
        <f>Tableau6[[#This Row],[Cumul 2022]]-Tableau6[[#This Row],[Cumul 2021]]</f>
        <v>#N/A</v>
      </c>
      <c r="L332" s="104" t="e">
        <f>Tableau6[[#This Row],[Ecart 2021 2022]]/Tableau6[[#This Row],[Cumul 2021]]</f>
        <v>#N/A</v>
      </c>
      <c r="M332" s="102" t="str">
        <f>IF(ISNA(Tableau6[[#This Row],[Position 2023]]),"",INDEX(tabSuiviConso[HP + HC
cumul],Tableau6[[#This Row],[Position 2023]],1))</f>
        <v/>
      </c>
      <c r="N332" s="123" t="e">
        <f>IF(ISNA(Tableau6[[#This Row],[Position 2023]]),Tableau6[[#This Row],[Position 2023]],Tableau6[[#This Row],[2023]]-M$2)</f>
        <v>#N/A</v>
      </c>
      <c r="O332" s="102" t="e">
        <f>Tableau6[[#This Row],[Cumul 2023]]-Tableau6[[#This Row],[Cumul 2022]]</f>
        <v>#N/A</v>
      </c>
      <c r="P332" s="104" t="e">
        <f>Tableau6[[#This Row],[Ecart 2022 2023]]/Tableau6[[#This Row],[Cumul 2022]]</f>
        <v>#N/A</v>
      </c>
      <c r="Q332" s="102" t="e">
        <f>MATCH(Tableau6[Jours Mois]&amp;"/"&amp;Tableau6[[#Headers],[2024]],tabSuiviConso[Jour Mois Année],0)</f>
        <v>#N/A</v>
      </c>
      <c r="R332" s="102" t="str">
        <f>IF(ISNA(Tableau6[[#This Row],[Position 2024]]),"",INDEX(tabSuiviConso[HP + HC
cumul],Tableau6[[#This Row],[Position 2024]],1))</f>
        <v/>
      </c>
      <c r="S332" s="123" t="e">
        <f>IF(ISNA(Tableau6[[#This Row],[Position 2024]]),Tableau6[[#This Row],[Position 2024]],Tableau6[[#This Row],[2024]]-R$2)</f>
        <v>#N/A</v>
      </c>
      <c r="T332" s="102" t="e">
        <f>Tableau6[[#This Row],[Cumul 2024]]-Tableau6[[#This Row],[Cumul 2023]]</f>
        <v>#N/A</v>
      </c>
      <c r="U332" s="103" t="e">
        <f>Tableau6[[#This Row],[Ecart 2023 2024]]/Tableau6[[#This Row],[Cumul 2023]]</f>
        <v>#N/A</v>
      </c>
    </row>
    <row r="333" spans="1:21" x14ac:dyDescent="0.2">
      <c r="A333" s="102">
        <v>11</v>
      </c>
      <c r="B333" s="102">
        <v>26</v>
      </c>
      <c r="C333" s="102" t="str">
        <f>Tableau6[Jour]&amp;"/"&amp;Tableau6[Mois]</f>
        <v>26/11</v>
      </c>
      <c r="D333" s="102" t="e">
        <f>MATCH(Tableau6[Jours Mois]&amp;"/"&amp;Tableau6[[#Headers],[2021]],tabSuiviConso[Jour Mois Année],0)</f>
        <v>#N/A</v>
      </c>
      <c r="E333" s="102" t="str">
        <f>IF(ISNA(Tableau6[[#This Row],[Position 2021]]),"",INDEX(tabSuiviConso[HP + HC
cumul],Tableau6[[#This Row],[Position 2021]],1))</f>
        <v/>
      </c>
      <c r="F333" s="123" t="e">
        <f>IF(ISNA(Tableau6[[#This Row],[Position 2021]]),Tableau6[[#This Row],[Position 2021]],Tableau6[[#This Row],[2021]]-E$2)</f>
        <v>#N/A</v>
      </c>
      <c r="G333" s="102" t="e">
        <f>MATCH(Tableau6[Jours Mois]&amp;"/"&amp;Tableau6[[#Headers],[2022]],tabSuiviConso[Jour Mois Année],0)</f>
        <v>#N/A</v>
      </c>
      <c r="H333" s="102" t="str">
        <f>IF(ISNA(Tableau6[[#This Row],[Position 2022]]),"",INDEX(tabSuiviConso[HP + HC
cumul],Tableau6[[#This Row],[Position 2022]],1))</f>
        <v/>
      </c>
      <c r="I333" s="123" t="e">
        <f>IF(ISNA(Tableau6[[#This Row],[Position 2022]]),Tableau6[[#This Row],[Position 2022]],Tableau6[[#This Row],[2022]]-H$2)</f>
        <v>#N/A</v>
      </c>
      <c r="J333" s="102" t="e">
        <f>MATCH(Tableau6[Jours Mois]&amp;"/"&amp;Tableau6[[#Headers],[2023]],tabSuiviConso[Jour Mois Année],0)</f>
        <v>#N/A</v>
      </c>
      <c r="K333" s="102" t="e">
        <f>Tableau6[[#This Row],[Cumul 2022]]-Tableau6[[#This Row],[Cumul 2021]]</f>
        <v>#N/A</v>
      </c>
      <c r="L333" s="104" t="e">
        <f>Tableau6[[#This Row],[Ecart 2021 2022]]/Tableau6[[#This Row],[Cumul 2021]]</f>
        <v>#N/A</v>
      </c>
      <c r="M333" s="102" t="str">
        <f>IF(ISNA(Tableau6[[#This Row],[Position 2023]]),"",INDEX(tabSuiviConso[HP + HC
cumul],Tableau6[[#This Row],[Position 2023]],1))</f>
        <v/>
      </c>
      <c r="N333" s="123" t="e">
        <f>IF(ISNA(Tableau6[[#This Row],[Position 2023]]),Tableau6[[#This Row],[Position 2023]],Tableau6[[#This Row],[2023]]-M$2)</f>
        <v>#N/A</v>
      </c>
      <c r="O333" s="102" t="e">
        <f>Tableau6[[#This Row],[Cumul 2023]]-Tableau6[[#This Row],[Cumul 2022]]</f>
        <v>#N/A</v>
      </c>
      <c r="P333" s="104" t="e">
        <f>Tableau6[[#This Row],[Ecart 2022 2023]]/Tableau6[[#This Row],[Cumul 2022]]</f>
        <v>#N/A</v>
      </c>
      <c r="Q333" s="102" t="e">
        <f>MATCH(Tableau6[Jours Mois]&amp;"/"&amp;Tableau6[[#Headers],[2024]],tabSuiviConso[Jour Mois Année],0)</f>
        <v>#N/A</v>
      </c>
      <c r="R333" s="102" t="str">
        <f>IF(ISNA(Tableau6[[#This Row],[Position 2024]]),"",INDEX(tabSuiviConso[HP + HC
cumul],Tableau6[[#This Row],[Position 2024]],1))</f>
        <v/>
      </c>
      <c r="S333" s="123" t="e">
        <f>IF(ISNA(Tableau6[[#This Row],[Position 2024]]),Tableau6[[#This Row],[Position 2024]],Tableau6[[#This Row],[2024]]-R$2)</f>
        <v>#N/A</v>
      </c>
      <c r="T333" s="102" t="e">
        <f>Tableau6[[#This Row],[Cumul 2024]]-Tableau6[[#This Row],[Cumul 2023]]</f>
        <v>#N/A</v>
      </c>
      <c r="U333" s="103" t="e">
        <f>Tableau6[[#This Row],[Ecart 2023 2024]]/Tableau6[[#This Row],[Cumul 2023]]</f>
        <v>#N/A</v>
      </c>
    </row>
    <row r="334" spans="1:21" x14ac:dyDescent="0.2">
      <c r="A334" s="102">
        <v>11</v>
      </c>
      <c r="B334" s="102">
        <v>27</v>
      </c>
      <c r="C334" s="102" t="str">
        <f>Tableau6[Jour]&amp;"/"&amp;Tableau6[Mois]</f>
        <v>27/11</v>
      </c>
      <c r="D334" s="102" t="e">
        <f>MATCH(Tableau6[Jours Mois]&amp;"/"&amp;Tableau6[[#Headers],[2021]],tabSuiviConso[Jour Mois Année],0)</f>
        <v>#N/A</v>
      </c>
      <c r="E334" s="102" t="str">
        <f>IF(ISNA(Tableau6[[#This Row],[Position 2021]]),"",INDEX(tabSuiviConso[HP + HC
cumul],Tableau6[[#This Row],[Position 2021]],1))</f>
        <v/>
      </c>
      <c r="F334" s="123" t="e">
        <f>IF(ISNA(Tableau6[[#This Row],[Position 2021]]),Tableau6[[#This Row],[Position 2021]],Tableau6[[#This Row],[2021]]-E$2)</f>
        <v>#N/A</v>
      </c>
      <c r="G334" s="102" t="e">
        <f>MATCH(Tableau6[Jours Mois]&amp;"/"&amp;Tableau6[[#Headers],[2022]],tabSuiviConso[Jour Mois Année],0)</f>
        <v>#N/A</v>
      </c>
      <c r="H334" s="102" t="str">
        <f>IF(ISNA(Tableau6[[#This Row],[Position 2022]]),"",INDEX(tabSuiviConso[HP + HC
cumul],Tableau6[[#This Row],[Position 2022]],1))</f>
        <v/>
      </c>
      <c r="I334" s="123" t="e">
        <f>IF(ISNA(Tableau6[[#This Row],[Position 2022]]),Tableau6[[#This Row],[Position 2022]],Tableau6[[#This Row],[2022]]-H$2)</f>
        <v>#N/A</v>
      </c>
      <c r="J334" s="102" t="e">
        <f>MATCH(Tableau6[Jours Mois]&amp;"/"&amp;Tableau6[[#Headers],[2023]],tabSuiviConso[Jour Mois Année],0)</f>
        <v>#N/A</v>
      </c>
      <c r="K334" s="102" t="e">
        <f>Tableau6[[#This Row],[Cumul 2022]]-Tableau6[[#This Row],[Cumul 2021]]</f>
        <v>#N/A</v>
      </c>
      <c r="L334" s="104" t="e">
        <f>Tableau6[[#This Row],[Ecart 2021 2022]]/Tableau6[[#This Row],[Cumul 2021]]</f>
        <v>#N/A</v>
      </c>
      <c r="M334" s="102" t="str">
        <f>IF(ISNA(Tableau6[[#This Row],[Position 2023]]),"",INDEX(tabSuiviConso[HP + HC
cumul],Tableau6[[#This Row],[Position 2023]],1))</f>
        <v/>
      </c>
      <c r="N334" s="123" t="e">
        <f>IF(ISNA(Tableau6[[#This Row],[Position 2023]]),Tableau6[[#This Row],[Position 2023]],Tableau6[[#This Row],[2023]]-M$2)</f>
        <v>#N/A</v>
      </c>
      <c r="O334" s="102" t="e">
        <f>Tableau6[[#This Row],[Cumul 2023]]-Tableau6[[#This Row],[Cumul 2022]]</f>
        <v>#N/A</v>
      </c>
      <c r="P334" s="104" t="e">
        <f>Tableau6[[#This Row],[Ecart 2022 2023]]/Tableau6[[#This Row],[Cumul 2022]]</f>
        <v>#N/A</v>
      </c>
      <c r="Q334" s="102" t="e">
        <f>MATCH(Tableau6[Jours Mois]&amp;"/"&amp;Tableau6[[#Headers],[2024]],tabSuiviConso[Jour Mois Année],0)</f>
        <v>#N/A</v>
      </c>
      <c r="R334" s="102" t="str">
        <f>IF(ISNA(Tableau6[[#This Row],[Position 2024]]),"",INDEX(tabSuiviConso[HP + HC
cumul],Tableau6[[#This Row],[Position 2024]],1))</f>
        <v/>
      </c>
      <c r="S334" s="123" t="e">
        <f>IF(ISNA(Tableau6[[#This Row],[Position 2024]]),Tableau6[[#This Row],[Position 2024]],Tableau6[[#This Row],[2024]]-R$2)</f>
        <v>#N/A</v>
      </c>
      <c r="T334" s="102" t="e">
        <f>Tableau6[[#This Row],[Cumul 2024]]-Tableau6[[#This Row],[Cumul 2023]]</f>
        <v>#N/A</v>
      </c>
      <c r="U334" s="103" t="e">
        <f>Tableau6[[#This Row],[Ecart 2023 2024]]/Tableau6[[#This Row],[Cumul 2023]]</f>
        <v>#N/A</v>
      </c>
    </row>
    <row r="335" spans="1:21" x14ac:dyDescent="0.2">
      <c r="A335" s="102">
        <v>11</v>
      </c>
      <c r="B335" s="102">
        <v>28</v>
      </c>
      <c r="C335" s="102" t="str">
        <f>Tableau6[Jour]&amp;"/"&amp;Tableau6[Mois]</f>
        <v>28/11</v>
      </c>
      <c r="D335" s="102" t="e">
        <f>MATCH(Tableau6[Jours Mois]&amp;"/"&amp;Tableau6[[#Headers],[2021]],tabSuiviConso[Jour Mois Année],0)</f>
        <v>#N/A</v>
      </c>
      <c r="E335" s="102" t="str">
        <f>IF(ISNA(Tableau6[[#This Row],[Position 2021]]),"",INDEX(tabSuiviConso[HP + HC
cumul],Tableau6[[#This Row],[Position 2021]],1))</f>
        <v/>
      </c>
      <c r="F335" s="123" t="e">
        <f>IF(ISNA(Tableau6[[#This Row],[Position 2021]]),Tableau6[[#This Row],[Position 2021]],Tableau6[[#This Row],[2021]]-E$2)</f>
        <v>#N/A</v>
      </c>
      <c r="G335" s="102" t="e">
        <f>MATCH(Tableau6[Jours Mois]&amp;"/"&amp;Tableau6[[#Headers],[2022]],tabSuiviConso[Jour Mois Année],0)</f>
        <v>#N/A</v>
      </c>
      <c r="H335" s="102" t="str">
        <f>IF(ISNA(Tableau6[[#This Row],[Position 2022]]),"",INDEX(tabSuiviConso[HP + HC
cumul],Tableau6[[#This Row],[Position 2022]],1))</f>
        <v/>
      </c>
      <c r="I335" s="123" t="e">
        <f>IF(ISNA(Tableau6[[#This Row],[Position 2022]]),Tableau6[[#This Row],[Position 2022]],Tableau6[[#This Row],[2022]]-H$2)</f>
        <v>#N/A</v>
      </c>
      <c r="J335" s="102" t="e">
        <f>MATCH(Tableau6[Jours Mois]&amp;"/"&amp;Tableau6[[#Headers],[2023]],tabSuiviConso[Jour Mois Année],0)</f>
        <v>#N/A</v>
      </c>
      <c r="K335" s="102" t="e">
        <f>Tableau6[[#This Row],[Cumul 2022]]-Tableau6[[#This Row],[Cumul 2021]]</f>
        <v>#N/A</v>
      </c>
      <c r="L335" s="104" t="e">
        <f>Tableau6[[#This Row],[Ecart 2021 2022]]/Tableau6[[#This Row],[Cumul 2021]]</f>
        <v>#N/A</v>
      </c>
      <c r="M335" s="102" t="str">
        <f>IF(ISNA(Tableau6[[#This Row],[Position 2023]]),"",INDEX(tabSuiviConso[HP + HC
cumul],Tableau6[[#This Row],[Position 2023]],1))</f>
        <v/>
      </c>
      <c r="N335" s="123" t="e">
        <f>IF(ISNA(Tableau6[[#This Row],[Position 2023]]),Tableau6[[#This Row],[Position 2023]],Tableau6[[#This Row],[2023]]-M$2)</f>
        <v>#N/A</v>
      </c>
      <c r="O335" s="102" t="e">
        <f>Tableau6[[#This Row],[Cumul 2023]]-Tableau6[[#This Row],[Cumul 2022]]</f>
        <v>#N/A</v>
      </c>
      <c r="P335" s="104" t="e">
        <f>Tableau6[[#This Row],[Ecart 2022 2023]]/Tableau6[[#This Row],[Cumul 2022]]</f>
        <v>#N/A</v>
      </c>
      <c r="Q335" s="102" t="e">
        <f>MATCH(Tableau6[Jours Mois]&amp;"/"&amp;Tableau6[[#Headers],[2024]],tabSuiviConso[Jour Mois Année],0)</f>
        <v>#N/A</v>
      </c>
      <c r="R335" s="102" t="str">
        <f>IF(ISNA(Tableau6[[#This Row],[Position 2024]]),"",INDEX(tabSuiviConso[HP + HC
cumul],Tableau6[[#This Row],[Position 2024]],1))</f>
        <v/>
      </c>
      <c r="S335" s="123" t="e">
        <f>IF(ISNA(Tableau6[[#This Row],[Position 2024]]),Tableau6[[#This Row],[Position 2024]],Tableau6[[#This Row],[2024]]-R$2)</f>
        <v>#N/A</v>
      </c>
      <c r="T335" s="102" t="e">
        <f>Tableau6[[#This Row],[Cumul 2024]]-Tableau6[[#This Row],[Cumul 2023]]</f>
        <v>#N/A</v>
      </c>
      <c r="U335" s="103" t="e">
        <f>Tableau6[[#This Row],[Ecart 2023 2024]]/Tableau6[[#This Row],[Cumul 2023]]</f>
        <v>#N/A</v>
      </c>
    </row>
    <row r="336" spans="1:21" x14ac:dyDescent="0.2">
      <c r="A336" s="102">
        <v>11</v>
      </c>
      <c r="B336" s="102">
        <v>29</v>
      </c>
      <c r="C336" s="102" t="str">
        <f>Tableau6[Jour]&amp;"/"&amp;Tableau6[Mois]</f>
        <v>29/11</v>
      </c>
      <c r="D336" s="102" t="e">
        <f>MATCH(Tableau6[Jours Mois]&amp;"/"&amp;Tableau6[[#Headers],[2021]],tabSuiviConso[Jour Mois Année],0)</f>
        <v>#N/A</v>
      </c>
      <c r="E336" s="102" t="str">
        <f>IF(ISNA(Tableau6[[#This Row],[Position 2021]]),"",INDEX(tabSuiviConso[HP + HC
cumul],Tableau6[[#This Row],[Position 2021]],1))</f>
        <v/>
      </c>
      <c r="F336" s="123" t="e">
        <f>IF(ISNA(Tableau6[[#This Row],[Position 2021]]),Tableau6[[#This Row],[Position 2021]],Tableau6[[#This Row],[2021]]-E$2)</f>
        <v>#N/A</v>
      </c>
      <c r="G336" s="102" t="e">
        <f>MATCH(Tableau6[Jours Mois]&amp;"/"&amp;Tableau6[[#Headers],[2022]],tabSuiviConso[Jour Mois Année],0)</f>
        <v>#N/A</v>
      </c>
      <c r="H336" s="102" t="str">
        <f>IF(ISNA(Tableau6[[#This Row],[Position 2022]]),"",INDEX(tabSuiviConso[HP + HC
cumul],Tableau6[[#This Row],[Position 2022]],1))</f>
        <v/>
      </c>
      <c r="I336" s="123" t="e">
        <f>IF(ISNA(Tableau6[[#This Row],[Position 2022]]),Tableau6[[#This Row],[Position 2022]],Tableau6[[#This Row],[2022]]-H$2)</f>
        <v>#N/A</v>
      </c>
      <c r="J336" s="102" t="e">
        <f>MATCH(Tableau6[Jours Mois]&amp;"/"&amp;Tableau6[[#Headers],[2023]],tabSuiviConso[Jour Mois Année],0)</f>
        <v>#N/A</v>
      </c>
      <c r="K336" s="102" t="e">
        <f>Tableau6[[#This Row],[Cumul 2022]]-Tableau6[[#This Row],[Cumul 2021]]</f>
        <v>#N/A</v>
      </c>
      <c r="L336" s="104" t="e">
        <f>Tableau6[[#This Row],[Ecart 2021 2022]]/Tableau6[[#This Row],[Cumul 2021]]</f>
        <v>#N/A</v>
      </c>
      <c r="M336" s="102" t="str">
        <f>IF(ISNA(Tableau6[[#This Row],[Position 2023]]),"",INDEX(tabSuiviConso[HP + HC
cumul],Tableau6[[#This Row],[Position 2023]],1))</f>
        <v/>
      </c>
      <c r="N336" s="123" t="e">
        <f>IF(ISNA(Tableau6[[#This Row],[Position 2023]]),Tableau6[[#This Row],[Position 2023]],Tableau6[[#This Row],[2023]]-M$2)</f>
        <v>#N/A</v>
      </c>
      <c r="O336" s="102" t="e">
        <f>Tableau6[[#This Row],[Cumul 2023]]-Tableau6[[#This Row],[Cumul 2022]]</f>
        <v>#N/A</v>
      </c>
      <c r="P336" s="104" t="e">
        <f>Tableau6[[#This Row],[Ecart 2022 2023]]/Tableau6[[#This Row],[Cumul 2022]]</f>
        <v>#N/A</v>
      </c>
      <c r="Q336" s="102" t="e">
        <f>MATCH(Tableau6[Jours Mois]&amp;"/"&amp;Tableau6[[#Headers],[2024]],tabSuiviConso[Jour Mois Année],0)</f>
        <v>#N/A</v>
      </c>
      <c r="R336" s="102" t="str">
        <f>IF(ISNA(Tableau6[[#This Row],[Position 2024]]),"",INDEX(tabSuiviConso[HP + HC
cumul],Tableau6[[#This Row],[Position 2024]],1))</f>
        <v/>
      </c>
      <c r="S336" s="123" t="e">
        <f>IF(ISNA(Tableau6[[#This Row],[Position 2024]]),Tableau6[[#This Row],[Position 2024]],Tableau6[[#This Row],[2024]]-R$2)</f>
        <v>#N/A</v>
      </c>
      <c r="T336" s="102" t="e">
        <f>Tableau6[[#This Row],[Cumul 2024]]-Tableau6[[#This Row],[Cumul 2023]]</f>
        <v>#N/A</v>
      </c>
      <c r="U336" s="103" t="e">
        <f>Tableau6[[#This Row],[Ecart 2023 2024]]/Tableau6[[#This Row],[Cumul 2023]]</f>
        <v>#N/A</v>
      </c>
    </row>
    <row r="337" spans="1:21" x14ac:dyDescent="0.2">
      <c r="A337" s="102">
        <v>11</v>
      </c>
      <c r="B337" s="102">
        <v>30</v>
      </c>
      <c r="C337" s="102" t="str">
        <f>Tableau6[Jour]&amp;"/"&amp;Tableau6[Mois]</f>
        <v>30/11</v>
      </c>
      <c r="D337" s="102" t="e">
        <f>MATCH(Tableau6[Jours Mois]&amp;"/"&amp;Tableau6[[#Headers],[2021]],tabSuiviConso[Jour Mois Année],0)</f>
        <v>#N/A</v>
      </c>
      <c r="E337" s="102" t="str">
        <f>IF(ISNA(Tableau6[[#This Row],[Position 2021]]),"",INDEX(tabSuiviConso[HP + HC
cumul],Tableau6[[#This Row],[Position 2021]],1))</f>
        <v/>
      </c>
      <c r="F337" s="123" t="e">
        <f>IF(ISNA(Tableau6[[#This Row],[Position 2021]]),Tableau6[[#This Row],[Position 2021]],Tableau6[[#This Row],[2021]]-E$2)</f>
        <v>#N/A</v>
      </c>
      <c r="G337" s="102" t="e">
        <f>MATCH(Tableau6[Jours Mois]&amp;"/"&amp;Tableau6[[#Headers],[2022]],tabSuiviConso[Jour Mois Année],0)</f>
        <v>#N/A</v>
      </c>
      <c r="H337" s="102" t="str">
        <f>IF(ISNA(Tableau6[[#This Row],[Position 2022]]),"",INDEX(tabSuiviConso[HP + HC
cumul],Tableau6[[#This Row],[Position 2022]],1))</f>
        <v/>
      </c>
      <c r="I337" s="123" t="e">
        <f>IF(ISNA(Tableau6[[#This Row],[Position 2022]]),Tableau6[[#This Row],[Position 2022]],Tableau6[[#This Row],[2022]]-H$2)</f>
        <v>#N/A</v>
      </c>
      <c r="J337" s="102" t="e">
        <f>MATCH(Tableau6[Jours Mois]&amp;"/"&amp;Tableau6[[#Headers],[2023]],tabSuiviConso[Jour Mois Année],0)</f>
        <v>#N/A</v>
      </c>
      <c r="K337" s="102" t="e">
        <f>Tableau6[[#This Row],[Cumul 2022]]-Tableau6[[#This Row],[Cumul 2021]]</f>
        <v>#N/A</v>
      </c>
      <c r="L337" s="104" t="e">
        <f>Tableau6[[#This Row],[Ecart 2021 2022]]/Tableau6[[#This Row],[Cumul 2021]]</f>
        <v>#N/A</v>
      </c>
      <c r="M337" s="102" t="str">
        <f>IF(ISNA(Tableau6[[#This Row],[Position 2023]]),"",INDEX(tabSuiviConso[HP + HC
cumul],Tableau6[[#This Row],[Position 2023]],1))</f>
        <v/>
      </c>
      <c r="N337" s="123" t="e">
        <f>IF(ISNA(Tableau6[[#This Row],[Position 2023]]),Tableau6[[#This Row],[Position 2023]],Tableau6[[#This Row],[2023]]-M$2)</f>
        <v>#N/A</v>
      </c>
      <c r="O337" s="102" t="e">
        <f>Tableau6[[#This Row],[Cumul 2023]]-Tableau6[[#This Row],[Cumul 2022]]</f>
        <v>#N/A</v>
      </c>
      <c r="P337" s="104" t="e">
        <f>Tableau6[[#This Row],[Ecart 2022 2023]]/Tableau6[[#This Row],[Cumul 2022]]</f>
        <v>#N/A</v>
      </c>
      <c r="Q337" s="102" t="e">
        <f>MATCH(Tableau6[Jours Mois]&amp;"/"&amp;Tableau6[[#Headers],[2024]],tabSuiviConso[Jour Mois Année],0)</f>
        <v>#N/A</v>
      </c>
      <c r="R337" s="102" t="str">
        <f>IF(ISNA(Tableau6[[#This Row],[Position 2024]]),"",INDEX(tabSuiviConso[HP + HC
cumul],Tableau6[[#This Row],[Position 2024]],1))</f>
        <v/>
      </c>
      <c r="S337" s="123" t="e">
        <f>IF(ISNA(Tableau6[[#This Row],[Position 2024]]),Tableau6[[#This Row],[Position 2024]],Tableau6[[#This Row],[2024]]-R$2)</f>
        <v>#N/A</v>
      </c>
      <c r="T337" s="102" t="e">
        <f>Tableau6[[#This Row],[Cumul 2024]]-Tableau6[[#This Row],[Cumul 2023]]</f>
        <v>#N/A</v>
      </c>
      <c r="U337" s="103" t="e">
        <f>Tableau6[[#This Row],[Ecart 2023 2024]]/Tableau6[[#This Row],[Cumul 2023]]</f>
        <v>#N/A</v>
      </c>
    </row>
    <row r="338" spans="1:21" x14ac:dyDescent="0.2">
      <c r="A338" s="102">
        <v>12</v>
      </c>
      <c r="B338" s="102">
        <v>1</v>
      </c>
      <c r="C338" s="102" t="str">
        <f>Tableau6[Jour]&amp;"/"&amp;Tableau6[Mois]</f>
        <v>1/12</v>
      </c>
      <c r="D338" s="102" t="e">
        <f>MATCH(Tableau6[Jours Mois]&amp;"/"&amp;Tableau6[[#Headers],[2021]],tabSuiviConso[Jour Mois Année],0)</f>
        <v>#N/A</v>
      </c>
      <c r="E338" s="102" t="str">
        <f>IF(ISNA(Tableau6[[#This Row],[Position 2021]]),"",INDEX(tabSuiviConso[HP + HC
cumul],Tableau6[[#This Row],[Position 2021]],1))</f>
        <v/>
      </c>
      <c r="F338" s="123" t="e">
        <f>IF(ISNA(Tableau6[[#This Row],[Position 2021]]),Tableau6[[#This Row],[Position 2021]],Tableau6[[#This Row],[2021]]-E$2)</f>
        <v>#N/A</v>
      </c>
      <c r="G338" s="102" t="e">
        <f>MATCH(Tableau6[Jours Mois]&amp;"/"&amp;Tableau6[[#Headers],[2022]],tabSuiviConso[Jour Mois Année],0)</f>
        <v>#N/A</v>
      </c>
      <c r="H338" s="102" t="str">
        <f>IF(ISNA(Tableau6[[#This Row],[Position 2022]]),"",INDEX(tabSuiviConso[HP + HC
cumul],Tableau6[[#This Row],[Position 2022]],1))</f>
        <v/>
      </c>
      <c r="I338" s="123" t="e">
        <f>IF(ISNA(Tableau6[[#This Row],[Position 2022]]),Tableau6[[#This Row],[Position 2022]],Tableau6[[#This Row],[2022]]-H$2)</f>
        <v>#N/A</v>
      </c>
      <c r="J338" s="102" t="e">
        <f>MATCH(Tableau6[Jours Mois]&amp;"/"&amp;Tableau6[[#Headers],[2023]],tabSuiviConso[Jour Mois Année],0)</f>
        <v>#N/A</v>
      </c>
      <c r="K338" s="102" t="e">
        <f>Tableau6[[#This Row],[Cumul 2022]]-Tableau6[[#This Row],[Cumul 2021]]</f>
        <v>#N/A</v>
      </c>
      <c r="L338" s="104" t="e">
        <f>Tableau6[[#This Row],[Ecart 2021 2022]]/Tableau6[[#This Row],[Cumul 2021]]</f>
        <v>#N/A</v>
      </c>
      <c r="M338" s="102" t="str">
        <f>IF(ISNA(Tableau6[[#This Row],[Position 2023]]),"",INDEX(tabSuiviConso[HP + HC
cumul],Tableau6[[#This Row],[Position 2023]],1))</f>
        <v/>
      </c>
      <c r="N338" s="123" t="e">
        <f>IF(ISNA(Tableau6[[#This Row],[Position 2023]]),Tableau6[[#This Row],[Position 2023]],Tableau6[[#This Row],[2023]]-M$2)</f>
        <v>#N/A</v>
      </c>
      <c r="O338" s="102" t="e">
        <f>Tableau6[[#This Row],[Cumul 2023]]-Tableau6[[#This Row],[Cumul 2022]]</f>
        <v>#N/A</v>
      </c>
      <c r="P338" s="104" t="e">
        <f>Tableau6[[#This Row],[Ecart 2022 2023]]/Tableau6[[#This Row],[Cumul 2022]]</f>
        <v>#N/A</v>
      </c>
      <c r="Q338" s="102" t="e">
        <f>MATCH(Tableau6[Jours Mois]&amp;"/"&amp;Tableau6[[#Headers],[2024]],tabSuiviConso[Jour Mois Année],0)</f>
        <v>#N/A</v>
      </c>
      <c r="R338" s="102" t="str">
        <f>IF(ISNA(Tableau6[[#This Row],[Position 2024]]),"",INDEX(tabSuiviConso[HP + HC
cumul],Tableau6[[#This Row],[Position 2024]],1))</f>
        <v/>
      </c>
      <c r="S338" s="123" t="e">
        <f>IF(ISNA(Tableau6[[#This Row],[Position 2024]]),Tableau6[[#This Row],[Position 2024]],Tableau6[[#This Row],[2024]]-R$2)</f>
        <v>#N/A</v>
      </c>
      <c r="T338" s="102" t="e">
        <f>Tableau6[[#This Row],[Cumul 2024]]-Tableau6[[#This Row],[Cumul 2023]]</f>
        <v>#N/A</v>
      </c>
      <c r="U338" s="103" t="e">
        <f>Tableau6[[#This Row],[Ecart 2023 2024]]/Tableau6[[#This Row],[Cumul 2023]]</f>
        <v>#N/A</v>
      </c>
    </row>
    <row r="339" spans="1:21" x14ac:dyDescent="0.2">
      <c r="A339" s="102">
        <v>12</v>
      </c>
      <c r="B339" s="102">
        <v>2</v>
      </c>
      <c r="C339" s="102" t="str">
        <f>Tableau6[Jour]&amp;"/"&amp;Tableau6[Mois]</f>
        <v>2/12</v>
      </c>
      <c r="D339" s="102" t="e">
        <f>MATCH(Tableau6[Jours Mois]&amp;"/"&amp;Tableau6[[#Headers],[2021]],tabSuiviConso[Jour Mois Année],0)</f>
        <v>#N/A</v>
      </c>
      <c r="E339" s="102" t="str">
        <f>IF(ISNA(Tableau6[[#This Row],[Position 2021]]),"",INDEX(tabSuiviConso[HP + HC
cumul],Tableau6[[#This Row],[Position 2021]],1))</f>
        <v/>
      </c>
      <c r="F339" s="123" t="e">
        <f>IF(ISNA(Tableau6[[#This Row],[Position 2021]]),Tableau6[[#This Row],[Position 2021]],Tableau6[[#This Row],[2021]]-E$2)</f>
        <v>#N/A</v>
      </c>
      <c r="G339" s="102" t="e">
        <f>MATCH(Tableau6[Jours Mois]&amp;"/"&amp;Tableau6[[#Headers],[2022]],tabSuiviConso[Jour Mois Année],0)</f>
        <v>#N/A</v>
      </c>
      <c r="H339" s="102" t="str">
        <f>IF(ISNA(Tableau6[[#This Row],[Position 2022]]),"",INDEX(tabSuiviConso[HP + HC
cumul],Tableau6[[#This Row],[Position 2022]],1))</f>
        <v/>
      </c>
      <c r="I339" s="123" t="e">
        <f>IF(ISNA(Tableau6[[#This Row],[Position 2022]]),Tableau6[[#This Row],[Position 2022]],Tableau6[[#This Row],[2022]]-H$2)</f>
        <v>#N/A</v>
      </c>
      <c r="J339" s="102" t="e">
        <f>MATCH(Tableau6[Jours Mois]&amp;"/"&amp;Tableau6[[#Headers],[2023]],tabSuiviConso[Jour Mois Année],0)</f>
        <v>#N/A</v>
      </c>
      <c r="K339" s="102" t="e">
        <f>Tableau6[[#This Row],[Cumul 2022]]-Tableau6[[#This Row],[Cumul 2021]]</f>
        <v>#N/A</v>
      </c>
      <c r="L339" s="104" t="e">
        <f>Tableau6[[#This Row],[Ecart 2021 2022]]/Tableau6[[#This Row],[Cumul 2021]]</f>
        <v>#N/A</v>
      </c>
      <c r="M339" s="102" t="str">
        <f>IF(ISNA(Tableau6[[#This Row],[Position 2023]]),"",INDEX(tabSuiviConso[HP + HC
cumul],Tableau6[[#This Row],[Position 2023]],1))</f>
        <v/>
      </c>
      <c r="N339" s="123" t="e">
        <f>IF(ISNA(Tableau6[[#This Row],[Position 2023]]),Tableau6[[#This Row],[Position 2023]],Tableau6[[#This Row],[2023]]-M$2)</f>
        <v>#N/A</v>
      </c>
      <c r="O339" s="102" t="e">
        <f>Tableau6[[#This Row],[Cumul 2023]]-Tableau6[[#This Row],[Cumul 2022]]</f>
        <v>#N/A</v>
      </c>
      <c r="P339" s="104" t="e">
        <f>Tableau6[[#This Row],[Ecart 2022 2023]]/Tableau6[[#This Row],[Cumul 2022]]</f>
        <v>#N/A</v>
      </c>
      <c r="Q339" s="102" t="e">
        <f>MATCH(Tableau6[Jours Mois]&amp;"/"&amp;Tableau6[[#Headers],[2024]],tabSuiviConso[Jour Mois Année],0)</f>
        <v>#N/A</v>
      </c>
      <c r="R339" s="102" t="str">
        <f>IF(ISNA(Tableau6[[#This Row],[Position 2024]]),"",INDEX(tabSuiviConso[HP + HC
cumul],Tableau6[[#This Row],[Position 2024]],1))</f>
        <v/>
      </c>
      <c r="S339" s="123" t="e">
        <f>IF(ISNA(Tableau6[[#This Row],[Position 2024]]),Tableau6[[#This Row],[Position 2024]],Tableau6[[#This Row],[2024]]-R$2)</f>
        <v>#N/A</v>
      </c>
      <c r="T339" s="102" t="e">
        <f>Tableau6[[#This Row],[Cumul 2024]]-Tableau6[[#This Row],[Cumul 2023]]</f>
        <v>#N/A</v>
      </c>
      <c r="U339" s="103" t="e">
        <f>Tableau6[[#This Row],[Ecart 2023 2024]]/Tableau6[[#This Row],[Cumul 2023]]</f>
        <v>#N/A</v>
      </c>
    </row>
    <row r="340" spans="1:21" x14ac:dyDescent="0.2">
      <c r="A340" s="102">
        <v>12</v>
      </c>
      <c r="B340" s="102">
        <v>3</v>
      </c>
      <c r="C340" s="102" t="str">
        <f>Tableau6[Jour]&amp;"/"&amp;Tableau6[Mois]</f>
        <v>3/12</v>
      </c>
      <c r="D340" s="102" t="e">
        <f>MATCH(Tableau6[Jours Mois]&amp;"/"&amp;Tableau6[[#Headers],[2021]],tabSuiviConso[Jour Mois Année],0)</f>
        <v>#N/A</v>
      </c>
      <c r="E340" s="102" t="str">
        <f>IF(ISNA(Tableau6[[#This Row],[Position 2021]]),"",INDEX(tabSuiviConso[HP + HC
cumul],Tableau6[[#This Row],[Position 2021]],1))</f>
        <v/>
      </c>
      <c r="F340" s="123" t="e">
        <f>IF(ISNA(Tableau6[[#This Row],[Position 2021]]),Tableau6[[#This Row],[Position 2021]],Tableau6[[#This Row],[2021]]-E$2)</f>
        <v>#N/A</v>
      </c>
      <c r="G340" s="102" t="e">
        <f>MATCH(Tableau6[Jours Mois]&amp;"/"&amp;Tableau6[[#Headers],[2022]],tabSuiviConso[Jour Mois Année],0)</f>
        <v>#N/A</v>
      </c>
      <c r="H340" s="102" t="str">
        <f>IF(ISNA(Tableau6[[#This Row],[Position 2022]]),"",INDEX(tabSuiviConso[HP + HC
cumul],Tableau6[[#This Row],[Position 2022]],1))</f>
        <v/>
      </c>
      <c r="I340" s="123" t="e">
        <f>IF(ISNA(Tableau6[[#This Row],[Position 2022]]),Tableau6[[#This Row],[Position 2022]],Tableau6[[#This Row],[2022]]-H$2)</f>
        <v>#N/A</v>
      </c>
      <c r="J340" s="102" t="e">
        <f>MATCH(Tableau6[Jours Mois]&amp;"/"&amp;Tableau6[[#Headers],[2023]],tabSuiviConso[Jour Mois Année],0)</f>
        <v>#N/A</v>
      </c>
      <c r="K340" s="102" t="e">
        <f>Tableau6[[#This Row],[Cumul 2022]]-Tableau6[[#This Row],[Cumul 2021]]</f>
        <v>#N/A</v>
      </c>
      <c r="L340" s="104" t="e">
        <f>Tableau6[[#This Row],[Ecart 2021 2022]]/Tableau6[[#This Row],[Cumul 2021]]</f>
        <v>#N/A</v>
      </c>
      <c r="M340" s="102" t="str">
        <f>IF(ISNA(Tableau6[[#This Row],[Position 2023]]),"",INDEX(tabSuiviConso[HP + HC
cumul],Tableau6[[#This Row],[Position 2023]],1))</f>
        <v/>
      </c>
      <c r="N340" s="123" t="e">
        <f>IF(ISNA(Tableau6[[#This Row],[Position 2023]]),Tableau6[[#This Row],[Position 2023]],Tableau6[[#This Row],[2023]]-M$2)</f>
        <v>#N/A</v>
      </c>
      <c r="O340" s="102" t="e">
        <f>Tableau6[[#This Row],[Cumul 2023]]-Tableau6[[#This Row],[Cumul 2022]]</f>
        <v>#N/A</v>
      </c>
      <c r="P340" s="104" t="e">
        <f>Tableau6[[#This Row],[Ecart 2022 2023]]/Tableau6[[#This Row],[Cumul 2022]]</f>
        <v>#N/A</v>
      </c>
      <c r="Q340" s="102" t="e">
        <f>MATCH(Tableau6[Jours Mois]&amp;"/"&amp;Tableau6[[#Headers],[2024]],tabSuiviConso[Jour Mois Année],0)</f>
        <v>#N/A</v>
      </c>
      <c r="R340" s="102" t="str">
        <f>IF(ISNA(Tableau6[[#This Row],[Position 2024]]),"",INDEX(tabSuiviConso[HP + HC
cumul],Tableau6[[#This Row],[Position 2024]],1))</f>
        <v/>
      </c>
      <c r="S340" s="123" t="e">
        <f>IF(ISNA(Tableau6[[#This Row],[Position 2024]]),Tableau6[[#This Row],[Position 2024]],Tableau6[[#This Row],[2024]]-R$2)</f>
        <v>#N/A</v>
      </c>
      <c r="T340" s="102" t="e">
        <f>Tableau6[[#This Row],[Cumul 2024]]-Tableau6[[#This Row],[Cumul 2023]]</f>
        <v>#N/A</v>
      </c>
      <c r="U340" s="103" t="e">
        <f>Tableau6[[#This Row],[Ecart 2023 2024]]/Tableau6[[#This Row],[Cumul 2023]]</f>
        <v>#N/A</v>
      </c>
    </row>
    <row r="341" spans="1:21" x14ac:dyDescent="0.2">
      <c r="A341" s="102">
        <v>12</v>
      </c>
      <c r="B341" s="102">
        <v>4</v>
      </c>
      <c r="C341" s="102" t="str">
        <f>Tableau6[Jour]&amp;"/"&amp;Tableau6[Mois]</f>
        <v>4/12</v>
      </c>
      <c r="D341" s="102" t="e">
        <f>MATCH(Tableau6[Jours Mois]&amp;"/"&amp;Tableau6[[#Headers],[2021]],tabSuiviConso[Jour Mois Année],0)</f>
        <v>#N/A</v>
      </c>
      <c r="E341" s="102" t="str">
        <f>IF(ISNA(Tableau6[[#This Row],[Position 2021]]),"",INDEX(tabSuiviConso[HP + HC
cumul],Tableau6[[#This Row],[Position 2021]],1))</f>
        <v/>
      </c>
      <c r="F341" s="123" t="e">
        <f>IF(ISNA(Tableau6[[#This Row],[Position 2021]]),Tableau6[[#This Row],[Position 2021]],Tableau6[[#This Row],[2021]]-E$2)</f>
        <v>#N/A</v>
      </c>
      <c r="G341" s="102" t="e">
        <f>MATCH(Tableau6[Jours Mois]&amp;"/"&amp;Tableau6[[#Headers],[2022]],tabSuiviConso[Jour Mois Année],0)</f>
        <v>#N/A</v>
      </c>
      <c r="H341" s="102" t="str">
        <f>IF(ISNA(Tableau6[[#This Row],[Position 2022]]),"",INDEX(tabSuiviConso[HP + HC
cumul],Tableau6[[#This Row],[Position 2022]],1))</f>
        <v/>
      </c>
      <c r="I341" s="123" t="e">
        <f>IF(ISNA(Tableau6[[#This Row],[Position 2022]]),Tableau6[[#This Row],[Position 2022]],Tableau6[[#This Row],[2022]]-H$2)</f>
        <v>#N/A</v>
      </c>
      <c r="J341" s="102" t="e">
        <f>MATCH(Tableau6[Jours Mois]&amp;"/"&amp;Tableau6[[#Headers],[2023]],tabSuiviConso[Jour Mois Année],0)</f>
        <v>#N/A</v>
      </c>
      <c r="K341" s="102" t="e">
        <f>Tableau6[[#This Row],[Cumul 2022]]-Tableau6[[#This Row],[Cumul 2021]]</f>
        <v>#N/A</v>
      </c>
      <c r="L341" s="104" t="e">
        <f>Tableau6[[#This Row],[Ecart 2021 2022]]/Tableau6[[#This Row],[Cumul 2021]]</f>
        <v>#N/A</v>
      </c>
      <c r="M341" s="102" t="str">
        <f>IF(ISNA(Tableau6[[#This Row],[Position 2023]]),"",INDEX(tabSuiviConso[HP + HC
cumul],Tableau6[[#This Row],[Position 2023]],1))</f>
        <v/>
      </c>
      <c r="N341" s="123" t="e">
        <f>IF(ISNA(Tableau6[[#This Row],[Position 2023]]),Tableau6[[#This Row],[Position 2023]],Tableau6[[#This Row],[2023]]-M$2)</f>
        <v>#N/A</v>
      </c>
      <c r="O341" s="102" t="e">
        <f>Tableau6[[#This Row],[Cumul 2023]]-Tableau6[[#This Row],[Cumul 2022]]</f>
        <v>#N/A</v>
      </c>
      <c r="P341" s="104" t="e">
        <f>Tableau6[[#This Row],[Ecart 2022 2023]]/Tableau6[[#This Row],[Cumul 2022]]</f>
        <v>#N/A</v>
      </c>
      <c r="Q341" s="102" t="e">
        <f>MATCH(Tableau6[Jours Mois]&amp;"/"&amp;Tableau6[[#Headers],[2024]],tabSuiviConso[Jour Mois Année],0)</f>
        <v>#N/A</v>
      </c>
      <c r="R341" s="102" t="str">
        <f>IF(ISNA(Tableau6[[#This Row],[Position 2024]]),"",INDEX(tabSuiviConso[HP + HC
cumul],Tableau6[[#This Row],[Position 2024]],1))</f>
        <v/>
      </c>
      <c r="S341" s="123" t="e">
        <f>IF(ISNA(Tableau6[[#This Row],[Position 2024]]),Tableau6[[#This Row],[Position 2024]],Tableau6[[#This Row],[2024]]-R$2)</f>
        <v>#N/A</v>
      </c>
      <c r="T341" s="102" t="e">
        <f>Tableau6[[#This Row],[Cumul 2024]]-Tableau6[[#This Row],[Cumul 2023]]</f>
        <v>#N/A</v>
      </c>
      <c r="U341" s="103" t="e">
        <f>Tableau6[[#This Row],[Ecart 2023 2024]]/Tableau6[[#This Row],[Cumul 2023]]</f>
        <v>#N/A</v>
      </c>
    </row>
    <row r="342" spans="1:21" x14ac:dyDescent="0.2">
      <c r="A342" s="102">
        <v>12</v>
      </c>
      <c r="B342" s="102">
        <v>5</v>
      </c>
      <c r="C342" s="102" t="str">
        <f>Tableau6[Jour]&amp;"/"&amp;Tableau6[Mois]</f>
        <v>5/12</v>
      </c>
      <c r="D342" s="102" t="e">
        <f>MATCH(Tableau6[Jours Mois]&amp;"/"&amp;Tableau6[[#Headers],[2021]],tabSuiviConso[Jour Mois Année],0)</f>
        <v>#N/A</v>
      </c>
      <c r="E342" s="102" t="str">
        <f>IF(ISNA(Tableau6[[#This Row],[Position 2021]]),"",INDEX(tabSuiviConso[HP + HC
cumul],Tableau6[[#This Row],[Position 2021]],1))</f>
        <v/>
      </c>
      <c r="F342" s="123" t="e">
        <f>IF(ISNA(Tableau6[[#This Row],[Position 2021]]),Tableau6[[#This Row],[Position 2021]],Tableau6[[#This Row],[2021]]-E$2)</f>
        <v>#N/A</v>
      </c>
      <c r="G342" s="102" t="e">
        <f>MATCH(Tableau6[Jours Mois]&amp;"/"&amp;Tableau6[[#Headers],[2022]],tabSuiviConso[Jour Mois Année],0)</f>
        <v>#N/A</v>
      </c>
      <c r="H342" s="102" t="str">
        <f>IF(ISNA(Tableau6[[#This Row],[Position 2022]]),"",INDEX(tabSuiviConso[HP + HC
cumul],Tableau6[[#This Row],[Position 2022]],1))</f>
        <v/>
      </c>
      <c r="I342" s="123" t="e">
        <f>IF(ISNA(Tableau6[[#This Row],[Position 2022]]),Tableau6[[#This Row],[Position 2022]],Tableau6[[#This Row],[2022]]-H$2)</f>
        <v>#N/A</v>
      </c>
      <c r="J342" s="102" t="e">
        <f>MATCH(Tableau6[Jours Mois]&amp;"/"&amp;Tableau6[[#Headers],[2023]],tabSuiviConso[Jour Mois Année],0)</f>
        <v>#N/A</v>
      </c>
      <c r="K342" s="102" t="e">
        <f>Tableau6[[#This Row],[Cumul 2022]]-Tableau6[[#This Row],[Cumul 2021]]</f>
        <v>#N/A</v>
      </c>
      <c r="L342" s="104" t="e">
        <f>Tableau6[[#This Row],[Ecart 2021 2022]]/Tableau6[[#This Row],[Cumul 2021]]</f>
        <v>#N/A</v>
      </c>
      <c r="M342" s="102" t="str">
        <f>IF(ISNA(Tableau6[[#This Row],[Position 2023]]),"",INDEX(tabSuiviConso[HP + HC
cumul],Tableau6[[#This Row],[Position 2023]],1))</f>
        <v/>
      </c>
      <c r="N342" s="123" t="e">
        <f>IF(ISNA(Tableau6[[#This Row],[Position 2023]]),Tableau6[[#This Row],[Position 2023]],Tableau6[[#This Row],[2023]]-M$2)</f>
        <v>#N/A</v>
      </c>
      <c r="O342" s="102" t="e">
        <f>Tableau6[[#This Row],[Cumul 2023]]-Tableau6[[#This Row],[Cumul 2022]]</f>
        <v>#N/A</v>
      </c>
      <c r="P342" s="104" t="e">
        <f>Tableau6[[#This Row],[Ecart 2022 2023]]/Tableau6[[#This Row],[Cumul 2022]]</f>
        <v>#N/A</v>
      </c>
      <c r="Q342" s="102" t="e">
        <f>MATCH(Tableau6[Jours Mois]&amp;"/"&amp;Tableau6[[#Headers],[2024]],tabSuiviConso[Jour Mois Année],0)</f>
        <v>#N/A</v>
      </c>
      <c r="R342" s="102" t="str">
        <f>IF(ISNA(Tableau6[[#This Row],[Position 2024]]),"",INDEX(tabSuiviConso[HP + HC
cumul],Tableau6[[#This Row],[Position 2024]],1))</f>
        <v/>
      </c>
      <c r="S342" s="123" t="e">
        <f>IF(ISNA(Tableau6[[#This Row],[Position 2024]]),Tableau6[[#This Row],[Position 2024]],Tableau6[[#This Row],[2024]]-R$2)</f>
        <v>#N/A</v>
      </c>
      <c r="T342" s="102" t="e">
        <f>Tableau6[[#This Row],[Cumul 2024]]-Tableau6[[#This Row],[Cumul 2023]]</f>
        <v>#N/A</v>
      </c>
      <c r="U342" s="103" t="e">
        <f>Tableau6[[#This Row],[Ecart 2023 2024]]/Tableau6[[#This Row],[Cumul 2023]]</f>
        <v>#N/A</v>
      </c>
    </row>
    <row r="343" spans="1:21" x14ac:dyDescent="0.2">
      <c r="A343" s="102">
        <v>12</v>
      </c>
      <c r="B343" s="102">
        <v>6</v>
      </c>
      <c r="C343" s="102" t="str">
        <f>Tableau6[Jour]&amp;"/"&amp;Tableau6[Mois]</f>
        <v>6/12</v>
      </c>
      <c r="D343" s="102" t="e">
        <f>MATCH(Tableau6[Jours Mois]&amp;"/"&amp;Tableau6[[#Headers],[2021]],tabSuiviConso[Jour Mois Année],0)</f>
        <v>#N/A</v>
      </c>
      <c r="E343" s="102" t="str">
        <f>IF(ISNA(Tableau6[[#This Row],[Position 2021]]),"",INDEX(tabSuiviConso[HP + HC
cumul],Tableau6[[#This Row],[Position 2021]],1))</f>
        <v/>
      </c>
      <c r="F343" s="123" t="e">
        <f>IF(ISNA(Tableau6[[#This Row],[Position 2021]]),Tableau6[[#This Row],[Position 2021]],Tableau6[[#This Row],[2021]]-E$2)</f>
        <v>#N/A</v>
      </c>
      <c r="G343" s="102" t="e">
        <f>MATCH(Tableau6[Jours Mois]&amp;"/"&amp;Tableau6[[#Headers],[2022]],tabSuiviConso[Jour Mois Année],0)</f>
        <v>#N/A</v>
      </c>
      <c r="H343" s="102" t="str">
        <f>IF(ISNA(Tableau6[[#This Row],[Position 2022]]),"",INDEX(tabSuiviConso[HP + HC
cumul],Tableau6[[#This Row],[Position 2022]],1))</f>
        <v/>
      </c>
      <c r="I343" s="123" t="e">
        <f>IF(ISNA(Tableau6[[#This Row],[Position 2022]]),Tableau6[[#This Row],[Position 2022]],Tableau6[[#This Row],[2022]]-H$2)</f>
        <v>#N/A</v>
      </c>
      <c r="J343" s="102" t="e">
        <f>MATCH(Tableau6[Jours Mois]&amp;"/"&amp;Tableau6[[#Headers],[2023]],tabSuiviConso[Jour Mois Année],0)</f>
        <v>#N/A</v>
      </c>
      <c r="K343" s="102" t="e">
        <f>Tableau6[[#This Row],[Cumul 2022]]-Tableau6[[#This Row],[Cumul 2021]]</f>
        <v>#N/A</v>
      </c>
      <c r="L343" s="104" t="e">
        <f>Tableau6[[#This Row],[Ecart 2021 2022]]/Tableau6[[#This Row],[Cumul 2021]]</f>
        <v>#N/A</v>
      </c>
      <c r="M343" s="102" t="str">
        <f>IF(ISNA(Tableau6[[#This Row],[Position 2023]]),"",INDEX(tabSuiviConso[HP + HC
cumul],Tableau6[[#This Row],[Position 2023]],1))</f>
        <v/>
      </c>
      <c r="N343" s="123" t="e">
        <f>IF(ISNA(Tableau6[[#This Row],[Position 2023]]),Tableau6[[#This Row],[Position 2023]],Tableau6[[#This Row],[2023]]-M$2)</f>
        <v>#N/A</v>
      </c>
      <c r="O343" s="102" t="e">
        <f>Tableau6[[#This Row],[Cumul 2023]]-Tableau6[[#This Row],[Cumul 2022]]</f>
        <v>#N/A</v>
      </c>
      <c r="P343" s="104" t="e">
        <f>Tableau6[[#This Row],[Ecart 2022 2023]]/Tableau6[[#This Row],[Cumul 2022]]</f>
        <v>#N/A</v>
      </c>
      <c r="Q343" s="102" t="e">
        <f>MATCH(Tableau6[Jours Mois]&amp;"/"&amp;Tableau6[[#Headers],[2024]],tabSuiviConso[Jour Mois Année],0)</f>
        <v>#N/A</v>
      </c>
      <c r="R343" s="102" t="str">
        <f>IF(ISNA(Tableau6[[#This Row],[Position 2024]]),"",INDEX(tabSuiviConso[HP + HC
cumul],Tableau6[[#This Row],[Position 2024]],1))</f>
        <v/>
      </c>
      <c r="S343" s="123" t="e">
        <f>IF(ISNA(Tableau6[[#This Row],[Position 2024]]),Tableau6[[#This Row],[Position 2024]],Tableau6[[#This Row],[2024]]-R$2)</f>
        <v>#N/A</v>
      </c>
      <c r="T343" s="102" t="e">
        <f>Tableau6[[#This Row],[Cumul 2024]]-Tableau6[[#This Row],[Cumul 2023]]</f>
        <v>#N/A</v>
      </c>
      <c r="U343" s="103" t="e">
        <f>Tableau6[[#This Row],[Ecart 2023 2024]]/Tableau6[[#This Row],[Cumul 2023]]</f>
        <v>#N/A</v>
      </c>
    </row>
    <row r="344" spans="1:21" x14ac:dyDescent="0.2">
      <c r="A344" s="102">
        <v>12</v>
      </c>
      <c r="B344" s="102">
        <v>7</v>
      </c>
      <c r="C344" s="102" t="str">
        <f>Tableau6[Jour]&amp;"/"&amp;Tableau6[Mois]</f>
        <v>7/12</v>
      </c>
      <c r="D344" s="102" t="e">
        <f>MATCH(Tableau6[Jours Mois]&amp;"/"&amp;Tableau6[[#Headers],[2021]],tabSuiviConso[Jour Mois Année],0)</f>
        <v>#N/A</v>
      </c>
      <c r="E344" s="102" t="str">
        <f>IF(ISNA(Tableau6[[#This Row],[Position 2021]]),"",INDEX(tabSuiviConso[HP + HC
cumul],Tableau6[[#This Row],[Position 2021]],1))</f>
        <v/>
      </c>
      <c r="F344" s="123" t="e">
        <f>IF(ISNA(Tableau6[[#This Row],[Position 2021]]),Tableau6[[#This Row],[Position 2021]],Tableau6[[#This Row],[2021]]-E$2)</f>
        <v>#N/A</v>
      </c>
      <c r="G344" s="102" t="e">
        <f>MATCH(Tableau6[Jours Mois]&amp;"/"&amp;Tableau6[[#Headers],[2022]],tabSuiviConso[Jour Mois Année],0)</f>
        <v>#N/A</v>
      </c>
      <c r="H344" s="102" t="str">
        <f>IF(ISNA(Tableau6[[#This Row],[Position 2022]]),"",INDEX(tabSuiviConso[HP + HC
cumul],Tableau6[[#This Row],[Position 2022]],1))</f>
        <v/>
      </c>
      <c r="I344" s="123" t="e">
        <f>IF(ISNA(Tableau6[[#This Row],[Position 2022]]),Tableau6[[#This Row],[Position 2022]],Tableau6[[#This Row],[2022]]-H$2)</f>
        <v>#N/A</v>
      </c>
      <c r="J344" s="102" t="e">
        <f>MATCH(Tableau6[Jours Mois]&amp;"/"&amp;Tableau6[[#Headers],[2023]],tabSuiviConso[Jour Mois Année],0)</f>
        <v>#N/A</v>
      </c>
      <c r="K344" s="102" t="e">
        <f>Tableau6[[#This Row],[Cumul 2022]]-Tableau6[[#This Row],[Cumul 2021]]</f>
        <v>#N/A</v>
      </c>
      <c r="L344" s="104" t="e">
        <f>Tableau6[[#This Row],[Ecart 2021 2022]]/Tableau6[[#This Row],[Cumul 2021]]</f>
        <v>#N/A</v>
      </c>
      <c r="M344" s="102" t="str">
        <f>IF(ISNA(Tableau6[[#This Row],[Position 2023]]),"",INDEX(tabSuiviConso[HP + HC
cumul],Tableau6[[#This Row],[Position 2023]],1))</f>
        <v/>
      </c>
      <c r="N344" s="123" t="e">
        <f>IF(ISNA(Tableau6[[#This Row],[Position 2023]]),Tableau6[[#This Row],[Position 2023]],Tableau6[[#This Row],[2023]]-M$2)</f>
        <v>#N/A</v>
      </c>
      <c r="O344" s="102" t="e">
        <f>Tableau6[[#This Row],[Cumul 2023]]-Tableau6[[#This Row],[Cumul 2022]]</f>
        <v>#N/A</v>
      </c>
      <c r="P344" s="104" t="e">
        <f>Tableau6[[#This Row],[Ecart 2022 2023]]/Tableau6[[#This Row],[Cumul 2022]]</f>
        <v>#N/A</v>
      </c>
      <c r="Q344" s="102" t="e">
        <f>MATCH(Tableau6[Jours Mois]&amp;"/"&amp;Tableau6[[#Headers],[2024]],tabSuiviConso[Jour Mois Année],0)</f>
        <v>#N/A</v>
      </c>
      <c r="R344" s="102" t="str">
        <f>IF(ISNA(Tableau6[[#This Row],[Position 2024]]),"",INDEX(tabSuiviConso[HP + HC
cumul],Tableau6[[#This Row],[Position 2024]],1))</f>
        <v/>
      </c>
      <c r="S344" s="123" t="e">
        <f>IF(ISNA(Tableau6[[#This Row],[Position 2024]]),Tableau6[[#This Row],[Position 2024]],Tableau6[[#This Row],[2024]]-R$2)</f>
        <v>#N/A</v>
      </c>
      <c r="T344" s="102" t="e">
        <f>Tableau6[[#This Row],[Cumul 2024]]-Tableau6[[#This Row],[Cumul 2023]]</f>
        <v>#N/A</v>
      </c>
      <c r="U344" s="103" t="e">
        <f>Tableau6[[#This Row],[Ecart 2023 2024]]/Tableau6[[#This Row],[Cumul 2023]]</f>
        <v>#N/A</v>
      </c>
    </row>
    <row r="345" spans="1:21" x14ac:dyDescent="0.2">
      <c r="A345" s="102">
        <v>12</v>
      </c>
      <c r="B345" s="102">
        <v>8</v>
      </c>
      <c r="C345" s="102" t="str">
        <f>Tableau6[Jour]&amp;"/"&amp;Tableau6[Mois]</f>
        <v>8/12</v>
      </c>
      <c r="D345" s="102" t="e">
        <f>MATCH(Tableau6[Jours Mois]&amp;"/"&amp;Tableau6[[#Headers],[2021]],tabSuiviConso[Jour Mois Année],0)</f>
        <v>#N/A</v>
      </c>
      <c r="E345" s="102" t="str">
        <f>IF(ISNA(Tableau6[[#This Row],[Position 2021]]),"",INDEX(tabSuiviConso[HP + HC
cumul],Tableau6[[#This Row],[Position 2021]],1))</f>
        <v/>
      </c>
      <c r="F345" s="123" t="e">
        <f>IF(ISNA(Tableau6[[#This Row],[Position 2021]]),Tableau6[[#This Row],[Position 2021]],Tableau6[[#This Row],[2021]]-E$2)</f>
        <v>#N/A</v>
      </c>
      <c r="G345" s="102" t="e">
        <f>MATCH(Tableau6[Jours Mois]&amp;"/"&amp;Tableau6[[#Headers],[2022]],tabSuiviConso[Jour Mois Année],0)</f>
        <v>#N/A</v>
      </c>
      <c r="H345" s="102" t="str">
        <f>IF(ISNA(Tableau6[[#This Row],[Position 2022]]),"",INDEX(tabSuiviConso[HP + HC
cumul],Tableau6[[#This Row],[Position 2022]],1))</f>
        <v/>
      </c>
      <c r="I345" s="123" t="e">
        <f>IF(ISNA(Tableau6[[#This Row],[Position 2022]]),Tableau6[[#This Row],[Position 2022]],Tableau6[[#This Row],[2022]]-H$2)</f>
        <v>#N/A</v>
      </c>
      <c r="J345" s="102" t="e">
        <f>MATCH(Tableau6[Jours Mois]&amp;"/"&amp;Tableau6[[#Headers],[2023]],tabSuiviConso[Jour Mois Année],0)</f>
        <v>#N/A</v>
      </c>
      <c r="K345" s="102" t="e">
        <f>Tableau6[[#This Row],[Cumul 2022]]-Tableau6[[#This Row],[Cumul 2021]]</f>
        <v>#N/A</v>
      </c>
      <c r="L345" s="104" t="e">
        <f>Tableau6[[#This Row],[Ecart 2021 2022]]/Tableau6[[#This Row],[Cumul 2021]]</f>
        <v>#N/A</v>
      </c>
      <c r="M345" s="102" t="str">
        <f>IF(ISNA(Tableau6[[#This Row],[Position 2023]]),"",INDEX(tabSuiviConso[HP + HC
cumul],Tableau6[[#This Row],[Position 2023]],1))</f>
        <v/>
      </c>
      <c r="N345" s="123" t="e">
        <f>IF(ISNA(Tableau6[[#This Row],[Position 2023]]),Tableau6[[#This Row],[Position 2023]],Tableau6[[#This Row],[2023]]-M$2)</f>
        <v>#N/A</v>
      </c>
      <c r="O345" s="102" t="e">
        <f>Tableau6[[#This Row],[Cumul 2023]]-Tableau6[[#This Row],[Cumul 2022]]</f>
        <v>#N/A</v>
      </c>
      <c r="P345" s="104" t="e">
        <f>Tableau6[[#This Row],[Ecart 2022 2023]]/Tableau6[[#This Row],[Cumul 2022]]</f>
        <v>#N/A</v>
      </c>
      <c r="Q345" s="102" t="e">
        <f>MATCH(Tableau6[Jours Mois]&amp;"/"&amp;Tableau6[[#Headers],[2024]],tabSuiviConso[Jour Mois Année],0)</f>
        <v>#N/A</v>
      </c>
      <c r="R345" s="102" t="str">
        <f>IF(ISNA(Tableau6[[#This Row],[Position 2024]]),"",INDEX(tabSuiviConso[HP + HC
cumul],Tableau6[[#This Row],[Position 2024]],1))</f>
        <v/>
      </c>
      <c r="S345" s="123" t="e">
        <f>IF(ISNA(Tableau6[[#This Row],[Position 2024]]),Tableau6[[#This Row],[Position 2024]],Tableau6[[#This Row],[2024]]-R$2)</f>
        <v>#N/A</v>
      </c>
      <c r="T345" s="102" t="e">
        <f>Tableau6[[#This Row],[Cumul 2024]]-Tableau6[[#This Row],[Cumul 2023]]</f>
        <v>#N/A</v>
      </c>
      <c r="U345" s="103" t="e">
        <f>Tableau6[[#This Row],[Ecart 2023 2024]]/Tableau6[[#This Row],[Cumul 2023]]</f>
        <v>#N/A</v>
      </c>
    </row>
    <row r="346" spans="1:21" x14ac:dyDescent="0.2">
      <c r="A346" s="102">
        <v>12</v>
      </c>
      <c r="B346" s="102">
        <v>9</v>
      </c>
      <c r="C346" s="102" t="str">
        <f>Tableau6[Jour]&amp;"/"&amp;Tableau6[Mois]</f>
        <v>9/12</v>
      </c>
      <c r="D346" s="102" t="e">
        <f>MATCH(Tableau6[Jours Mois]&amp;"/"&amp;Tableau6[[#Headers],[2021]],tabSuiviConso[Jour Mois Année],0)</f>
        <v>#N/A</v>
      </c>
      <c r="E346" s="102" t="str">
        <f>IF(ISNA(Tableau6[[#This Row],[Position 2021]]),"",INDEX(tabSuiviConso[HP + HC
cumul],Tableau6[[#This Row],[Position 2021]],1))</f>
        <v/>
      </c>
      <c r="F346" s="123" t="e">
        <f>IF(ISNA(Tableau6[[#This Row],[Position 2021]]),Tableau6[[#This Row],[Position 2021]],Tableau6[[#This Row],[2021]]-E$2)</f>
        <v>#N/A</v>
      </c>
      <c r="G346" s="102" t="e">
        <f>MATCH(Tableau6[Jours Mois]&amp;"/"&amp;Tableau6[[#Headers],[2022]],tabSuiviConso[Jour Mois Année],0)</f>
        <v>#N/A</v>
      </c>
      <c r="H346" s="102" t="str">
        <f>IF(ISNA(Tableau6[[#This Row],[Position 2022]]),"",INDEX(tabSuiviConso[HP + HC
cumul],Tableau6[[#This Row],[Position 2022]],1))</f>
        <v/>
      </c>
      <c r="I346" s="123" t="e">
        <f>IF(ISNA(Tableau6[[#This Row],[Position 2022]]),Tableau6[[#This Row],[Position 2022]],Tableau6[[#This Row],[2022]]-H$2)</f>
        <v>#N/A</v>
      </c>
      <c r="J346" s="102" t="e">
        <f>MATCH(Tableau6[Jours Mois]&amp;"/"&amp;Tableau6[[#Headers],[2023]],tabSuiviConso[Jour Mois Année],0)</f>
        <v>#N/A</v>
      </c>
      <c r="K346" s="102" t="e">
        <f>Tableau6[[#This Row],[Cumul 2022]]-Tableau6[[#This Row],[Cumul 2021]]</f>
        <v>#N/A</v>
      </c>
      <c r="L346" s="104" t="e">
        <f>Tableau6[[#This Row],[Ecart 2021 2022]]/Tableau6[[#This Row],[Cumul 2021]]</f>
        <v>#N/A</v>
      </c>
      <c r="M346" s="102" t="str">
        <f>IF(ISNA(Tableau6[[#This Row],[Position 2023]]),"",INDEX(tabSuiviConso[HP + HC
cumul],Tableau6[[#This Row],[Position 2023]],1))</f>
        <v/>
      </c>
      <c r="N346" s="123" t="e">
        <f>IF(ISNA(Tableau6[[#This Row],[Position 2023]]),Tableau6[[#This Row],[Position 2023]],Tableau6[[#This Row],[2023]]-M$2)</f>
        <v>#N/A</v>
      </c>
      <c r="O346" s="102" t="e">
        <f>Tableau6[[#This Row],[Cumul 2023]]-Tableau6[[#This Row],[Cumul 2022]]</f>
        <v>#N/A</v>
      </c>
      <c r="P346" s="104" t="e">
        <f>Tableau6[[#This Row],[Ecart 2022 2023]]/Tableau6[[#This Row],[Cumul 2022]]</f>
        <v>#N/A</v>
      </c>
      <c r="Q346" s="102" t="e">
        <f>MATCH(Tableau6[Jours Mois]&amp;"/"&amp;Tableau6[[#Headers],[2024]],tabSuiviConso[Jour Mois Année],0)</f>
        <v>#N/A</v>
      </c>
      <c r="R346" s="102" t="str">
        <f>IF(ISNA(Tableau6[[#This Row],[Position 2024]]),"",INDEX(tabSuiviConso[HP + HC
cumul],Tableau6[[#This Row],[Position 2024]],1))</f>
        <v/>
      </c>
      <c r="S346" s="123" t="e">
        <f>IF(ISNA(Tableau6[[#This Row],[Position 2024]]),Tableau6[[#This Row],[Position 2024]],Tableau6[[#This Row],[2024]]-R$2)</f>
        <v>#N/A</v>
      </c>
      <c r="T346" s="102" t="e">
        <f>Tableau6[[#This Row],[Cumul 2024]]-Tableau6[[#This Row],[Cumul 2023]]</f>
        <v>#N/A</v>
      </c>
      <c r="U346" s="103" t="e">
        <f>Tableau6[[#This Row],[Ecart 2023 2024]]/Tableau6[[#This Row],[Cumul 2023]]</f>
        <v>#N/A</v>
      </c>
    </row>
    <row r="347" spans="1:21" x14ac:dyDescent="0.2">
      <c r="A347" s="102">
        <v>12</v>
      </c>
      <c r="B347" s="102">
        <v>10</v>
      </c>
      <c r="C347" s="102" t="str">
        <f>Tableau6[Jour]&amp;"/"&amp;Tableau6[Mois]</f>
        <v>10/12</v>
      </c>
      <c r="D347" s="102" t="e">
        <f>MATCH(Tableau6[Jours Mois]&amp;"/"&amp;Tableau6[[#Headers],[2021]],tabSuiviConso[Jour Mois Année],0)</f>
        <v>#N/A</v>
      </c>
      <c r="E347" s="102" t="str">
        <f>IF(ISNA(Tableau6[[#This Row],[Position 2021]]),"",INDEX(tabSuiviConso[HP + HC
cumul],Tableau6[[#This Row],[Position 2021]],1))</f>
        <v/>
      </c>
      <c r="F347" s="123" t="e">
        <f>IF(ISNA(Tableau6[[#This Row],[Position 2021]]),Tableau6[[#This Row],[Position 2021]],Tableau6[[#This Row],[2021]]-E$2)</f>
        <v>#N/A</v>
      </c>
      <c r="G347" s="102" t="e">
        <f>MATCH(Tableau6[Jours Mois]&amp;"/"&amp;Tableau6[[#Headers],[2022]],tabSuiviConso[Jour Mois Année],0)</f>
        <v>#N/A</v>
      </c>
      <c r="H347" s="102" t="str">
        <f>IF(ISNA(Tableau6[[#This Row],[Position 2022]]),"",INDEX(tabSuiviConso[HP + HC
cumul],Tableau6[[#This Row],[Position 2022]],1))</f>
        <v/>
      </c>
      <c r="I347" s="123" t="e">
        <f>IF(ISNA(Tableau6[[#This Row],[Position 2022]]),Tableau6[[#This Row],[Position 2022]],Tableau6[[#This Row],[2022]]-H$2)</f>
        <v>#N/A</v>
      </c>
      <c r="J347" s="102" t="e">
        <f>MATCH(Tableau6[Jours Mois]&amp;"/"&amp;Tableau6[[#Headers],[2023]],tabSuiviConso[Jour Mois Année],0)</f>
        <v>#N/A</v>
      </c>
      <c r="K347" s="102" t="e">
        <f>Tableau6[[#This Row],[Cumul 2022]]-Tableau6[[#This Row],[Cumul 2021]]</f>
        <v>#N/A</v>
      </c>
      <c r="L347" s="104" t="e">
        <f>Tableau6[[#This Row],[Ecart 2021 2022]]/Tableau6[[#This Row],[Cumul 2021]]</f>
        <v>#N/A</v>
      </c>
      <c r="M347" s="102" t="str">
        <f>IF(ISNA(Tableau6[[#This Row],[Position 2023]]),"",INDEX(tabSuiviConso[HP + HC
cumul],Tableau6[[#This Row],[Position 2023]],1))</f>
        <v/>
      </c>
      <c r="N347" s="123" t="e">
        <f>IF(ISNA(Tableau6[[#This Row],[Position 2023]]),Tableau6[[#This Row],[Position 2023]],Tableau6[[#This Row],[2023]]-M$2)</f>
        <v>#N/A</v>
      </c>
      <c r="O347" s="102" t="e">
        <f>Tableau6[[#This Row],[Cumul 2023]]-Tableau6[[#This Row],[Cumul 2022]]</f>
        <v>#N/A</v>
      </c>
      <c r="P347" s="104" t="e">
        <f>Tableau6[[#This Row],[Ecart 2022 2023]]/Tableau6[[#This Row],[Cumul 2022]]</f>
        <v>#N/A</v>
      </c>
      <c r="Q347" s="102" t="e">
        <f>MATCH(Tableau6[Jours Mois]&amp;"/"&amp;Tableau6[[#Headers],[2024]],tabSuiviConso[Jour Mois Année],0)</f>
        <v>#N/A</v>
      </c>
      <c r="R347" s="102" t="str">
        <f>IF(ISNA(Tableau6[[#This Row],[Position 2024]]),"",INDEX(tabSuiviConso[HP + HC
cumul],Tableau6[[#This Row],[Position 2024]],1))</f>
        <v/>
      </c>
      <c r="S347" s="123" t="e">
        <f>IF(ISNA(Tableau6[[#This Row],[Position 2024]]),Tableau6[[#This Row],[Position 2024]],Tableau6[[#This Row],[2024]]-R$2)</f>
        <v>#N/A</v>
      </c>
      <c r="T347" s="102" t="e">
        <f>Tableau6[[#This Row],[Cumul 2024]]-Tableau6[[#This Row],[Cumul 2023]]</f>
        <v>#N/A</v>
      </c>
      <c r="U347" s="103" t="e">
        <f>Tableau6[[#This Row],[Ecart 2023 2024]]/Tableau6[[#This Row],[Cumul 2023]]</f>
        <v>#N/A</v>
      </c>
    </row>
    <row r="348" spans="1:21" x14ac:dyDescent="0.2">
      <c r="A348" s="102">
        <v>12</v>
      </c>
      <c r="B348" s="102">
        <v>11</v>
      </c>
      <c r="C348" s="102" t="str">
        <f>Tableau6[Jour]&amp;"/"&amp;Tableau6[Mois]</f>
        <v>11/12</v>
      </c>
      <c r="D348" s="102" t="e">
        <f>MATCH(Tableau6[Jours Mois]&amp;"/"&amp;Tableau6[[#Headers],[2021]],tabSuiviConso[Jour Mois Année],0)</f>
        <v>#N/A</v>
      </c>
      <c r="E348" s="102" t="str">
        <f>IF(ISNA(Tableau6[[#This Row],[Position 2021]]),"",INDEX(tabSuiviConso[HP + HC
cumul],Tableau6[[#This Row],[Position 2021]],1))</f>
        <v/>
      </c>
      <c r="F348" s="123" t="e">
        <f>IF(ISNA(Tableau6[[#This Row],[Position 2021]]),Tableau6[[#This Row],[Position 2021]],Tableau6[[#This Row],[2021]]-E$2)</f>
        <v>#N/A</v>
      </c>
      <c r="G348" s="102" t="e">
        <f>MATCH(Tableau6[Jours Mois]&amp;"/"&amp;Tableau6[[#Headers],[2022]],tabSuiviConso[Jour Mois Année],0)</f>
        <v>#N/A</v>
      </c>
      <c r="H348" s="102" t="str">
        <f>IF(ISNA(Tableau6[[#This Row],[Position 2022]]),"",INDEX(tabSuiviConso[HP + HC
cumul],Tableau6[[#This Row],[Position 2022]],1))</f>
        <v/>
      </c>
      <c r="I348" s="123" t="e">
        <f>IF(ISNA(Tableau6[[#This Row],[Position 2022]]),Tableau6[[#This Row],[Position 2022]],Tableau6[[#This Row],[2022]]-H$2)</f>
        <v>#N/A</v>
      </c>
      <c r="J348" s="102" t="e">
        <f>MATCH(Tableau6[Jours Mois]&amp;"/"&amp;Tableau6[[#Headers],[2023]],tabSuiviConso[Jour Mois Année],0)</f>
        <v>#N/A</v>
      </c>
      <c r="K348" s="102" t="e">
        <f>Tableau6[[#This Row],[Cumul 2022]]-Tableau6[[#This Row],[Cumul 2021]]</f>
        <v>#N/A</v>
      </c>
      <c r="L348" s="104" t="e">
        <f>Tableau6[[#This Row],[Ecart 2021 2022]]/Tableau6[[#This Row],[Cumul 2021]]</f>
        <v>#N/A</v>
      </c>
      <c r="M348" s="102" t="str">
        <f>IF(ISNA(Tableau6[[#This Row],[Position 2023]]),"",INDEX(tabSuiviConso[HP + HC
cumul],Tableau6[[#This Row],[Position 2023]],1))</f>
        <v/>
      </c>
      <c r="N348" s="123" t="e">
        <f>IF(ISNA(Tableau6[[#This Row],[Position 2023]]),Tableau6[[#This Row],[Position 2023]],Tableau6[[#This Row],[2023]]-M$2)</f>
        <v>#N/A</v>
      </c>
      <c r="O348" s="102" t="e">
        <f>Tableau6[[#This Row],[Cumul 2023]]-Tableau6[[#This Row],[Cumul 2022]]</f>
        <v>#N/A</v>
      </c>
      <c r="P348" s="104" t="e">
        <f>Tableau6[[#This Row],[Ecart 2022 2023]]/Tableau6[[#This Row],[Cumul 2022]]</f>
        <v>#N/A</v>
      </c>
      <c r="Q348" s="102" t="e">
        <f>MATCH(Tableau6[Jours Mois]&amp;"/"&amp;Tableau6[[#Headers],[2024]],tabSuiviConso[Jour Mois Année],0)</f>
        <v>#N/A</v>
      </c>
      <c r="R348" s="102" t="str">
        <f>IF(ISNA(Tableau6[[#This Row],[Position 2024]]),"",INDEX(tabSuiviConso[HP + HC
cumul],Tableau6[[#This Row],[Position 2024]],1))</f>
        <v/>
      </c>
      <c r="S348" s="123" t="e">
        <f>IF(ISNA(Tableau6[[#This Row],[Position 2024]]),Tableau6[[#This Row],[Position 2024]],Tableau6[[#This Row],[2024]]-R$2)</f>
        <v>#N/A</v>
      </c>
      <c r="T348" s="102" t="e">
        <f>Tableau6[[#This Row],[Cumul 2024]]-Tableau6[[#This Row],[Cumul 2023]]</f>
        <v>#N/A</v>
      </c>
      <c r="U348" s="103" t="e">
        <f>Tableau6[[#This Row],[Ecart 2023 2024]]/Tableau6[[#This Row],[Cumul 2023]]</f>
        <v>#N/A</v>
      </c>
    </row>
    <row r="349" spans="1:21" x14ac:dyDescent="0.2">
      <c r="A349" s="102">
        <v>12</v>
      </c>
      <c r="B349" s="102">
        <v>12</v>
      </c>
      <c r="C349" s="102" t="str">
        <f>Tableau6[Jour]&amp;"/"&amp;Tableau6[Mois]</f>
        <v>12/12</v>
      </c>
      <c r="D349" s="102" t="e">
        <f>MATCH(Tableau6[Jours Mois]&amp;"/"&amp;Tableau6[[#Headers],[2021]],tabSuiviConso[Jour Mois Année],0)</f>
        <v>#N/A</v>
      </c>
      <c r="E349" s="102" t="str">
        <f>IF(ISNA(Tableau6[[#This Row],[Position 2021]]),"",INDEX(tabSuiviConso[HP + HC
cumul],Tableau6[[#This Row],[Position 2021]],1))</f>
        <v/>
      </c>
      <c r="F349" s="123" t="e">
        <f>IF(ISNA(Tableau6[[#This Row],[Position 2021]]),Tableau6[[#This Row],[Position 2021]],Tableau6[[#This Row],[2021]]-E$2)</f>
        <v>#N/A</v>
      </c>
      <c r="G349" s="102" t="e">
        <f>MATCH(Tableau6[Jours Mois]&amp;"/"&amp;Tableau6[[#Headers],[2022]],tabSuiviConso[Jour Mois Année],0)</f>
        <v>#N/A</v>
      </c>
      <c r="H349" s="102" t="str">
        <f>IF(ISNA(Tableau6[[#This Row],[Position 2022]]),"",INDEX(tabSuiviConso[HP + HC
cumul],Tableau6[[#This Row],[Position 2022]],1))</f>
        <v/>
      </c>
      <c r="I349" s="123" t="e">
        <f>IF(ISNA(Tableau6[[#This Row],[Position 2022]]),Tableau6[[#This Row],[Position 2022]],Tableau6[[#This Row],[2022]]-H$2)</f>
        <v>#N/A</v>
      </c>
      <c r="J349" s="102" t="e">
        <f>MATCH(Tableau6[Jours Mois]&amp;"/"&amp;Tableau6[[#Headers],[2023]],tabSuiviConso[Jour Mois Année],0)</f>
        <v>#N/A</v>
      </c>
      <c r="K349" s="102" t="e">
        <f>Tableau6[[#This Row],[Cumul 2022]]-Tableau6[[#This Row],[Cumul 2021]]</f>
        <v>#N/A</v>
      </c>
      <c r="L349" s="104" t="e">
        <f>Tableau6[[#This Row],[Ecart 2021 2022]]/Tableau6[[#This Row],[Cumul 2021]]</f>
        <v>#N/A</v>
      </c>
      <c r="M349" s="102" t="str">
        <f>IF(ISNA(Tableau6[[#This Row],[Position 2023]]),"",INDEX(tabSuiviConso[HP + HC
cumul],Tableau6[[#This Row],[Position 2023]],1))</f>
        <v/>
      </c>
      <c r="N349" s="123" t="e">
        <f>IF(ISNA(Tableau6[[#This Row],[Position 2023]]),Tableau6[[#This Row],[Position 2023]],Tableau6[[#This Row],[2023]]-M$2)</f>
        <v>#N/A</v>
      </c>
      <c r="O349" s="102" t="e">
        <f>Tableau6[[#This Row],[Cumul 2023]]-Tableau6[[#This Row],[Cumul 2022]]</f>
        <v>#N/A</v>
      </c>
      <c r="P349" s="104" t="e">
        <f>Tableau6[[#This Row],[Ecart 2022 2023]]/Tableau6[[#This Row],[Cumul 2022]]</f>
        <v>#N/A</v>
      </c>
      <c r="Q349" s="102" t="e">
        <f>MATCH(Tableau6[Jours Mois]&amp;"/"&amp;Tableau6[[#Headers],[2024]],tabSuiviConso[Jour Mois Année],0)</f>
        <v>#N/A</v>
      </c>
      <c r="R349" s="102" t="str">
        <f>IF(ISNA(Tableau6[[#This Row],[Position 2024]]),"",INDEX(tabSuiviConso[HP + HC
cumul],Tableau6[[#This Row],[Position 2024]],1))</f>
        <v/>
      </c>
      <c r="S349" s="123" t="e">
        <f>IF(ISNA(Tableau6[[#This Row],[Position 2024]]),Tableau6[[#This Row],[Position 2024]],Tableau6[[#This Row],[2024]]-R$2)</f>
        <v>#N/A</v>
      </c>
      <c r="T349" s="102" t="e">
        <f>Tableau6[[#This Row],[Cumul 2024]]-Tableau6[[#This Row],[Cumul 2023]]</f>
        <v>#N/A</v>
      </c>
      <c r="U349" s="103" t="e">
        <f>Tableau6[[#This Row],[Ecart 2023 2024]]/Tableau6[[#This Row],[Cumul 2023]]</f>
        <v>#N/A</v>
      </c>
    </row>
    <row r="350" spans="1:21" x14ac:dyDescent="0.2">
      <c r="A350" s="102">
        <v>12</v>
      </c>
      <c r="B350" s="102">
        <v>13</v>
      </c>
      <c r="C350" s="102" t="str">
        <f>Tableau6[Jour]&amp;"/"&amp;Tableau6[Mois]</f>
        <v>13/12</v>
      </c>
      <c r="D350" s="102" t="e">
        <f>MATCH(Tableau6[Jours Mois]&amp;"/"&amp;Tableau6[[#Headers],[2021]],tabSuiviConso[Jour Mois Année],0)</f>
        <v>#N/A</v>
      </c>
      <c r="E350" s="102" t="str">
        <f>IF(ISNA(Tableau6[[#This Row],[Position 2021]]),"",INDEX(tabSuiviConso[HP + HC
cumul],Tableau6[[#This Row],[Position 2021]],1))</f>
        <v/>
      </c>
      <c r="F350" s="123" t="e">
        <f>IF(ISNA(Tableau6[[#This Row],[Position 2021]]),Tableau6[[#This Row],[Position 2021]],Tableau6[[#This Row],[2021]]-E$2)</f>
        <v>#N/A</v>
      </c>
      <c r="G350" s="102" t="e">
        <f>MATCH(Tableau6[Jours Mois]&amp;"/"&amp;Tableau6[[#Headers],[2022]],tabSuiviConso[Jour Mois Année],0)</f>
        <v>#N/A</v>
      </c>
      <c r="H350" s="102" t="str">
        <f>IF(ISNA(Tableau6[[#This Row],[Position 2022]]),"",INDEX(tabSuiviConso[HP + HC
cumul],Tableau6[[#This Row],[Position 2022]],1))</f>
        <v/>
      </c>
      <c r="I350" s="123" t="e">
        <f>IF(ISNA(Tableau6[[#This Row],[Position 2022]]),Tableau6[[#This Row],[Position 2022]],Tableau6[[#This Row],[2022]]-H$2)</f>
        <v>#N/A</v>
      </c>
      <c r="J350" s="102" t="e">
        <f>MATCH(Tableau6[Jours Mois]&amp;"/"&amp;Tableau6[[#Headers],[2023]],tabSuiviConso[Jour Mois Année],0)</f>
        <v>#N/A</v>
      </c>
      <c r="K350" s="102" t="e">
        <f>Tableau6[[#This Row],[Cumul 2022]]-Tableau6[[#This Row],[Cumul 2021]]</f>
        <v>#N/A</v>
      </c>
      <c r="L350" s="104" t="e">
        <f>Tableau6[[#This Row],[Ecart 2021 2022]]/Tableau6[[#This Row],[Cumul 2021]]</f>
        <v>#N/A</v>
      </c>
      <c r="M350" s="102" t="str">
        <f>IF(ISNA(Tableau6[[#This Row],[Position 2023]]),"",INDEX(tabSuiviConso[HP + HC
cumul],Tableau6[[#This Row],[Position 2023]],1))</f>
        <v/>
      </c>
      <c r="N350" s="123" t="e">
        <f>IF(ISNA(Tableau6[[#This Row],[Position 2023]]),Tableau6[[#This Row],[Position 2023]],Tableau6[[#This Row],[2023]]-M$2)</f>
        <v>#N/A</v>
      </c>
      <c r="O350" s="102" t="e">
        <f>Tableau6[[#This Row],[Cumul 2023]]-Tableau6[[#This Row],[Cumul 2022]]</f>
        <v>#N/A</v>
      </c>
      <c r="P350" s="104" t="e">
        <f>Tableau6[[#This Row],[Ecart 2022 2023]]/Tableau6[[#This Row],[Cumul 2022]]</f>
        <v>#N/A</v>
      </c>
      <c r="Q350" s="102" t="e">
        <f>MATCH(Tableau6[Jours Mois]&amp;"/"&amp;Tableau6[[#Headers],[2024]],tabSuiviConso[Jour Mois Année],0)</f>
        <v>#N/A</v>
      </c>
      <c r="R350" s="102" t="str">
        <f>IF(ISNA(Tableau6[[#This Row],[Position 2024]]),"",INDEX(tabSuiviConso[HP + HC
cumul],Tableau6[[#This Row],[Position 2024]],1))</f>
        <v/>
      </c>
      <c r="S350" s="123" t="e">
        <f>IF(ISNA(Tableau6[[#This Row],[Position 2024]]),Tableau6[[#This Row],[Position 2024]],Tableau6[[#This Row],[2024]]-R$2)</f>
        <v>#N/A</v>
      </c>
      <c r="T350" s="102" t="e">
        <f>Tableau6[[#This Row],[Cumul 2024]]-Tableau6[[#This Row],[Cumul 2023]]</f>
        <v>#N/A</v>
      </c>
      <c r="U350" s="103" t="e">
        <f>Tableau6[[#This Row],[Ecart 2023 2024]]/Tableau6[[#This Row],[Cumul 2023]]</f>
        <v>#N/A</v>
      </c>
    </row>
    <row r="351" spans="1:21" x14ac:dyDescent="0.2">
      <c r="A351" s="102">
        <v>12</v>
      </c>
      <c r="B351" s="102">
        <v>14</v>
      </c>
      <c r="C351" s="102" t="str">
        <f>Tableau6[Jour]&amp;"/"&amp;Tableau6[Mois]</f>
        <v>14/12</v>
      </c>
      <c r="D351" s="102" t="e">
        <f>MATCH(Tableau6[Jours Mois]&amp;"/"&amp;Tableau6[[#Headers],[2021]],tabSuiviConso[Jour Mois Année],0)</f>
        <v>#N/A</v>
      </c>
      <c r="E351" s="102" t="str">
        <f>IF(ISNA(Tableau6[[#This Row],[Position 2021]]),"",INDEX(tabSuiviConso[HP + HC
cumul],Tableau6[[#This Row],[Position 2021]],1))</f>
        <v/>
      </c>
      <c r="F351" s="123" t="e">
        <f>IF(ISNA(Tableau6[[#This Row],[Position 2021]]),Tableau6[[#This Row],[Position 2021]],Tableau6[[#This Row],[2021]]-E$2)</f>
        <v>#N/A</v>
      </c>
      <c r="G351" s="102" t="e">
        <f>MATCH(Tableau6[Jours Mois]&amp;"/"&amp;Tableau6[[#Headers],[2022]],tabSuiviConso[Jour Mois Année],0)</f>
        <v>#N/A</v>
      </c>
      <c r="H351" s="102" t="str">
        <f>IF(ISNA(Tableau6[[#This Row],[Position 2022]]),"",INDEX(tabSuiviConso[HP + HC
cumul],Tableau6[[#This Row],[Position 2022]],1))</f>
        <v/>
      </c>
      <c r="I351" s="123" t="e">
        <f>IF(ISNA(Tableau6[[#This Row],[Position 2022]]),Tableau6[[#This Row],[Position 2022]],Tableau6[[#This Row],[2022]]-H$2)</f>
        <v>#N/A</v>
      </c>
      <c r="J351" s="102" t="e">
        <f>MATCH(Tableau6[Jours Mois]&amp;"/"&amp;Tableau6[[#Headers],[2023]],tabSuiviConso[Jour Mois Année],0)</f>
        <v>#N/A</v>
      </c>
      <c r="K351" s="102" t="e">
        <f>Tableau6[[#This Row],[Cumul 2022]]-Tableau6[[#This Row],[Cumul 2021]]</f>
        <v>#N/A</v>
      </c>
      <c r="L351" s="104" t="e">
        <f>Tableau6[[#This Row],[Ecart 2021 2022]]/Tableau6[[#This Row],[Cumul 2021]]</f>
        <v>#N/A</v>
      </c>
      <c r="M351" s="102" t="str">
        <f>IF(ISNA(Tableau6[[#This Row],[Position 2023]]),"",INDEX(tabSuiviConso[HP + HC
cumul],Tableau6[[#This Row],[Position 2023]],1))</f>
        <v/>
      </c>
      <c r="N351" s="123" t="e">
        <f>IF(ISNA(Tableau6[[#This Row],[Position 2023]]),Tableau6[[#This Row],[Position 2023]],Tableau6[[#This Row],[2023]]-M$2)</f>
        <v>#N/A</v>
      </c>
      <c r="O351" s="102" t="e">
        <f>Tableau6[[#This Row],[Cumul 2023]]-Tableau6[[#This Row],[Cumul 2022]]</f>
        <v>#N/A</v>
      </c>
      <c r="P351" s="104" t="e">
        <f>Tableau6[[#This Row],[Ecart 2022 2023]]/Tableau6[[#This Row],[Cumul 2022]]</f>
        <v>#N/A</v>
      </c>
      <c r="Q351" s="102" t="e">
        <f>MATCH(Tableau6[Jours Mois]&amp;"/"&amp;Tableau6[[#Headers],[2024]],tabSuiviConso[Jour Mois Année],0)</f>
        <v>#N/A</v>
      </c>
      <c r="R351" s="102" t="str">
        <f>IF(ISNA(Tableau6[[#This Row],[Position 2024]]),"",INDEX(tabSuiviConso[HP + HC
cumul],Tableau6[[#This Row],[Position 2024]],1))</f>
        <v/>
      </c>
      <c r="S351" s="123" t="e">
        <f>IF(ISNA(Tableau6[[#This Row],[Position 2024]]),Tableau6[[#This Row],[Position 2024]],Tableau6[[#This Row],[2024]]-R$2)</f>
        <v>#N/A</v>
      </c>
      <c r="T351" s="102" t="e">
        <f>Tableau6[[#This Row],[Cumul 2024]]-Tableau6[[#This Row],[Cumul 2023]]</f>
        <v>#N/A</v>
      </c>
      <c r="U351" s="103" t="e">
        <f>Tableau6[[#This Row],[Ecart 2023 2024]]/Tableau6[[#This Row],[Cumul 2023]]</f>
        <v>#N/A</v>
      </c>
    </row>
    <row r="352" spans="1:21" x14ac:dyDescent="0.2">
      <c r="A352" s="102">
        <v>12</v>
      </c>
      <c r="B352" s="102">
        <v>15</v>
      </c>
      <c r="C352" s="102" t="str">
        <f>Tableau6[Jour]&amp;"/"&amp;Tableau6[Mois]</f>
        <v>15/12</v>
      </c>
      <c r="D352" s="102" t="e">
        <f>MATCH(Tableau6[Jours Mois]&amp;"/"&amp;Tableau6[[#Headers],[2021]],tabSuiviConso[Jour Mois Année],0)</f>
        <v>#N/A</v>
      </c>
      <c r="E352" s="102" t="str">
        <f>IF(ISNA(Tableau6[[#This Row],[Position 2021]]),"",INDEX(tabSuiviConso[HP + HC
cumul],Tableau6[[#This Row],[Position 2021]],1))</f>
        <v/>
      </c>
      <c r="F352" s="123" t="e">
        <f>IF(ISNA(Tableau6[[#This Row],[Position 2021]]),Tableau6[[#This Row],[Position 2021]],Tableau6[[#This Row],[2021]]-E$2)</f>
        <v>#N/A</v>
      </c>
      <c r="G352" s="102" t="e">
        <f>MATCH(Tableau6[Jours Mois]&amp;"/"&amp;Tableau6[[#Headers],[2022]],tabSuiviConso[Jour Mois Année],0)</f>
        <v>#N/A</v>
      </c>
      <c r="H352" s="102" t="str">
        <f>IF(ISNA(Tableau6[[#This Row],[Position 2022]]),"",INDEX(tabSuiviConso[HP + HC
cumul],Tableau6[[#This Row],[Position 2022]],1))</f>
        <v/>
      </c>
      <c r="I352" s="123" t="e">
        <f>IF(ISNA(Tableau6[[#This Row],[Position 2022]]),Tableau6[[#This Row],[Position 2022]],Tableau6[[#This Row],[2022]]-H$2)</f>
        <v>#N/A</v>
      </c>
      <c r="J352" s="102" t="e">
        <f>MATCH(Tableau6[Jours Mois]&amp;"/"&amp;Tableau6[[#Headers],[2023]],tabSuiviConso[Jour Mois Année],0)</f>
        <v>#N/A</v>
      </c>
      <c r="K352" s="102" t="e">
        <f>Tableau6[[#This Row],[Cumul 2022]]-Tableau6[[#This Row],[Cumul 2021]]</f>
        <v>#N/A</v>
      </c>
      <c r="L352" s="104" t="e">
        <f>Tableau6[[#This Row],[Ecart 2021 2022]]/Tableau6[[#This Row],[Cumul 2021]]</f>
        <v>#N/A</v>
      </c>
      <c r="M352" s="102" t="str">
        <f>IF(ISNA(Tableau6[[#This Row],[Position 2023]]),"",INDEX(tabSuiviConso[HP + HC
cumul],Tableau6[[#This Row],[Position 2023]],1))</f>
        <v/>
      </c>
      <c r="N352" s="123" t="e">
        <f>IF(ISNA(Tableau6[[#This Row],[Position 2023]]),Tableau6[[#This Row],[Position 2023]],Tableau6[[#This Row],[2023]]-M$2)</f>
        <v>#N/A</v>
      </c>
      <c r="O352" s="102" t="e">
        <f>Tableau6[[#This Row],[Cumul 2023]]-Tableau6[[#This Row],[Cumul 2022]]</f>
        <v>#N/A</v>
      </c>
      <c r="P352" s="104" t="e">
        <f>Tableau6[[#This Row],[Ecart 2022 2023]]/Tableau6[[#This Row],[Cumul 2022]]</f>
        <v>#N/A</v>
      </c>
      <c r="Q352" s="102" t="e">
        <f>MATCH(Tableau6[Jours Mois]&amp;"/"&amp;Tableau6[[#Headers],[2024]],tabSuiviConso[Jour Mois Année],0)</f>
        <v>#N/A</v>
      </c>
      <c r="R352" s="102" t="str">
        <f>IF(ISNA(Tableau6[[#This Row],[Position 2024]]),"",INDEX(tabSuiviConso[HP + HC
cumul],Tableau6[[#This Row],[Position 2024]],1))</f>
        <v/>
      </c>
      <c r="S352" s="123" t="e">
        <f>IF(ISNA(Tableau6[[#This Row],[Position 2024]]),Tableau6[[#This Row],[Position 2024]],Tableau6[[#This Row],[2024]]-R$2)</f>
        <v>#N/A</v>
      </c>
      <c r="T352" s="102" t="e">
        <f>Tableau6[[#This Row],[Cumul 2024]]-Tableau6[[#This Row],[Cumul 2023]]</f>
        <v>#N/A</v>
      </c>
      <c r="U352" s="103" t="e">
        <f>Tableau6[[#This Row],[Ecart 2023 2024]]/Tableau6[[#This Row],[Cumul 2023]]</f>
        <v>#N/A</v>
      </c>
    </row>
    <row r="353" spans="1:21" x14ac:dyDescent="0.2">
      <c r="A353" s="102">
        <v>12</v>
      </c>
      <c r="B353" s="102">
        <v>16</v>
      </c>
      <c r="C353" s="102" t="str">
        <f>Tableau6[Jour]&amp;"/"&amp;Tableau6[Mois]</f>
        <v>16/12</v>
      </c>
      <c r="D353" s="102" t="e">
        <f>MATCH(Tableau6[Jours Mois]&amp;"/"&amp;Tableau6[[#Headers],[2021]],tabSuiviConso[Jour Mois Année],0)</f>
        <v>#N/A</v>
      </c>
      <c r="E353" s="102" t="str">
        <f>IF(ISNA(Tableau6[[#This Row],[Position 2021]]),"",INDEX(tabSuiviConso[HP + HC
cumul],Tableau6[[#This Row],[Position 2021]],1))</f>
        <v/>
      </c>
      <c r="F353" s="123" t="e">
        <f>IF(ISNA(Tableau6[[#This Row],[Position 2021]]),Tableau6[[#This Row],[Position 2021]],Tableau6[[#This Row],[2021]]-E$2)</f>
        <v>#N/A</v>
      </c>
      <c r="G353" s="102" t="e">
        <f>MATCH(Tableau6[Jours Mois]&amp;"/"&amp;Tableau6[[#Headers],[2022]],tabSuiviConso[Jour Mois Année],0)</f>
        <v>#N/A</v>
      </c>
      <c r="H353" s="102" t="str">
        <f>IF(ISNA(Tableau6[[#This Row],[Position 2022]]),"",INDEX(tabSuiviConso[HP + HC
cumul],Tableau6[[#This Row],[Position 2022]],1))</f>
        <v/>
      </c>
      <c r="I353" s="123" t="e">
        <f>IF(ISNA(Tableau6[[#This Row],[Position 2022]]),Tableau6[[#This Row],[Position 2022]],Tableau6[[#This Row],[2022]]-H$2)</f>
        <v>#N/A</v>
      </c>
      <c r="J353" s="102" t="e">
        <f>MATCH(Tableau6[Jours Mois]&amp;"/"&amp;Tableau6[[#Headers],[2023]],tabSuiviConso[Jour Mois Année],0)</f>
        <v>#N/A</v>
      </c>
      <c r="K353" s="102" t="e">
        <f>Tableau6[[#This Row],[Cumul 2022]]-Tableau6[[#This Row],[Cumul 2021]]</f>
        <v>#N/A</v>
      </c>
      <c r="L353" s="104" t="e">
        <f>Tableau6[[#This Row],[Ecart 2021 2022]]/Tableau6[[#This Row],[Cumul 2021]]</f>
        <v>#N/A</v>
      </c>
      <c r="M353" s="102" t="str">
        <f>IF(ISNA(Tableau6[[#This Row],[Position 2023]]),"",INDEX(tabSuiviConso[HP + HC
cumul],Tableau6[[#This Row],[Position 2023]],1))</f>
        <v/>
      </c>
      <c r="N353" s="123" t="e">
        <f>IF(ISNA(Tableau6[[#This Row],[Position 2023]]),Tableau6[[#This Row],[Position 2023]],Tableau6[[#This Row],[2023]]-M$2)</f>
        <v>#N/A</v>
      </c>
      <c r="O353" s="102" t="e">
        <f>Tableau6[[#This Row],[Cumul 2023]]-Tableau6[[#This Row],[Cumul 2022]]</f>
        <v>#N/A</v>
      </c>
      <c r="P353" s="104" t="e">
        <f>Tableau6[[#This Row],[Ecart 2022 2023]]/Tableau6[[#This Row],[Cumul 2022]]</f>
        <v>#N/A</v>
      </c>
      <c r="Q353" s="102" t="e">
        <f>MATCH(Tableau6[Jours Mois]&amp;"/"&amp;Tableau6[[#Headers],[2024]],tabSuiviConso[Jour Mois Année],0)</f>
        <v>#N/A</v>
      </c>
      <c r="R353" s="102" t="str">
        <f>IF(ISNA(Tableau6[[#This Row],[Position 2024]]),"",INDEX(tabSuiviConso[HP + HC
cumul],Tableau6[[#This Row],[Position 2024]],1))</f>
        <v/>
      </c>
      <c r="S353" s="123" t="e">
        <f>IF(ISNA(Tableau6[[#This Row],[Position 2024]]),Tableau6[[#This Row],[Position 2024]],Tableau6[[#This Row],[2024]]-R$2)</f>
        <v>#N/A</v>
      </c>
      <c r="T353" s="102" t="e">
        <f>Tableau6[[#This Row],[Cumul 2024]]-Tableau6[[#This Row],[Cumul 2023]]</f>
        <v>#N/A</v>
      </c>
      <c r="U353" s="103" t="e">
        <f>Tableau6[[#This Row],[Ecart 2023 2024]]/Tableau6[[#This Row],[Cumul 2023]]</f>
        <v>#N/A</v>
      </c>
    </row>
    <row r="354" spans="1:21" x14ac:dyDescent="0.2">
      <c r="A354" s="102">
        <v>12</v>
      </c>
      <c r="B354" s="102">
        <v>17</v>
      </c>
      <c r="C354" s="102" t="str">
        <f>Tableau6[Jour]&amp;"/"&amp;Tableau6[Mois]</f>
        <v>17/12</v>
      </c>
      <c r="D354" s="102" t="e">
        <f>MATCH(Tableau6[Jours Mois]&amp;"/"&amp;Tableau6[[#Headers],[2021]],tabSuiviConso[Jour Mois Année],0)</f>
        <v>#N/A</v>
      </c>
      <c r="E354" s="102" t="str">
        <f>IF(ISNA(Tableau6[[#This Row],[Position 2021]]),"",INDEX(tabSuiviConso[HP + HC
cumul],Tableau6[[#This Row],[Position 2021]],1))</f>
        <v/>
      </c>
      <c r="F354" s="123" t="e">
        <f>IF(ISNA(Tableau6[[#This Row],[Position 2021]]),Tableau6[[#This Row],[Position 2021]],Tableau6[[#This Row],[2021]]-E$2)</f>
        <v>#N/A</v>
      </c>
      <c r="G354" s="102" t="e">
        <f>MATCH(Tableau6[Jours Mois]&amp;"/"&amp;Tableau6[[#Headers],[2022]],tabSuiviConso[Jour Mois Année],0)</f>
        <v>#N/A</v>
      </c>
      <c r="H354" s="102" t="str">
        <f>IF(ISNA(Tableau6[[#This Row],[Position 2022]]),"",INDEX(tabSuiviConso[HP + HC
cumul],Tableau6[[#This Row],[Position 2022]],1))</f>
        <v/>
      </c>
      <c r="I354" s="123" t="e">
        <f>IF(ISNA(Tableau6[[#This Row],[Position 2022]]),Tableau6[[#This Row],[Position 2022]],Tableau6[[#This Row],[2022]]-H$2)</f>
        <v>#N/A</v>
      </c>
      <c r="J354" s="102" t="e">
        <f>MATCH(Tableau6[Jours Mois]&amp;"/"&amp;Tableau6[[#Headers],[2023]],tabSuiviConso[Jour Mois Année],0)</f>
        <v>#N/A</v>
      </c>
      <c r="K354" s="102" t="e">
        <f>Tableau6[[#This Row],[Cumul 2022]]-Tableau6[[#This Row],[Cumul 2021]]</f>
        <v>#N/A</v>
      </c>
      <c r="L354" s="104" t="e">
        <f>Tableau6[[#This Row],[Ecart 2021 2022]]/Tableau6[[#This Row],[Cumul 2021]]</f>
        <v>#N/A</v>
      </c>
      <c r="M354" s="102" t="str">
        <f>IF(ISNA(Tableau6[[#This Row],[Position 2023]]),"",INDEX(tabSuiviConso[HP + HC
cumul],Tableau6[[#This Row],[Position 2023]],1))</f>
        <v/>
      </c>
      <c r="N354" s="123" t="e">
        <f>IF(ISNA(Tableau6[[#This Row],[Position 2023]]),Tableau6[[#This Row],[Position 2023]],Tableau6[[#This Row],[2023]]-M$2)</f>
        <v>#N/A</v>
      </c>
      <c r="O354" s="102" t="e">
        <f>Tableau6[[#This Row],[Cumul 2023]]-Tableau6[[#This Row],[Cumul 2022]]</f>
        <v>#N/A</v>
      </c>
      <c r="P354" s="104" t="e">
        <f>Tableau6[[#This Row],[Ecart 2022 2023]]/Tableau6[[#This Row],[Cumul 2022]]</f>
        <v>#N/A</v>
      </c>
      <c r="Q354" s="102" t="e">
        <f>MATCH(Tableau6[Jours Mois]&amp;"/"&amp;Tableau6[[#Headers],[2024]],tabSuiviConso[Jour Mois Année],0)</f>
        <v>#N/A</v>
      </c>
      <c r="R354" s="102" t="str">
        <f>IF(ISNA(Tableau6[[#This Row],[Position 2024]]),"",INDEX(tabSuiviConso[HP + HC
cumul],Tableau6[[#This Row],[Position 2024]],1))</f>
        <v/>
      </c>
      <c r="S354" s="123" t="e">
        <f>IF(ISNA(Tableau6[[#This Row],[Position 2024]]),Tableau6[[#This Row],[Position 2024]],Tableau6[[#This Row],[2024]]-R$2)</f>
        <v>#N/A</v>
      </c>
      <c r="T354" s="102" t="e">
        <f>Tableau6[[#This Row],[Cumul 2024]]-Tableau6[[#This Row],[Cumul 2023]]</f>
        <v>#N/A</v>
      </c>
      <c r="U354" s="103" t="e">
        <f>Tableau6[[#This Row],[Ecart 2023 2024]]/Tableau6[[#This Row],[Cumul 2023]]</f>
        <v>#N/A</v>
      </c>
    </row>
    <row r="355" spans="1:21" x14ac:dyDescent="0.2">
      <c r="A355" s="102">
        <v>12</v>
      </c>
      <c r="B355" s="102">
        <v>18</v>
      </c>
      <c r="C355" s="102" t="str">
        <f>Tableau6[Jour]&amp;"/"&amp;Tableau6[Mois]</f>
        <v>18/12</v>
      </c>
      <c r="D355" s="102" t="e">
        <f>MATCH(Tableau6[Jours Mois]&amp;"/"&amp;Tableau6[[#Headers],[2021]],tabSuiviConso[Jour Mois Année],0)</f>
        <v>#N/A</v>
      </c>
      <c r="E355" s="102" t="str">
        <f>IF(ISNA(Tableau6[[#This Row],[Position 2021]]),"",INDEX(tabSuiviConso[HP + HC
cumul],Tableau6[[#This Row],[Position 2021]],1))</f>
        <v/>
      </c>
      <c r="F355" s="123" t="e">
        <f>IF(ISNA(Tableau6[[#This Row],[Position 2021]]),Tableau6[[#This Row],[Position 2021]],Tableau6[[#This Row],[2021]]-E$2)</f>
        <v>#N/A</v>
      </c>
      <c r="G355" s="102" t="e">
        <f>MATCH(Tableau6[Jours Mois]&amp;"/"&amp;Tableau6[[#Headers],[2022]],tabSuiviConso[Jour Mois Année],0)</f>
        <v>#N/A</v>
      </c>
      <c r="H355" s="102" t="str">
        <f>IF(ISNA(Tableau6[[#This Row],[Position 2022]]),"",INDEX(tabSuiviConso[HP + HC
cumul],Tableau6[[#This Row],[Position 2022]],1))</f>
        <v/>
      </c>
      <c r="I355" s="123" t="e">
        <f>IF(ISNA(Tableau6[[#This Row],[Position 2022]]),Tableau6[[#This Row],[Position 2022]],Tableau6[[#This Row],[2022]]-H$2)</f>
        <v>#N/A</v>
      </c>
      <c r="J355" s="102" t="e">
        <f>MATCH(Tableau6[Jours Mois]&amp;"/"&amp;Tableau6[[#Headers],[2023]],tabSuiviConso[Jour Mois Année],0)</f>
        <v>#N/A</v>
      </c>
      <c r="K355" s="102" t="e">
        <f>Tableau6[[#This Row],[Cumul 2022]]-Tableau6[[#This Row],[Cumul 2021]]</f>
        <v>#N/A</v>
      </c>
      <c r="L355" s="104" t="e">
        <f>Tableau6[[#This Row],[Ecart 2021 2022]]/Tableau6[[#This Row],[Cumul 2021]]</f>
        <v>#N/A</v>
      </c>
      <c r="M355" s="102" t="str">
        <f>IF(ISNA(Tableau6[[#This Row],[Position 2023]]),"",INDEX(tabSuiviConso[HP + HC
cumul],Tableau6[[#This Row],[Position 2023]],1))</f>
        <v/>
      </c>
      <c r="N355" s="123" t="e">
        <f>IF(ISNA(Tableau6[[#This Row],[Position 2023]]),Tableau6[[#This Row],[Position 2023]],Tableau6[[#This Row],[2023]]-M$2)</f>
        <v>#N/A</v>
      </c>
      <c r="O355" s="102" t="e">
        <f>Tableau6[[#This Row],[Cumul 2023]]-Tableau6[[#This Row],[Cumul 2022]]</f>
        <v>#N/A</v>
      </c>
      <c r="P355" s="104" t="e">
        <f>Tableau6[[#This Row],[Ecart 2022 2023]]/Tableau6[[#This Row],[Cumul 2022]]</f>
        <v>#N/A</v>
      </c>
      <c r="Q355" s="102" t="e">
        <f>MATCH(Tableau6[Jours Mois]&amp;"/"&amp;Tableau6[[#Headers],[2024]],tabSuiviConso[Jour Mois Année],0)</f>
        <v>#N/A</v>
      </c>
      <c r="R355" s="102" t="str">
        <f>IF(ISNA(Tableau6[[#This Row],[Position 2024]]),"",INDEX(tabSuiviConso[HP + HC
cumul],Tableau6[[#This Row],[Position 2024]],1))</f>
        <v/>
      </c>
      <c r="S355" s="123" t="e">
        <f>IF(ISNA(Tableau6[[#This Row],[Position 2024]]),Tableau6[[#This Row],[Position 2024]],Tableau6[[#This Row],[2024]]-R$2)</f>
        <v>#N/A</v>
      </c>
      <c r="T355" s="102" t="e">
        <f>Tableau6[[#This Row],[Cumul 2024]]-Tableau6[[#This Row],[Cumul 2023]]</f>
        <v>#N/A</v>
      </c>
      <c r="U355" s="103" t="e">
        <f>Tableau6[[#This Row],[Ecart 2023 2024]]/Tableau6[[#This Row],[Cumul 2023]]</f>
        <v>#N/A</v>
      </c>
    </row>
    <row r="356" spans="1:21" x14ac:dyDescent="0.2">
      <c r="A356" s="102">
        <v>12</v>
      </c>
      <c r="B356" s="102">
        <v>19</v>
      </c>
      <c r="C356" s="102" t="str">
        <f>Tableau6[Jour]&amp;"/"&amp;Tableau6[Mois]</f>
        <v>19/12</v>
      </c>
      <c r="D356" s="102" t="e">
        <f>MATCH(Tableau6[Jours Mois]&amp;"/"&amp;Tableau6[[#Headers],[2021]],tabSuiviConso[Jour Mois Année],0)</f>
        <v>#N/A</v>
      </c>
      <c r="E356" s="102" t="str">
        <f>IF(ISNA(Tableau6[[#This Row],[Position 2021]]),"",INDEX(tabSuiviConso[HP + HC
cumul],Tableau6[[#This Row],[Position 2021]],1))</f>
        <v/>
      </c>
      <c r="F356" s="123" t="e">
        <f>IF(ISNA(Tableau6[[#This Row],[Position 2021]]),Tableau6[[#This Row],[Position 2021]],Tableau6[[#This Row],[2021]]-E$2)</f>
        <v>#N/A</v>
      </c>
      <c r="G356" s="102" t="e">
        <f>MATCH(Tableau6[Jours Mois]&amp;"/"&amp;Tableau6[[#Headers],[2022]],tabSuiviConso[Jour Mois Année],0)</f>
        <v>#N/A</v>
      </c>
      <c r="H356" s="102" t="str">
        <f>IF(ISNA(Tableau6[[#This Row],[Position 2022]]),"",INDEX(tabSuiviConso[HP + HC
cumul],Tableau6[[#This Row],[Position 2022]],1))</f>
        <v/>
      </c>
      <c r="I356" s="123" t="e">
        <f>IF(ISNA(Tableau6[[#This Row],[Position 2022]]),Tableau6[[#This Row],[Position 2022]],Tableau6[[#This Row],[2022]]-H$2)</f>
        <v>#N/A</v>
      </c>
      <c r="J356" s="102" t="e">
        <f>MATCH(Tableau6[Jours Mois]&amp;"/"&amp;Tableau6[[#Headers],[2023]],tabSuiviConso[Jour Mois Année],0)</f>
        <v>#N/A</v>
      </c>
      <c r="K356" s="102" t="e">
        <f>Tableau6[[#This Row],[Cumul 2022]]-Tableau6[[#This Row],[Cumul 2021]]</f>
        <v>#N/A</v>
      </c>
      <c r="L356" s="104" t="e">
        <f>Tableau6[[#This Row],[Ecart 2021 2022]]/Tableau6[[#This Row],[Cumul 2021]]</f>
        <v>#N/A</v>
      </c>
      <c r="M356" s="102" t="str">
        <f>IF(ISNA(Tableau6[[#This Row],[Position 2023]]),"",INDEX(tabSuiviConso[HP + HC
cumul],Tableau6[[#This Row],[Position 2023]],1))</f>
        <v/>
      </c>
      <c r="N356" s="123" t="e">
        <f>IF(ISNA(Tableau6[[#This Row],[Position 2023]]),Tableau6[[#This Row],[Position 2023]],Tableau6[[#This Row],[2023]]-M$2)</f>
        <v>#N/A</v>
      </c>
      <c r="O356" s="102" t="e">
        <f>Tableau6[[#This Row],[Cumul 2023]]-Tableau6[[#This Row],[Cumul 2022]]</f>
        <v>#N/A</v>
      </c>
      <c r="P356" s="104" t="e">
        <f>Tableau6[[#This Row],[Ecart 2022 2023]]/Tableau6[[#This Row],[Cumul 2022]]</f>
        <v>#N/A</v>
      </c>
      <c r="Q356" s="102" t="e">
        <f>MATCH(Tableau6[Jours Mois]&amp;"/"&amp;Tableau6[[#Headers],[2024]],tabSuiviConso[Jour Mois Année],0)</f>
        <v>#N/A</v>
      </c>
      <c r="R356" s="102" t="str">
        <f>IF(ISNA(Tableau6[[#This Row],[Position 2024]]),"",INDEX(tabSuiviConso[HP + HC
cumul],Tableau6[[#This Row],[Position 2024]],1))</f>
        <v/>
      </c>
      <c r="S356" s="123" t="e">
        <f>IF(ISNA(Tableau6[[#This Row],[Position 2024]]),Tableau6[[#This Row],[Position 2024]],Tableau6[[#This Row],[2024]]-R$2)</f>
        <v>#N/A</v>
      </c>
      <c r="T356" s="102" t="e">
        <f>Tableau6[[#This Row],[Cumul 2024]]-Tableau6[[#This Row],[Cumul 2023]]</f>
        <v>#N/A</v>
      </c>
      <c r="U356" s="103" t="e">
        <f>Tableau6[[#This Row],[Ecart 2023 2024]]/Tableau6[[#This Row],[Cumul 2023]]</f>
        <v>#N/A</v>
      </c>
    </row>
    <row r="357" spans="1:21" x14ac:dyDescent="0.2">
      <c r="A357" s="102">
        <v>12</v>
      </c>
      <c r="B357" s="102">
        <v>20</v>
      </c>
      <c r="C357" s="102" t="str">
        <f>Tableau6[Jour]&amp;"/"&amp;Tableau6[Mois]</f>
        <v>20/12</v>
      </c>
      <c r="D357" s="102" t="e">
        <f>MATCH(Tableau6[Jours Mois]&amp;"/"&amp;Tableau6[[#Headers],[2021]],tabSuiviConso[Jour Mois Année],0)</f>
        <v>#N/A</v>
      </c>
      <c r="E357" s="102" t="str">
        <f>IF(ISNA(Tableau6[[#This Row],[Position 2021]]),"",INDEX(tabSuiviConso[HP + HC
cumul],Tableau6[[#This Row],[Position 2021]],1))</f>
        <v/>
      </c>
      <c r="F357" s="123" t="e">
        <f>IF(ISNA(Tableau6[[#This Row],[Position 2021]]),Tableau6[[#This Row],[Position 2021]],Tableau6[[#This Row],[2021]]-E$2)</f>
        <v>#N/A</v>
      </c>
      <c r="G357" s="102" t="e">
        <f>MATCH(Tableau6[Jours Mois]&amp;"/"&amp;Tableau6[[#Headers],[2022]],tabSuiviConso[Jour Mois Année],0)</f>
        <v>#N/A</v>
      </c>
      <c r="H357" s="102" t="str">
        <f>IF(ISNA(Tableau6[[#This Row],[Position 2022]]),"",INDEX(tabSuiviConso[HP + HC
cumul],Tableau6[[#This Row],[Position 2022]],1))</f>
        <v/>
      </c>
      <c r="I357" s="123" t="e">
        <f>IF(ISNA(Tableau6[[#This Row],[Position 2022]]),Tableau6[[#This Row],[Position 2022]],Tableau6[[#This Row],[2022]]-H$2)</f>
        <v>#N/A</v>
      </c>
      <c r="J357" s="102" t="e">
        <f>MATCH(Tableau6[Jours Mois]&amp;"/"&amp;Tableau6[[#Headers],[2023]],tabSuiviConso[Jour Mois Année],0)</f>
        <v>#N/A</v>
      </c>
      <c r="K357" s="102" t="e">
        <f>Tableau6[[#This Row],[Cumul 2022]]-Tableau6[[#This Row],[Cumul 2021]]</f>
        <v>#N/A</v>
      </c>
      <c r="L357" s="104" t="e">
        <f>Tableau6[[#This Row],[Ecart 2021 2022]]/Tableau6[[#This Row],[Cumul 2021]]</f>
        <v>#N/A</v>
      </c>
      <c r="M357" s="102" t="str">
        <f>IF(ISNA(Tableau6[[#This Row],[Position 2023]]),"",INDEX(tabSuiviConso[HP + HC
cumul],Tableau6[[#This Row],[Position 2023]],1))</f>
        <v/>
      </c>
      <c r="N357" s="123" t="e">
        <f>IF(ISNA(Tableau6[[#This Row],[Position 2023]]),Tableau6[[#This Row],[Position 2023]],Tableau6[[#This Row],[2023]]-M$2)</f>
        <v>#N/A</v>
      </c>
      <c r="O357" s="102" t="e">
        <f>Tableau6[[#This Row],[Cumul 2023]]-Tableau6[[#This Row],[Cumul 2022]]</f>
        <v>#N/A</v>
      </c>
      <c r="P357" s="104" t="e">
        <f>Tableau6[[#This Row],[Ecart 2022 2023]]/Tableau6[[#This Row],[Cumul 2022]]</f>
        <v>#N/A</v>
      </c>
      <c r="Q357" s="102" t="e">
        <f>MATCH(Tableau6[Jours Mois]&amp;"/"&amp;Tableau6[[#Headers],[2024]],tabSuiviConso[Jour Mois Année],0)</f>
        <v>#N/A</v>
      </c>
      <c r="R357" s="102" t="str">
        <f>IF(ISNA(Tableau6[[#This Row],[Position 2024]]),"",INDEX(tabSuiviConso[HP + HC
cumul],Tableau6[[#This Row],[Position 2024]],1))</f>
        <v/>
      </c>
      <c r="S357" s="123" t="e">
        <f>IF(ISNA(Tableau6[[#This Row],[Position 2024]]),Tableau6[[#This Row],[Position 2024]],Tableau6[[#This Row],[2024]]-R$2)</f>
        <v>#N/A</v>
      </c>
      <c r="T357" s="102" t="e">
        <f>Tableau6[[#This Row],[Cumul 2024]]-Tableau6[[#This Row],[Cumul 2023]]</f>
        <v>#N/A</v>
      </c>
      <c r="U357" s="103" t="e">
        <f>Tableau6[[#This Row],[Ecart 2023 2024]]/Tableau6[[#This Row],[Cumul 2023]]</f>
        <v>#N/A</v>
      </c>
    </row>
    <row r="358" spans="1:21" x14ac:dyDescent="0.2">
      <c r="A358" s="102">
        <v>12</v>
      </c>
      <c r="B358" s="102">
        <v>21</v>
      </c>
      <c r="C358" s="102" t="str">
        <f>Tableau6[Jour]&amp;"/"&amp;Tableau6[Mois]</f>
        <v>21/12</v>
      </c>
      <c r="D358" s="102" t="e">
        <f>MATCH(Tableau6[Jours Mois]&amp;"/"&amp;Tableau6[[#Headers],[2021]],tabSuiviConso[Jour Mois Année],0)</f>
        <v>#N/A</v>
      </c>
      <c r="E358" s="102" t="str">
        <f>IF(ISNA(Tableau6[[#This Row],[Position 2021]]),"",INDEX(tabSuiviConso[HP + HC
cumul],Tableau6[[#This Row],[Position 2021]],1))</f>
        <v/>
      </c>
      <c r="F358" s="123" t="e">
        <f>IF(ISNA(Tableau6[[#This Row],[Position 2021]]),Tableau6[[#This Row],[Position 2021]],Tableau6[[#This Row],[2021]]-E$2)</f>
        <v>#N/A</v>
      </c>
      <c r="G358" s="102" t="e">
        <f>MATCH(Tableau6[Jours Mois]&amp;"/"&amp;Tableau6[[#Headers],[2022]],tabSuiviConso[Jour Mois Année],0)</f>
        <v>#N/A</v>
      </c>
      <c r="H358" s="102" t="str">
        <f>IF(ISNA(Tableau6[[#This Row],[Position 2022]]),"",INDEX(tabSuiviConso[HP + HC
cumul],Tableau6[[#This Row],[Position 2022]],1))</f>
        <v/>
      </c>
      <c r="I358" s="123" t="e">
        <f>IF(ISNA(Tableau6[[#This Row],[Position 2022]]),Tableau6[[#This Row],[Position 2022]],Tableau6[[#This Row],[2022]]-H$2)</f>
        <v>#N/A</v>
      </c>
      <c r="J358" s="102" t="e">
        <f>MATCH(Tableau6[Jours Mois]&amp;"/"&amp;Tableau6[[#Headers],[2023]],tabSuiviConso[Jour Mois Année],0)</f>
        <v>#N/A</v>
      </c>
      <c r="K358" s="102" t="e">
        <f>Tableau6[[#This Row],[Cumul 2022]]-Tableau6[[#This Row],[Cumul 2021]]</f>
        <v>#N/A</v>
      </c>
      <c r="L358" s="104" t="e">
        <f>Tableau6[[#This Row],[Ecart 2021 2022]]/Tableau6[[#This Row],[Cumul 2021]]</f>
        <v>#N/A</v>
      </c>
      <c r="M358" s="102" t="str">
        <f>IF(ISNA(Tableau6[[#This Row],[Position 2023]]),"",INDEX(tabSuiviConso[HP + HC
cumul],Tableau6[[#This Row],[Position 2023]],1))</f>
        <v/>
      </c>
      <c r="N358" s="123" t="e">
        <f>IF(ISNA(Tableau6[[#This Row],[Position 2023]]),Tableau6[[#This Row],[Position 2023]],Tableau6[[#This Row],[2023]]-M$2)</f>
        <v>#N/A</v>
      </c>
      <c r="O358" s="102" t="e">
        <f>Tableau6[[#This Row],[Cumul 2023]]-Tableau6[[#This Row],[Cumul 2022]]</f>
        <v>#N/A</v>
      </c>
      <c r="P358" s="104" t="e">
        <f>Tableau6[[#This Row],[Ecart 2022 2023]]/Tableau6[[#This Row],[Cumul 2022]]</f>
        <v>#N/A</v>
      </c>
      <c r="Q358" s="102" t="e">
        <f>MATCH(Tableau6[Jours Mois]&amp;"/"&amp;Tableau6[[#Headers],[2024]],tabSuiviConso[Jour Mois Année],0)</f>
        <v>#N/A</v>
      </c>
      <c r="R358" s="102" t="str">
        <f>IF(ISNA(Tableau6[[#This Row],[Position 2024]]),"",INDEX(tabSuiviConso[HP + HC
cumul],Tableau6[[#This Row],[Position 2024]],1))</f>
        <v/>
      </c>
      <c r="S358" s="123" t="e">
        <f>IF(ISNA(Tableau6[[#This Row],[Position 2024]]),Tableau6[[#This Row],[Position 2024]],Tableau6[[#This Row],[2024]]-R$2)</f>
        <v>#N/A</v>
      </c>
      <c r="T358" s="102" t="e">
        <f>Tableau6[[#This Row],[Cumul 2024]]-Tableau6[[#This Row],[Cumul 2023]]</f>
        <v>#N/A</v>
      </c>
      <c r="U358" s="103" t="e">
        <f>Tableau6[[#This Row],[Ecart 2023 2024]]/Tableau6[[#This Row],[Cumul 2023]]</f>
        <v>#N/A</v>
      </c>
    </row>
    <row r="359" spans="1:21" x14ac:dyDescent="0.2">
      <c r="A359" s="102">
        <v>12</v>
      </c>
      <c r="B359" s="102">
        <v>22</v>
      </c>
      <c r="C359" s="102" t="str">
        <f>Tableau6[Jour]&amp;"/"&amp;Tableau6[Mois]</f>
        <v>22/12</v>
      </c>
      <c r="D359" s="102" t="e">
        <f>MATCH(Tableau6[Jours Mois]&amp;"/"&amp;Tableau6[[#Headers],[2021]],tabSuiviConso[Jour Mois Année],0)</f>
        <v>#N/A</v>
      </c>
      <c r="E359" s="102" t="str">
        <f>IF(ISNA(Tableau6[[#This Row],[Position 2021]]),"",INDEX(tabSuiviConso[HP + HC
cumul],Tableau6[[#This Row],[Position 2021]],1))</f>
        <v/>
      </c>
      <c r="F359" s="123" t="e">
        <f>IF(ISNA(Tableau6[[#This Row],[Position 2021]]),Tableau6[[#This Row],[Position 2021]],Tableau6[[#This Row],[2021]]-E$2)</f>
        <v>#N/A</v>
      </c>
      <c r="G359" s="102" t="e">
        <f>MATCH(Tableau6[Jours Mois]&amp;"/"&amp;Tableau6[[#Headers],[2022]],tabSuiviConso[Jour Mois Année],0)</f>
        <v>#N/A</v>
      </c>
      <c r="H359" s="102" t="str">
        <f>IF(ISNA(Tableau6[[#This Row],[Position 2022]]),"",INDEX(tabSuiviConso[HP + HC
cumul],Tableau6[[#This Row],[Position 2022]],1))</f>
        <v/>
      </c>
      <c r="I359" s="123" t="e">
        <f>IF(ISNA(Tableau6[[#This Row],[Position 2022]]),Tableau6[[#This Row],[Position 2022]],Tableau6[[#This Row],[2022]]-H$2)</f>
        <v>#N/A</v>
      </c>
      <c r="J359" s="102" t="e">
        <f>MATCH(Tableau6[Jours Mois]&amp;"/"&amp;Tableau6[[#Headers],[2023]],tabSuiviConso[Jour Mois Année],0)</f>
        <v>#N/A</v>
      </c>
      <c r="K359" s="102" t="e">
        <f>Tableau6[[#This Row],[Cumul 2022]]-Tableau6[[#This Row],[Cumul 2021]]</f>
        <v>#N/A</v>
      </c>
      <c r="L359" s="104" t="e">
        <f>Tableau6[[#This Row],[Ecart 2021 2022]]/Tableau6[[#This Row],[Cumul 2021]]</f>
        <v>#N/A</v>
      </c>
      <c r="M359" s="102" t="str">
        <f>IF(ISNA(Tableau6[[#This Row],[Position 2023]]),"",INDEX(tabSuiviConso[HP + HC
cumul],Tableau6[[#This Row],[Position 2023]],1))</f>
        <v/>
      </c>
      <c r="N359" s="123" t="e">
        <f>IF(ISNA(Tableau6[[#This Row],[Position 2023]]),Tableau6[[#This Row],[Position 2023]],Tableau6[[#This Row],[2023]]-M$2)</f>
        <v>#N/A</v>
      </c>
      <c r="O359" s="102" t="e">
        <f>Tableau6[[#This Row],[Cumul 2023]]-Tableau6[[#This Row],[Cumul 2022]]</f>
        <v>#N/A</v>
      </c>
      <c r="P359" s="104" t="e">
        <f>Tableau6[[#This Row],[Ecart 2022 2023]]/Tableau6[[#This Row],[Cumul 2022]]</f>
        <v>#N/A</v>
      </c>
      <c r="Q359" s="102" t="e">
        <f>MATCH(Tableau6[Jours Mois]&amp;"/"&amp;Tableau6[[#Headers],[2024]],tabSuiviConso[Jour Mois Année],0)</f>
        <v>#N/A</v>
      </c>
      <c r="R359" s="102" t="str">
        <f>IF(ISNA(Tableau6[[#This Row],[Position 2024]]),"",INDEX(tabSuiviConso[HP + HC
cumul],Tableau6[[#This Row],[Position 2024]],1))</f>
        <v/>
      </c>
      <c r="S359" s="123" t="e">
        <f>IF(ISNA(Tableau6[[#This Row],[Position 2024]]),Tableau6[[#This Row],[Position 2024]],Tableau6[[#This Row],[2024]]-R$2)</f>
        <v>#N/A</v>
      </c>
      <c r="T359" s="102" t="e">
        <f>Tableau6[[#This Row],[Cumul 2024]]-Tableau6[[#This Row],[Cumul 2023]]</f>
        <v>#N/A</v>
      </c>
      <c r="U359" s="103" t="e">
        <f>Tableau6[[#This Row],[Ecart 2023 2024]]/Tableau6[[#This Row],[Cumul 2023]]</f>
        <v>#N/A</v>
      </c>
    </row>
    <row r="360" spans="1:21" x14ac:dyDescent="0.2">
      <c r="A360" s="102">
        <v>12</v>
      </c>
      <c r="B360" s="102">
        <v>23</v>
      </c>
      <c r="C360" s="102" t="str">
        <f>Tableau6[Jour]&amp;"/"&amp;Tableau6[Mois]</f>
        <v>23/12</v>
      </c>
      <c r="D360" s="102" t="e">
        <f>MATCH(Tableau6[Jours Mois]&amp;"/"&amp;Tableau6[[#Headers],[2021]],tabSuiviConso[Jour Mois Année],0)</f>
        <v>#N/A</v>
      </c>
      <c r="E360" s="102" t="str">
        <f>IF(ISNA(Tableau6[[#This Row],[Position 2021]]),"",INDEX(tabSuiviConso[HP + HC
cumul],Tableau6[[#This Row],[Position 2021]],1))</f>
        <v/>
      </c>
      <c r="F360" s="123" t="e">
        <f>IF(ISNA(Tableau6[[#This Row],[Position 2021]]),Tableau6[[#This Row],[Position 2021]],Tableau6[[#This Row],[2021]]-E$2)</f>
        <v>#N/A</v>
      </c>
      <c r="G360" s="102" t="e">
        <f>MATCH(Tableau6[Jours Mois]&amp;"/"&amp;Tableau6[[#Headers],[2022]],tabSuiviConso[Jour Mois Année],0)</f>
        <v>#N/A</v>
      </c>
      <c r="H360" s="102" t="str">
        <f>IF(ISNA(Tableau6[[#This Row],[Position 2022]]),"",INDEX(tabSuiviConso[HP + HC
cumul],Tableau6[[#This Row],[Position 2022]],1))</f>
        <v/>
      </c>
      <c r="I360" s="123" t="e">
        <f>IF(ISNA(Tableau6[[#This Row],[Position 2022]]),Tableau6[[#This Row],[Position 2022]],Tableau6[[#This Row],[2022]]-H$2)</f>
        <v>#N/A</v>
      </c>
      <c r="J360" s="102" t="e">
        <f>MATCH(Tableau6[Jours Mois]&amp;"/"&amp;Tableau6[[#Headers],[2023]],tabSuiviConso[Jour Mois Année],0)</f>
        <v>#N/A</v>
      </c>
      <c r="K360" s="102" t="e">
        <f>Tableau6[[#This Row],[Cumul 2022]]-Tableau6[[#This Row],[Cumul 2021]]</f>
        <v>#N/A</v>
      </c>
      <c r="L360" s="104" t="e">
        <f>Tableau6[[#This Row],[Ecart 2021 2022]]/Tableau6[[#This Row],[Cumul 2021]]</f>
        <v>#N/A</v>
      </c>
      <c r="M360" s="102" t="str">
        <f>IF(ISNA(Tableau6[[#This Row],[Position 2023]]),"",INDEX(tabSuiviConso[HP + HC
cumul],Tableau6[[#This Row],[Position 2023]],1))</f>
        <v/>
      </c>
      <c r="N360" s="123" t="e">
        <f>IF(ISNA(Tableau6[[#This Row],[Position 2023]]),Tableau6[[#This Row],[Position 2023]],Tableau6[[#This Row],[2023]]-M$2)</f>
        <v>#N/A</v>
      </c>
      <c r="O360" s="102" t="e">
        <f>Tableau6[[#This Row],[Cumul 2023]]-Tableau6[[#This Row],[Cumul 2022]]</f>
        <v>#N/A</v>
      </c>
      <c r="P360" s="104" t="e">
        <f>Tableau6[[#This Row],[Ecart 2022 2023]]/Tableau6[[#This Row],[Cumul 2022]]</f>
        <v>#N/A</v>
      </c>
      <c r="Q360" s="102" t="e">
        <f>MATCH(Tableau6[Jours Mois]&amp;"/"&amp;Tableau6[[#Headers],[2024]],tabSuiviConso[Jour Mois Année],0)</f>
        <v>#N/A</v>
      </c>
      <c r="R360" s="102" t="str">
        <f>IF(ISNA(Tableau6[[#This Row],[Position 2024]]),"",INDEX(tabSuiviConso[HP + HC
cumul],Tableau6[[#This Row],[Position 2024]],1))</f>
        <v/>
      </c>
      <c r="S360" s="123" t="e">
        <f>IF(ISNA(Tableau6[[#This Row],[Position 2024]]),Tableau6[[#This Row],[Position 2024]],Tableau6[[#This Row],[2024]]-R$2)</f>
        <v>#N/A</v>
      </c>
      <c r="T360" s="102" t="e">
        <f>Tableau6[[#This Row],[Cumul 2024]]-Tableau6[[#This Row],[Cumul 2023]]</f>
        <v>#N/A</v>
      </c>
      <c r="U360" s="103" t="e">
        <f>Tableau6[[#This Row],[Ecart 2023 2024]]/Tableau6[[#This Row],[Cumul 2023]]</f>
        <v>#N/A</v>
      </c>
    </row>
    <row r="361" spans="1:21" x14ac:dyDescent="0.2">
      <c r="A361" s="102">
        <v>12</v>
      </c>
      <c r="B361" s="102">
        <v>24</v>
      </c>
      <c r="C361" s="102" t="str">
        <f>Tableau6[Jour]&amp;"/"&amp;Tableau6[Mois]</f>
        <v>24/12</v>
      </c>
      <c r="D361" s="102" t="e">
        <f>MATCH(Tableau6[Jours Mois]&amp;"/"&amp;Tableau6[[#Headers],[2021]],tabSuiviConso[Jour Mois Année],0)</f>
        <v>#N/A</v>
      </c>
      <c r="E361" s="102" t="str">
        <f>IF(ISNA(Tableau6[[#This Row],[Position 2021]]),"",INDEX(tabSuiviConso[HP + HC
cumul],Tableau6[[#This Row],[Position 2021]],1))</f>
        <v/>
      </c>
      <c r="F361" s="123" t="e">
        <f>IF(ISNA(Tableau6[[#This Row],[Position 2021]]),Tableau6[[#This Row],[Position 2021]],Tableau6[[#This Row],[2021]]-E$2)</f>
        <v>#N/A</v>
      </c>
      <c r="G361" s="102" t="e">
        <f>MATCH(Tableau6[Jours Mois]&amp;"/"&amp;Tableau6[[#Headers],[2022]],tabSuiviConso[Jour Mois Année],0)</f>
        <v>#N/A</v>
      </c>
      <c r="H361" s="102" t="str">
        <f>IF(ISNA(Tableau6[[#This Row],[Position 2022]]),"",INDEX(tabSuiviConso[HP + HC
cumul],Tableau6[[#This Row],[Position 2022]],1))</f>
        <v/>
      </c>
      <c r="I361" s="123" t="e">
        <f>IF(ISNA(Tableau6[[#This Row],[Position 2022]]),Tableau6[[#This Row],[Position 2022]],Tableau6[[#This Row],[2022]]-H$2)</f>
        <v>#N/A</v>
      </c>
      <c r="J361" s="102" t="e">
        <f>MATCH(Tableau6[Jours Mois]&amp;"/"&amp;Tableau6[[#Headers],[2023]],tabSuiviConso[Jour Mois Année],0)</f>
        <v>#N/A</v>
      </c>
      <c r="K361" s="102" t="e">
        <f>Tableau6[[#This Row],[Cumul 2022]]-Tableau6[[#This Row],[Cumul 2021]]</f>
        <v>#N/A</v>
      </c>
      <c r="L361" s="104" t="e">
        <f>Tableau6[[#This Row],[Ecart 2021 2022]]/Tableau6[[#This Row],[Cumul 2021]]</f>
        <v>#N/A</v>
      </c>
      <c r="M361" s="102" t="str">
        <f>IF(ISNA(Tableau6[[#This Row],[Position 2023]]),"",INDEX(tabSuiviConso[HP + HC
cumul],Tableau6[[#This Row],[Position 2023]],1))</f>
        <v/>
      </c>
      <c r="N361" s="123" t="e">
        <f>IF(ISNA(Tableau6[[#This Row],[Position 2023]]),Tableau6[[#This Row],[Position 2023]],Tableau6[[#This Row],[2023]]-M$2)</f>
        <v>#N/A</v>
      </c>
      <c r="O361" s="102" t="e">
        <f>Tableau6[[#This Row],[Cumul 2023]]-Tableau6[[#This Row],[Cumul 2022]]</f>
        <v>#N/A</v>
      </c>
      <c r="P361" s="104" t="e">
        <f>Tableau6[[#This Row],[Ecart 2022 2023]]/Tableau6[[#This Row],[Cumul 2022]]</f>
        <v>#N/A</v>
      </c>
      <c r="Q361" s="102" t="e">
        <f>MATCH(Tableau6[Jours Mois]&amp;"/"&amp;Tableau6[[#Headers],[2024]],tabSuiviConso[Jour Mois Année],0)</f>
        <v>#N/A</v>
      </c>
      <c r="R361" s="102" t="str">
        <f>IF(ISNA(Tableau6[[#This Row],[Position 2024]]),"",INDEX(tabSuiviConso[HP + HC
cumul],Tableau6[[#This Row],[Position 2024]],1))</f>
        <v/>
      </c>
      <c r="S361" s="123" t="e">
        <f>IF(ISNA(Tableau6[[#This Row],[Position 2024]]),Tableau6[[#This Row],[Position 2024]],Tableau6[[#This Row],[2024]]-R$2)</f>
        <v>#N/A</v>
      </c>
      <c r="T361" s="102" t="e">
        <f>Tableau6[[#This Row],[Cumul 2024]]-Tableau6[[#This Row],[Cumul 2023]]</f>
        <v>#N/A</v>
      </c>
      <c r="U361" s="103" t="e">
        <f>Tableau6[[#This Row],[Ecart 2023 2024]]/Tableau6[[#This Row],[Cumul 2023]]</f>
        <v>#N/A</v>
      </c>
    </row>
    <row r="362" spans="1:21" x14ac:dyDescent="0.2">
      <c r="A362" s="102">
        <v>12</v>
      </c>
      <c r="B362" s="102">
        <v>25</v>
      </c>
      <c r="C362" s="102" t="str">
        <f>Tableau6[Jour]&amp;"/"&amp;Tableau6[Mois]</f>
        <v>25/12</v>
      </c>
      <c r="D362" s="102" t="e">
        <f>MATCH(Tableau6[Jours Mois]&amp;"/"&amp;Tableau6[[#Headers],[2021]],tabSuiviConso[Jour Mois Année],0)</f>
        <v>#N/A</v>
      </c>
      <c r="E362" s="102" t="str">
        <f>IF(ISNA(Tableau6[[#This Row],[Position 2021]]),"",INDEX(tabSuiviConso[HP + HC
cumul],Tableau6[[#This Row],[Position 2021]],1))</f>
        <v/>
      </c>
      <c r="F362" s="123" t="e">
        <f>IF(ISNA(Tableau6[[#This Row],[Position 2021]]),Tableau6[[#This Row],[Position 2021]],Tableau6[[#This Row],[2021]]-E$2)</f>
        <v>#N/A</v>
      </c>
      <c r="G362" s="102" t="e">
        <f>MATCH(Tableau6[Jours Mois]&amp;"/"&amp;Tableau6[[#Headers],[2022]],tabSuiviConso[Jour Mois Année],0)</f>
        <v>#N/A</v>
      </c>
      <c r="H362" s="102" t="str">
        <f>IF(ISNA(Tableau6[[#This Row],[Position 2022]]),"",INDEX(tabSuiviConso[HP + HC
cumul],Tableau6[[#This Row],[Position 2022]],1))</f>
        <v/>
      </c>
      <c r="I362" s="123" t="e">
        <f>IF(ISNA(Tableau6[[#This Row],[Position 2022]]),Tableau6[[#This Row],[Position 2022]],Tableau6[[#This Row],[2022]]-H$2)</f>
        <v>#N/A</v>
      </c>
      <c r="J362" s="102" t="e">
        <f>MATCH(Tableau6[Jours Mois]&amp;"/"&amp;Tableau6[[#Headers],[2023]],tabSuiviConso[Jour Mois Année],0)</f>
        <v>#N/A</v>
      </c>
      <c r="K362" s="102" t="e">
        <f>Tableau6[[#This Row],[Cumul 2022]]-Tableau6[[#This Row],[Cumul 2021]]</f>
        <v>#N/A</v>
      </c>
      <c r="L362" s="104" t="e">
        <f>Tableau6[[#This Row],[Ecart 2021 2022]]/Tableau6[[#This Row],[Cumul 2021]]</f>
        <v>#N/A</v>
      </c>
      <c r="M362" s="102" t="str">
        <f>IF(ISNA(Tableau6[[#This Row],[Position 2023]]),"",INDEX(tabSuiviConso[HP + HC
cumul],Tableau6[[#This Row],[Position 2023]],1))</f>
        <v/>
      </c>
      <c r="N362" s="123" t="e">
        <f>IF(ISNA(Tableau6[[#This Row],[Position 2023]]),Tableau6[[#This Row],[Position 2023]],Tableau6[[#This Row],[2023]]-M$2)</f>
        <v>#N/A</v>
      </c>
      <c r="O362" s="102" t="e">
        <f>Tableau6[[#This Row],[Cumul 2023]]-Tableau6[[#This Row],[Cumul 2022]]</f>
        <v>#N/A</v>
      </c>
      <c r="P362" s="104" t="e">
        <f>Tableau6[[#This Row],[Ecart 2022 2023]]/Tableau6[[#This Row],[Cumul 2022]]</f>
        <v>#N/A</v>
      </c>
      <c r="Q362" s="102" t="e">
        <f>MATCH(Tableau6[Jours Mois]&amp;"/"&amp;Tableau6[[#Headers],[2024]],tabSuiviConso[Jour Mois Année],0)</f>
        <v>#N/A</v>
      </c>
      <c r="R362" s="102" t="str">
        <f>IF(ISNA(Tableau6[[#This Row],[Position 2024]]),"",INDEX(tabSuiviConso[HP + HC
cumul],Tableau6[[#This Row],[Position 2024]],1))</f>
        <v/>
      </c>
      <c r="S362" s="123" t="e">
        <f>IF(ISNA(Tableau6[[#This Row],[Position 2024]]),Tableau6[[#This Row],[Position 2024]],Tableau6[[#This Row],[2024]]-R$2)</f>
        <v>#N/A</v>
      </c>
      <c r="T362" s="102" t="e">
        <f>Tableau6[[#This Row],[Cumul 2024]]-Tableau6[[#This Row],[Cumul 2023]]</f>
        <v>#N/A</v>
      </c>
      <c r="U362" s="103" t="e">
        <f>Tableau6[[#This Row],[Ecart 2023 2024]]/Tableau6[[#This Row],[Cumul 2023]]</f>
        <v>#N/A</v>
      </c>
    </row>
    <row r="363" spans="1:21" x14ac:dyDescent="0.2">
      <c r="A363" s="102">
        <v>12</v>
      </c>
      <c r="B363" s="102">
        <v>26</v>
      </c>
      <c r="C363" s="102" t="str">
        <f>Tableau6[Jour]&amp;"/"&amp;Tableau6[Mois]</f>
        <v>26/12</v>
      </c>
      <c r="D363" s="102" t="e">
        <f>MATCH(Tableau6[Jours Mois]&amp;"/"&amp;Tableau6[[#Headers],[2021]],tabSuiviConso[Jour Mois Année],0)</f>
        <v>#N/A</v>
      </c>
      <c r="E363" s="102" t="str">
        <f>IF(ISNA(Tableau6[[#This Row],[Position 2021]]),"",INDEX(tabSuiviConso[HP + HC
cumul],Tableau6[[#This Row],[Position 2021]],1))</f>
        <v/>
      </c>
      <c r="F363" s="123" t="e">
        <f>IF(ISNA(Tableau6[[#This Row],[Position 2021]]),Tableau6[[#This Row],[Position 2021]],Tableau6[[#This Row],[2021]]-E$2)</f>
        <v>#N/A</v>
      </c>
      <c r="G363" s="102" t="e">
        <f>MATCH(Tableau6[Jours Mois]&amp;"/"&amp;Tableau6[[#Headers],[2022]],tabSuiviConso[Jour Mois Année],0)</f>
        <v>#N/A</v>
      </c>
      <c r="H363" s="102" t="str">
        <f>IF(ISNA(Tableau6[[#This Row],[Position 2022]]),"",INDEX(tabSuiviConso[HP + HC
cumul],Tableau6[[#This Row],[Position 2022]],1))</f>
        <v/>
      </c>
      <c r="I363" s="123" t="e">
        <f>IF(ISNA(Tableau6[[#This Row],[Position 2022]]),Tableau6[[#This Row],[Position 2022]],Tableau6[[#This Row],[2022]]-H$2)</f>
        <v>#N/A</v>
      </c>
      <c r="J363" s="102" t="e">
        <f>MATCH(Tableau6[Jours Mois]&amp;"/"&amp;Tableau6[[#Headers],[2023]],tabSuiviConso[Jour Mois Année],0)</f>
        <v>#N/A</v>
      </c>
      <c r="K363" s="102" t="e">
        <f>Tableau6[[#This Row],[Cumul 2022]]-Tableau6[[#This Row],[Cumul 2021]]</f>
        <v>#N/A</v>
      </c>
      <c r="L363" s="104" t="e">
        <f>Tableau6[[#This Row],[Ecart 2021 2022]]/Tableau6[[#This Row],[Cumul 2021]]</f>
        <v>#N/A</v>
      </c>
      <c r="M363" s="102" t="str">
        <f>IF(ISNA(Tableau6[[#This Row],[Position 2023]]),"",INDEX(tabSuiviConso[HP + HC
cumul],Tableau6[[#This Row],[Position 2023]],1))</f>
        <v/>
      </c>
      <c r="N363" s="123" t="e">
        <f>IF(ISNA(Tableau6[[#This Row],[Position 2023]]),Tableau6[[#This Row],[Position 2023]],Tableau6[[#This Row],[2023]]-M$2)</f>
        <v>#N/A</v>
      </c>
      <c r="O363" s="102" t="e">
        <f>Tableau6[[#This Row],[Cumul 2023]]-Tableau6[[#This Row],[Cumul 2022]]</f>
        <v>#N/A</v>
      </c>
      <c r="P363" s="104" t="e">
        <f>Tableau6[[#This Row],[Ecart 2022 2023]]/Tableau6[[#This Row],[Cumul 2022]]</f>
        <v>#N/A</v>
      </c>
      <c r="Q363" s="102" t="e">
        <f>MATCH(Tableau6[Jours Mois]&amp;"/"&amp;Tableau6[[#Headers],[2024]],tabSuiviConso[Jour Mois Année],0)</f>
        <v>#N/A</v>
      </c>
      <c r="R363" s="102" t="str">
        <f>IF(ISNA(Tableau6[[#This Row],[Position 2024]]),"",INDEX(tabSuiviConso[HP + HC
cumul],Tableau6[[#This Row],[Position 2024]],1))</f>
        <v/>
      </c>
      <c r="S363" s="123" t="e">
        <f>IF(ISNA(Tableau6[[#This Row],[Position 2024]]),Tableau6[[#This Row],[Position 2024]],Tableau6[[#This Row],[2024]]-R$2)</f>
        <v>#N/A</v>
      </c>
      <c r="T363" s="102" t="e">
        <f>Tableau6[[#This Row],[Cumul 2024]]-Tableau6[[#This Row],[Cumul 2023]]</f>
        <v>#N/A</v>
      </c>
      <c r="U363" s="103" t="e">
        <f>Tableau6[[#This Row],[Ecart 2023 2024]]/Tableau6[[#This Row],[Cumul 2023]]</f>
        <v>#N/A</v>
      </c>
    </row>
    <row r="364" spans="1:21" x14ac:dyDescent="0.2">
      <c r="A364" s="102">
        <v>12</v>
      </c>
      <c r="B364" s="102">
        <v>27</v>
      </c>
      <c r="C364" s="102" t="str">
        <f>Tableau6[Jour]&amp;"/"&amp;Tableau6[Mois]</f>
        <v>27/12</v>
      </c>
      <c r="D364" s="102" t="e">
        <f>MATCH(Tableau6[Jours Mois]&amp;"/"&amp;Tableau6[[#Headers],[2021]],tabSuiviConso[Jour Mois Année],0)</f>
        <v>#N/A</v>
      </c>
      <c r="E364" s="102" t="str">
        <f>IF(ISNA(Tableau6[[#This Row],[Position 2021]]),"",INDEX(tabSuiviConso[HP + HC
cumul],Tableau6[[#This Row],[Position 2021]],1))</f>
        <v/>
      </c>
      <c r="F364" s="123" t="e">
        <f>IF(ISNA(Tableau6[[#This Row],[Position 2021]]),Tableau6[[#This Row],[Position 2021]],Tableau6[[#This Row],[2021]]-E$2)</f>
        <v>#N/A</v>
      </c>
      <c r="G364" s="102" t="e">
        <f>MATCH(Tableau6[Jours Mois]&amp;"/"&amp;Tableau6[[#Headers],[2022]],tabSuiviConso[Jour Mois Année],0)</f>
        <v>#N/A</v>
      </c>
      <c r="H364" s="102" t="str">
        <f>IF(ISNA(Tableau6[[#This Row],[Position 2022]]),"",INDEX(tabSuiviConso[HP + HC
cumul],Tableau6[[#This Row],[Position 2022]],1))</f>
        <v/>
      </c>
      <c r="I364" s="123" t="e">
        <f>IF(ISNA(Tableau6[[#This Row],[Position 2022]]),Tableau6[[#This Row],[Position 2022]],Tableau6[[#This Row],[2022]]-H$2)</f>
        <v>#N/A</v>
      </c>
      <c r="J364" s="102" t="e">
        <f>MATCH(Tableau6[Jours Mois]&amp;"/"&amp;Tableau6[[#Headers],[2023]],tabSuiviConso[Jour Mois Année],0)</f>
        <v>#N/A</v>
      </c>
      <c r="K364" s="102" t="e">
        <f>Tableau6[[#This Row],[Cumul 2022]]-Tableau6[[#This Row],[Cumul 2021]]</f>
        <v>#N/A</v>
      </c>
      <c r="L364" s="104" t="e">
        <f>Tableau6[[#This Row],[Ecart 2021 2022]]/Tableau6[[#This Row],[Cumul 2021]]</f>
        <v>#N/A</v>
      </c>
      <c r="M364" s="102" t="str">
        <f>IF(ISNA(Tableau6[[#This Row],[Position 2023]]),"",INDEX(tabSuiviConso[HP + HC
cumul],Tableau6[[#This Row],[Position 2023]],1))</f>
        <v/>
      </c>
      <c r="N364" s="123" t="e">
        <f>IF(ISNA(Tableau6[[#This Row],[Position 2023]]),Tableau6[[#This Row],[Position 2023]],Tableau6[[#This Row],[2023]]-M$2)</f>
        <v>#N/A</v>
      </c>
      <c r="O364" s="102" t="e">
        <f>Tableau6[[#This Row],[Cumul 2023]]-Tableau6[[#This Row],[Cumul 2022]]</f>
        <v>#N/A</v>
      </c>
      <c r="P364" s="104" t="e">
        <f>Tableau6[[#This Row],[Ecart 2022 2023]]/Tableau6[[#This Row],[Cumul 2022]]</f>
        <v>#N/A</v>
      </c>
      <c r="Q364" s="102" t="e">
        <f>MATCH(Tableau6[Jours Mois]&amp;"/"&amp;Tableau6[[#Headers],[2024]],tabSuiviConso[Jour Mois Année],0)</f>
        <v>#N/A</v>
      </c>
      <c r="R364" s="102" t="str">
        <f>IF(ISNA(Tableau6[[#This Row],[Position 2024]]),"",INDEX(tabSuiviConso[HP + HC
cumul],Tableau6[[#This Row],[Position 2024]],1))</f>
        <v/>
      </c>
      <c r="S364" s="123" t="e">
        <f>IF(ISNA(Tableau6[[#This Row],[Position 2024]]),Tableau6[[#This Row],[Position 2024]],Tableau6[[#This Row],[2024]]-R$2)</f>
        <v>#N/A</v>
      </c>
      <c r="T364" s="102" t="e">
        <f>Tableau6[[#This Row],[Cumul 2024]]-Tableau6[[#This Row],[Cumul 2023]]</f>
        <v>#N/A</v>
      </c>
      <c r="U364" s="103" t="e">
        <f>Tableau6[[#This Row],[Ecart 2023 2024]]/Tableau6[[#This Row],[Cumul 2023]]</f>
        <v>#N/A</v>
      </c>
    </row>
    <row r="365" spans="1:21" x14ac:dyDescent="0.2">
      <c r="A365" s="102">
        <v>12</v>
      </c>
      <c r="B365" s="102">
        <v>28</v>
      </c>
      <c r="C365" s="102" t="str">
        <f>Tableau6[Jour]&amp;"/"&amp;Tableau6[Mois]</f>
        <v>28/12</v>
      </c>
      <c r="D365" s="102" t="e">
        <f>MATCH(Tableau6[Jours Mois]&amp;"/"&amp;Tableau6[[#Headers],[2021]],tabSuiviConso[Jour Mois Année],0)</f>
        <v>#N/A</v>
      </c>
      <c r="E365" s="102" t="str">
        <f>IF(ISNA(Tableau6[[#This Row],[Position 2021]]),"",INDEX(tabSuiviConso[HP + HC
cumul],Tableau6[[#This Row],[Position 2021]],1))</f>
        <v/>
      </c>
      <c r="F365" s="123" t="e">
        <f>IF(ISNA(Tableau6[[#This Row],[Position 2021]]),Tableau6[[#This Row],[Position 2021]],Tableau6[[#This Row],[2021]]-E$2)</f>
        <v>#N/A</v>
      </c>
      <c r="G365" s="102" t="e">
        <f>MATCH(Tableau6[Jours Mois]&amp;"/"&amp;Tableau6[[#Headers],[2022]],tabSuiviConso[Jour Mois Année],0)</f>
        <v>#N/A</v>
      </c>
      <c r="H365" s="102" t="str">
        <f>IF(ISNA(Tableau6[[#This Row],[Position 2022]]),"",INDEX(tabSuiviConso[HP + HC
cumul],Tableau6[[#This Row],[Position 2022]],1))</f>
        <v/>
      </c>
      <c r="I365" s="123" t="e">
        <f>IF(ISNA(Tableau6[[#This Row],[Position 2022]]),Tableau6[[#This Row],[Position 2022]],Tableau6[[#This Row],[2022]]-H$2)</f>
        <v>#N/A</v>
      </c>
      <c r="J365" s="102" t="e">
        <f>MATCH(Tableau6[Jours Mois]&amp;"/"&amp;Tableau6[[#Headers],[2023]],tabSuiviConso[Jour Mois Année],0)</f>
        <v>#N/A</v>
      </c>
      <c r="K365" s="102" t="e">
        <f>Tableau6[[#This Row],[Cumul 2022]]-Tableau6[[#This Row],[Cumul 2021]]</f>
        <v>#N/A</v>
      </c>
      <c r="L365" s="104" t="e">
        <f>Tableau6[[#This Row],[Ecart 2021 2022]]/Tableau6[[#This Row],[Cumul 2021]]</f>
        <v>#N/A</v>
      </c>
      <c r="M365" s="102" t="str">
        <f>IF(ISNA(Tableau6[[#This Row],[Position 2023]]),"",INDEX(tabSuiviConso[HP + HC
cumul],Tableau6[[#This Row],[Position 2023]],1))</f>
        <v/>
      </c>
      <c r="N365" s="123" t="e">
        <f>IF(ISNA(Tableau6[[#This Row],[Position 2023]]),Tableau6[[#This Row],[Position 2023]],Tableau6[[#This Row],[2023]]-M$2)</f>
        <v>#N/A</v>
      </c>
      <c r="O365" s="102" t="e">
        <f>Tableau6[[#This Row],[Cumul 2023]]-Tableau6[[#This Row],[Cumul 2022]]</f>
        <v>#N/A</v>
      </c>
      <c r="P365" s="104" t="e">
        <f>Tableau6[[#This Row],[Ecart 2022 2023]]/Tableau6[[#This Row],[Cumul 2022]]</f>
        <v>#N/A</v>
      </c>
      <c r="Q365" s="102" t="e">
        <f>MATCH(Tableau6[Jours Mois]&amp;"/"&amp;Tableau6[[#Headers],[2024]],tabSuiviConso[Jour Mois Année],0)</f>
        <v>#N/A</v>
      </c>
      <c r="R365" s="102" t="str">
        <f>IF(ISNA(Tableau6[[#This Row],[Position 2024]]),"",INDEX(tabSuiviConso[HP + HC
cumul],Tableau6[[#This Row],[Position 2024]],1))</f>
        <v/>
      </c>
      <c r="S365" s="123" t="e">
        <f>IF(ISNA(Tableau6[[#This Row],[Position 2024]]),Tableau6[[#This Row],[Position 2024]],Tableau6[[#This Row],[2024]]-R$2)</f>
        <v>#N/A</v>
      </c>
      <c r="T365" s="102" t="e">
        <f>Tableau6[[#This Row],[Cumul 2024]]-Tableau6[[#This Row],[Cumul 2023]]</f>
        <v>#N/A</v>
      </c>
      <c r="U365" s="103" t="e">
        <f>Tableau6[[#This Row],[Ecart 2023 2024]]/Tableau6[[#This Row],[Cumul 2023]]</f>
        <v>#N/A</v>
      </c>
    </row>
    <row r="366" spans="1:21" x14ac:dyDescent="0.2">
      <c r="A366" s="102">
        <v>12</v>
      </c>
      <c r="B366" s="102">
        <v>29</v>
      </c>
      <c r="C366" s="102" t="str">
        <f>Tableau6[Jour]&amp;"/"&amp;Tableau6[Mois]</f>
        <v>29/12</v>
      </c>
      <c r="D366" s="102" t="e">
        <f>MATCH(Tableau6[Jours Mois]&amp;"/"&amp;Tableau6[[#Headers],[2021]],tabSuiviConso[Jour Mois Année],0)</f>
        <v>#N/A</v>
      </c>
      <c r="E366" s="102" t="str">
        <f>IF(ISNA(Tableau6[[#This Row],[Position 2021]]),"",INDEX(tabSuiviConso[HP + HC
cumul],Tableau6[[#This Row],[Position 2021]],1))</f>
        <v/>
      </c>
      <c r="F366" s="123" t="e">
        <f>IF(ISNA(Tableau6[[#This Row],[Position 2021]]),Tableau6[[#This Row],[Position 2021]],Tableau6[[#This Row],[2021]]-E$2)</f>
        <v>#N/A</v>
      </c>
      <c r="G366" s="102" t="e">
        <f>MATCH(Tableau6[Jours Mois]&amp;"/"&amp;Tableau6[[#Headers],[2022]],tabSuiviConso[Jour Mois Année],0)</f>
        <v>#N/A</v>
      </c>
      <c r="H366" s="102" t="str">
        <f>IF(ISNA(Tableau6[[#This Row],[Position 2022]]),"",INDEX(tabSuiviConso[HP + HC
cumul],Tableau6[[#This Row],[Position 2022]],1))</f>
        <v/>
      </c>
      <c r="I366" s="123" t="e">
        <f>IF(ISNA(Tableau6[[#This Row],[Position 2022]]),Tableau6[[#This Row],[Position 2022]],Tableau6[[#This Row],[2022]]-H$2)</f>
        <v>#N/A</v>
      </c>
      <c r="J366" s="102" t="e">
        <f>MATCH(Tableau6[Jours Mois]&amp;"/"&amp;Tableau6[[#Headers],[2023]],tabSuiviConso[Jour Mois Année],0)</f>
        <v>#N/A</v>
      </c>
      <c r="K366" s="102" t="e">
        <f>Tableau6[[#This Row],[Cumul 2022]]-Tableau6[[#This Row],[Cumul 2021]]</f>
        <v>#N/A</v>
      </c>
      <c r="L366" s="104" t="e">
        <f>Tableau6[[#This Row],[Ecart 2021 2022]]/Tableau6[[#This Row],[Cumul 2021]]</f>
        <v>#N/A</v>
      </c>
      <c r="M366" s="102" t="str">
        <f>IF(ISNA(Tableau6[[#This Row],[Position 2023]]),"",INDEX(tabSuiviConso[HP + HC
cumul],Tableau6[[#This Row],[Position 2023]],1))</f>
        <v/>
      </c>
      <c r="N366" s="123" t="e">
        <f>IF(ISNA(Tableau6[[#This Row],[Position 2023]]),Tableau6[[#This Row],[Position 2023]],Tableau6[[#This Row],[2023]]-M$2)</f>
        <v>#N/A</v>
      </c>
      <c r="O366" s="102" t="e">
        <f>Tableau6[[#This Row],[Cumul 2023]]-Tableau6[[#This Row],[Cumul 2022]]</f>
        <v>#N/A</v>
      </c>
      <c r="P366" s="104" t="e">
        <f>Tableau6[[#This Row],[Ecart 2022 2023]]/Tableau6[[#This Row],[Cumul 2022]]</f>
        <v>#N/A</v>
      </c>
      <c r="Q366" s="102" t="e">
        <f>MATCH(Tableau6[Jours Mois]&amp;"/"&amp;Tableau6[[#Headers],[2024]],tabSuiviConso[Jour Mois Année],0)</f>
        <v>#N/A</v>
      </c>
      <c r="R366" s="102" t="str">
        <f>IF(ISNA(Tableau6[[#This Row],[Position 2024]]),"",INDEX(tabSuiviConso[HP + HC
cumul],Tableau6[[#This Row],[Position 2024]],1))</f>
        <v/>
      </c>
      <c r="S366" s="123" t="e">
        <f>IF(ISNA(Tableau6[[#This Row],[Position 2024]]),Tableau6[[#This Row],[Position 2024]],Tableau6[[#This Row],[2024]]-R$2)</f>
        <v>#N/A</v>
      </c>
      <c r="T366" s="102" t="e">
        <f>Tableau6[[#This Row],[Cumul 2024]]-Tableau6[[#This Row],[Cumul 2023]]</f>
        <v>#N/A</v>
      </c>
      <c r="U366" s="103" t="e">
        <f>Tableau6[[#This Row],[Ecart 2023 2024]]/Tableau6[[#This Row],[Cumul 2023]]</f>
        <v>#N/A</v>
      </c>
    </row>
    <row r="367" spans="1:21" x14ac:dyDescent="0.2">
      <c r="A367" s="102">
        <v>12</v>
      </c>
      <c r="B367" s="102">
        <v>30</v>
      </c>
      <c r="C367" s="102" t="str">
        <f>Tableau6[Jour]&amp;"/"&amp;Tableau6[Mois]</f>
        <v>30/12</v>
      </c>
      <c r="D367" s="102" t="e">
        <f>MATCH(Tableau6[Jours Mois]&amp;"/"&amp;Tableau6[[#Headers],[2021]],tabSuiviConso[Jour Mois Année],0)</f>
        <v>#N/A</v>
      </c>
      <c r="E367" s="102" t="str">
        <f>IF(ISNA(Tableau6[[#This Row],[Position 2021]]),"",INDEX(tabSuiviConso[HP + HC
cumul],Tableau6[[#This Row],[Position 2021]],1))</f>
        <v/>
      </c>
      <c r="F367" s="123" t="e">
        <f>IF(ISNA(Tableau6[[#This Row],[Position 2021]]),Tableau6[[#This Row],[Position 2021]],Tableau6[[#This Row],[2021]]-E$2)</f>
        <v>#N/A</v>
      </c>
      <c r="G367" s="102" t="e">
        <f>MATCH(Tableau6[Jours Mois]&amp;"/"&amp;Tableau6[[#Headers],[2022]],tabSuiviConso[Jour Mois Année],0)</f>
        <v>#N/A</v>
      </c>
      <c r="H367" s="102" t="str">
        <f>IF(ISNA(Tableau6[[#This Row],[Position 2022]]),"",INDEX(tabSuiviConso[HP + HC
cumul],Tableau6[[#This Row],[Position 2022]],1))</f>
        <v/>
      </c>
      <c r="I367" s="123" t="e">
        <f>IF(ISNA(Tableau6[[#This Row],[Position 2022]]),Tableau6[[#This Row],[Position 2022]],Tableau6[[#This Row],[2022]]-H$2)</f>
        <v>#N/A</v>
      </c>
      <c r="J367" s="102" t="e">
        <f>MATCH(Tableau6[Jours Mois]&amp;"/"&amp;Tableau6[[#Headers],[2023]],tabSuiviConso[Jour Mois Année],0)</f>
        <v>#N/A</v>
      </c>
      <c r="K367" s="102" t="e">
        <f>Tableau6[[#This Row],[Cumul 2022]]-Tableau6[[#This Row],[Cumul 2021]]</f>
        <v>#N/A</v>
      </c>
      <c r="L367" s="104" t="e">
        <f>Tableau6[[#This Row],[Ecart 2021 2022]]/Tableau6[[#This Row],[Cumul 2021]]</f>
        <v>#N/A</v>
      </c>
      <c r="M367" s="102" t="str">
        <f>IF(ISNA(Tableau6[[#This Row],[Position 2023]]),"",INDEX(tabSuiviConso[HP + HC
cumul],Tableau6[[#This Row],[Position 2023]],1))</f>
        <v/>
      </c>
      <c r="N367" s="123" t="e">
        <f>IF(ISNA(Tableau6[[#This Row],[Position 2023]]),Tableau6[[#This Row],[Position 2023]],Tableau6[[#This Row],[2023]]-M$2)</f>
        <v>#N/A</v>
      </c>
      <c r="O367" s="102" t="e">
        <f>Tableau6[[#This Row],[Cumul 2023]]-Tableau6[[#This Row],[Cumul 2022]]</f>
        <v>#N/A</v>
      </c>
      <c r="P367" s="104" t="e">
        <f>Tableau6[[#This Row],[Ecart 2022 2023]]/Tableau6[[#This Row],[Cumul 2022]]</f>
        <v>#N/A</v>
      </c>
      <c r="Q367" s="102" t="e">
        <f>MATCH(Tableau6[Jours Mois]&amp;"/"&amp;Tableau6[[#Headers],[2024]],tabSuiviConso[Jour Mois Année],0)</f>
        <v>#N/A</v>
      </c>
      <c r="R367" s="102" t="str">
        <f>IF(ISNA(Tableau6[[#This Row],[Position 2024]]),"",INDEX(tabSuiviConso[HP + HC
cumul],Tableau6[[#This Row],[Position 2024]],1))</f>
        <v/>
      </c>
      <c r="S367" s="123" t="e">
        <f>IF(ISNA(Tableau6[[#This Row],[Position 2024]]),Tableau6[[#This Row],[Position 2024]],Tableau6[[#This Row],[2024]]-R$2)</f>
        <v>#N/A</v>
      </c>
      <c r="T367" s="102" t="e">
        <f>Tableau6[[#This Row],[Cumul 2024]]-Tableau6[[#This Row],[Cumul 2023]]</f>
        <v>#N/A</v>
      </c>
      <c r="U367" s="103" t="e">
        <f>Tableau6[[#This Row],[Ecart 2023 2024]]/Tableau6[[#This Row],[Cumul 2023]]</f>
        <v>#N/A</v>
      </c>
    </row>
    <row r="368" spans="1:21" x14ac:dyDescent="0.2">
      <c r="A368" s="102">
        <v>12</v>
      </c>
      <c r="B368" s="102">
        <v>31</v>
      </c>
      <c r="C368" s="102" t="str">
        <f>Tableau6[Jour]&amp;"/"&amp;Tableau6[Mois]</f>
        <v>31/12</v>
      </c>
      <c r="D368" s="102" t="e">
        <f>MATCH(Tableau6[Jours Mois]&amp;"/"&amp;Tableau6[[#Headers],[2021]],tabSuiviConso[Jour Mois Année],0)</f>
        <v>#N/A</v>
      </c>
      <c r="E368" s="102" t="str">
        <f>IF(ISNA(Tableau6[[#This Row],[Position 2021]]),"",INDEX(tabSuiviConso[HP + HC
cumul],Tableau6[[#This Row],[Position 2021]],1))</f>
        <v/>
      </c>
      <c r="F368" s="123" t="e">
        <f>IF(ISNA(Tableau6[[#This Row],[Position 2021]]),Tableau6[[#This Row],[Position 2021]],Tableau6[[#This Row],[2021]]-E$2)</f>
        <v>#N/A</v>
      </c>
      <c r="G368" s="102" t="e">
        <f>MATCH(Tableau6[Jours Mois]&amp;"/"&amp;Tableau6[[#Headers],[2022]],tabSuiviConso[Jour Mois Année],0)</f>
        <v>#N/A</v>
      </c>
      <c r="H368" s="102" t="str">
        <f>IF(ISNA(Tableau6[[#This Row],[Position 2022]]),"",INDEX(tabSuiviConso[HP + HC
cumul],Tableau6[[#This Row],[Position 2022]],1))</f>
        <v/>
      </c>
      <c r="I368" s="123" t="e">
        <f>IF(ISNA(Tableau6[[#This Row],[Position 2022]]),Tableau6[[#This Row],[Position 2022]],Tableau6[[#This Row],[2022]]-H$2)</f>
        <v>#N/A</v>
      </c>
      <c r="J368" s="102" t="e">
        <f>MATCH(Tableau6[Jours Mois]&amp;"/"&amp;Tableau6[[#Headers],[2023]],tabSuiviConso[Jour Mois Année],0)</f>
        <v>#N/A</v>
      </c>
      <c r="K368" s="102" t="e">
        <f>Tableau6[[#This Row],[Cumul 2022]]-Tableau6[[#This Row],[Cumul 2021]]</f>
        <v>#N/A</v>
      </c>
      <c r="L368" s="104" t="e">
        <f>Tableau6[[#This Row],[Ecart 2021 2022]]/Tableau6[[#This Row],[Cumul 2021]]</f>
        <v>#N/A</v>
      </c>
      <c r="M368" s="102" t="str">
        <f>IF(ISNA(Tableau6[[#This Row],[Position 2023]]),"",INDEX(tabSuiviConso[HP + HC
cumul],Tableau6[[#This Row],[Position 2023]],1))</f>
        <v/>
      </c>
      <c r="N368" s="123" t="e">
        <f>IF(ISNA(Tableau6[[#This Row],[Position 2023]]),Tableau6[[#This Row],[Position 2023]],Tableau6[[#This Row],[2023]]-M$2)</f>
        <v>#N/A</v>
      </c>
      <c r="O368" s="102" t="e">
        <f>Tableau6[[#This Row],[Cumul 2023]]-Tableau6[[#This Row],[Cumul 2022]]</f>
        <v>#N/A</v>
      </c>
      <c r="P368" s="104" t="e">
        <f>Tableau6[[#This Row],[Ecart 2022 2023]]/Tableau6[[#This Row],[Cumul 2022]]</f>
        <v>#N/A</v>
      </c>
      <c r="Q368" s="102" t="e">
        <f>MATCH(Tableau6[Jours Mois]&amp;"/"&amp;Tableau6[[#Headers],[2024]],tabSuiviConso[Jour Mois Année],0)</f>
        <v>#N/A</v>
      </c>
      <c r="R368" s="102" t="str">
        <f>IF(ISNA(Tableau6[[#This Row],[Position 2024]]),"",INDEX(tabSuiviConso[HP + HC
cumul],Tableau6[[#This Row],[Position 2024]],1))</f>
        <v/>
      </c>
      <c r="S368" s="123" t="e">
        <f>IF(ISNA(Tableau6[[#This Row],[Position 2024]]),Tableau6[[#This Row],[Position 2024]],Tableau6[[#This Row],[2024]]-R$2)</f>
        <v>#N/A</v>
      </c>
      <c r="T368" s="102" t="e">
        <f>Tableau6[[#This Row],[Cumul 2024]]-Tableau6[[#This Row],[Cumul 2023]]</f>
        <v>#N/A</v>
      </c>
      <c r="U368" s="103" t="e">
        <f>Tableau6[[#This Row],[Ecart 2023 2024]]/Tableau6[[#This Row],[Cumul 2023]]</f>
        <v>#N/A</v>
      </c>
    </row>
  </sheetData>
  <sheetProtection autoFilter="0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3"/>
  <sheetViews>
    <sheetView showGridLines="0" zoomScaleNormal="100" workbookViewId="0">
      <selection activeCell="B18" sqref="B18"/>
    </sheetView>
  </sheetViews>
  <sheetFormatPr baseColWidth="10" defaultRowHeight="11.25" x14ac:dyDescent="0.2"/>
  <cols>
    <col min="1" max="1" width="10" style="86" bestFit="1" customWidth="1"/>
    <col min="2" max="2" width="18.85546875" style="86" bestFit="1" customWidth="1"/>
    <col min="3" max="16384" width="11.42578125" style="86"/>
  </cols>
  <sheetData>
    <row r="1" spans="1:2" ht="22.5" x14ac:dyDescent="0.2">
      <c r="A1" s="86" t="s">
        <v>120</v>
      </c>
      <c r="B1" s="111" t="s">
        <v>153</v>
      </c>
    </row>
    <row r="2" spans="1:2" x14ac:dyDescent="0.2">
      <c r="A2" s="86" t="s">
        <v>133</v>
      </c>
      <c r="B2" s="139">
        <f>AVERAGEIF(tabSuiviConso[Jour lettre],Tableau791011[[#This Row],[Jour]],tabSuiviConso[Conso HP + HC / jour_x000D_
Instantané])</f>
        <v>0</v>
      </c>
    </row>
    <row r="3" spans="1:2" x14ac:dyDescent="0.2">
      <c r="A3" s="86" t="s">
        <v>134</v>
      </c>
      <c r="B3" s="139">
        <f>AVERAGEIF(tabSuiviConso[Jour lettre],Tableau791011[[#This Row],[Jour]],tabSuiviConso[Conso HP + HC / jour_x000D_
Instantané])</f>
        <v>0</v>
      </c>
    </row>
    <row r="4" spans="1:2" x14ac:dyDescent="0.2">
      <c r="A4" s="86" t="s">
        <v>135</v>
      </c>
      <c r="B4" s="139">
        <f>AVERAGEIF(tabSuiviConso[Jour lettre],Tableau791011[[#This Row],[Jour]],tabSuiviConso[Conso HP + HC / jour_x000D_
Instantané])</f>
        <v>0</v>
      </c>
    </row>
    <row r="5" spans="1:2" x14ac:dyDescent="0.2">
      <c r="A5" s="86" t="s">
        <v>136</v>
      </c>
      <c r="B5" s="139">
        <f>AVERAGEIF(tabSuiviConso[Jour lettre],Tableau791011[[#This Row],[Jour]],tabSuiviConso[Conso HP + HC / jour_x000D_
Instantané])</f>
        <v>0</v>
      </c>
    </row>
    <row r="6" spans="1:2" x14ac:dyDescent="0.2">
      <c r="A6" s="102" t="s">
        <v>137</v>
      </c>
      <c r="B6" s="139">
        <f>AVERAGEIF(tabSuiviConso[Jour lettre],Tableau791011[[#This Row],[Jour]],tabSuiviConso[Conso HP + HC / jour_x000D_
Instantané])</f>
        <v>0</v>
      </c>
    </row>
    <row r="7" spans="1:2" x14ac:dyDescent="0.2">
      <c r="A7" s="102" t="s">
        <v>138</v>
      </c>
      <c r="B7" s="139">
        <f>AVERAGEIF(tabSuiviConso[Jour lettre],Tableau791011[[#This Row],[Jour]],tabSuiviConso[Conso HP + HC / jour_x000D_
Instantané])</f>
        <v>-1.9707976741623403</v>
      </c>
    </row>
    <row r="8" spans="1:2" x14ac:dyDescent="0.2">
      <c r="A8" s="102" t="s">
        <v>139</v>
      </c>
      <c r="B8" s="139">
        <f>AVERAGEIF(tabSuiviConso[Jour lettre],Tableau791011[[#This Row],[Jour]],tabSuiviConso[Conso HP + HC / jour_x000D_
Instantané])</f>
        <v>76.988230915403079</v>
      </c>
    </row>
    <row r="9" spans="1:2" x14ac:dyDescent="0.2">
      <c r="B9" s="138"/>
    </row>
    <row r="10" spans="1:2" x14ac:dyDescent="0.2">
      <c r="B10" s="138"/>
    </row>
    <row r="11" spans="1:2" x14ac:dyDescent="0.2">
      <c r="B11" s="138"/>
    </row>
    <row r="12" spans="1:2" x14ac:dyDescent="0.2">
      <c r="B12" s="138"/>
    </row>
    <row r="13" spans="1:2" x14ac:dyDescent="0.2">
      <c r="B13" s="138"/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353"/>
  </sheetPr>
  <dimension ref="A1:B9"/>
  <sheetViews>
    <sheetView workbookViewId="0">
      <selection activeCell="K49" sqref="K49"/>
    </sheetView>
  </sheetViews>
  <sheetFormatPr baseColWidth="10" defaultRowHeight="12.75" x14ac:dyDescent="0.2"/>
  <cols>
    <col min="1" max="1" width="18.85546875" style="117" bestFit="1" customWidth="1"/>
    <col min="2" max="2" width="27.7109375" style="117" bestFit="1" customWidth="1"/>
    <col min="3" max="16384" width="11.42578125" style="117"/>
  </cols>
  <sheetData>
    <row r="1" spans="1:2" x14ac:dyDescent="0.2">
      <c r="A1" s="127" t="s">
        <v>47</v>
      </c>
      <c r="B1" s="128" t="s">
        <v>52</v>
      </c>
    </row>
    <row r="2" spans="1:2" x14ac:dyDescent="0.2">
      <c r="A2" s="129" t="s">
        <v>133</v>
      </c>
      <c r="B2" s="130">
        <v>32.533599559062942</v>
      </c>
    </row>
    <row r="3" spans="1:2" x14ac:dyDescent="0.2">
      <c r="A3" s="129" t="s">
        <v>134</v>
      </c>
      <c r="B3" s="130">
        <v>30.665050501033281</v>
      </c>
    </row>
    <row r="4" spans="1:2" x14ac:dyDescent="0.2">
      <c r="A4" s="129" t="s">
        <v>135</v>
      </c>
      <c r="B4" s="130">
        <v>31.305501799031532</v>
      </c>
    </row>
    <row r="5" spans="1:2" x14ac:dyDescent="0.2">
      <c r="A5" s="129" t="s">
        <v>136</v>
      </c>
      <c r="B5" s="130">
        <v>28.854147542997946</v>
      </c>
    </row>
    <row r="6" spans="1:2" x14ac:dyDescent="0.2">
      <c r="A6" s="129" t="s">
        <v>137</v>
      </c>
      <c r="B6" s="130">
        <v>31.098798300684184</v>
      </c>
    </row>
    <row r="7" spans="1:2" x14ac:dyDescent="0.2">
      <c r="A7" s="129" t="s">
        <v>138</v>
      </c>
      <c r="B7" s="130">
        <v>33.012062753742399</v>
      </c>
    </row>
    <row r="8" spans="1:2" x14ac:dyDescent="0.2">
      <c r="A8" s="129" t="s">
        <v>139</v>
      </c>
      <c r="B8" s="130">
        <v>33.219141062616124</v>
      </c>
    </row>
    <row r="9" spans="1:2" x14ac:dyDescent="0.2">
      <c r="A9" s="129" t="s">
        <v>48</v>
      </c>
      <c r="B9" s="131">
        <v>31.512596737301084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32"/>
  <sheetViews>
    <sheetView showGridLines="0" showRowColHeaders="0" topLeftCell="A7" workbookViewId="0">
      <selection activeCell="E61" sqref="E61"/>
    </sheetView>
  </sheetViews>
  <sheetFormatPr baseColWidth="10" defaultRowHeight="11.25" x14ac:dyDescent="0.2"/>
  <cols>
    <col min="1" max="1" width="8.42578125" style="86" bestFit="1" customWidth="1"/>
    <col min="2" max="2" width="8.85546875" style="86" bestFit="1" customWidth="1"/>
    <col min="3" max="6" width="10.42578125" style="86" bestFit="1" customWidth="1"/>
    <col min="7" max="16384" width="11.42578125" style="86"/>
  </cols>
  <sheetData>
    <row r="1" spans="1:6" x14ac:dyDescent="0.2">
      <c r="A1" s="86" t="s">
        <v>120</v>
      </c>
      <c r="B1" s="86" t="s">
        <v>51</v>
      </c>
      <c r="C1" s="86" t="s">
        <v>122</v>
      </c>
      <c r="D1" s="86" t="s">
        <v>123</v>
      </c>
      <c r="E1" s="86" t="s">
        <v>124</v>
      </c>
      <c r="F1" s="86" t="s">
        <v>142</v>
      </c>
    </row>
    <row r="2" spans="1:6" x14ac:dyDescent="0.2">
      <c r="A2" s="86">
        <v>1</v>
      </c>
      <c r="B2" s="86">
        <v>8</v>
      </c>
      <c r="C2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" spans="1:6" x14ac:dyDescent="0.2">
      <c r="A3" s="86">
        <v>2</v>
      </c>
      <c r="B3" s="86">
        <v>8</v>
      </c>
      <c r="C3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3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3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4" spans="1:6" x14ac:dyDescent="0.2">
      <c r="A4" s="86">
        <v>3</v>
      </c>
      <c r="B4" s="86">
        <v>8</v>
      </c>
      <c r="C4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4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4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4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5" spans="1:6" x14ac:dyDescent="0.2">
      <c r="A5" s="86">
        <v>4</v>
      </c>
      <c r="B5" s="86">
        <v>8</v>
      </c>
      <c r="C5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5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5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5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6" spans="1:6" x14ac:dyDescent="0.2">
      <c r="A6" s="86">
        <v>5</v>
      </c>
      <c r="B6" s="86">
        <v>8</v>
      </c>
      <c r="C6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6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6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6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7" spans="1:6" x14ac:dyDescent="0.2">
      <c r="A7" s="86">
        <v>6</v>
      </c>
      <c r="B7" s="86">
        <v>8</v>
      </c>
      <c r="C7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7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7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7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8" spans="1:6" x14ac:dyDescent="0.2">
      <c r="A8" s="86">
        <v>7</v>
      </c>
      <c r="B8" s="86">
        <v>8</v>
      </c>
      <c r="C8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8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8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8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9" spans="1:6" x14ac:dyDescent="0.2">
      <c r="A9" s="86">
        <v>8</v>
      </c>
      <c r="B9" s="86">
        <v>8</v>
      </c>
      <c r="C9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9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9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9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0" spans="1:6" x14ac:dyDescent="0.2">
      <c r="A10" s="86">
        <v>9</v>
      </c>
      <c r="B10" s="86">
        <v>8</v>
      </c>
      <c r="C10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0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0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0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1" spans="1:6" x14ac:dyDescent="0.2">
      <c r="A11" s="86">
        <v>10</v>
      </c>
      <c r="B11" s="86">
        <v>8</v>
      </c>
      <c r="C11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1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1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1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2" spans="1:6" x14ac:dyDescent="0.2">
      <c r="A12" s="86">
        <v>11</v>
      </c>
      <c r="B12" s="86">
        <v>8</v>
      </c>
      <c r="C12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2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2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2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3" spans="1:6" x14ac:dyDescent="0.2">
      <c r="A13" s="86">
        <v>12</v>
      </c>
      <c r="B13" s="86">
        <v>8</v>
      </c>
      <c r="C13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3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3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3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4" spans="1:6" x14ac:dyDescent="0.2">
      <c r="A14" s="86">
        <v>13</v>
      </c>
      <c r="B14" s="86">
        <v>8</v>
      </c>
      <c r="C14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4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4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4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5" spans="1:6" x14ac:dyDescent="0.2">
      <c r="A15" s="86">
        <v>14</v>
      </c>
      <c r="B15" s="86">
        <v>8</v>
      </c>
      <c r="C15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5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5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5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6" spans="1:6" x14ac:dyDescent="0.2">
      <c r="A16" s="86">
        <v>15</v>
      </c>
      <c r="B16" s="86">
        <v>8</v>
      </c>
      <c r="C16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6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6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6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7" spans="1:6" x14ac:dyDescent="0.2">
      <c r="A17" s="86">
        <v>16</v>
      </c>
      <c r="B17" s="86">
        <v>8</v>
      </c>
      <c r="C17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7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7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7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8" spans="1:6" x14ac:dyDescent="0.2">
      <c r="A18" s="86">
        <v>17</v>
      </c>
      <c r="B18" s="86">
        <v>8</v>
      </c>
      <c r="C18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8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8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8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9" spans="1:6" x14ac:dyDescent="0.2">
      <c r="A19" s="86">
        <v>18</v>
      </c>
      <c r="B19" s="86">
        <v>8</v>
      </c>
      <c r="C19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9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9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19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0" spans="1:6" x14ac:dyDescent="0.2">
      <c r="A20" s="86">
        <v>19</v>
      </c>
      <c r="B20" s="86">
        <v>8</v>
      </c>
      <c r="C20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0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0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0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1" spans="1:6" x14ac:dyDescent="0.2">
      <c r="A21" s="86">
        <v>20</v>
      </c>
      <c r="B21" s="86">
        <v>8</v>
      </c>
      <c r="C21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1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1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1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2" spans="1:6" x14ac:dyDescent="0.2">
      <c r="A22" s="86">
        <v>21</v>
      </c>
      <c r="B22" s="86">
        <v>8</v>
      </c>
      <c r="C22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2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2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2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3" spans="1:6" x14ac:dyDescent="0.2">
      <c r="A23" s="86">
        <v>22</v>
      </c>
      <c r="B23" s="86">
        <v>8</v>
      </c>
      <c r="C23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3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3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3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4" spans="1:6" x14ac:dyDescent="0.2">
      <c r="A24" s="86">
        <v>23</v>
      </c>
      <c r="B24" s="86">
        <v>8</v>
      </c>
      <c r="C24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4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4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4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5" spans="1:6" x14ac:dyDescent="0.2">
      <c r="A25" s="86">
        <v>24</v>
      </c>
      <c r="B25" s="86">
        <v>8</v>
      </c>
      <c r="C25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5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5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5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6" spans="1:6" x14ac:dyDescent="0.2">
      <c r="A26" s="86">
        <v>25</v>
      </c>
      <c r="B26" s="86">
        <v>8</v>
      </c>
      <c r="C26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6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6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6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7" spans="1:6" x14ac:dyDescent="0.2">
      <c r="A27" s="86">
        <v>26</v>
      </c>
      <c r="B27" s="86">
        <v>8</v>
      </c>
      <c r="C27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7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7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7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8" spans="1:6" x14ac:dyDescent="0.2">
      <c r="A28" s="86">
        <v>27</v>
      </c>
      <c r="B28" s="86">
        <v>8</v>
      </c>
      <c r="C28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8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8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8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9" spans="1:6" x14ac:dyDescent="0.2">
      <c r="A29" s="86">
        <v>28</v>
      </c>
      <c r="B29" s="86">
        <v>8</v>
      </c>
      <c r="C29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9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9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9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0" spans="1:6" x14ac:dyDescent="0.2">
      <c r="A30" s="86">
        <v>29</v>
      </c>
      <c r="B30" s="86">
        <v>8</v>
      </c>
      <c r="C30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0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30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30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1" spans="1:6" x14ac:dyDescent="0.2">
      <c r="A31" s="86">
        <v>30</v>
      </c>
      <c r="B31" s="86">
        <v>8</v>
      </c>
      <c r="C31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1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31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31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2" spans="1:6" x14ac:dyDescent="0.2">
      <c r="A32" s="86">
        <v>31</v>
      </c>
      <c r="B32" s="86">
        <v>8</v>
      </c>
      <c r="C32" s="12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2" s="12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32" s="12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32" s="12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353"/>
  </sheetPr>
  <dimension ref="A2:B157"/>
  <sheetViews>
    <sheetView showGridLines="0" workbookViewId="0">
      <selection activeCell="B7" sqref="B7"/>
    </sheetView>
  </sheetViews>
  <sheetFormatPr baseColWidth="10" defaultRowHeight="11.25" x14ac:dyDescent="0.2"/>
  <cols>
    <col min="1" max="1" width="16.28515625" style="53" bestFit="1" customWidth="1"/>
    <col min="2" max="3" width="23.28515625" style="53" bestFit="1" customWidth="1"/>
    <col min="4" max="4" width="23.28515625" style="53" customWidth="1"/>
    <col min="5" max="5" width="11.140625" style="53" customWidth="1"/>
    <col min="6" max="16384" width="11.42578125" style="53"/>
  </cols>
  <sheetData>
    <row r="2" spans="1:2" x14ac:dyDescent="0.2">
      <c r="A2" s="132" t="s">
        <v>51</v>
      </c>
      <c r="B2" s="134">
        <v>4</v>
      </c>
    </row>
    <row r="4" spans="1:2" x14ac:dyDescent="0.2">
      <c r="A4" s="132" t="s">
        <v>47</v>
      </c>
      <c r="B4" s="133" t="s">
        <v>52</v>
      </c>
    </row>
    <row r="5" spans="1:2" x14ac:dyDescent="0.2">
      <c r="A5" s="134">
        <v>1</v>
      </c>
      <c r="B5" s="136"/>
    </row>
    <row r="6" spans="1:2" x14ac:dyDescent="0.2">
      <c r="A6" s="137">
        <v>2021</v>
      </c>
      <c r="B6" s="136">
        <v>9.7759674134234125</v>
      </c>
    </row>
    <row r="7" spans="1:2" x14ac:dyDescent="0.2">
      <c r="A7" s="137">
        <v>2022</v>
      </c>
      <c r="B7" s="136">
        <v>60.086330935050505</v>
      </c>
    </row>
    <row r="8" spans="1:2" x14ac:dyDescent="0.2">
      <c r="A8" s="137">
        <v>2023</v>
      </c>
      <c r="B8" s="136">
        <v>32.178770949718057</v>
      </c>
    </row>
    <row r="9" spans="1:2" x14ac:dyDescent="0.2">
      <c r="A9" s="137">
        <v>2024</v>
      </c>
      <c r="B9" s="136">
        <v>33.349464223983574</v>
      </c>
    </row>
    <row r="10" spans="1:2" x14ac:dyDescent="0.2">
      <c r="A10" s="134">
        <v>2</v>
      </c>
      <c r="B10" s="136"/>
    </row>
    <row r="11" spans="1:2" x14ac:dyDescent="0.2">
      <c r="A11" s="137">
        <v>2021</v>
      </c>
      <c r="B11" s="136">
        <v>10.023201856126834</v>
      </c>
    </row>
    <row r="12" spans="1:2" x14ac:dyDescent="0.2">
      <c r="A12" s="137">
        <v>2022</v>
      </c>
      <c r="B12" s="136">
        <v>72.687585265983842</v>
      </c>
    </row>
    <row r="13" spans="1:2" x14ac:dyDescent="0.2">
      <c r="A13" s="137">
        <v>2023</v>
      </c>
      <c r="B13" s="136">
        <v>44.737864077771036</v>
      </c>
    </row>
    <row r="14" spans="1:2" x14ac:dyDescent="0.2">
      <c r="A14" s="137">
        <v>2024</v>
      </c>
      <c r="B14" s="136">
        <v>48.655643422088147</v>
      </c>
    </row>
    <row r="15" spans="1:2" x14ac:dyDescent="0.2">
      <c r="A15" s="134">
        <v>3</v>
      </c>
      <c r="B15" s="136"/>
    </row>
    <row r="16" spans="1:2" x14ac:dyDescent="0.2">
      <c r="A16" s="137">
        <v>2021</v>
      </c>
      <c r="B16" s="136">
        <v>28.110026619442113</v>
      </c>
    </row>
    <row r="17" spans="1:2" x14ac:dyDescent="0.2">
      <c r="A17" s="137">
        <v>2023</v>
      </c>
      <c r="B17" s="136">
        <v>45.83271650618105</v>
      </c>
    </row>
    <row r="18" spans="1:2" x14ac:dyDescent="0.2">
      <c r="A18" s="137">
        <v>2024</v>
      </c>
      <c r="B18" s="136">
        <v>27.729083665235759</v>
      </c>
    </row>
    <row r="19" spans="1:2" x14ac:dyDescent="0.2">
      <c r="A19" s="134">
        <v>4</v>
      </c>
      <c r="B19" s="136"/>
    </row>
    <row r="20" spans="1:2" x14ac:dyDescent="0.2">
      <c r="A20" s="137">
        <v>2021</v>
      </c>
      <c r="B20" s="136">
        <v>46.541693600426065</v>
      </c>
    </row>
    <row r="21" spans="1:2" x14ac:dyDescent="0.2">
      <c r="A21" s="137">
        <v>2022</v>
      </c>
      <c r="B21" s="136">
        <v>68.308336239983191</v>
      </c>
    </row>
    <row r="22" spans="1:2" x14ac:dyDescent="0.2">
      <c r="A22" s="137">
        <v>2023</v>
      </c>
      <c r="B22" s="136">
        <v>53.633169360620052</v>
      </c>
    </row>
    <row r="23" spans="1:2" x14ac:dyDescent="0.2">
      <c r="A23" s="137">
        <v>2024</v>
      </c>
      <c r="B23" s="136">
        <v>32.583941606033235</v>
      </c>
    </row>
    <row r="24" spans="1:2" x14ac:dyDescent="0.2">
      <c r="A24" s="134">
        <v>5</v>
      </c>
      <c r="B24" s="136"/>
    </row>
    <row r="25" spans="1:2" x14ac:dyDescent="0.2">
      <c r="A25" s="137">
        <v>2021</v>
      </c>
      <c r="B25" s="136">
        <v>28.779443254846683</v>
      </c>
    </row>
    <row r="26" spans="1:2" x14ac:dyDescent="0.2">
      <c r="A26" s="137">
        <v>2022</v>
      </c>
      <c r="B26" s="136">
        <v>46.812720847979506</v>
      </c>
    </row>
    <row r="27" spans="1:2" x14ac:dyDescent="0.2">
      <c r="A27" s="137">
        <v>2023</v>
      </c>
      <c r="B27" s="136">
        <v>36.118811881104854</v>
      </c>
    </row>
    <row r="28" spans="1:2" x14ac:dyDescent="0.2">
      <c r="A28" s="137">
        <v>2024</v>
      </c>
      <c r="B28" s="136">
        <v>18.624914908097796</v>
      </c>
    </row>
    <row r="29" spans="1:2" x14ac:dyDescent="0.2">
      <c r="A29" s="134">
        <v>6</v>
      </c>
      <c r="B29" s="136"/>
    </row>
    <row r="30" spans="1:2" x14ac:dyDescent="0.2">
      <c r="A30" s="137">
        <v>2021</v>
      </c>
      <c r="B30" s="136">
        <v>50.389016018155907</v>
      </c>
    </row>
    <row r="31" spans="1:2" x14ac:dyDescent="0.2">
      <c r="A31" s="137">
        <v>2022</v>
      </c>
      <c r="B31" s="136">
        <v>38.465753424872233</v>
      </c>
    </row>
    <row r="32" spans="1:2" x14ac:dyDescent="0.2">
      <c r="A32" s="137">
        <v>2023</v>
      </c>
      <c r="B32" s="136">
        <v>36.154949784876507</v>
      </c>
    </row>
    <row r="33" spans="1:2" x14ac:dyDescent="0.2">
      <c r="A33" s="137">
        <v>2024</v>
      </c>
      <c r="B33" s="136">
        <v>12.733971997034843</v>
      </c>
    </row>
    <row r="34" spans="1:2" x14ac:dyDescent="0.2">
      <c r="A34" s="134">
        <v>7</v>
      </c>
      <c r="B34" s="136"/>
    </row>
    <row r="35" spans="1:2" x14ac:dyDescent="0.2">
      <c r="A35" s="137">
        <v>2021</v>
      </c>
      <c r="B35" s="136">
        <v>56.103896104235396</v>
      </c>
    </row>
    <row r="36" spans="1:2" x14ac:dyDescent="0.2">
      <c r="A36" s="137">
        <v>2022</v>
      </c>
      <c r="B36" s="136">
        <v>41.624225739835246</v>
      </c>
    </row>
    <row r="37" spans="1:2" x14ac:dyDescent="0.2">
      <c r="A37" s="137">
        <v>2023</v>
      </c>
      <c r="B37" s="136">
        <v>29.080779944341561</v>
      </c>
    </row>
    <row r="38" spans="1:2" x14ac:dyDescent="0.2">
      <c r="A38" s="137">
        <v>2024</v>
      </c>
      <c r="B38" s="136">
        <v>9.2012779552784103</v>
      </c>
    </row>
    <row r="39" spans="1:2" x14ac:dyDescent="0.2">
      <c r="A39" s="134">
        <v>8</v>
      </c>
      <c r="B39" s="136"/>
    </row>
    <row r="40" spans="1:2" x14ac:dyDescent="0.2">
      <c r="A40" s="137">
        <v>2021</v>
      </c>
      <c r="B40" s="136">
        <v>49.180327868688209</v>
      </c>
    </row>
    <row r="41" spans="1:2" x14ac:dyDescent="0.2">
      <c r="A41" s="137">
        <v>2022</v>
      </c>
      <c r="B41" s="136">
        <v>42.295081967071859</v>
      </c>
    </row>
    <row r="42" spans="1:2" x14ac:dyDescent="0.2">
      <c r="A42" s="137">
        <v>2023</v>
      </c>
      <c r="B42" s="136">
        <v>32.054794520535168</v>
      </c>
    </row>
    <row r="43" spans="1:2" x14ac:dyDescent="0.2">
      <c r="A43" s="137">
        <v>2024</v>
      </c>
      <c r="B43" s="136">
        <v>26</v>
      </c>
    </row>
    <row r="44" spans="1:2" x14ac:dyDescent="0.2">
      <c r="A44" s="134">
        <v>9</v>
      </c>
      <c r="B44" s="136"/>
    </row>
    <row r="45" spans="1:2" x14ac:dyDescent="0.2">
      <c r="A45" s="137">
        <v>2021</v>
      </c>
      <c r="B45" s="136">
        <v>37.948717948774586</v>
      </c>
    </row>
    <row r="46" spans="1:2" x14ac:dyDescent="0.2">
      <c r="A46" s="137">
        <v>2022</v>
      </c>
      <c r="B46" s="136">
        <v>47.734806630010787</v>
      </c>
    </row>
    <row r="47" spans="1:2" x14ac:dyDescent="0.2">
      <c r="A47" s="137">
        <v>2024</v>
      </c>
      <c r="B47" s="136">
        <v>29.756457564447818</v>
      </c>
    </row>
    <row r="48" spans="1:2" x14ac:dyDescent="0.2">
      <c r="A48" s="134">
        <v>10</v>
      </c>
      <c r="B48" s="136"/>
    </row>
    <row r="49" spans="1:2" x14ac:dyDescent="0.2">
      <c r="A49" s="137">
        <v>2022</v>
      </c>
      <c r="B49" s="136">
        <v>46.753246753176064</v>
      </c>
    </row>
    <row r="50" spans="1:2" x14ac:dyDescent="0.2">
      <c r="A50" s="137">
        <v>2023</v>
      </c>
      <c r="B50" s="136">
        <v>16.992767415283048</v>
      </c>
    </row>
    <row r="51" spans="1:2" x14ac:dyDescent="0.2">
      <c r="A51" s="137">
        <v>2024</v>
      </c>
      <c r="B51" s="136">
        <v>37.073170731917848</v>
      </c>
    </row>
    <row r="52" spans="1:2" x14ac:dyDescent="0.2">
      <c r="A52" s="134">
        <v>11</v>
      </c>
      <c r="B52" s="136"/>
    </row>
    <row r="53" spans="1:2" x14ac:dyDescent="0.2">
      <c r="A53" s="137">
        <v>2021</v>
      </c>
      <c r="B53" s="136">
        <v>32.738719832053143</v>
      </c>
    </row>
    <row r="54" spans="1:2" x14ac:dyDescent="0.2">
      <c r="A54" s="137">
        <v>2022</v>
      </c>
      <c r="B54" s="136">
        <v>34.830684174108583</v>
      </c>
    </row>
    <row r="55" spans="1:2" x14ac:dyDescent="0.2">
      <c r="A55" s="137">
        <v>2023</v>
      </c>
      <c r="B55" s="136">
        <v>33.733528550518194</v>
      </c>
    </row>
    <row r="56" spans="1:2" x14ac:dyDescent="0.2">
      <c r="A56" s="137">
        <v>2024</v>
      </c>
      <c r="B56" s="136">
        <v>26.553191489230162</v>
      </c>
    </row>
    <row r="57" spans="1:2" x14ac:dyDescent="0.2">
      <c r="A57" s="134">
        <v>12</v>
      </c>
      <c r="B57" s="136"/>
    </row>
    <row r="58" spans="1:2" x14ac:dyDescent="0.2">
      <c r="A58" s="137">
        <v>2021</v>
      </c>
      <c r="B58" s="136">
        <v>47.058823529626601</v>
      </c>
    </row>
    <row r="59" spans="1:2" x14ac:dyDescent="0.2">
      <c r="A59" s="137">
        <v>2022</v>
      </c>
      <c r="B59" s="136">
        <v>15.083798882625157</v>
      </c>
    </row>
    <row r="60" spans="1:2" x14ac:dyDescent="0.2">
      <c r="A60" s="137">
        <v>2023</v>
      </c>
      <c r="B60" s="136">
        <v>33.816046966747308</v>
      </c>
    </row>
    <row r="61" spans="1:2" x14ac:dyDescent="0.2">
      <c r="A61" s="137">
        <v>2024</v>
      </c>
      <c r="B61" s="136">
        <v>12.430278884502508</v>
      </c>
    </row>
    <row r="62" spans="1:2" x14ac:dyDescent="0.2">
      <c r="A62" s="134">
        <v>13</v>
      </c>
      <c r="B62" s="136"/>
    </row>
    <row r="63" spans="1:2" x14ac:dyDescent="0.2">
      <c r="A63" s="137">
        <v>2021</v>
      </c>
      <c r="B63" s="136">
        <v>33.518172721655915</v>
      </c>
    </row>
    <row r="64" spans="1:2" x14ac:dyDescent="0.2">
      <c r="A64" s="137">
        <v>2022</v>
      </c>
      <c r="B64" s="136">
        <v>26.036161335305799</v>
      </c>
    </row>
    <row r="65" spans="1:2" x14ac:dyDescent="0.2">
      <c r="A65" s="137">
        <v>2023</v>
      </c>
      <c r="B65" s="136">
        <v>44.026845637515095</v>
      </c>
    </row>
    <row r="66" spans="1:2" x14ac:dyDescent="0.2">
      <c r="A66" s="137">
        <v>2024</v>
      </c>
      <c r="B66" s="136">
        <v>12.203389830460317</v>
      </c>
    </row>
    <row r="67" spans="1:2" x14ac:dyDescent="0.2">
      <c r="A67" s="134">
        <v>14</v>
      </c>
      <c r="B67" s="136"/>
    </row>
    <row r="68" spans="1:2" x14ac:dyDescent="0.2">
      <c r="A68" s="137">
        <v>2022</v>
      </c>
      <c r="B68" s="136">
        <v>21.448882870606052</v>
      </c>
    </row>
    <row r="69" spans="1:2" x14ac:dyDescent="0.2">
      <c r="A69" s="137">
        <v>2023</v>
      </c>
      <c r="B69" s="136">
        <v>43.843031123194628</v>
      </c>
    </row>
    <row r="70" spans="1:2" x14ac:dyDescent="0.2">
      <c r="A70" s="137">
        <v>2024</v>
      </c>
      <c r="B70" s="136">
        <v>9.0692792162632045</v>
      </c>
    </row>
    <row r="71" spans="1:2" x14ac:dyDescent="0.2">
      <c r="A71" s="134">
        <v>15</v>
      </c>
      <c r="B71" s="136"/>
    </row>
    <row r="72" spans="1:2" x14ac:dyDescent="0.2">
      <c r="A72" s="137">
        <v>2021</v>
      </c>
      <c r="B72" s="136">
        <v>48.483165567456425</v>
      </c>
    </row>
    <row r="73" spans="1:2" x14ac:dyDescent="0.2">
      <c r="A73" s="137">
        <v>2022</v>
      </c>
      <c r="B73" s="136">
        <v>12.471685542973287</v>
      </c>
    </row>
    <row r="74" spans="1:2" x14ac:dyDescent="0.2">
      <c r="A74" s="137">
        <v>2023</v>
      </c>
      <c r="B74" s="136">
        <v>42.175732217532136</v>
      </c>
    </row>
    <row r="75" spans="1:2" x14ac:dyDescent="0.2">
      <c r="A75" s="137">
        <v>2024</v>
      </c>
      <c r="B75" s="136">
        <v>11.038327526096584</v>
      </c>
    </row>
    <row r="76" spans="1:2" x14ac:dyDescent="0.2">
      <c r="A76" s="134">
        <v>16</v>
      </c>
      <c r="B76" s="136"/>
    </row>
    <row r="77" spans="1:2" x14ac:dyDescent="0.2">
      <c r="A77" s="137">
        <v>2021</v>
      </c>
      <c r="B77" s="136">
        <v>55.518072289000891</v>
      </c>
    </row>
    <row r="78" spans="1:2" x14ac:dyDescent="0.2">
      <c r="A78" s="137">
        <v>2022</v>
      </c>
      <c r="B78" s="136">
        <v>11.820895522398329</v>
      </c>
    </row>
    <row r="79" spans="1:2" x14ac:dyDescent="0.2">
      <c r="A79" s="137">
        <v>2023</v>
      </c>
      <c r="B79" s="136">
        <v>36.146540027245528</v>
      </c>
    </row>
    <row r="80" spans="1:2" x14ac:dyDescent="0.2">
      <c r="A80" s="137">
        <v>2024</v>
      </c>
      <c r="B80" s="136">
        <v>11.131412508807935</v>
      </c>
    </row>
    <row r="81" spans="1:2" x14ac:dyDescent="0.2">
      <c r="A81" s="134">
        <v>17</v>
      </c>
      <c r="B81" s="136"/>
    </row>
    <row r="82" spans="1:2" x14ac:dyDescent="0.2">
      <c r="A82" s="137">
        <v>2022</v>
      </c>
      <c r="B82" s="136">
        <v>12.589105581741647</v>
      </c>
    </row>
    <row r="83" spans="1:2" x14ac:dyDescent="0.2">
      <c r="A83" s="137">
        <v>2023</v>
      </c>
      <c r="B83" s="136">
        <v>19.726027397184112</v>
      </c>
    </row>
    <row r="84" spans="1:2" x14ac:dyDescent="0.2">
      <c r="A84" s="137">
        <v>2024</v>
      </c>
      <c r="B84" s="136">
        <v>39.696760854462021</v>
      </c>
    </row>
    <row r="85" spans="1:2" x14ac:dyDescent="0.2">
      <c r="A85" s="134">
        <v>18</v>
      </c>
      <c r="B85" s="136"/>
    </row>
    <row r="86" spans="1:2" x14ac:dyDescent="0.2">
      <c r="A86" s="137">
        <v>2023</v>
      </c>
      <c r="B86" s="136">
        <v>31.503175723395444</v>
      </c>
    </row>
    <row r="87" spans="1:2" x14ac:dyDescent="0.2">
      <c r="A87" s="137">
        <v>2024</v>
      </c>
      <c r="B87" s="136">
        <v>35.782404298376939</v>
      </c>
    </row>
    <row r="88" spans="1:2" x14ac:dyDescent="0.2">
      <c r="A88" s="134">
        <v>19</v>
      </c>
      <c r="B88" s="136"/>
    </row>
    <row r="89" spans="1:2" x14ac:dyDescent="0.2">
      <c r="A89" s="137">
        <v>2022</v>
      </c>
      <c r="B89" s="136">
        <v>9.6236370031483318</v>
      </c>
    </row>
    <row r="90" spans="1:2" x14ac:dyDescent="0.2">
      <c r="A90" s="137">
        <v>2023</v>
      </c>
      <c r="B90" s="136">
        <v>24.793388429799773</v>
      </c>
    </row>
    <row r="91" spans="1:2" x14ac:dyDescent="0.2">
      <c r="A91" s="137">
        <v>2024</v>
      </c>
      <c r="B91" s="136">
        <v>33.415518491654979</v>
      </c>
    </row>
    <row r="92" spans="1:2" x14ac:dyDescent="0.2">
      <c r="A92" s="134">
        <v>20</v>
      </c>
      <c r="B92" s="136"/>
    </row>
    <row r="93" spans="1:2" x14ac:dyDescent="0.2">
      <c r="A93" s="137">
        <v>2021</v>
      </c>
      <c r="B93" s="136">
        <v>35.669495929323297</v>
      </c>
    </row>
    <row r="94" spans="1:2" x14ac:dyDescent="0.2">
      <c r="A94" s="137">
        <v>2022</v>
      </c>
      <c r="B94" s="136">
        <v>34.454609429956307</v>
      </c>
    </row>
    <row r="95" spans="1:2" x14ac:dyDescent="0.2">
      <c r="A95" s="137">
        <v>2023</v>
      </c>
      <c r="B95" s="136">
        <v>17.38430583502635</v>
      </c>
    </row>
    <row r="96" spans="1:2" x14ac:dyDescent="0.2">
      <c r="A96" s="137">
        <v>2024</v>
      </c>
      <c r="B96" s="136">
        <v>26.772908366434525</v>
      </c>
    </row>
    <row r="97" spans="1:2" x14ac:dyDescent="0.2">
      <c r="A97" s="134">
        <v>21</v>
      </c>
      <c r="B97" s="136"/>
    </row>
    <row r="98" spans="1:2" x14ac:dyDescent="0.2">
      <c r="A98" s="137">
        <v>2022</v>
      </c>
      <c r="B98" s="136">
        <v>25.856353591255846</v>
      </c>
    </row>
    <row r="99" spans="1:2" x14ac:dyDescent="0.2">
      <c r="A99" s="137">
        <v>2023</v>
      </c>
      <c r="B99" s="136">
        <v>17.10691823896866</v>
      </c>
    </row>
    <row r="100" spans="1:2" x14ac:dyDescent="0.2">
      <c r="A100" s="137">
        <v>2024</v>
      </c>
      <c r="B100" s="136">
        <v>31.395348837188052</v>
      </c>
    </row>
    <row r="101" spans="1:2" x14ac:dyDescent="0.2">
      <c r="A101" s="134">
        <v>22</v>
      </c>
      <c r="B101" s="136"/>
    </row>
    <row r="102" spans="1:2" x14ac:dyDescent="0.2">
      <c r="A102" s="137">
        <v>2022</v>
      </c>
      <c r="B102" s="136">
        <v>12.589105581741647</v>
      </c>
    </row>
    <row r="103" spans="1:2" x14ac:dyDescent="0.2">
      <c r="A103" s="137">
        <v>2023</v>
      </c>
      <c r="B103" s="136">
        <v>27.28421052624892</v>
      </c>
    </row>
    <row r="104" spans="1:2" x14ac:dyDescent="0.2">
      <c r="A104" s="137">
        <v>2024</v>
      </c>
      <c r="B104" s="136">
        <v>38.811333794006707</v>
      </c>
    </row>
    <row r="105" spans="1:2" x14ac:dyDescent="0.2">
      <c r="A105" s="134">
        <v>23</v>
      </c>
      <c r="B105" s="136"/>
    </row>
    <row r="106" spans="1:2" x14ac:dyDescent="0.2">
      <c r="A106" s="137">
        <v>2022</v>
      </c>
      <c r="B106" s="136">
        <v>9.8753117206968213</v>
      </c>
    </row>
    <row r="107" spans="1:2" x14ac:dyDescent="0.2">
      <c r="A107" s="137">
        <v>2023</v>
      </c>
      <c r="B107" s="136">
        <v>16.638655462152318</v>
      </c>
    </row>
    <row r="108" spans="1:2" x14ac:dyDescent="0.2">
      <c r="A108" s="137">
        <v>2024</v>
      </c>
      <c r="B108" s="136">
        <v>42.293706293740726</v>
      </c>
    </row>
    <row r="109" spans="1:2" x14ac:dyDescent="0.2">
      <c r="A109" s="134">
        <v>24</v>
      </c>
      <c r="B109" s="136"/>
    </row>
    <row r="110" spans="1:2" x14ac:dyDescent="0.2">
      <c r="A110" s="137">
        <v>2021</v>
      </c>
      <c r="B110" s="136">
        <v>16.973961998612705</v>
      </c>
    </row>
    <row r="111" spans="1:2" x14ac:dyDescent="0.2">
      <c r="A111" s="137">
        <v>2022</v>
      </c>
      <c r="B111" s="136">
        <v>17.874321179205459</v>
      </c>
    </row>
    <row r="112" spans="1:2" x14ac:dyDescent="0.2">
      <c r="A112" s="137">
        <v>2023</v>
      </c>
      <c r="B112" s="136">
        <v>16.64739884394184</v>
      </c>
    </row>
    <row r="113" spans="1:2" x14ac:dyDescent="0.2">
      <c r="A113" s="137">
        <v>2024</v>
      </c>
      <c r="B113" s="136">
        <v>36.821008984324259</v>
      </c>
    </row>
    <row r="114" spans="1:2" x14ac:dyDescent="0.2">
      <c r="A114" s="134">
        <v>25</v>
      </c>
      <c r="B114" s="136"/>
    </row>
    <row r="115" spans="1:2" x14ac:dyDescent="0.2">
      <c r="A115" s="137">
        <v>2021</v>
      </c>
      <c r="B115" s="136">
        <v>14.769230769155193</v>
      </c>
    </row>
    <row r="116" spans="1:2" x14ac:dyDescent="0.2">
      <c r="A116" s="137">
        <v>2023</v>
      </c>
      <c r="B116" s="136">
        <v>39.738562091684685</v>
      </c>
    </row>
    <row r="117" spans="1:2" x14ac:dyDescent="0.2">
      <c r="A117" s="137">
        <v>2024</v>
      </c>
      <c r="B117" s="136">
        <v>35.902964959394112</v>
      </c>
    </row>
    <row r="118" spans="1:2" x14ac:dyDescent="0.2">
      <c r="A118" s="134">
        <v>26</v>
      </c>
      <c r="B118" s="136"/>
    </row>
    <row r="119" spans="1:2" x14ac:dyDescent="0.2">
      <c r="A119" s="137">
        <v>2021</v>
      </c>
      <c r="B119" s="136">
        <v>14.342629482118278</v>
      </c>
    </row>
    <row r="120" spans="1:2" x14ac:dyDescent="0.2">
      <c r="A120" s="137">
        <v>2022</v>
      </c>
      <c r="B120" s="136">
        <v>21.485079805641892</v>
      </c>
    </row>
    <row r="121" spans="1:2" x14ac:dyDescent="0.2">
      <c r="A121" s="137">
        <v>2023</v>
      </c>
      <c r="B121" s="136">
        <v>33.230769230796284</v>
      </c>
    </row>
    <row r="122" spans="1:2" x14ac:dyDescent="0.2">
      <c r="A122" s="137">
        <v>2024</v>
      </c>
      <c r="B122" s="136">
        <v>30.914127423767884</v>
      </c>
    </row>
    <row r="123" spans="1:2" x14ac:dyDescent="0.2">
      <c r="A123" s="134">
        <v>27</v>
      </c>
      <c r="B123" s="136"/>
    </row>
    <row r="124" spans="1:2" x14ac:dyDescent="0.2">
      <c r="A124" s="137">
        <v>2022</v>
      </c>
      <c r="B124" s="136">
        <v>26.181818181818183</v>
      </c>
    </row>
    <row r="125" spans="1:2" x14ac:dyDescent="0.2">
      <c r="A125" s="137">
        <v>2023</v>
      </c>
      <c r="B125" s="136">
        <v>19.022457067368276</v>
      </c>
    </row>
    <row r="126" spans="1:2" x14ac:dyDescent="0.2">
      <c r="A126" s="137">
        <v>2024</v>
      </c>
      <c r="B126" s="136">
        <v>31.411042944919881</v>
      </c>
    </row>
    <row r="127" spans="1:2" x14ac:dyDescent="0.2">
      <c r="A127" s="134">
        <v>28</v>
      </c>
      <c r="B127" s="136"/>
    </row>
    <row r="128" spans="1:2" x14ac:dyDescent="0.2">
      <c r="A128" s="137">
        <v>2021</v>
      </c>
      <c r="B128" s="136">
        <v>14.853638137721472</v>
      </c>
    </row>
    <row r="129" spans="1:2" x14ac:dyDescent="0.2">
      <c r="A129" s="137">
        <v>2022</v>
      </c>
      <c r="B129" s="136">
        <v>14.054054054120384</v>
      </c>
    </row>
    <row r="130" spans="1:2" x14ac:dyDescent="0.2">
      <c r="A130" s="137">
        <v>2023</v>
      </c>
      <c r="B130" s="136">
        <v>15.169300225677826</v>
      </c>
    </row>
    <row r="131" spans="1:2" x14ac:dyDescent="0.2">
      <c r="A131" s="137">
        <v>2024</v>
      </c>
      <c r="B131" s="136">
        <v>26.06806661846279</v>
      </c>
    </row>
    <row r="132" spans="1:2" x14ac:dyDescent="0.2">
      <c r="A132" s="134">
        <v>29</v>
      </c>
      <c r="B132" s="136"/>
    </row>
    <row r="133" spans="1:2" x14ac:dyDescent="0.2">
      <c r="A133" s="137">
        <v>2022</v>
      </c>
      <c r="B133" s="136">
        <v>10.760869565220796</v>
      </c>
    </row>
    <row r="134" spans="1:2" x14ac:dyDescent="0.2">
      <c r="A134" s="137">
        <v>2023</v>
      </c>
      <c r="B134" s="136">
        <v>7.8260869565242146</v>
      </c>
    </row>
    <row r="135" spans="1:2" x14ac:dyDescent="0.2">
      <c r="A135" s="137">
        <v>2024</v>
      </c>
      <c r="B135" s="136">
        <v>24.286718200856676</v>
      </c>
    </row>
    <row r="136" spans="1:2" x14ac:dyDescent="0.2">
      <c r="A136" s="134">
        <v>30</v>
      </c>
      <c r="B136" s="136"/>
    </row>
    <row r="137" spans="1:2" x14ac:dyDescent="0.2">
      <c r="A137" s="137">
        <v>2022</v>
      </c>
      <c r="B137" s="136">
        <v>8.7924016281864148</v>
      </c>
    </row>
    <row r="138" spans="1:2" x14ac:dyDescent="0.2">
      <c r="A138" s="137">
        <v>2023</v>
      </c>
      <c r="B138" s="136">
        <v>10.543014032952909</v>
      </c>
    </row>
    <row r="139" spans="1:2" x14ac:dyDescent="0.2">
      <c r="A139" s="134" t="s">
        <v>48</v>
      </c>
      <c r="B139" s="136">
        <v>29.859478035984488</v>
      </c>
    </row>
    <row r="140" spans="1:2" ht="12.75" x14ac:dyDescent="0.2">
      <c r="A140"/>
      <c r="B140"/>
    </row>
    <row r="141" spans="1:2" ht="12.75" x14ac:dyDescent="0.2">
      <c r="A141"/>
      <c r="B141"/>
    </row>
    <row r="142" spans="1:2" ht="12.75" x14ac:dyDescent="0.2">
      <c r="A142"/>
      <c r="B142"/>
    </row>
    <row r="143" spans="1:2" ht="12.75" x14ac:dyDescent="0.2">
      <c r="A143"/>
      <c r="B143"/>
    </row>
    <row r="144" spans="1:2" ht="12.75" x14ac:dyDescent="0.2">
      <c r="A144"/>
      <c r="B144"/>
    </row>
    <row r="145" spans="1:2" ht="12.75" x14ac:dyDescent="0.2">
      <c r="A145"/>
      <c r="B145"/>
    </row>
    <row r="146" spans="1:2" ht="12.75" x14ac:dyDescent="0.2">
      <c r="A146"/>
      <c r="B146"/>
    </row>
    <row r="147" spans="1:2" ht="12.75" x14ac:dyDescent="0.2">
      <c r="A147"/>
      <c r="B147"/>
    </row>
    <row r="148" spans="1:2" ht="12.75" x14ac:dyDescent="0.2">
      <c r="A148"/>
      <c r="B148"/>
    </row>
    <row r="149" spans="1:2" ht="12.75" x14ac:dyDescent="0.2">
      <c r="A149"/>
      <c r="B149"/>
    </row>
    <row r="150" spans="1:2" ht="12.75" x14ac:dyDescent="0.2">
      <c r="A150"/>
      <c r="B150"/>
    </row>
    <row r="151" spans="1:2" ht="12.75" x14ac:dyDescent="0.2">
      <c r="A151"/>
      <c r="B151"/>
    </row>
    <row r="152" spans="1:2" ht="12.75" x14ac:dyDescent="0.2">
      <c r="A152"/>
      <c r="B152"/>
    </row>
    <row r="153" spans="1:2" ht="12.75" x14ac:dyDescent="0.2">
      <c r="A153"/>
      <c r="B153"/>
    </row>
    <row r="154" spans="1:2" ht="12.75" x14ac:dyDescent="0.2">
      <c r="A154"/>
      <c r="B154"/>
    </row>
    <row r="155" spans="1:2" ht="12.75" x14ac:dyDescent="0.2">
      <c r="A155"/>
      <c r="B155"/>
    </row>
    <row r="156" spans="1:2" ht="12.75" x14ac:dyDescent="0.2">
      <c r="A156"/>
      <c r="B156"/>
    </row>
    <row r="157" spans="1:2" ht="12.75" x14ac:dyDescent="0.2">
      <c r="A157"/>
      <c r="B157"/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13"/>
  <sheetViews>
    <sheetView showGridLines="0" showRowColHeaders="0" zoomScaleNormal="100" workbookViewId="0">
      <selection activeCell="D25" sqref="D25"/>
    </sheetView>
  </sheetViews>
  <sheetFormatPr baseColWidth="10" defaultRowHeight="11.25" x14ac:dyDescent="0.2"/>
  <cols>
    <col min="1" max="1" width="8.85546875" style="86" bestFit="1" customWidth="1"/>
    <col min="2" max="5" width="9" style="86" bestFit="1" customWidth="1"/>
    <col min="6" max="16384" width="11.42578125" style="86"/>
  </cols>
  <sheetData>
    <row r="1" spans="1:5" x14ac:dyDescent="0.2">
      <c r="A1" s="86" t="s">
        <v>51</v>
      </c>
      <c r="B1" s="86" t="s">
        <v>122</v>
      </c>
      <c r="C1" s="86" t="s">
        <v>123</v>
      </c>
      <c r="D1" s="86" t="s">
        <v>124</v>
      </c>
      <c r="E1" s="86" t="s">
        <v>142</v>
      </c>
    </row>
    <row r="2" spans="1:5" x14ac:dyDescent="0.2">
      <c r="A2" s="86">
        <v>1</v>
      </c>
      <c r="B2" s="138">
        <f>AVERAGEIF(tabSuiviConso[Mois Année],Tableau79[[#This Row],[Mois]]&amp;"/"&amp;Tableau79[[#Headers],[2021]],tabSuiviConso[Conso HP + HC / jour_x000D_
Instantané])</f>
        <v>13.470229121885112</v>
      </c>
      <c r="C2" s="138" t="e">
        <f>AVERAGEIF(tabSuiviConso[Mois Année],Tableau79[[#This Row],[Mois]]&amp;"/"&amp;Tableau79[[#Headers],[2022]],tabSuiviConso[Conso HP + HC / jour_x000D_
Instantané])</f>
        <v>#DIV/0!</v>
      </c>
      <c r="D2" s="138" t="e">
        <f>AVERAGEIF(tabSuiviConso[Mois Année],Tableau79[[#This Row],[Mois]]&amp;"/"&amp;Tableau79[[#Headers],[2023]],tabSuiviConso[Conso HP + HC / jour_x000D_
Instantané])</f>
        <v>#DIV/0!</v>
      </c>
      <c r="E2" s="138" t="e">
        <f>AVERAGEIF(tabSuiviConso[Mois Année],Tableau79[[#This Row],[Mois]]&amp;"/"&amp;Tableau79[[#Headers],[2024]],tabSuiviConso[Conso HP + HC / jour_x000D_
Instantané])</f>
        <v>#DIV/0!</v>
      </c>
    </row>
    <row r="3" spans="1:5" x14ac:dyDescent="0.2">
      <c r="A3" s="86">
        <v>2</v>
      </c>
      <c r="B3" s="138" t="e">
        <f>AVERAGEIF(tabSuiviConso[Mois Année],Tableau79[[#This Row],[Mois]]&amp;"/"&amp;Tableau79[[#Headers],[2021]],tabSuiviConso[Conso HP + HC / jour_x000D_
Instantané])</f>
        <v>#DIV/0!</v>
      </c>
      <c r="C3" s="138" t="e">
        <f>AVERAGEIF(tabSuiviConso[Mois Année],Tableau79[[#This Row],[Mois]]&amp;"/"&amp;Tableau79[[#Headers],[2022]],tabSuiviConso[Conso HP + HC / jour_x000D_
Instantané])</f>
        <v>#DIV/0!</v>
      </c>
      <c r="D3" s="138" t="e">
        <f>AVERAGEIF(tabSuiviConso[Mois Année],Tableau79[[#This Row],[Mois]]&amp;"/"&amp;Tableau79[[#Headers],[2023]],tabSuiviConso[Conso HP + HC / jour_x000D_
Instantané])</f>
        <v>#DIV/0!</v>
      </c>
      <c r="E3" s="138" t="e">
        <f>AVERAGEIF(tabSuiviConso[Mois Année],Tableau79[[#This Row],[Mois]]&amp;"/"&amp;Tableau79[[#Headers],[2024]],tabSuiviConso[Conso HP + HC / jour_x000D_
Instantané])</f>
        <v>#DIV/0!</v>
      </c>
    </row>
    <row r="4" spans="1:5" x14ac:dyDescent="0.2">
      <c r="A4" s="86">
        <v>3</v>
      </c>
      <c r="B4" s="138" t="e">
        <f>AVERAGEIF(tabSuiviConso[Mois Année],Tableau79[[#This Row],[Mois]]&amp;"/"&amp;Tableau79[[#Headers],[2021]],tabSuiviConso[Conso HP + HC / jour_x000D_
Instantané])</f>
        <v>#DIV/0!</v>
      </c>
      <c r="C4" s="138" t="e">
        <f>AVERAGEIF(tabSuiviConso[Mois Année],Tableau79[[#This Row],[Mois]]&amp;"/"&amp;Tableau79[[#Headers],[2022]],tabSuiviConso[Conso HP + HC / jour_x000D_
Instantané])</f>
        <v>#DIV/0!</v>
      </c>
      <c r="D4" s="138" t="e">
        <f>AVERAGEIF(tabSuiviConso[Mois Année],Tableau79[[#This Row],[Mois]]&amp;"/"&amp;Tableau79[[#Headers],[2023]],tabSuiviConso[Conso HP + HC / jour_x000D_
Instantané])</f>
        <v>#DIV/0!</v>
      </c>
      <c r="E4" s="138" t="e">
        <f>AVERAGEIF(tabSuiviConso[Mois Année],Tableau79[[#This Row],[Mois]]&amp;"/"&amp;Tableau79[[#Headers],[2024]],tabSuiviConso[Conso HP + HC / jour_x000D_
Instantané])</f>
        <v>#DIV/0!</v>
      </c>
    </row>
    <row r="5" spans="1:5" x14ac:dyDescent="0.2">
      <c r="A5" s="86">
        <v>4</v>
      </c>
      <c r="B5" s="138" t="e">
        <f>AVERAGEIF(tabSuiviConso[Mois Année],Tableau79[[#This Row],[Mois]]&amp;"/"&amp;Tableau79[[#Headers],[2021]],tabSuiviConso[Conso HP + HC / jour_x000D_
Instantané])</f>
        <v>#DIV/0!</v>
      </c>
      <c r="C5" s="138" t="e">
        <f>AVERAGEIF(tabSuiviConso[Mois Année],Tableau79[[#This Row],[Mois]]&amp;"/"&amp;Tableau79[[#Headers],[2022]],tabSuiviConso[Conso HP + HC / jour_x000D_
Instantané])</f>
        <v>#DIV/0!</v>
      </c>
      <c r="D5" s="138" t="e">
        <f>AVERAGEIF(tabSuiviConso[Mois Année],Tableau79[[#This Row],[Mois]]&amp;"/"&amp;Tableau79[[#Headers],[2023]],tabSuiviConso[Conso HP + HC / jour_x000D_
Instantané])</f>
        <v>#DIV/0!</v>
      </c>
      <c r="E5" s="138" t="e">
        <f>AVERAGEIF(tabSuiviConso[Mois Année],Tableau79[[#This Row],[Mois]]&amp;"/"&amp;Tableau79[[#Headers],[2024]],tabSuiviConso[Conso HP + HC / jour_x000D_
Instantané])</f>
        <v>#DIV/0!</v>
      </c>
    </row>
    <row r="6" spans="1:5" x14ac:dyDescent="0.2">
      <c r="A6" s="86">
        <v>5</v>
      </c>
      <c r="B6" s="138" t="e">
        <f>AVERAGEIF(tabSuiviConso[Mois Année],Tableau79[[#This Row],[Mois]]&amp;"/"&amp;Tableau79[[#Headers],[2021]],tabSuiviConso[Conso HP + HC / jour_x000D_
Instantané])</f>
        <v>#DIV/0!</v>
      </c>
      <c r="C6" s="138" t="e">
        <f>AVERAGEIF(tabSuiviConso[Mois Année],Tableau79[[#This Row],[Mois]]&amp;"/"&amp;Tableau79[[#Headers],[2022]],tabSuiviConso[Conso HP + HC / jour_x000D_
Instantané])</f>
        <v>#DIV/0!</v>
      </c>
      <c r="D6" s="138" t="e">
        <f>AVERAGEIF(tabSuiviConso[Mois Année],Tableau79[[#This Row],[Mois]]&amp;"/"&amp;Tableau79[[#Headers],[2023]],tabSuiviConso[Conso HP + HC / jour_x000D_
Instantané])</f>
        <v>#DIV/0!</v>
      </c>
      <c r="E6" s="138" t="e">
        <f>AVERAGEIF(tabSuiviConso[Mois Année],Tableau79[[#This Row],[Mois]]&amp;"/"&amp;Tableau79[[#Headers],[2024]],tabSuiviConso[Conso HP + HC / jour_x000D_
Instantané])</f>
        <v>#DIV/0!</v>
      </c>
    </row>
    <row r="7" spans="1:5" x14ac:dyDescent="0.2">
      <c r="A7" s="86">
        <v>6</v>
      </c>
      <c r="B7" s="138" t="e">
        <f>AVERAGEIF(tabSuiviConso[Mois Année],Tableau79[[#This Row],[Mois]]&amp;"/"&amp;Tableau79[[#Headers],[2021]],tabSuiviConso[Conso HP + HC / jour_x000D_
Instantané])</f>
        <v>#DIV/0!</v>
      </c>
      <c r="C7" s="138" t="e">
        <f>AVERAGEIF(tabSuiviConso[Mois Année],Tableau79[[#This Row],[Mois]]&amp;"/"&amp;Tableau79[[#Headers],[2022]],tabSuiviConso[Conso HP + HC / jour_x000D_
Instantané])</f>
        <v>#DIV/0!</v>
      </c>
      <c r="D7" s="138" t="e">
        <f>AVERAGEIF(tabSuiviConso[Mois Année],Tableau79[[#This Row],[Mois]]&amp;"/"&amp;Tableau79[[#Headers],[2023]],tabSuiviConso[Conso HP + HC / jour_x000D_
Instantané])</f>
        <v>#DIV/0!</v>
      </c>
      <c r="E7" s="138" t="e">
        <f>AVERAGEIF(tabSuiviConso[Mois Année],Tableau79[[#This Row],[Mois]]&amp;"/"&amp;Tableau79[[#Headers],[2024]],tabSuiviConso[Conso HP + HC / jour_x000D_
Instantané])</f>
        <v>#DIV/0!</v>
      </c>
    </row>
    <row r="8" spans="1:5" x14ac:dyDescent="0.2">
      <c r="A8" s="86">
        <v>7</v>
      </c>
      <c r="B8" s="138" t="e">
        <f>AVERAGEIF(tabSuiviConso[Mois Année],Tableau79[[#This Row],[Mois]]&amp;"/"&amp;Tableau79[[#Headers],[2021]],tabSuiviConso[Conso HP + HC / jour_x000D_
Instantané])</f>
        <v>#DIV/0!</v>
      </c>
      <c r="C8" s="138" t="e">
        <f>AVERAGEIF(tabSuiviConso[Mois Année],Tableau79[[#This Row],[Mois]]&amp;"/"&amp;Tableau79[[#Headers],[2022]],tabSuiviConso[Conso HP + HC / jour_x000D_
Instantané])</f>
        <v>#DIV/0!</v>
      </c>
      <c r="D8" s="138" t="e">
        <f>AVERAGEIF(tabSuiviConso[Mois Année],Tableau79[[#This Row],[Mois]]&amp;"/"&amp;Tableau79[[#Headers],[2023]],tabSuiviConso[Conso HP + HC / jour_x000D_
Instantané])</f>
        <v>#DIV/0!</v>
      </c>
      <c r="E8" s="138" t="e">
        <f>AVERAGEIF(tabSuiviConso[Mois Année],Tableau79[[#This Row],[Mois]]&amp;"/"&amp;Tableau79[[#Headers],[2024]],tabSuiviConso[Conso HP + HC / jour_x000D_
Instantané])</f>
        <v>#DIV/0!</v>
      </c>
    </row>
    <row r="9" spans="1:5" x14ac:dyDescent="0.2">
      <c r="A9" s="86">
        <v>8</v>
      </c>
      <c r="B9" s="138" t="e">
        <f>AVERAGEIF(tabSuiviConso[Mois Année],Tableau79[[#This Row],[Mois]]&amp;"/"&amp;Tableau79[[#Headers],[2021]],tabSuiviConso[Conso HP + HC / jour_x000D_
Instantané])</f>
        <v>#DIV/0!</v>
      </c>
      <c r="C9" s="138" t="e">
        <f>AVERAGEIF(tabSuiviConso[Mois Année],Tableau79[[#This Row],[Mois]]&amp;"/"&amp;Tableau79[[#Headers],[2022]],tabSuiviConso[Conso HP + HC / jour_x000D_
Instantané])</f>
        <v>#DIV/0!</v>
      </c>
      <c r="D9" s="138" t="e">
        <f>AVERAGEIF(tabSuiviConso[Mois Année],Tableau79[[#This Row],[Mois]]&amp;"/"&amp;Tableau79[[#Headers],[2023]],tabSuiviConso[Conso HP + HC / jour_x000D_
Instantané])</f>
        <v>#DIV/0!</v>
      </c>
      <c r="E9" s="138" t="e">
        <f>AVERAGEIF(tabSuiviConso[Mois Année],Tableau79[[#This Row],[Mois]]&amp;"/"&amp;Tableau79[[#Headers],[2024]],tabSuiviConso[Conso HP + HC / jour_x000D_
Instantané])</f>
        <v>#DIV/0!</v>
      </c>
    </row>
    <row r="10" spans="1:5" x14ac:dyDescent="0.2">
      <c r="A10" s="86">
        <v>9</v>
      </c>
      <c r="B10" s="138" t="e">
        <f>AVERAGEIF(tabSuiviConso[Mois Année],Tableau79[[#This Row],[Mois]]&amp;"/"&amp;Tableau79[[#Headers],[2021]],tabSuiviConso[Conso HP + HC / jour_x000D_
Instantané])</f>
        <v>#DIV/0!</v>
      </c>
      <c r="C10" s="138" t="e">
        <f>AVERAGEIF(tabSuiviConso[Mois Année],Tableau79[[#This Row],[Mois]]&amp;"/"&amp;Tableau79[[#Headers],[2022]],tabSuiviConso[Conso HP + HC / jour_x000D_
Instantané])</f>
        <v>#DIV/0!</v>
      </c>
      <c r="D10" s="138" t="e">
        <f>AVERAGEIF(tabSuiviConso[Mois Année],Tableau79[[#This Row],[Mois]]&amp;"/"&amp;Tableau79[[#Headers],[2023]],tabSuiviConso[Conso HP + HC / jour_x000D_
Instantané])</f>
        <v>#DIV/0!</v>
      </c>
      <c r="E10" s="138" t="e">
        <f>AVERAGEIF(tabSuiviConso[Mois Année],Tableau79[[#This Row],[Mois]]&amp;"/"&amp;Tableau79[[#Headers],[2024]],tabSuiviConso[Conso HP + HC / jour_x000D_
Instantané])</f>
        <v>#DIV/0!</v>
      </c>
    </row>
    <row r="11" spans="1:5" x14ac:dyDescent="0.2">
      <c r="A11" s="86">
        <v>10</v>
      </c>
      <c r="B11" s="138" t="e">
        <f>AVERAGEIF(tabSuiviConso[Mois Année],Tableau79[[#This Row],[Mois]]&amp;"/"&amp;Tableau79[[#Headers],[2021]],tabSuiviConso[Conso HP + HC / jour_x000D_
Instantané])</f>
        <v>#DIV/0!</v>
      </c>
      <c r="C11" s="138" t="e">
        <f>AVERAGEIF(tabSuiviConso[Mois Année],Tableau79[[#This Row],[Mois]]&amp;"/"&amp;Tableau79[[#Headers],[2022]],tabSuiviConso[Conso HP + HC / jour_x000D_
Instantané])</f>
        <v>#DIV/0!</v>
      </c>
      <c r="D11" s="138" t="e">
        <f>AVERAGEIF(tabSuiviConso[Mois Année],Tableau79[[#This Row],[Mois]]&amp;"/"&amp;Tableau79[[#Headers],[2023]],tabSuiviConso[Conso HP + HC / jour_x000D_
Instantané])</f>
        <v>#DIV/0!</v>
      </c>
      <c r="E11" s="138" t="e">
        <f>AVERAGEIF(tabSuiviConso[Mois Année],Tableau79[[#This Row],[Mois]]&amp;"/"&amp;Tableau79[[#Headers],[2024]],tabSuiviConso[Conso HP + HC / jour_x000D_
Instantané])</f>
        <v>#DIV/0!</v>
      </c>
    </row>
    <row r="12" spans="1:5" x14ac:dyDescent="0.2">
      <c r="A12" s="86">
        <v>11</v>
      </c>
      <c r="B12" s="138" t="e">
        <f>AVERAGEIF(tabSuiviConso[Mois Année],Tableau79[[#This Row],[Mois]]&amp;"/"&amp;Tableau79[[#Headers],[2021]],tabSuiviConso[Conso HP + HC / jour_x000D_
Instantané])</f>
        <v>#DIV/0!</v>
      </c>
      <c r="C12" s="138" t="e">
        <f>AVERAGEIF(tabSuiviConso[Mois Année],Tableau79[[#This Row],[Mois]]&amp;"/"&amp;Tableau79[[#Headers],[2022]],tabSuiviConso[Conso HP + HC / jour_x000D_
Instantané])</f>
        <v>#DIV/0!</v>
      </c>
      <c r="D12" s="138" t="e">
        <f>AVERAGEIF(tabSuiviConso[Mois Année],Tableau79[[#This Row],[Mois]]&amp;"/"&amp;Tableau79[[#Headers],[2023]],tabSuiviConso[Conso HP + HC / jour_x000D_
Instantané])</f>
        <v>#DIV/0!</v>
      </c>
      <c r="E12" s="138" t="e">
        <f>AVERAGEIF(tabSuiviConso[Mois Année],Tableau79[[#This Row],[Mois]]&amp;"/"&amp;Tableau79[[#Headers],[2024]],tabSuiviConso[Conso HP + HC / jour_x000D_
Instantané])</f>
        <v>#DIV/0!</v>
      </c>
    </row>
    <row r="13" spans="1:5" x14ac:dyDescent="0.2">
      <c r="A13" s="86">
        <v>12</v>
      </c>
      <c r="B13" s="138" t="e">
        <f>AVERAGEIF(tabSuiviConso[Mois Année],Tableau79[[#This Row],[Mois]]&amp;"/"&amp;Tableau79[[#Headers],[2021]],tabSuiviConso[Conso HP + HC / jour_x000D_
Instantané])</f>
        <v>#DIV/0!</v>
      </c>
      <c r="C13" s="138" t="e">
        <f>AVERAGEIF(tabSuiviConso[Mois Année],Tableau79[[#This Row],[Mois]]&amp;"/"&amp;Tableau79[[#Headers],[2022]],tabSuiviConso[Conso HP + HC / jour_x000D_
Instantané])</f>
        <v>#DIV/0!</v>
      </c>
      <c r="D13" s="138" t="e">
        <f>AVERAGEIF(tabSuiviConso[Mois Année],Tableau79[[#This Row],[Mois]]&amp;"/"&amp;Tableau79[[#Headers],[2023]],tabSuiviConso[Conso HP + HC / jour_x000D_
Instantané])</f>
        <v>#DIV/0!</v>
      </c>
      <c r="E13" s="138" t="e">
        <f>AVERAGEIF(tabSuiviConso[Mois Année],Tableau79[[#This Row],[Mois]]&amp;"/"&amp;Tableau79[[#Headers],[2024]],tabSuiviConso[Conso HP + HC / jour_x000D_
Instantané])</f>
        <v>#DIV/0!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353"/>
  </sheetPr>
  <dimension ref="A1:E396"/>
  <sheetViews>
    <sheetView workbookViewId="0">
      <selection activeCell="B22" sqref="B22"/>
    </sheetView>
  </sheetViews>
  <sheetFormatPr baseColWidth="10" defaultRowHeight="11.25" x14ac:dyDescent="0.2"/>
  <cols>
    <col min="1" max="1" width="16.28515625" style="53" customWidth="1"/>
    <col min="2" max="2" width="8.7109375" style="53" customWidth="1"/>
    <col min="3" max="3" width="9" style="53" customWidth="1"/>
    <col min="4" max="4" width="23.28515625" style="53" customWidth="1"/>
    <col min="5" max="5" width="23.28515625" style="53" bestFit="1" customWidth="1"/>
    <col min="6" max="16384" width="11.42578125" style="53"/>
  </cols>
  <sheetData>
    <row r="1" spans="1:5" ht="12.75" x14ac:dyDescent="0.2">
      <c r="A1" s="132" t="s">
        <v>47</v>
      </c>
      <c r="B1" s="133" t="s">
        <v>86</v>
      </c>
      <c r="C1" s="133" t="s">
        <v>87</v>
      </c>
      <c r="D1" s="133" t="s">
        <v>52</v>
      </c>
      <c r="E1"/>
    </row>
    <row r="2" spans="1:5" ht="12.75" x14ac:dyDescent="0.2">
      <c r="A2" s="134">
        <v>1</v>
      </c>
      <c r="B2" s="136">
        <v>-4.8</v>
      </c>
      <c r="C2" s="136">
        <v>13.7</v>
      </c>
      <c r="D2" s="136">
        <v>59.825029181254216</v>
      </c>
      <c r="E2"/>
    </row>
    <row r="3" spans="1:5" ht="12.75" x14ac:dyDescent="0.2">
      <c r="A3" s="137">
        <v>2021</v>
      </c>
      <c r="B3" s="136">
        <v>-4.8</v>
      </c>
      <c r="C3" s="136">
        <v>13.7</v>
      </c>
      <c r="D3" s="136">
        <v>63.519665211454971</v>
      </c>
      <c r="E3"/>
    </row>
    <row r="4" spans="1:5" ht="12.75" x14ac:dyDescent="0.2">
      <c r="A4" s="137">
        <v>2022</v>
      </c>
      <c r="B4" s="136">
        <v>-3.9</v>
      </c>
      <c r="C4" s="136">
        <v>9.6999999999999993</v>
      </c>
      <c r="D4" s="136">
        <v>69.719790481957048</v>
      </c>
      <c r="E4"/>
    </row>
    <row r="5" spans="1:5" ht="12.75" x14ac:dyDescent="0.2">
      <c r="A5" s="137">
        <v>2023</v>
      </c>
      <c r="B5" s="136"/>
      <c r="C5" s="136"/>
      <c r="D5" s="136">
        <v>55.476885789100493</v>
      </c>
      <c r="E5"/>
    </row>
    <row r="6" spans="1:5" ht="12.75" x14ac:dyDescent="0.2">
      <c r="A6" s="137">
        <v>2024</v>
      </c>
      <c r="B6" s="136"/>
      <c r="C6" s="136"/>
      <c r="D6" s="136">
        <v>57.061490049659163</v>
      </c>
      <c r="E6"/>
    </row>
    <row r="7" spans="1:5" ht="12.75" x14ac:dyDescent="0.2">
      <c r="A7" s="134">
        <v>2</v>
      </c>
      <c r="B7" s="136">
        <v>-2.5</v>
      </c>
      <c r="C7" s="136">
        <v>14.4</v>
      </c>
      <c r="D7" s="136">
        <v>54.240435642725174</v>
      </c>
      <c r="E7"/>
    </row>
    <row r="8" spans="1:5" ht="12.75" x14ac:dyDescent="0.2">
      <c r="A8" s="137">
        <v>2021</v>
      </c>
      <c r="B8" s="136">
        <v>6.9</v>
      </c>
      <c r="C8" s="136">
        <v>13</v>
      </c>
      <c r="D8" s="136">
        <v>60.495411467114451</v>
      </c>
      <c r="E8"/>
    </row>
    <row r="9" spans="1:5" ht="12.75" x14ac:dyDescent="0.2">
      <c r="A9" s="137">
        <v>2022</v>
      </c>
      <c r="B9" s="136">
        <v>-2.5</v>
      </c>
      <c r="C9" s="136">
        <v>14.4</v>
      </c>
      <c r="D9" s="136">
        <v>53.558839866332931</v>
      </c>
      <c r="E9"/>
    </row>
    <row r="10" spans="1:5" ht="12.75" x14ac:dyDescent="0.2">
      <c r="A10" s="137">
        <v>2023</v>
      </c>
      <c r="B10" s="136"/>
      <c r="C10" s="136"/>
      <c r="D10" s="136">
        <v>52.812682376648141</v>
      </c>
      <c r="E10"/>
    </row>
    <row r="11" spans="1:5" ht="12.75" x14ac:dyDescent="0.2">
      <c r="A11" s="137">
        <v>2024</v>
      </c>
      <c r="B11" s="136"/>
      <c r="C11" s="136"/>
      <c r="D11" s="136">
        <v>42.331944117548439</v>
      </c>
      <c r="E11"/>
    </row>
    <row r="12" spans="1:5" ht="12.75" x14ac:dyDescent="0.2">
      <c r="A12" s="134">
        <v>3</v>
      </c>
      <c r="B12" s="136">
        <v>-3</v>
      </c>
      <c r="C12" s="136">
        <v>17.899999999999999</v>
      </c>
      <c r="D12" s="136">
        <v>43.265094140793728</v>
      </c>
      <c r="E12"/>
    </row>
    <row r="13" spans="1:5" ht="12.75" x14ac:dyDescent="0.2">
      <c r="A13" s="137">
        <v>2021</v>
      </c>
      <c r="B13" s="136"/>
      <c r="C13" s="136"/>
      <c r="D13" s="136">
        <v>49.958067969151358</v>
      </c>
      <c r="E13"/>
    </row>
    <row r="14" spans="1:5" ht="12.75" x14ac:dyDescent="0.2">
      <c r="A14" s="137">
        <v>2022</v>
      </c>
      <c r="B14" s="136">
        <v>-3</v>
      </c>
      <c r="C14" s="136">
        <v>17.899999999999999</v>
      </c>
      <c r="D14" s="136">
        <v>38.985231386694394</v>
      </c>
      <c r="E14"/>
    </row>
    <row r="15" spans="1:5" ht="12.75" x14ac:dyDescent="0.2">
      <c r="A15" s="137">
        <v>2023</v>
      </c>
      <c r="B15" s="136"/>
      <c r="C15" s="136"/>
      <c r="D15" s="136">
        <v>43.847003149363921</v>
      </c>
      <c r="E15"/>
    </row>
    <row r="16" spans="1:5" ht="12.75" x14ac:dyDescent="0.2">
      <c r="A16" s="137">
        <v>2024</v>
      </c>
      <c r="B16" s="136"/>
      <c r="C16" s="136"/>
      <c r="D16" s="136">
        <v>35.584992378114912</v>
      </c>
      <c r="E16"/>
    </row>
    <row r="17" spans="1:5" ht="12.75" x14ac:dyDescent="0.2">
      <c r="A17" s="134">
        <v>4</v>
      </c>
      <c r="B17" s="136"/>
      <c r="C17" s="136"/>
      <c r="D17" s="136">
        <v>29.859478035984498</v>
      </c>
      <c r="E17"/>
    </row>
    <row r="18" spans="1:5" ht="12.75" x14ac:dyDescent="0.2">
      <c r="A18" s="137">
        <v>2021</v>
      </c>
      <c r="B18" s="136"/>
      <c r="C18" s="136"/>
      <c r="D18" s="136">
        <v>33.968329493567609</v>
      </c>
      <c r="E18"/>
    </row>
    <row r="19" spans="1:5" ht="12.75" x14ac:dyDescent="0.2">
      <c r="A19" s="137">
        <v>2022</v>
      </c>
      <c r="B19" s="136"/>
      <c r="C19" s="136"/>
      <c r="D19" s="136">
        <v>29.28136531313756</v>
      </c>
      <c r="E19"/>
    </row>
    <row r="20" spans="1:5" ht="12.75" x14ac:dyDescent="0.2">
      <c r="A20" s="137">
        <v>2023</v>
      </c>
      <c r="B20" s="136"/>
      <c r="C20" s="136"/>
      <c r="D20" s="136">
        <v>29.556573069824331</v>
      </c>
      <c r="E20"/>
    </row>
    <row r="21" spans="1:5" ht="12.75" x14ac:dyDescent="0.2">
      <c r="A21" s="137">
        <v>2024</v>
      </c>
      <c r="B21" s="136"/>
      <c r="C21" s="136"/>
      <c r="D21" s="136">
        <v>27.300197089554064</v>
      </c>
      <c r="E21"/>
    </row>
    <row r="22" spans="1:5" ht="12.75" x14ac:dyDescent="0.2">
      <c r="A22" s="134">
        <v>5</v>
      </c>
      <c r="B22" s="136">
        <v>7.3</v>
      </c>
      <c r="C22" s="136">
        <v>21.3</v>
      </c>
      <c r="D22" s="136">
        <v>12.918537480467988</v>
      </c>
      <c r="E22"/>
    </row>
    <row r="23" spans="1:5" ht="12.75" x14ac:dyDescent="0.2">
      <c r="A23" s="137">
        <v>2021</v>
      </c>
      <c r="B23" s="136"/>
      <c r="C23" s="136"/>
      <c r="D23" s="136">
        <v>30.776729965082399</v>
      </c>
      <c r="E23"/>
    </row>
    <row r="24" spans="1:5" ht="12.75" x14ac:dyDescent="0.2">
      <c r="A24" s="137">
        <v>2022</v>
      </c>
      <c r="B24" s="136"/>
      <c r="C24" s="136"/>
      <c r="D24" s="136">
        <v>10.518526920832626</v>
      </c>
      <c r="E24"/>
    </row>
    <row r="25" spans="1:5" ht="12.75" x14ac:dyDescent="0.2">
      <c r="A25" s="137">
        <v>2023</v>
      </c>
      <c r="B25" s="136"/>
      <c r="C25" s="136"/>
      <c r="D25" s="136">
        <v>11.435221675806504</v>
      </c>
      <c r="E25"/>
    </row>
    <row r="26" spans="1:5" ht="12.75" x14ac:dyDescent="0.2">
      <c r="A26" s="137">
        <v>2024</v>
      </c>
      <c r="B26" s="136">
        <v>7.3</v>
      </c>
      <c r="C26" s="136">
        <v>21.3</v>
      </c>
      <c r="D26" s="136">
        <v>15.139521248734304</v>
      </c>
      <c r="E26"/>
    </row>
    <row r="27" spans="1:5" ht="12.75" x14ac:dyDescent="0.2">
      <c r="A27" s="134">
        <v>6</v>
      </c>
      <c r="B27" s="136"/>
      <c r="C27" s="136"/>
      <c r="D27" s="136">
        <v>9.0610326343617142</v>
      </c>
      <c r="E27"/>
    </row>
    <row r="28" spans="1:5" ht="12.75" x14ac:dyDescent="0.2">
      <c r="A28" s="137">
        <v>2021</v>
      </c>
      <c r="B28" s="136"/>
      <c r="C28" s="136"/>
      <c r="D28" s="136">
        <v>18.215306446489603</v>
      </c>
      <c r="E28"/>
    </row>
    <row r="29" spans="1:5" ht="12.75" x14ac:dyDescent="0.2">
      <c r="A29" s="137">
        <v>2022</v>
      </c>
      <c r="B29" s="136"/>
      <c r="C29" s="136"/>
      <c r="D29" s="136">
        <v>10.614761095252231</v>
      </c>
      <c r="E29"/>
    </row>
    <row r="30" spans="1:5" ht="12.75" x14ac:dyDescent="0.2">
      <c r="A30" s="137">
        <v>2023</v>
      </c>
      <c r="B30" s="136"/>
      <c r="C30" s="136"/>
      <c r="D30" s="136">
        <v>7.5067537886494264</v>
      </c>
      <c r="E30"/>
    </row>
    <row r="31" spans="1:5" ht="12.75" x14ac:dyDescent="0.2">
      <c r="A31" s="137">
        <v>2024</v>
      </c>
      <c r="B31" s="136"/>
      <c r="C31" s="136"/>
      <c r="D31" s="136">
        <v>8.7564222126184976</v>
      </c>
      <c r="E31"/>
    </row>
    <row r="32" spans="1:5" ht="12.75" x14ac:dyDescent="0.2">
      <c r="A32" s="134">
        <v>7</v>
      </c>
      <c r="B32" s="136"/>
      <c r="C32" s="136"/>
      <c r="D32" s="136">
        <v>9.8375568488384424</v>
      </c>
      <c r="E32"/>
    </row>
    <row r="33" spans="1:5" ht="12.75" x14ac:dyDescent="0.2">
      <c r="A33" s="137">
        <v>2021</v>
      </c>
      <c r="B33" s="136"/>
      <c r="C33" s="136"/>
      <c r="D33" s="136">
        <v>11.682137197192358</v>
      </c>
      <c r="E33"/>
    </row>
    <row r="34" spans="1:5" ht="12.75" x14ac:dyDescent="0.2">
      <c r="A34" s="137">
        <v>2022</v>
      </c>
      <c r="B34" s="136"/>
      <c r="C34" s="136"/>
      <c r="D34" s="136">
        <v>9.2437875703509516</v>
      </c>
      <c r="E34"/>
    </row>
    <row r="35" spans="1:5" x14ac:dyDescent="0.2">
      <c r="A35" s="137">
        <v>2023</v>
      </c>
      <c r="B35" s="136"/>
      <c r="C35" s="136"/>
      <c r="D35" s="136">
        <v>8.0551537231913795</v>
      </c>
    </row>
    <row r="36" spans="1:5" x14ac:dyDescent="0.2">
      <c r="A36" s="137">
        <v>2024</v>
      </c>
      <c r="B36" s="136"/>
      <c r="C36" s="136"/>
      <c r="D36" s="136">
        <v>11.176885781560083</v>
      </c>
    </row>
    <row r="37" spans="1:5" x14ac:dyDescent="0.2">
      <c r="A37" s="134">
        <v>8</v>
      </c>
      <c r="B37" s="136"/>
      <c r="C37" s="136"/>
      <c r="D37" s="136">
        <v>8.6306498141360546</v>
      </c>
    </row>
    <row r="38" spans="1:5" x14ac:dyDescent="0.2">
      <c r="A38" s="137">
        <v>2022</v>
      </c>
      <c r="B38" s="136"/>
      <c r="C38" s="136"/>
      <c r="D38" s="136">
        <v>9.4077239888126751</v>
      </c>
    </row>
    <row r="39" spans="1:5" x14ac:dyDescent="0.2">
      <c r="A39" s="137">
        <v>2023</v>
      </c>
      <c r="B39" s="136"/>
      <c r="C39" s="136"/>
      <c r="D39" s="136">
        <v>7.8719143044421926</v>
      </c>
    </row>
    <row r="40" spans="1:5" x14ac:dyDescent="0.2">
      <c r="A40" s="137">
        <v>2024</v>
      </c>
      <c r="B40" s="136"/>
      <c r="C40" s="136"/>
      <c r="D40" s="136">
        <v>10.705131028407301</v>
      </c>
    </row>
    <row r="41" spans="1:5" x14ac:dyDescent="0.2">
      <c r="A41" s="134">
        <v>9</v>
      </c>
      <c r="B41" s="136"/>
      <c r="C41" s="136"/>
      <c r="D41" s="136">
        <v>8.8446661580689838</v>
      </c>
    </row>
    <row r="42" spans="1:5" x14ac:dyDescent="0.2">
      <c r="A42" s="137">
        <v>2021</v>
      </c>
      <c r="B42" s="136"/>
      <c r="C42" s="136"/>
      <c r="D42" s="136">
        <v>11.811484236856675</v>
      </c>
    </row>
    <row r="43" spans="1:5" x14ac:dyDescent="0.2">
      <c r="A43" s="137">
        <v>2022</v>
      </c>
      <c r="B43" s="136"/>
      <c r="C43" s="136"/>
      <c r="D43" s="136">
        <v>9.3472642258272849</v>
      </c>
    </row>
    <row r="44" spans="1:5" x14ac:dyDescent="0.2">
      <c r="A44" s="137">
        <v>2023</v>
      </c>
      <c r="B44" s="136"/>
      <c r="C44" s="136"/>
      <c r="D44" s="136">
        <v>8.1547909147997419</v>
      </c>
    </row>
    <row r="45" spans="1:5" x14ac:dyDescent="0.2">
      <c r="A45" s="134">
        <v>10</v>
      </c>
      <c r="B45" s="136"/>
      <c r="C45" s="136"/>
      <c r="D45" s="136">
        <v>12.96223955758</v>
      </c>
    </row>
    <row r="46" spans="1:5" x14ac:dyDescent="0.2">
      <c r="A46" s="137">
        <v>2021</v>
      </c>
      <c r="B46" s="136"/>
      <c r="C46" s="136"/>
      <c r="D46" s="136">
        <v>19.736806156365176</v>
      </c>
    </row>
    <row r="47" spans="1:5" x14ac:dyDescent="0.2">
      <c r="A47" s="137">
        <v>2022</v>
      </c>
      <c r="B47" s="136"/>
      <c r="C47" s="136"/>
      <c r="D47" s="136">
        <v>11.458707669488845</v>
      </c>
    </row>
    <row r="48" spans="1:5" x14ac:dyDescent="0.2">
      <c r="A48" s="137">
        <v>2023</v>
      </c>
      <c r="B48" s="136"/>
      <c r="C48" s="136"/>
      <c r="D48" s="136">
        <v>14.180319773709895</v>
      </c>
    </row>
    <row r="49" spans="1:4" x14ac:dyDescent="0.2">
      <c r="A49" s="134">
        <v>11</v>
      </c>
      <c r="B49" s="136"/>
      <c r="C49" s="136"/>
      <c r="D49" s="136">
        <v>33.116748088959575</v>
      </c>
    </row>
    <row r="50" spans="1:4" x14ac:dyDescent="0.2">
      <c r="A50" s="137">
        <v>2021</v>
      </c>
      <c r="B50" s="136"/>
      <c r="C50" s="136"/>
      <c r="D50" s="136">
        <v>40.511425697810509</v>
      </c>
    </row>
    <row r="51" spans="1:4" x14ac:dyDescent="0.2">
      <c r="A51" s="137">
        <v>2022</v>
      </c>
      <c r="B51" s="136"/>
      <c r="C51" s="136"/>
      <c r="D51" s="136">
        <v>31.102677860564391</v>
      </c>
    </row>
    <row r="52" spans="1:4" x14ac:dyDescent="0.2">
      <c r="A52" s="137">
        <v>2023</v>
      </c>
      <c r="B52" s="136"/>
      <c r="C52" s="136"/>
      <c r="D52" s="136">
        <v>34.146366881390158</v>
      </c>
    </row>
    <row r="53" spans="1:4" x14ac:dyDescent="0.2">
      <c r="A53" s="134">
        <v>12</v>
      </c>
      <c r="B53" s="136"/>
      <c r="C53" s="136"/>
      <c r="D53" s="136">
        <v>52.571557098185743</v>
      </c>
    </row>
    <row r="54" spans="1:4" x14ac:dyDescent="0.2">
      <c r="A54" s="137">
        <v>2020</v>
      </c>
      <c r="B54" s="136"/>
      <c r="C54" s="136"/>
      <c r="D54" s="136"/>
    </row>
    <row r="55" spans="1:4" x14ac:dyDescent="0.2">
      <c r="A55" s="137">
        <v>2021</v>
      </c>
      <c r="B55" s="136"/>
      <c r="C55" s="136"/>
      <c r="D55" s="136">
        <v>61.225258852545842</v>
      </c>
    </row>
    <row r="56" spans="1:4" x14ac:dyDescent="0.2">
      <c r="A56" s="137">
        <v>2022</v>
      </c>
      <c r="B56" s="136"/>
      <c r="C56" s="136"/>
      <c r="D56" s="136">
        <v>56.824480449468332</v>
      </c>
    </row>
    <row r="57" spans="1:4" x14ac:dyDescent="0.2">
      <c r="A57" s="137">
        <v>2023</v>
      </c>
      <c r="B57" s="136"/>
      <c r="C57" s="136"/>
      <c r="D57" s="136">
        <v>47.329679109169362</v>
      </c>
    </row>
    <row r="58" spans="1:4" x14ac:dyDescent="0.2">
      <c r="A58" s="134" t="s">
        <v>48</v>
      </c>
      <c r="B58" s="136">
        <v>-4.8</v>
      </c>
      <c r="C58" s="136">
        <v>21.3</v>
      </c>
      <c r="D58" s="136">
        <v>31.512596737301081</v>
      </c>
    </row>
    <row r="59" spans="1:4" ht="12.75" x14ac:dyDescent="0.2">
      <c r="A59"/>
      <c r="B59"/>
      <c r="C59"/>
      <c r="D59"/>
    </row>
    <row r="60" spans="1:4" ht="12.75" x14ac:dyDescent="0.2">
      <c r="A60"/>
      <c r="B60"/>
      <c r="C60"/>
      <c r="D60"/>
    </row>
    <row r="61" spans="1:4" ht="12.75" x14ac:dyDescent="0.2">
      <c r="A61"/>
      <c r="B61"/>
      <c r="C61"/>
      <c r="D61"/>
    </row>
    <row r="62" spans="1:4" ht="12.75" x14ac:dyDescent="0.2">
      <c r="A62"/>
      <c r="B62"/>
      <c r="C62"/>
      <c r="D62"/>
    </row>
    <row r="63" spans="1:4" ht="12.75" x14ac:dyDescent="0.2">
      <c r="A63"/>
      <c r="B63"/>
      <c r="C63"/>
      <c r="D63"/>
    </row>
    <row r="64" spans="1:4" ht="12.75" x14ac:dyDescent="0.2">
      <c r="A64"/>
      <c r="B64"/>
      <c r="C64"/>
      <c r="D64"/>
    </row>
    <row r="65" spans="1:4" ht="12.75" x14ac:dyDescent="0.2">
      <c r="A65"/>
      <c r="B65"/>
      <c r="C65"/>
      <c r="D65"/>
    </row>
    <row r="66" spans="1:4" ht="12.75" x14ac:dyDescent="0.2">
      <c r="A66"/>
      <c r="B66"/>
      <c r="C66"/>
      <c r="D66"/>
    </row>
    <row r="67" spans="1:4" ht="12.75" x14ac:dyDescent="0.2">
      <c r="A67"/>
      <c r="B67"/>
      <c r="C67"/>
      <c r="D67"/>
    </row>
    <row r="68" spans="1:4" ht="12.75" x14ac:dyDescent="0.2">
      <c r="A68"/>
      <c r="B68"/>
      <c r="C68"/>
      <c r="D68"/>
    </row>
    <row r="69" spans="1:4" ht="12.75" x14ac:dyDescent="0.2">
      <c r="A69"/>
      <c r="B69"/>
      <c r="C69"/>
      <c r="D69"/>
    </row>
    <row r="70" spans="1:4" ht="12.75" x14ac:dyDescent="0.2">
      <c r="A70"/>
      <c r="B70"/>
      <c r="C70"/>
      <c r="D70"/>
    </row>
    <row r="71" spans="1:4" ht="12.75" x14ac:dyDescent="0.2">
      <c r="A71"/>
      <c r="B71"/>
      <c r="C71"/>
      <c r="D71"/>
    </row>
    <row r="72" spans="1:4" ht="12.75" x14ac:dyDescent="0.2">
      <c r="A72"/>
      <c r="B72"/>
      <c r="C72"/>
      <c r="D72"/>
    </row>
    <row r="73" spans="1:4" ht="12.75" x14ac:dyDescent="0.2">
      <c r="A73"/>
      <c r="B73"/>
      <c r="C73"/>
      <c r="D73"/>
    </row>
    <row r="74" spans="1:4" ht="12.75" x14ac:dyDescent="0.2">
      <c r="A74"/>
      <c r="B74"/>
      <c r="C74"/>
      <c r="D74"/>
    </row>
    <row r="75" spans="1:4" ht="12.75" x14ac:dyDescent="0.2">
      <c r="A75"/>
      <c r="B75"/>
      <c r="C75"/>
      <c r="D75"/>
    </row>
    <row r="76" spans="1:4" ht="12.75" x14ac:dyDescent="0.2">
      <c r="A76"/>
      <c r="B76"/>
      <c r="C76"/>
      <c r="D76"/>
    </row>
    <row r="77" spans="1:4" ht="12.75" x14ac:dyDescent="0.2">
      <c r="A77"/>
      <c r="B77"/>
      <c r="C77"/>
      <c r="D77"/>
    </row>
    <row r="78" spans="1:4" ht="12.75" x14ac:dyDescent="0.2">
      <c r="A78"/>
      <c r="B78"/>
      <c r="C78"/>
      <c r="D78"/>
    </row>
    <row r="79" spans="1:4" ht="12.75" x14ac:dyDescent="0.2">
      <c r="A79"/>
      <c r="B79"/>
      <c r="C79"/>
      <c r="D79"/>
    </row>
    <row r="80" spans="1:4" ht="12.75" x14ac:dyDescent="0.2">
      <c r="A80"/>
      <c r="B80"/>
      <c r="C80"/>
      <c r="D80"/>
    </row>
    <row r="81" spans="1:4" ht="12.75" x14ac:dyDescent="0.2">
      <c r="A81"/>
      <c r="B81"/>
      <c r="C81"/>
      <c r="D81"/>
    </row>
    <row r="82" spans="1:4" ht="12.75" x14ac:dyDescent="0.2">
      <c r="A82"/>
      <c r="B82"/>
      <c r="C82"/>
      <c r="D82"/>
    </row>
    <row r="83" spans="1:4" ht="12.75" x14ac:dyDescent="0.2">
      <c r="A83"/>
      <c r="B83"/>
      <c r="C83"/>
      <c r="D83"/>
    </row>
    <row r="84" spans="1:4" ht="12.75" x14ac:dyDescent="0.2">
      <c r="A84"/>
      <c r="B84"/>
      <c r="C84"/>
      <c r="D84"/>
    </row>
    <row r="85" spans="1:4" ht="12.75" x14ac:dyDescent="0.2">
      <c r="A85"/>
      <c r="B85"/>
      <c r="C85"/>
      <c r="D85"/>
    </row>
    <row r="86" spans="1:4" ht="12.75" x14ac:dyDescent="0.2">
      <c r="A86"/>
      <c r="B86"/>
      <c r="C86"/>
      <c r="D86"/>
    </row>
    <row r="87" spans="1:4" ht="12.75" x14ac:dyDescent="0.2">
      <c r="A87"/>
      <c r="B87"/>
      <c r="C87"/>
      <c r="D87"/>
    </row>
    <row r="88" spans="1:4" ht="12.75" x14ac:dyDescent="0.2">
      <c r="A88"/>
      <c r="B88"/>
      <c r="C88"/>
      <c r="D88"/>
    </row>
    <row r="89" spans="1:4" ht="12.75" x14ac:dyDescent="0.2">
      <c r="A89"/>
      <c r="B89"/>
      <c r="C89"/>
      <c r="D89"/>
    </row>
    <row r="90" spans="1:4" ht="12.75" x14ac:dyDescent="0.2">
      <c r="A90"/>
      <c r="B90"/>
      <c r="C90"/>
      <c r="D90"/>
    </row>
    <row r="91" spans="1:4" ht="12.75" x14ac:dyDescent="0.2">
      <c r="A91"/>
      <c r="B91"/>
      <c r="C91"/>
      <c r="D91"/>
    </row>
    <row r="92" spans="1:4" ht="12.75" x14ac:dyDescent="0.2">
      <c r="A92"/>
      <c r="B92"/>
      <c r="C92"/>
      <c r="D92"/>
    </row>
    <row r="93" spans="1:4" ht="12.75" x14ac:dyDescent="0.2">
      <c r="A93"/>
      <c r="B93"/>
      <c r="C93"/>
      <c r="D93"/>
    </row>
    <row r="94" spans="1:4" ht="12.75" x14ac:dyDescent="0.2">
      <c r="A94"/>
      <c r="B94"/>
      <c r="C94"/>
      <c r="D94"/>
    </row>
    <row r="95" spans="1:4" ht="12.75" x14ac:dyDescent="0.2">
      <c r="A95"/>
      <c r="B95"/>
      <c r="C95"/>
      <c r="D95"/>
    </row>
    <row r="96" spans="1:4" ht="12.75" x14ac:dyDescent="0.2">
      <c r="A96"/>
      <c r="B96"/>
      <c r="C96"/>
      <c r="D96"/>
    </row>
    <row r="97" spans="1:4" ht="12.75" x14ac:dyDescent="0.2">
      <c r="A97"/>
      <c r="B97"/>
      <c r="C97"/>
      <c r="D97"/>
    </row>
    <row r="98" spans="1:4" ht="12.75" x14ac:dyDescent="0.2">
      <c r="A98"/>
      <c r="B98"/>
      <c r="C98"/>
      <c r="D98"/>
    </row>
    <row r="99" spans="1:4" ht="12.75" x14ac:dyDescent="0.2">
      <c r="A99"/>
      <c r="B99"/>
      <c r="C99"/>
      <c r="D99"/>
    </row>
    <row r="100" spans="1:4" ht="12.75" x14ac:dyDescent="0.2">
      <c r="A100"/>
      <c r="B100"/>
      <c r="C100"/>
      <c r="D100"/>
    </row>
    <row r="101" spans="1:4" ht="12.75" x14ac:dyDescent="0.2">
      <c r="A101"/>
      <c r="B101"/>
      <c r="C101"/>
      <c r="D101"/>
    </row>
    <row r="102" spans="1:4" ht="12.75" x14ac:dyDescent="0.2">
      <c r="A102"/>
      <c r="B102"/>
      <c r="C102"/>
      <c r="D102"/>
    </row>
    <row r="103" spans="1:4" ht="12.75" x14ac:dyDescent="0.2">
      <c r="A103"/>
      <c r="B103"/>
      <c r="C103"/>
      <c r="D103"/>
    </row>
    <row r="104" spans="1:4" ht="12.75" x14ac:dyDescent="0.2">
      <c r="A104"/>
      <c r="B104"/>
      <c r="C104"/>
      <c r="D104"/>
    </row>
    <row r="105" spans="1:4" ht="12.75" x14ac:dyDescent="0.2">
      <c r="A105"/>
      <c r="B105"/>
      <c r="C105"/>
      <c r="D105"/>
    </row>
    <row r="106" spans="1:4" ht="12.75" x14ac:dyDescent="0.2">
      <c r="A106"/>
      <c r="B106"/>
      <c r="C106"/>
      <c r="D106"/>
    </row>
    <row r="107" spans="1:4" ht="12.75" x14ac:dyDescent="0.2">
      <c r="A107"/>
      <c r="B107"/>
      <c r="C107"/>
      <c r="D107"/>
    </row>
    <row r="108" spans="1:4" ht="12.75" x14ac:dyDescent="0.2">
      <c r="A108"/>
      <c r="B108"/>
      <c r="C108"/>
      <c r="D108"/>
    </row>
    <row r="109" spans="1:4" ht="12.75" x14ac:dyDescent="0.2">
      <c r="A109"/>
      <c r="B109"/>
      <c r="C109"/>
      <c r="D109"/>
    </row>
    <row r="110" spans="1:4" ht="12.75" x14ac:dyDescent="0.2">
      <c r="A110"/>
      <c r="B110"/>
      <c r="C110"/>
      <c r="D110"/>
    </row>
    <row r="111" spans="1:4" ht="12.75" x14ac:dyDescent="0.2">
      <c r="A111"/>
      <c r="B111"/>
      <c r="C111"/>
      <c r="D111"/>
    </row>
    <row r="112" spans="1:4" ht="12.75" x14ac:dyDescent="0.2">
      <c r="A112"/>
      <c r="B112"/>
      <c r="C112"/>
      <c r="D112"/>
    </row>
    <row r="113" spans="1:4" ht="12.75" x14ac:dyDescent="0.2">
      <c r="A113"/>
      <c r="B113"/>
      <c r="C113"/>
      <c r="D113"/>
    </row>
    <row r="114" spans="1:4" ht="12.75" x14ac:dyDescent="0.2">
      <c r="A114"/>
      <c r="B114"/>
      <c r="C114"/>
      <c r="D114"/>
    </row>
    <row r="115" spans="1:4" ht="12.75" x14ac:dyDescent="0.2">
      <c r="A115"/>
      <c r="B115"/>
      <c r="C115"/>
      <c r="D115"/>
    </row>
    <row r="116" spans="1:4" ht="12.75" x14ac:dyDescent="0.2">
      <c r="A116"/>
      <c r="B116"/>
      <c r="C116"/>
      <c r="D116"/>
    </row>
    <row r="117" spans="1:4" ht="12.75" x14ac:dyDescent="0.2">
      <c r="A117"/>
      <c r="B117"/>
      <c r="C117"/>
      <c r="D117"/>
    </row>
    <row r="118" spans="1:4" ht="12.75" x14ac:dyDescent="0.2">
      <c r="A118"/>
      <c r="B118"/>
      <c r="C118"/>
      <c r="D118"/>
    </row>
    <row r="119" spans="1:4" ht="12.75" x14ac:dyDescent="0.2">
      <c r="A119"/>
      <c r="B119"/>
      <c r="C119"/>
      <c r="D119"/>
    </row>
    <row r="120" spans="1:4" ht="12.75" x14ac:dyDescent="0.2">
      <c r="A120"/>
      <c r="B120"/>
      <c r="C120"/>
      <c r="D120"/>
    </row>
    <row r="121" spans="1:4" ht="12.75" x14ac:dyDescent="0.2">
      <c r="A121"/>
      <c r="B121"/>
      <c r="C121"/>
      <c r="D121"/>
    </row>
    <row r="122" spans="1:4" ht="12.75" x14ac:dyDescent="0.2">
      <c r="A122"/>
      <c r="B122"/>
      <c r="C122"/>
      <c r="D122"/>
    </row>
    <row r="123" spans="1:4" ht="12.75" x14ac:dyDescent="0.2">
      <c r="A123"/>
      <c r="B123"/>
      <c r="C123"/>
      <c r="D123"/>
    </row>
    <row r="124" spans="1:4" ht="12.75" x14ac:dyDescent="0.2">
      <c r="A124"/>
      <c r="B124"/>
      <c r="C124"/>
      <c r="D124"/>
    </row>
    <row r="125" spans="1:4" ht="12.75" x14ac:dyDescent="0.2">
      <c r="A125"/>
      <c r="B125"/>
      <c r="C125"/>
      <c r="D125"/>
    </row>
    <row r="126" spans="1:4" ht="12.75" x14ac:dyDescent="0.2">
      <c r="A126"/>
      <c r="B126"/>
      <c r="C126"/>
      <c r="D126"/>
    </row>
    <row r="127" spans="1:4" ht="12.75" x14ac:dyDescent="0.2">
      <c r="A127"/>
      <c r="B127"/>
      <c r="C127"/>
      <c r="D127"/>
    </row>
    <row r="128" spans="1:4" ht="12.75" x14ac:dyDescent="0.2">
      <c r="A128"/>
      <c r="B128"/>
      <c r="C128"/>
      <c r="D128"/>
    </row>
    <row r="129" spans="1:4" ht="12.75" x14ac:dyDescent="0.2">
      <c r="A129"/>
      <c r="B129"/>
      <c r="C129"/>
      <c r="D129"/>
    </row>
    <row r="130" spans="1:4" ht="12.75" x14ac:dyDescent="0.2">
      <c r="A130"/>
      <c r="B130"/>
      <c r="C130"/>
      <c r="D130"/>
    </row>
    <row r="131" spans="1:4" ht="12.75" x14ac:dyDescent="0.2">
      <c r="A131"/>
      <c r="B131"/>
      <c r="C131"/>
      <c r="D131"/>
    </row>
    <row r="132" spans="1:4" ht="12.75" x14ac:dyDescent="0.2">
      <c r="A132"/>
      <c r="B132"/>
      <c r="C132"/>
      <c r="D132"/>
    </row>
    <row r="133" spans="1:4" ht="12.75" x14ac:dyDescent="0.2">
      <c r="A133"/>
      <c r="B133"/>
      <c r="C133"/>
      <c r="D133"/>
    </row>
    <row r="134" spans="1:4" ht="12.75" x14ac:dyDescent="0.2">
      <c r="A134"/>
      <c r="B134"/>
      <c r="C134"/>
      <c r="D134"/>
    </row>
    <row r="135" spans="1:4" ht="12.75" x14ac:dyDescent="0.2">
      <c r="A135"/>
      <c r="B135"/>
      <c r="C135"/>
      <c r="D135"/>
    </row>
    <row r="136" spans="1:4" ht="12.75" x14ac:dyDescent="0.2">
      <c r="A136"/>
      <c r="B136"/>
      <c r="C136"/>
      <c r="D136"/>
    </row>
    <row r="137" spans="1:4" ht="12.75" x14ac:dyDescent="0.2">
      <c r="A137"/>
      <c r="B137"/>
      <c r="C137"/>
      <c r="D137"/>
    </row>
    <row r="138" spans="1:4" ht="12.75" x14ac:dyDescent="0.2">
      <c r="A138"/>
      <c r="B138"/>
      <c r="C138"/>
      <c r="D138"/>
    </row>
    <row r="139" spans="1:4" ht="12.75" x14ac:dyDescent="0.2">
      <c r="A139"/>
      <c r="B139"/>
      <c r="C139"/>
      <c r="D139"/>
    </row>
    <row r="140" spans="1:4" ht="12.75" x14ac:dyDescent="0.2">
      <c r="A140"/>
      <c r="B140"/>
      <c r="C140"/>
      <c r="D140"/>
    </row>
    <row r="141" spans="1:4" ht="12.75" x14ac:dyDescent="0.2">
      <c r="A141"/>
      <c r="B141"/>
      <c r="C141"/>
      <c r="D141"/>
    </row>
    <row r="142" spans="1:4" ht="12.75" x14ac:dyDescent="0.2">
      <c r="A142"/>
      <c r="B142"/>
      <c r="C142"/>
      <c r="D142"/>
    </row>
    <row r="143" spans="1:4" ht="12.75" x14ac:dyDescent="0.2">
      <c r="A143"/>
      <c r="B143"/>
      <c r="C143"/>
      <c r="D143"/>
    </row>
    <row r="144" spans="1:4" ht="12.75" x14ac:dyDescent="0.2">
      <c r="A144"/>
      <c r="B144"/>
      <c r="C144"/>
      <c r="D144"/>
    </row>
    <row r="145" spans="1:4" ht="12.75" x14ac:dyDescent="0.2">
      <c r="A145"/>
      <c r="B145"/>
      <c r="C145"/>
      <c r="D145"/>
    </row>
    <row r="146" spans="1:4" ht="12.75" x14ac:dyDescent="0.2">
      <c r="A146"/>
      <c r="B146"/>
      <c r="C146"/>
      <c r="D146"/>
    </row>
    <row r="147" spans="1:4" ht="12.75" x14ac:dyDescent="0.2">
      <c r="A147"/>
      <c r="B147"/>
      <c r="C147"/>
      <c r="D147"/>
    </row>
    <row r="148" spans="1:4" ht="12.75" x14ac:dyDescent="0.2">
      <c r="A148"/>
      <c r="B148"/>
      <c r="C148"/>
      <c r="D148"/>
    </row>
    <row r="149" spans="1:4" ht="12.75" x14ac:dyDescent="0.2">
      <c r="A149"/>
      <c r="B149"/>
      <c r="C149"/>
      <c r="D149"/>
    </row>
    <row r="150" spans="1:4" ht="12.75" x14ac:dyDescent="0.2">
      <c r="A150"/>
      <c r="B150"/>
      <c r="C150"/>
      <c r="D150"/>
    </row>
    <row r="151" spans="1:4" ht="12.75" x14ac:dyDescent="0.2">
      <c r="A151"/>
      <c r="B151"/>
      <c r="C151"/>
      <c r="D151"/>
    </row>
    <row r="152" spans="1:4" ht="12.75" x14ac:dyDescent="0.2">
      <c r="A152"/>
      <c r="B152"/>
      <c r="C152"/>
      <c r="D152"/>
    </row>
    <row r="153" spans="1:4" ht="12.75" x14ac:dyDescent="0.2">
      <c r="A153"/>
      <c r="B153"/>
      <c r="C153"/>
      <c r="D153"/>
    </row>
    <row r="154" spans="1:4" ht="12.75" x14ac:dyDescent="0.2">
      <c r="A154"/>
      <c r="B154"/>
      <c r="C154"/>
      <c r="D154"/>
    </row>
    <row r="155" spans="1:4" ht="12.75" x14ac:dyDescent="0.2">
      <c r="A155"/>
      <c r="B155"/>
      <c r="C155"/>
      <c r="D155"/>
    </row>
    <row r="156" spans="1:4" ht="12.75" x14ac:dyDescent="0.2">
      <c r="A156"/>
      <c r="B156"/>
      <c r="C156"/>
      <c r="D156"/>
    </row>
    <row r="157" spans="1:4" ht="12.75" x14ac:dyDescent="0.2">
      <c r="A157"/>
      <c r="B157"/>
      <c r="C157"/>
      <c r="D157"/>
    </row>
    <row r="158" spans="1:4" ht="12.75" x14ac:dyDescent="0.2">
      <c r="A158"/>
      <c r="B158"/>
      <c r="C158"/>
      <c r="D158"/>
    </row>
    <row r="159" spans="1:4" ht="12.75" x14ac:dyDescent="0.2">
      <c r="A159"/>
      <c r="B159"/>
      <c r="C159"/>
      <c r="D159"/>
    </row>
    <row r="160" spans="1:4" ht="12.75" x14ac:dyDescent="0.2">
      <c r="A160"/>
      <c r="B160"/>
      <c r="C160"/>
      <c r="D160"/>
    </row>
    <row r="161" spans="1:4" ht="12.75" x14ac:dyDescent="0.2">
      <c r="A161"/>
      <c r="B161"/>
      <c r="C161"/>
      <c r="D161"/>
    </row>
    <row r="162" spans="1:4" ht="12.75" x14ac:dyDescent="0.2">
      <c r="A162"/>
      <c r="B162"/>
      <c r="C162"/>
      <c r="D162"/>
    </row>
    <row r="163" spans="1:4" ht="12.75" x14ac:dyDescent="0.2">
      <c r="A163"/>
      <c r="B163"/>
      <c r="C163"/>
      <c r="D163"/>
    </row>
    <row r="164" spans="1:4" ht="12.75" x14ac:dyDescent="0.2">
      <c r="A164"/>
      <c r="B164"/>
      <c r="C164"/>
      <c r="D164"/>
    </row>
    <row r="165" spans="1:4" ht="12.75" x14ac:dyDescent="0.2">
      <c r="A165"/>
      <c r="B165"/>
      <c r="C165"/>
      <c r="D165"/>
    </row>
    <row r="166" spans="1:4" ht="12.75" x14ac:dyDescent="0.2">
      <c r="A166"/>
      <c r="B166"/>
      <c r="C166"/>
      <c r="D166"/>
    </row>
    <row r="167" spans="1:4" ht="12.75" x14ac:dyDescent="0.2">
      <c r="A167"/>
      <c r="B167"/>
      <c r="C167"/>
      <c r="D167"/>
    </row>
    <row r="168" spans="1:4" ht="12.75" x14ac:dyDescent="0.2">
      <c r="A168"/>
      <c r="B168"/>
      <c r="C168"/>
      <c r="D168"/>
    </row>
    <row r="169" spans="1:4" ht="12.75" x14ac:dyDescent="0.2">
      <c r="A169"/>
      <c r="B169"/>
      <c r="C169"/>
      <c r="D169"/>
    </row>
    <row r="170" spans="1:4" ht="12.75" x14ac:dyDescent="0.2">
      <c r="A170"/>
      <c r="B170"/>
      <c r="C170"/>
      <c r="D170"/>
    </row>
    <row r="171" spans="1:4" ht="12.75" x14ac:dyDescent="0.2">
      <c r="A171"/>
      <c r="B171"/>
      <c r="C171"/>
      <c r="D171"/>
    </row>
    <row r="172" spans="1:4" ht="12.75" x14ac:dyDescent="0.2">
      <c r="A172"/>
      <c r="B172"/>
      <c r="C172"/>
      <c r="D172"/>
    </row>
    <row r="173" spans="1:4" ht="12.75" x14ac:dyDescent="0.2">
      <c r="A173"/>
      <c r="B173"/>
      <c r="C173"/>
      <c r="D173"/>
    </row>
    <row r="174" spans="1:4" ht="12.75" x14ac:dyDescent="0.2">
      <c r="A174"/>
      <c r="B174"/>
      <c r="C174"/>
      <c r="D174"/>
    </row>
    <row r="175" spans="1:4" ht="12.75" x14ac:dyDescent="0.2">
      <c r="A175"/>
      <c r="B175"/>
      <c r="C175"/>
      <c r="D175"/>
    </row>
    <row r="176" spans="1:4" ht="12.75" x14ac:dyDescent="0.2">
      <c r="A176"/>
      <c r="B176"/>
      <c r="C176"/>
      <c r="D176"/>
    </row>
    <row r="177" spans="1:4" ht="12.75" x14ac:dyDescent="0.2">
      <c r="A177"/>
      <c r="B177"/>
      <c r="C177"/>
      <c r="D177"/>
    </row>
    <row r="178" spans="1:4" ht="12.75" x14ac:dyDescent="0.2">
      <c r="A178"/>
      <c r="B178"/>
      <c r="C178"/>
      <c r="D178"/>
    </row>
    <row r="179" spans="1:4" ht="12.75" x14ac:dyDescent="0.2">
      <c r="A179"/>
      <c r="B179"/>
      <c r="C179"/>
      <c r="D179"/>
    </row>
    <row r="180" spans="1:4" ht="12.75" x14ac:dyDescent="0.2">
      <c r="A180"/>
      <c r="B180"/>
      <c r="C180"/>
      <c r="D180"/>
    </row>
    <row r="181" spans="1:4" ht="12.75" x14ac:dyDescent="0.2">
      <c r="A181"/>
      <c r="B181"/>
      <c r="C181"/>
      <c r="D181"/>
    </row>
    <row r="182" spans="1:4" ht="12.75" x14ac:dyDescent="0.2">
      <c r="A182"/>
      <c r="B182"/>
      <c r="C182"/>
      <c r="D182"/>
    </row>
    <row r="183" spans="1:4" ht="12.75" x14ac:dyDescent="0.2">
      <c r="A183"/>
      <c r="B183"/>
      <c r="C183"/>
      <c r="D183"/>
    </row>
    <row r="184" spans="1:4" ht="12.75" x14ac:dyDescent="0.2">
      <c r="A184"/>
      <c r="B184"/>
      <c r="C184"/>
      <c r="D184"/>
    </row>
    <row r="185" spans="1:4" ht="12.75" x14ac:dyDescent="0.2">
      <c r="A185"/>
      <c r="B185"/>
      <c r="C185"/>
      <c r="D185"/>
    </row>
    <row r="186" spans="1:4" ht="12.75" x14ac:dyDescent="0.2">
      <c r="A186"/>
      <c r="B186"/>
      <c r="C186"/>
      <c r="D186"/>
    </row>
    <row r="187" spans="1:4" ht="12.75" x14ac:dyDescent="0.2">
      <c r="A187"/>
      <c r="B187"/>
      <c r="C187"/>
      <c r="D187"/>
    </row>
    <row r="188" spans="1:4" ht="12.75" x14ac:dyDescent="0.2">
      <c r="A188"/>
      <c r="B188"/>
      <c r="C188"/>
      <c r="D188"/>
    </row>
    <row r="189" spans="1:4" ht="12.75" x14ac:dyDescent="0.2">
      <c r="A189"/>
      <c r="B189"/>
      <c r="C189"/>
      <c r="D189"/>
    </row>
    <row r="190" spans="1:4" ht="12.75" x14ac:dyDescent="0.2">
      <c r="A190"/>
      <c r="B190"/>
      <c r="C190"/>
      <c r="D190"/>
    </row>
    <row r="191" spans="1:4" ht="12.75" x14ac:dyDescent="0.2">
      <c r="A191"/>
      <c r="B191"/>
      <c r="C191"/>
      <c r="D191"/>
    </row>
    <row r="192" spans="1:4" ht="12.75" x14ac:dyDescent="0.2">
      <c r="A192"/>
      <c r="B192"/>
      <c r="C192"/>
      <c r="D192"/>
    </row>
    <row r="193" spans="1:4" ht="12.75" x14ac:dyDescent="0.2">
      <c r="A193"/>
      <c r="B193"/>
      <c r="C193"/>
      <c r="D193"/>
    </row>
    <row r="194" spans="1:4" ht="12.75" x14ac:dyDescent="0.2">
      <c r="A194"/>
      <c r="B194"/>
      <c r="C194"/>
      <c r="D194"/>
    </row>
    <row r="195" spans="1:4" ht="12.75" x14ac:dyDescent="0.2">
      <c r="A195"/>
      <c r="B195"/>
      <c r="C195"/>
      <c r="D195"/>
    </row>
    <row r="196" spans="1:4" ht="12.75" x14ac:dyDescent="0.2">
      <c r="A196"/>
      <c r="B196"/>
      <c r="C196"/>
      <c r="D196"/>
    </row>
    <row r="197" spans="1:4" ht="12.75" x14ac:dyDescent="0.2">
      <c r="A197"/>
      <c r="B197"/>
      <c r="C197"/>
      <c r="D197"/>
    </row>
    <row r="198" spans="1:4" ht="12.75" x14ac:dyDescent="0.2">
      <c r="A198"/>
      <c r="B198"/>
      <c r="C198"/>
      <c r="D198"/>
    </row>
    <row r="199" spans="1:4" ht="12.75" x14ac:dyDescent="0.2">
      <c r="A199"/>
      <c r="B199"/>
      <c r="C199"/>
      <c r="D199"/>
    </row>
    <row r="200" spans="1:4" ht="12.75" x14ac:dyDescent="0.2">
      <c r="A200"/>
      <c r="B200"/>
      <c r="C200"/>
      <c r="D200"/>
    </row>
    <row r="201" spans="1:4" ht="12.75" x14ac:dyDescent="0.2">
      <c r="A201"/>
      <c r="B201"/>
      <c r="C201"/>
      <c r="D201"/>
    </row>
    <row r="202" spans="1:4" ht="12.75" x14ac:dyDescent="0.2">
      <c r="A202"/>
      <c r="B202"/>
      <c r="C202"/>
      <c r="D202"/>
    </row>
    <row r="203" spans="1:4" ht="12.75" x14ac:dyDescent="0.2">
      <c r="A203"/>
      <c r="B203"/>
      <c r="C203"/>
      <c r="D203"/>
    </row>
    <row r="204" spans="1:4" ht="12.75" x14ac:dyDescent="0.2">
      <c r="A204"/>
      <c r="B204"/>
      <c r="C204"/>
      <c r="D204"/>
    </row>
    <row r="205" spans="1:4" ht="12.75" x14ac:dyDescent="0.2">
      <c r="A205"/>
      <c r="B205"/>
      <c r="C205"/>
      <c r="D205"/>
    </row>
    <row r="206" spans="1:4" ht="12.75" x14ac:dyDescent="0.2">
      <c r="A206"/>
      <c r="B206"/>
      <c r="C206"/>
      <c r="D206"/>
    </row>
    <row r="207" spans="1:4" ht="12.75" x14ac:dyDescent="0.2">
      <c r="A207"/>
      <c r="B207"/>
      <c r="C207"/>
      <c r="D207"/>
    </row>
    <row r="208" spans="1:4" ht="12.75" x14ac:dyDescent="0.2">
      <c r="A208"/>
      <c r="B208"/>
      <c r="C208"/>
      <c r="D208"/>
    </row>
    <row r="209" spans="1:4" ht="12.75" x14ac:dyDescent="0.2">
      <c r="A209"/>
      <c r="B209"/>
      <c r="C209"/>
      <c r="D209"/>
    </row>
    <row r="210" spans="1:4" ht="12.75" x14ac:dyDescent="0.2">
      <c r="A210"/>
      <c r="B210"/>
      <c r="C210"/>
      <c r="D210"/>
    </row>
    <row r="211" spans="1:4" ht="12.75" x14ac:dyDescent="0.2">
      <c r="A211"/>
      <c r="B211"/>
      <c r="C211"/>
      <c r="D211"/>
    </row>
    <row r="212" spans="1:4" ht="12.75" x14ac:dyDescent="0.2">
      <c r="A212"/>
      <c r="B212"/>
      <c r="C212"/>
      <c r="D212"/>
    </row>
    <row r="213" spans="1:4" ht="12.75" x14ac:dyDescent="0.2">
      <c r="A213"/>
      <c r="B213"/>
      <c r="C213"/>
      <c r="D213"/>
    </row>
    <row r="214" spans="1:4" ht="12.75" x14ac:dyDescent="0.2">
      <c r="A214"/>
      <c r="B214"/>
      <c r="C214"/>
      <c r="D214"/>
    </row>
    <row r="215" spans="1:4" ht="12.75" x14ac:dyDescent="0.2">
      <c r="A215"/>
      <c r="B215"/>
      <c r="C215"/>
      <c r="D215"/>
    </row>
    <row r="216" spans="1:4" ht="12.75" x14ac:dyDescent="0.2">
      <c r="A216"/>
      <c r="B216"/>
      <c r="C216"/>
      <c r="D216"/>
    </row>
    <row r="217" spans="1:4" ht="12.75" x14ac:dyDescent="0.2">
      <c r="A217"/>
      <c r="B217"/>
      <c r="C217"/>
      <c r="D217"/>
    </row>
    <row r="218" spans="1:4" ht="12.75" x14ac:dyDescent="0.2">
      <c r="A218"/>
      <c r="B218"/>
      <c r="C218"/>
      <c r="D218"/>
    </row>
    <row r="219" spans="1:4" ht="12.75" x14ac:dyDescent="0.2">
      <c r="A219"/>
      <c r="B219"/>
      <c r="C219"/>
      <c r="D219"/>
    </row>
    <row r="220" spans="1:4" ht="12.75" x14ac:dyDescent="0.2">
      <c r="A220"/>
      <c r="B220"/>
      <c r="C220"/>
      <c r="D220"/>
    </row>
    <row r="221" spans="1:4" ht="12.75" x14ac:dyDescent="0.2">
      <c r="A221"/>
      <c r="B221"/>
      <c r="C221"/>
      <c r="D221"/>
    </row>
    <row r="222" spans="1:4" ht="12.75" x14ac:dyDescent="0.2">
      <c r="A222"/>
      <c r="B222"/>
      <c r="C222"/>
      <c r="D222"/>
    </row>
    <row r="223" spans="1:4" ht="12.75" x14ac:dyDescent="0.2">
      <c r="A223"/>
      <c r="B223"/>
      <c r="C223"/>
      <c r="D223"/>
    </row>
    <row r="224" spans="1:4" ht="12.75" x14ac:dyDescent="0.2">
      <c r="A224"/>
      <c r="B224"/>
      <c r="C224"/>
      <c r="D224"/>
    </row>
    <row r="225" spans="1:4" ht="12.75" x14ac:dyDescent="0.2">
      <c r="A225"/>
      <c r="B225"/>
      <c r="C225"/>
      <c r="D225"/>
    </row>
    <row r="226" spans="1:4" ht="12.75" x14ac:dyDescent="0.2">
      <c r="A226"/>
      <c r="B226"/>
      <c r="C226"/>
      <c r="D226"/>
    </row>
    <row r="227" spans="1:4" ht="12.75" x14ac:dyDescent="0.2">
      <c r="A227"/>
      <c r="B227"/>
      <c r="C227"/>
      <c r="D227"/>
    </row>
    <row r="228" spans="1:4" ht="12.75" x14ac:dyDescent="0.2">
      <c r="A228"/>
      <c r="B228"/>
      <c r="C228"/>
      <c r="D228"/>
    </row>
    <row r="229" spans="1:4" ht="12.75" x14ac:dyDescent="0.2">
      <c r="A229"/>
      <c r="B229"/>
      <c r="C229"/>
      <c r="D229"/>
    </row>
    <row r="230" spans="1:4" ht="12.75" x14ac:dyDescent="0.2">
      <c r="A230"/>
      <c r="B230"/>
      <c r="C230"/>
      <c r="D230"/>
    </row>
    <row r="231" spans="1:4" ht="12.75" x14ac:dyDescent="0.2">
      <c r="A231"/>
      <c r="B231"/>
      <c r="C231"/>
      <c r="D231"/>
    </row>
    <row r="232" spans="1:4" ht="12.75" x14ac:dyDescent="0.2">
      <c r="A232"/>
      <c r="B232"/>
      <c r="C232"/>
      <c r="D232"/>
    </row>
    <row r="233" spans="1:4" ht="12.75" x14ac:dyDescent="0.2">
      <c r="A233"/>
      <c r="B233"/>
      <c r="C233"/>
      <c r="D233"/>
    </row>
    <row r="234" spans="1:4" ht="12.75" x14ac:dyDescent="0.2">
      <c r="A234"/>
      <c r="B234"/>
      <c r="C234"/>
      <c r="D234"/>
    </row>
    <row r="235" spans="1:4" ht="12.75" x14ac:dyDescent="0.2">
      <c r="A235"/>
      <c r="B235"/>
      <c r="C235"/>
      <c r="D235"/>
    </row>
    <row r="236" spans="1:4" ht="12.75" x14ac:dyDescent="0.2">
      <c r="A236"/>
      <c r="B236"/>
      <c r="C236"/>
      <c r="D236"/>
    </row>
    <row r="237" spans="1:4" ht="12.75" x14ac:dyDescent="0.2">
      <c r="A237"/>
      <c r="B237"/>
      <c r="C237"/>
      <c r="D237"/>
    </row>
    <row r="238" spans="1:4" ht="12.75" x14ac:dyDescent="0.2">
      <c r="A238"/>
      <c r="B238"/>
      <c r="C238"/>
      <c r="D238"/>
    </row>
    <row r="239" spans="1:4" ht="12.75" x14ac:dyDescent="0.2">
      <c r="A239"/>
      <c r="B239"/>
      <c r="C239"/>
      <c r="D239"/>
    </row>
    <row r="240" spans="1:4" ht="12.75" x14ac:dyDescent="0.2">
      <c r="A240"/>
      <c r="B240"/>
      <c r="C240"/>
      <c r="D240"/>
    </row>
    <row r="241" spans="1:4" ht="12.75" x14ac:dyDescent="0.2">
      <c r="A241"/>
      <c r="B241"/>
      <c r="C241"/>
      <c r="D241"/>
    </row>
    <row r="242" spans="1:4" ht="12.75" x14ac:dyDescent="0.2">
      <c r="A242"/>
      <c r="B242"/>
      <c r="C242"/>
      <c r="D242"/>
    </row>
    <row r="243" spans="1:4" ht="12.75" x14ac:dyDescent="0.2">
      <c r="A243"/>
      <c r="B243"/>
      <c r="C243"/>
      <c r="D243"/>
    </row>
    <row r="244" spans="1:4" ht="12.75" x14ac:dyDescent="0.2">
      <c r="A244"/>
      <c r="B244"/>
      <c r="C244"/>
      <c r="D244"/>
    </row>
    <row r="245" spans="1:4" ht="12.75" x14ac:dyDescent="0.2">
      <c r="A245"/>
      <c r="B245"/>
      <c r="C245"/>
      <c r="D245"/>
    </row>
    <row r="246" spans="1:4" ht="12.75" x14ac:dyDescent="0.2">
      <c r="A246"/>
      <c r="B246"/>
      <c r="C246"/>
      <c r="D246"/>
    </row>
    <row r="247" spans="1:4" ht="12.75" x14ac:dyDescent="0.2">
      <c r="A247"/>
      <c r="B247"/>
      <c r="C247"/>
      <c r="D247"/>
    </row>
    <row r="248" spans="1:4" ht="12.75" x14ac:dyDescent="0.2">
      <c r="A248"/>
      <c r="B248"/>
      <c r="C248"/>
      <c r="D248"/>
    </row>
    <row r="249" spans="1:4" ht="12.75" x14ac:dyDescent="0.2">
      <c r="A249"/>
      <c r="B249"/>
      <c r="C249"/>
      <c r="D249"/>
    </row>
    <row r="250" spans="1:4" ht="12.75" x14ac:dyDescent="0.2">
      <c r="A250"/>
      <c r="B250"/>
      <c r="C250"/>
      <c r="D250"/>
    </row>
    <row r="251" spans="1:4" ht="12.75" x14ac:dyDescent="0.2">
      <c r="A251"/>
      <c r="B251"/>
      <c r="C251"/>
      <c r="D251"/>
    </row>
    <row r="252" spans="1:4" ht="12.75" x14ac:dyDescent="0.2">
      <c r="A252"/>
      <c r="B252"/>
      <c r="C252"/>
      <c r="D252"/>
    </row>
    <row r="253" spans="1:4" ht="12.75" x14ac:dyDescent="0.2">
      <c r="A253"/>
      <c r="B253"/>
      <c r="C253"/>
      <c r="D253"/>
    </row>
    <row r="254" spans="1:4" ht="12.75" x14ac:dyDescent="0.2">
      <c r="A254"/>
      <c r="B254"/>
      <c r="C254"/>
      <c r="D254"/>
    </row>
    <row r="255" spans="1:4" ht="12.75" x14ac:dyDescent="0.2">
      <c r="A255"/>
      <c r="B255"/>
      <c r="C255"/>
      <c r="D255"/>
    </row>
    <row r="256" spans="1:4" ht="12.75" x14ac:dyDescent="0.2">
      <c r="A256"/>
      <c r="B256"/>
      <c r="C256"/>
      <c r="D256"/>
    </row>
    <row r="257" spans="1:4" ht="12.75" x14ac:dyDescent="0.2">
      <c r="A257"/>
      <c r="B257"/>
      <c r="C257"/>
      <c r="D257"/>
    </row>
    <row r="258" spans="1:4" ht="12.75" x14ac:dyDescent="0.2">
      <c r="A258"/>
      <c r="B258"/>
      <c r="C258"/>
      <c r="D258"/>
    </row>
    <row r="259" spans="1:4" ht="12.75" x14ac:dyDescent="0.2">
      <c r="A259"/>
      <c r="B259"/>
      <c r="C259"/>
      <c r="D259"/>
    </row>
    <row r="260" spans="1:4" ht="12.75" x14ac:dyDescent="0.2">
      <c r="A260"/>
      <c r="B260"/>
      <c r="C260"/>
      <c r="D260"/>
    </row>
    <row r="261" spans="1:4" ht="12.75" x14ac:dyDescent="0.2">
      <c r="A261"/>
      <c r="B261"/>
      <c r="C261"/>
      <c r="D261"/>
    </row>
    <row r="262" spans="1:4" ht="12.75" x14ac:dyDescent="0.2">
      <c r="A262"/>
      <c r="B262"/>
      <c r="C262"/>
      <c r="D262"/>
    </row>
    <row r="263" spans="1:4" ht="12.75" x14ac:dyDescent="0.2">
      <c r="A263"/>
      <c r="B263"/>
      <c r="C263"/>
      <c r="D263"/>
    </row>
    <row r="264" spans="1:4" ht="12.75" x14ac:dyDescent="0.2">
      <c r="A264"/>
      <c r="B264"/>
      <c r="C264"/>
      <c r="D264"/>
    </row>
    <row r="265" spans="1:4" ht="12.75" x14ac:dyDescent="0.2">
      <c r="A265"/>
      <c r="B265"/>
      <c r="C265"/>
      <c r="D265"/>
    </row>
    <row r="266" spans="1:4" ht="12.75" x14ac:dyDescent="0.2">
      <c r="A266"/>
      <c r="B266"/>
      <c r="C266"/>
      <c r="D266"/>
    </row>
    <row r="267" spans="1:4" ht="12.75" x14ac:dyDescent="0.2">
      <c r="A267"/>
      <c r="B267"/>
      <c r="C267"/>
      <c r="D267"/>
    </row>
    <row r="268" spans="1:4" ht="12.75" x14ac:dyDescent="0.2">
      <c r="A268"/>
      <c r="B268"/>
      <c r="C268"/>
      <c r="D268"/>
    </row>
    <row r="269" spans="1:4" ht="12.75" x14ac:dyDescent="0.2">
      <c r="A269"/>
      <c r="B269"/>
      <c r="C269"/>
      <c r="D269"/>
    </row>
    <row r="270" spans="1:4" ht="12.75" x14ac:dyDescent="0.2">
      <c r="A270"/>
      <c r="B270"/>
      <c r="C270"/>
      <c r="D270"/>
    </row>
    <row r="271" spans="1:4" ht="12.75" x14ac:dyDescent="0.2">
      <c r="A271"/>
      <c r="B271"/>
      <c r="C271"/>
      <c r="D271"/>
    </row>
    <row r="272" spans="1:4" ht="12.75" x14ac:dyDescent="0.2">
      <c r="A272"/>
      <c r="B272"/>
      <c r="C272"/>
      <c r="D272"/>
    </row>
    <row r="273" spans="1:4" ht="12.75" x14ac:dyDescent="0.2">
      <c r="A273"/>
      <c r="B273"/>
      <c r="C273"/>
      <c r="D273"/>
    </row>
    <row r="274" spans="1:4" ht="12.75" x14ac:dyDescent="0.2">
      <c r="A274"/>
      <c r="B274"/>
      <c r="C274"/>
      <c r="D274"/>
    </row>
    <row r="275" spans="1:4" ht="12.75" x14ac:dyDescent="0.2">
      <c r="A275"/>
      <c r="B275"/>
      <c r="C275"/>
      <c r="D275"/>
    </row>
    <row r="276" spans="1:4" ht="12.75" x14ac:dyDescent="0.2">
      <c r="A276"/>
      <c r="B276"/>
      <c r="C276"/>
      <c r="D276"/>
    </row>
    <row r="277" spans="1:4" ht="12.75" x14ac:dyDescent="0.2">
      <c r="A277"/>
      <c r="B277"/>
      <c r="C277"/>
      <c r="D277"/>
    </row>
    <row r="278" spans="1:4" ht="12.75" x14ac:dyDescent="0.2">
      <c r="A278"/>
      <c r="B278"/>
      <c r="C278"/>
      <c r="D278"/>
    </row>
    <row r="279" spans="1:4" ht="12.75" x14ac:dyDescent="0.2">
      <c r="A279"/>
      <c r="B279"/>
      <c r="C279"/>
      <c r="D279"/>
    </row>
    <row r="280" spans="1:4" ht="12.75" x14ac:dyDescent="0.2">
      <c r="A280"/>
      <c r="B280"/>
      <c r="C280"/>
      <c r="D280"/>
    </row>
    <row r="281" spans="1:4" ht="12.75" x14ac:dyDescent="0.2">
      <c r="A281"/>
      <c r="B281"/>
      <c r="C281"/>
      <c r="D281"/>
    </row>
    <row r="282" spans="1:4" ht="12.75" x14ac:dyDescent="0.2">
      <c r="A282"/>
      <c r="B282"/>
      <c r="C282"/>
      <c r="D282"/>
    </row>
    <row r="283" spans="1:4" ht="12.75" x14ac:dyDescent="0.2">
      <c r="A283"/>
      <c r="B283"/>
      <c r="C283"/>
      <c r="D283"/>
    </row>
    <row r="284" spans="1:4" ht="12.75" x14ac:dyDescent="0.2">
      <c r="A284"/>
      <c r="B284"/>
      <c r="C284"/>
      <c r="D284"/>
    </row>
    <row r="285" spans="1:4" ht="12.75" x14ac:dyDescent="0.2">
      <c r="A285"/>
      <c r="B285"/>
      <c r="C285"/>
      <c r="D285"/>
    </row>
    <row r="286" spans="1:4" ht="12.75" x14ac:dyDescent="0.2">
      <c r="A286"/>
      <c r="B286"/>
      <c r="C286"/>
      <c r="D286"/>
    </row>
    <row r="287" spans="1:4" ht="12.75" x14ac:dyDescent="0.2">
      <c r="A287"/>
      <c r="B287"/>
      <c r="C287"/>
      <c r="D287"/>
    </row>
    <row r="288" spans="1:4" ht="12.75" x14ac:dyDescent="0.2">
      <c r="A288"/>
      <c r="B288"/>
      <c r="C288"/>
      <c r="D288"/>
    </row>
    <row r="289" spans="1:4" ht="12.75" x14ac:dyDescent="0.2">
      <c r="A289"/>
      <c r="B289"/>
      <c r="C289"/>
      <c r="D289"/>
    </row>
    <row r="290" spans="1:4" ht="12.75" x14ac:dyDescent="0.2">
      <c r="A290"/>
      <c r="B290"/>
      <c r="C290"/>
      <c r="D290"/>
    </row>
    <row r="291" spans="1:4" ht="12.75" x14ac:dyDescent="0.2">
      <c r="A291"/>
      <c r="B291"/>
      <c r="C291"/>
      <c r="D291"/>
    </row>
    <row r="292" spans="1:4" ht="12.75" x14ac:dyDescent="0.2">
      <c r="A292"/>
      <c r="B292"/>
      <c r="C292"/>
      <c r="D292"/>
    </row>
    <row r="293" spans="1:4" ht="12.75" x14ac:dyDescent="0.2">
      <c r="A293"/>
      <c r="B293"/>
      <c r="C293"/>
      <c r="D293"/>
    </row>
    <row r="294" spans="1:4" ht="12.75" x14ac:dyDescent="0.2">
      <c r="A294"/>
      <c r="B294"/>
      <c r="C294"/>
      <c r="D294"/>
    </row>
    <row r="295" spans="1:4" ht="12.75" x14ac:dyDescent="0.2">
      <c r="A295"/>
      <c r="B295"/>
      <c r="C295"/>
      <c r="D295"/>
    </row>
    <row r="296" spans="1:4" ht="12.75" x14ac:dyDescent="0.2">
      <c r="A296"/>
      <c r="B296"/>
      <c r="C296"/>
      <c r="D296"/>
    </row>
    <row r="297" spans="1:4" ht="12.75" x14ac:dyDescent="0.2">
      <c r="A297"/>
      <c r="B297"/>
      <c r="C297"/>
      <c r="D297"/>
    </row>
    <row r="298" spans="1:4" ht="12.75" x14ac:dyDescent="0.2">
      <c r="A298"/>
      <c r="B298"/>
      <c r="C298"/>
      <c r="D298"/>
    </row>
    <row r="299" spans="1:4" ht="12.75" x14ac:dyDescent="0.2">
      <c r="A299"/>
      <c r="B299"/>
      <c r="C299"/>
      <c r="D299"/>
    </row>
    <row r="300" spans="1:4" ht="12.75" x14ac:dyDescent="0.2">
      <c r="A300"/>
      <c r="B300"/>
      <c r="C300"/>
      <c r="D300"/>
    </row>
    <row r="301" spans="1:4" ht="12.75" x14ac:dyDescent="0.2">
      <c r="A301"/>
      <c r="B301"/>
      <c r="C301"/>
      <c r="D301"/>
    </row>
    <row r="302" spans="1:4" ht="12.75" x14ac:dyDescent="0.2">
      <c r="A302"/>
      <c r="B302"/>
      <c r="C302"/>
      <c r="D302"/>
    </row>
    <row r="303" spans="1:4" ht="12.75" x14ac:dyDescent="0.2">
      <c r="A303"/>
      <c r="B303"/>
      <c r="C303"/>
      <c r="D303"/>
    </row>
    <row r="304" spans="1:4" ht="12.75" x14ac:dyDescent="0.2">
      <c r="A304"/>
      <c r="B304"/>
      <c r="C304"/>
      <c r="D304"/>
    </row>
    <row r="305" spans="1:4" ht="12.75" x14ac:dyDescent="0.2">
      <c r="A305"/>
      <c r="B305"/>
      <c r="C305"/>
      <c r="D305"/>
    </row>
    <row r="306" spans="1:4" ht="12.75" x14ac:dyDescent="0.2">
      <c r="A306"/>
      <c r="B306"/>
      <c r="C306"/>
      <c r="D306"/>
    </row>
    <row r="307" spans="1:4" ht="12.75" x14ac:dyDescent="0.2">
      <c r="A307"/>
      <c r="B307"/>
      <c r="C307"/>
      <c r="D307"/>
    </row>
    <row r="308" spans="1:4" ht="12.75" x14ac:dyDescent="0.2">
      <c r="A308"/>
      <c r="B308"/>
      <c r="C308"/>
      <c r="D308"/>
    </row>
    <row r="309" spans="1:4" ht="12.75" x14ac:dyDescent="0.2">
      <c r="A309"/>
      <c r="B309"/>
      <c r="C309"/>
      <c r="D309"/>
    </row>
    <row r="310" spans="1:4" ht="12.75" x14ac:dyDescent="0.2">
      <c r="A310"/>
      <c r="B310"/>
      <c r="C310"/>
      <c r="D310"/>
    </row>
    <row r="311" spans="1:4" ht="12.75" x14ac:dyDescent="0.2">
      <c r="A311"/>
      <c r="B311"/>
      <c r="C311"/>
      <c r="D311"/>
    </row>
    <row r="312" spans="1:4" ht="12.75" x14ac:dyDescent="0.2">
      <c r="A312"/>
      <c r="B312"/>
      <c r="C312"/>
      <c r="D312"/>
    </row>
    <row r="313" spans="1:4" ht="12.75" x14ac:dyDescent="0.2">
      <c r="A313"/>
      <c r="B313"/>
      <c r="C313"/>
      <c r="D313"/>
    </row>
    <row r="314" spans="1:4" ht="12.75" x14ac:dyDescent="0.2">
      <c r="A314"/>
      <c r="B314"/>
      <c r="C314"/>
      <c r="D314"/>
    </row>
    <row r="315" spans="1:4" ht="12.75" x14ac:dyDescent="0.2">
      <c r="A315"/>
      <c r="B315"/>
      <c r="C315"/>
      <c r="D315"/>
    </row>
    <row r="316" spans="1:4" ht="12.75" x14ac:dyDescent="0.2">
      <c r="A316"/>
      <c r="B316"/>
      <c r="C316"/>
      <c r="D316"/>
    </row>
    <row r="317" spans="1:4" ht="12.75" x14ac:dyDescent="0.2">
      <c r="A317"/>
      <c r="B317"/>
      <c r="C317"/>
      <c r="D317"/>
    </row>
    <row r="318" spans="1:4" ht="12.75" x14ac:dyDescent="0.2">
      <c r="A318"/>
      <c r="B318"/>
      <c r="C318"/>
      <c r="D318"/>
    </row>
    <row r="319" spans="1:4" ht="12.75" x14ac:dyDescent="0.2">
      <c r="A319"/>
      <c r="B319"/>
      <c r="C319"/>
      <c r="D319"/>
    </row>
    <row r="320" spans="1:4" ht="12.75" x14ac:dyDescent="0.2">
      <c r="A320"/>
      <c r="B320"/>
      <c r="C320"/>
      <c r="D320"/>
    </row>
    <row r="321" spans="1:4" ht="12.75" x14ac:dyDescent="0.2">
      <c r="A321"/>
      <c r="B321"/>
      <c r="C321"/>
      <c r="D321"/>
    </row>
    <row r="322" spans="1:4" ht="12.75" x14ac:dyDescent="0.2">
      <c r="A322"/>
      <c r="B322"/>
      <c r="C322"/>
      <c r="D322"/>
    </row>
    <row r="323" spans="1:4" ht="12.75" x14ac:dyDescent="0.2">
      <c r="A323"/>
      <c r="B323"/>
      <c r="C323"/>
      <c r="D323"/>
    </row>
    <row r="324" spans="1:4" ht="12.75" x14ac:dyDescent="0.2">
      <c r="A324"/>
      <c r="B324"/>
      <c r="C324"/>
      <c r="D324"/>
    </row>
    <row r="325" spans="1:4" ht="12.75" x14ac:dyDescent="0.2">
      <c r="A325"/>
      <c r="B325"/>
      <c r="C325"/>
      <c r="D325"/>
    </row>
    <row r="326" spans="1:4" ht="12.75" x14ac:dyDescent="0.2">
      <c r="A326"/>
      <c r="B326"/>
      <c r="C326"/>
      <c r="D326"/>
    </row>
    <row r="327" spans="1:4" ht="12.75" x14ac:dyDescent="0.2">
      <c r="A327"/>
      <c r="B327"/>
      <c r="C327"/>
      <c r="D327"/>
    </row>
    <row r="328" spans="1:4" ht="12.75" x14ac:dyDescent="0.2">
      <c r="A328"/>
      <c r="B328"/>
      <c r="C328"/>
      <c r="D328"/>
    </row>
    <row r="329" spans="1:4" ht="12.75" x14ac:dyDescent="0.2">
      <c r="A329"/>
      <c r="B329"/>
      <c r="C329"/>
      <c r="D329"/>
    </row>
    <row r="330" spans="1:4" ht="12.75" x14ac:dyDescent="0.2">
      <c r="A330"/>
      <c r="B330"/>
      <c r="C330"/>
      <c r="D330"/>
    </row>
    <row r="331" spans="1:4" ht="12.75" x14ac:dyDescent="0.2">
      <c r="A331"/>
      <c r="B331"/>
      <c r="C331"/>
      <c r="D331"/>
    </row>
    <row r="332" spans="1:4" ht="12.75" x14ac:dyDescent="0.2">
      <c r="A332"/>
      <c r="B332"/>
      <c r="C332"/>
      <c r="D332"/>
    </row>
    <row r="333" spans="1:4" ht="12.75" x14ac:dyDescent="0.2">
      <c r="A333"/>
      <c r="B333"/>
      <c r="C333"/>
      <c r="D333"/>
    </row>
    <row r="334" spans="1:4" ht="12.75" x14ac:dyDescent="0.2">
      <c r="A334"/>
      <c r="B334"/>
      <c r="C334"/>
      <c r="D334"/>
    </row>
    <row r="335" spans="1:4" ht="12.75" x14ac:dyDescent="0.2">
      <c r="A335"/>
      <c r="B335"/>
      <c r="C335"/>
      <c r="D335"/>
    </row>
    <row r="336" spans="1:4" ht="12.75" x14ac:dyDescent="0.2">
      <c r="A336"/>
      <c r="B336"/>
      <c r="C336"/>
      <c r="D336"/>
    </row>
    <row r="337" spans="1:4" ht="12.75" x14ac:dyDescent="0.2">
      <c r="A337"/>
      <c r="B337"/>
      <c r="C337"/>
      <c r="D337"/>
    </row>
    <row r="338" spans="1:4" ht="12.75" x14ac:dyDescent="0.2">
      <c r="A338"/>
      <c r="B338"/>
      <c r="C338"/>
      <c r="D338"/>
    </row>
    <row r="339" spans="1:4" ht="12.75" x14ac:dyDescent="0.2">
      <c r="A339"/>
      <c r="B339"/>
      <c r="C339"/>
      <c r="D339"/>
    </row>
    <row r="340" spans="1:4" ht="12.75" x14ac:dyDescent="0.2">
      <c r="A340"/>
      <c r="B340"/>
      <c r="C340"/>
      <c r="D340"/>
    </row>
    <row r="341" spans="1:4" ht="12.75" x14ac:dyDescent="0.2">
      <c r="A341"/>
      <c r="B341"/>
      <c r="C341"/>
      <c r="D341"/>
    </row>
    <row r="342" spans="1:4" ht="12.75" x14ac:dyDescent="0.2">
      <c r="A342"/>
      <c r="B342"/>
      <c r="C342"/>
      <c r="D342"/>
    </row>
    <row r="343" spans="1:4" ht="12.75" x14ac:dyDescent="0.2">
      <c r="A343"/>
      <c r="B343"/>
      <c r="C343"/>
      <c r="D343"/>
    </row>
    <row r="344" spans="1:4" ht="12.75" x14ac:dyDescent="0.2">
      <c r="A344"/>
      <c r="B344"/>
      <c r="C344"/>
      <c r="D344"/>
    </row>
    <row r="345" spans="1:4" ht="12.75" x14ac:dyDescent="0.2">
      <c r="A345"/>
      <c r="B345"/>
      <c r="C345"/>
      <c r="D345"/>
    </row>
    <row r="346" spans="1:4" ht="12.75" x14ac:dyDescent="0.2">
      <c r="A346"/>
      <c r="B346"/>
      <c r="C346"/>
      <c r="D346"/>
    </row>
    <row r="347" spans="1:4" ht="12.75" x14ac:dyDescent="0.2">
      <c r="A347"/>
      <c r="B347"/>
      <c r="C347"/>
      <c r="D347"/>
    </row>
    <row r="348" spans="1:4" ht="12.75" x14ac:dyDescent="0.2">
      <c r="A348"/>
      <c r="B348"/>
      <c r="C348"/>
      <c r="D348"/>
    </row>
    <row r="349" spans="1:4" ht="12.75" x14ac:dyDescent="0.2">
      <c r="A349"/>
      <c r="B349"/>
      <c r="C349"/>
      <c r="D349"/>
    </row>
    <row r="350" spans="1:4" ht="12.75" x14ac:dyDescent="0.2">
      <c r="A350"/>
      <c r="B350"/>
      <c r="C350"/>
      <c r="D350"/>
    </row>
    <row r="351" spans="1:4" ht="12.75" x14ac:dyDescent="0.2">
      <c r="A351"/>
      <c r="B351"/>
      <c r="C351"/>
      <c r="D351"/>
    </row>
    <row r="352" spans="1:4" ht="12.75" x14ac:dyDescent="0.2">
      <c r="A352"/>
      <c r="B352"/>
      <c r="C352"/>
      <c r="D352"/>
    </row>
    <row r="353" spans="1:4" ht="12.75" x14ac:dyDescent="0.2">
      <c r="A353"/>
      <c r="B353"/>
      <c r="C353"/>
      <c r="D353"/>
    </row>
    <row r="354" spans="1:4" ht="12.75" x14ac:dyDescent="0.2">
      <c r="A354"/>
      <c r="B354"/>
      <c r="C354"/>
      <c r="D354"/>
    </row>
    <row r="355" spans="1:4" ht="12.75" x14ac:dyDescent="0.2">
      <c r="A355"/>
      <c r="B355"/>
      <c r="C355"/>
      <c r="D355"/>
    </row>
    <row r="356" spans="1:4" ht="12.75" x14ac:dyDescent="0.2">
      <c r="A356"/>
      <c r="B356"/>
      <c r="C356"/>
      <c r="D356"/>
    </row>
    <row r="357" spans="1:4" ht="12.75" x14ac:dyDescent="0.2">
      <c r="A357"/>
      <c r="B357"/>
      <c r="C357"/>
      <c r="D357"/>
    </row>
    <row r="358" spans="1:4" ht="12.75" x14ac:dyDescent="0.2">
      <c r="A358"/>
      <c r="B358"/>
      <c r="C358"/>
      <c r="D358"/>
    </row>
    <row r="359" spans="1:4" ht="12.75" x14ac:dyDescent="0.2">
      <c r="A359"/>
      <c r="B359"/>
      <c r="C359"/>
      <c r="D359"/>
    </row>
    <row r="360" spans="1:4" ht="12.75" x14ac:dyDescent="0.2">
      <c r="A360"/>
      <c r="B360"/>
      <c r="C360"/>
      <c r="D360"/>
    </row>
    <row r="361" spans="1:4" ht="12.75" x14ac:dyDescent="0.2">
      <c r="A361"/>
      <c r="B361"/>
      <c r="C361"/>
      <c r="D361"/>
    </row>
    <row r="362" spans="1:4" ht="12.75" x14ac:dyDescent="0.2">
      <c r="A362"/>
      <c r="B362"/>
      <c r="C362"/>
      <c r="D362"/>
    </row>
    <row r="363" spans="1:4" ht="12.75" x14ac:dyDescent="0.2">
      <c r="A363"/>
      <c r="B363"/>
      <c r="C363"/>
      <c r="D363"/>
    </row>
    <row r="364" spans="1:4" ht="12.75" x14ac:dyDescent="0.2">
      <c r="A364"/>
      <c r="B364"/>
      <c r="C364"/>
      <c r="D364"/>
    </row>
    <row r="365" spans="1:4" ht="12.75" x14ac:dyDescent="0.2">
      <c r="A365"/>
      <c r="B365"/>
      <c r="C365"/>
      <c r="D365"/>
    </row>
    <row r="366" spans="1:4" ht="12.75" x14ac:dyDescent="0.2">
      <c r="A366"/>
      <c r="B366"/>
      <c r="C366"/>
      <c r="D366"/>
    </row>
    <row r="367" spans="1:4" ht="12.75" x14ac:dyDescent="0.2">
      <c r="A367"/>
      <c r="B367"/>
      <c r="C367"/>
      <c r="D367"/>
    </row>
    <row r="368" spans="1:4" ht="12.75" x14ac:dyDescent="0.2">
      <c r="A368"/>
      <c r="B368"/>
      <c r="C368"/>
      <c r="D368"/>
    </row>
    <row r="369" spans="1:4" ht="12.75" x14ac:dyDescent="0.2">
      <c r="A369"/>
      <c r="B369"/>
      <c r="C369"/>
      <c r="D369"/>
    </row>
    <row r="370" spans="1:4" ht="12.75" x14ac:dyDescent="0.2">
      <c r="A370"/>
      <c r="B370"/>
      <c r="C370"/>
      <c r="D370"/>
    </row>
    <row r="371" spans="1:4" ht="12.75" x14ac:dyDescent="0.2">
      <c r="A371"/>
      <c r="B371"/>
      <c r="C371"/>
      <c r="D371"/>
    </row>
    <row r="372" spans="1:4" ht="12.75" x14ac:dyDescent="0.2">
      <c r="A372"/>
      <c r="B372"/>
      <c r="C372"/>
      <c r="D372"/>
    </row>
    <row r="373" spans="1:4" ht="12.75" x14ac:dyDescent="0.2">
      <c r="A373"/>
      <c r="B373"/>
      <c r="C373"/>
      <c r="D373"/>
    </row>
    <row r="374" spans="1:4" ht="12.75" x14ac:dyDescent="0.2">
      <c r="A374"/>
      <c r="B374"/>
      <c r="C374"/>
      <c r="D374"/>
    </row>
    <row r="375" spans="1:4" ht="12.75" x14ac:dyDescent="0.2">
      <c r="A375"/>
      <c r="B375"/>
      <c r="C375"/>
      <c r="D375"/>
    </row>
    <row r="376" spans="1:4" ht="12.75" x14ac:dyDescent="0.2">
      <c r="A376"/>
      <c r="B376"/>
      <c r="C376"/>
      <c r="D376"/>
    </row>
    <row r="377" spans="1:4" ht="12.75" x14ac:dyDescent="0.2">
      <c r="A377"/>
      <c r="B377"/>
      <c r="C377"/>
      <c r="D377"/>
    </row>
    <row r="378" spans="1:4" ht="12.75" x14ac:dyDescent="0.2">
      <c r="A378"/>
      <c r="B378"/>
      <c r="C378"/>
      <c r="D378"/>
    </row>
    <row r="379" spans="1:4" ht="12.75" x14ac:dyDescent="0.2">
      <c r="A379"/>
      <c r="B379"/>
      <c r="C379"/>
      <c r="D379"/>
    </row>
    <row r="380" spans="1:4" ht="12.75" x14ac:dyDescent="0.2">
      <c r="A380"/>
      <c r="B380"/>
      <c r="C380"/>
      <c r="D380"/>
    </row>
    <row r="381" spans="1:4" ht="12.75" x14ac:dyDescent="0.2">
      <c r="A381"/>
      <c r="B381"/>
      <c r="C381"/>
      <c r="D381"/>
    </row>
    <row r="382" spans="1:4" ht="12.75" x14ac:dyDescent="0.2">
      <c r="A382"/>
      <c r="B382"/>
      <c r="C382"/>
      <c r="D382"/>
    </row>
    <row r="383" spans="1:4" ht="12.75" x14ac:dyDescent="0.2">
      <c r="A383"/>
      <c r="B383"/>
      <c r="C383"/>
      <c r="D383"/>
    </row>
    <row r="384" spans="1:4" ht="12.75" x14ac:dyDescent="0.2">
      <c r="A384"/>
      <c r="B384"/>
      <c r="C384"/>
      <c r="D384"/>
    </row>
    <row r="385" spans="1:4" ht="12.75" x14ac:dyDescent="0.2">
      <c r="A385"/>
      <c r="B385"/>
      <c r="C385"/>
      <c r="D385"/>
    </row>
    <row r="386" spans="1:4" ht="12.75" x14ac:dyDescent="0.2">
      <c r="A386"/>
      <c r="B386"/>
      <c r="C386"/>
      <c r="D386"/>
    </row>
    <row r="387" spans="1:4" ht="12.75" x14ac:dyDescent="0.2">
      <c r="A387"/>
      <c r="B387"/>
      <c r="C387"/>
      <c r="D387"/>
    </row>
    <row r="388" spans="1:4" ht="12.75" x14ac:dyDescent="0.2">
      <c r="A388"/>
      <c r="B388"/>
      <c r="C388"/>
      <c r="D388"/>
    </row>
    <row r="389" spans="1:4" ht="12.75" x14ac:dyDescent="0.2">
      <c r="A389"/>
      <c r="B389"/>
      <c r="C389"/>
      <c r="D389"/>
    </row>
    <row r="390" spans="1:4" ht="12.75" x14ac:dyDescent="0.2">
      <c r="A390"/>
      <c r="B390"/>
      <c r="C390"/>
      <c r="D390"/>
    </row>
    <row r="391" spans="1:4" ht="12.75" x14ac:dyDescent="0.2">
      <c r="A391"/>
      <c r="B391"/>
      <c r="C391"/>
      <c r="D391"/>
    </row>
    <row r="392" spans="1:4" ht="12.75" x14ac:dyDescent="0.2">
      <c r="A392"/>
      <c r="B392"/>
      <c r="C392"/>
      <c r="D392"/>
    </row>
    <row r="393" spans="1:4" ht="12.75" x14ac:dyDescent="0.2">
      <c r="A393"/>
      <c r="B393"/>
      <c r="C393"/>
      <c r="D393"/>
    </row>
    <row r="394" spans="1:4" ht="12.75" x14ac:dyDescent="0.2">
      <c r="A394"/>
      <c r="B394"/>
      <c r="C394"/>
      <c r="D394"/>
    </row>
    <row r="395" spans="1:4" ht="12.75" x14ac:dyDescent="0.2">
      <c r="A395"/>
      <c r="B395"/>
      <c r="C395"/>
      <c r="D395"/>
    </row>
    <row r="396" spans="1:4" ht="12.75" x14ac:dyDescent="0.2">
      <c r="A396"/>
      <c r="B396"/>
      <c r="C396"/>
      <c r="D396"/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3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10" style="86" bestFit="1" customWidth="1"/>
    <col min="2" max="3" width="17.28515625" style="86" bestFit="1" customWidth="1"/>
    <col min="4" max="4" width="17.42578125" style="86" bestFit="1" customWidth="1"/>
    <col min="5" max="5" width="17.42578125" style="86" customWidth="1"/>
    <col min="6" max="6" width="18.85546875" style="86" bestFit="1" customWidth="1"/>
    <col min="7" max="16384" width="11.42578125" style="86"/>
  </cols>
  <sheetData>
    <row r="1" spans="1:6" ht="22.5" x14ac:dyDescent="0.2">
      <c r="A1" s="86" t="s">
        <v>51</v>
      </c>
      <c r="B1" s="111" t="s">
        <v>154</v>
      </c>
      <c r="C1" s="111" t="s">
        <v>151</v>
      </c>
      <c r="D1" s="111" t="s">
        <v>152</v>
      </c>
      <c r="E1" s="111" t="s">
        <v>155</v>
      </c>
      <c r="F1" s="111" t="s">
        <v>153</v>
      </c>
    </row>
    <row r="2" spans="1:6" x14ac:dyDescent="0.2">
      <c r="A2" s="126">
        <v>1</v>
      </c>
      <c r="B2" s="140" t="e">
        <f>MIN(IF(tabSuiviConso[Mois]=A2,tabSuiviConso[Min]))</f>
        <v>#VALUE!</v>
      </c>
      <c r="C2" s="139">
        <f>AVERAGEIF(tabSuiviConso[Mois],Tableau791012[[#This Row],[Mois]],tabSuiviConso[Min])</f>
        <v>12.4</v>
      </c>
      <c r="D2" s="140">
        <f>AVERAGEIF(tabSuiviConso[Mois],Tableau791012[[#This Row],[Mois]],tabSuiviConso[Max])</f>
        <v>24.433333333333334</v>
      </c>
      <c r="E2" s="140" t="e">
        <f>MAX(IF(tabSuiviConso[Mois]=Tableau791012[[#This Row],[Mois]],tabSuiviConso[Max]))</f>
        <v>#VALUE!</v>
      </c>
      <c r="F2" s="139">
        <f>AVERAGEIF(tabSuiviConso[Mois],Tableau791012[[#This Row],[Mois]],tabSuiviConso[Conso HP + HC / jour_x000D_
Instantané])</f>
        <v>13.470229121885112</v>
      </c>
    </row>
    <row r="3" spans="1:6" x14ac:dyDescent="0.2">
      <c r="A3" s="86">
        <v>2</v>
      </c>
      <c r="B3" s="140" t="e">
        <f>MIN(IF(tabSuiviConso[Mois]=Tableau791012[[#This Row],[Mois]],tabSuiviConso[Min]))</f>
        <v>#VALUE!</v>
      </c>
      <c r="C3" s="139" t="e">
        <f>AVERAGEIF(tabSuiviConso[Mois],Tableau791012[[#This Row],[Mois]],tabSuiviConso[Min])</f>
        <v>#DIV/0!</v>
      </c>
      <c r="D3" s="140" t="e">
        <f>AVERAGEIF(tabSuiviConso[Mois],Tableau791012[[#This Row],[Mois]],tabSuiviConso[Max])</f>
        <v>#DIV/0!</v>
      </c>
      <c r="E3" s="140" t="e">
        <f>MAX(IF(tabSuiviConso[Mois]=Tableau791012[[#This Row],[Mois]],tabSuiviConso[Max]))</f>
        <v>#VALUE!</v>
      </c>
      <c r="F3" s="139" t="e">
        <f>AVERAGEIF(tabSuiviConso[Mois],Tableau791012[[#This Row],[Mois]],tabSuiviConso[Conso HP + HC / jour_x000D_
Instantané])</f>
        <v>#DIV/0!</v>
      </c>
    </row>
    <row r="4" spans="1:6" x14ac:dyDescent="0.2">
      <c r="A4" s="86">
        <v>3</v>
      </c>
      <c r="B4" s="140">
        <f>MIN(IF(tabSuiviConso[Mois]=Tableau791012[[#This Row],[Mois]],tabSuiviConso[Min]))</f>
        <v>0</v>
      </c>
      <c r="C4" s="139" t="e">
        <f>AVERAGEIF(tabSuiviConso[Mois],Tableau791012[[#This Row],[Mois]],tabSuiviConso[Min])</f>
        <v>#DIV/0!</v>
      </c>
      <c r="D4" s="140" t="e">
        <f>AVERAGEIF(tabSuiviConso[Mois],Tableau791012[[#This Row],[Mois]],tabSuiviConso[Max])</f>
        <v>#DIV/0!</v>
      </c>
      <c r="E4" s="140">
        <f>MAX(IF(tabSuiviConso[Mois]=Tableau791012[[#This Row],[Mois]],tabSuiviConso[Max]))</f>
        <v>0</v>
      </c>
      <c r="F4" s="139" t="e">
        <f>AVERAGEIF(tabSuiviConso[Mois],Tableau791012[[#This Row],[Mois]],tabSuiviConso[Conso HP + HC / jour_x000D_
Instantané])</f>
        <v>#DIV/0!</v>
      </c>
    </row>
    <row r="5" spans="1:6" x14ac:dyDescent="0.2">
      <c r="A5" s="86">
        <v>4</v>
      </c>
      <c r="B5" s="140">
        <f>MIN(IF(tabSuiviConso[Mois]=Tableau791012[[#This Row],[Mois]],tabSuiviConso[Min]))</f>
        <v>0</v>
      </c>
      <c r="C5" s="139" t="e">
        <f>AVERAGEIF(tabSuiviConso[Mois],Tableau791012[[#This Row],[Mois]],tabSuiviConso[Min])</f>
        <v>#DIV/0!</v>
      </c>
      <c r="D5" s="140" t="e">
        <f>AVERAGEIF(tabSuiviConso[Mois],Tableau791012[[#This Row],[Mois]],tabSuiviConso[Max])</f>
        <v>#DIV/0!</v>
      </c>
      <c r="E5" s="140">
        <f>MAX(IF(tabSuiviConso[Mois]=Tableau791012[[#This Row],[Mois]],tabSuiviConso[Max]))</f>
        <v>0</v>
      </c>
      <c r="F5" s="139" t="e">
        <f>AVERAGEIF(tabSuiviConso[Mois],Tableau791012[[#This Row],[Mois]],tabSuiviConso[Conso HP + HC / jour_x000D_
Instantané])</f>
        <v>#DIV/0!</v>
      </c>
    </row>
    <row r="6" spans="1:6" x14ac:dyDescent="0.2">
      <c r="A6" s="102">
        <v>5</v>
      </c>
      <c r="B6" s="140">
        <f>MIN(IF(tabSuiviConso[Mois]=Tableau791012[[#This Row],[Mois]],tabSuiviConso[Min]))</f>
        <v>0</v>
      </c>
      <c r="C6" s="139" t="e">
        <f>AVERAGEIF(tabSuiviConso[Mois],Tableau791012[[#This Row],[Mois]],tabSuiviConso[Min])</f>
        <v>#DIV/0!</v>
      </c>
      <c r="D6" s="140" t="e">
        <f>AVERAGEIF(tabSuiviConso[Mois],Tableau791012[[#This Row],[Mois]],tabSuiviConso[Max])</f>
        <v>#DIV/0!</v>
      </c>
      <c r="E6" s="140">
        <f>MAX(IF(tabSuiviConso[Mois]=Tableau791012[[#This Row],[Mois]],tabSuiviConso[Max]))</f>
        <v>0</v>
      </c>
      <c r="F6" s="139" t="e">
        <f>AVERAGEIF(tabSuiviConso[Mois],Tableau791012[[#This Row],[Mois]],tabSuiviConso[Conso HP + HC / jour_x000D_
Instantané])</f>
        <v>#DIV/0!</v>
      </c>
    </row>
    <row r="7" spans="1:6" x14ac:dyDescent="0.2">
      <c r="A7" s="102">
        <v>6</v>
      </c>
      <c r="B7" s="140">
        <f>MIN(IF(tabSuiviConso[Mois]=Tableau791012[[#This Row],[Mois]],tabSuiviConso[Min]))</f>
        <v>0</v>
      </c>
      <c r="C7" s="139" t="e">
        <f>AVERAGEIF(tabSuiviConso[Mois],Tableau791012[[#This Row],[Mois]],tabSuiviConso[Min])</f>
        <v>#DIV/0!</v>
      </c>
      <c r="D7" s="140" t="e">
        <f>AVERAGEIF(tabSuiviConso[Mois],Tableau791012[[#This Row],[Mois]],tabSuiviConso[Max])</f>
        <v>#DIV/0!</v>
      </c>
      <c r="E7" s="140">
        <f>MAX(IF(tabSuiviConso[Mois]=Tableau791012[[#This Row],[Mois]],tabSuiviConso[Max]))</f>
        <v>0</v>
      </c>
      <c r="F7" s="139" t="e">
        <f>AVERAGEIF(tabSuiviConso[Mois],Tableau791012[[#This Row],[Mois]],tabSuiviConso[Conso HP + HC / jour_x000D_
Instantané])</f>
        <v>#DIV/0!</v>
      </c>
    </row>
    <row r="8" spans="1:6" x14ac:dyDescent="0.2">
      <c r="A8" s="102">
        <v>7</v>
      </c>
      <c r="B8" s="140">
        <f>MIN(IF(tabSuiviConso[Mois]=Tableau791012[[#This Row],[Mois]],tabSuiviConso[Min]))</f>
        <v>0</v>
      </c>
      <c r="C8" s="139" t="e">
        <f>AVERAGEIF(tabSuiviConso[Mois],Tableau791012[[#This Row],[Mois]],tabSuiviConso[Min])</f>
        <v>#DIV/0!</v>
      </c>
      <c r="D8" s="140" t="e">
        <f>AVERAGEIF(tabSuiviConso[Mois],Tableau791012[[#This Row],[Mois]],tabSuiviConso[Max])</f>
        <v>#DIV/0!</v>
      </c>
      <c r="E8" s="140">
        <f>MAX(IF(tabSuiviConso[Mois]=Tableau791012[[#This Row],[Mois]],tabSuiviConso[Max]))</f>
        <v>0</v>
      </c>
      <c r="F8" s="139" t="e">
        <f>AVERAGEIF(tabSuiviConso[Mois],Tableau791012[[#This Row],[Mois]],tabSuiviConso[Conso HP + HC / jour_x000D_
Instantané])</f>
        <v>#DIV/0!</v>
      </c>
    </row>
    <row r="9" spans="1:6" x14ac:dyDescent="0.2">
      <c r="A9" s="102">
        <v>8</v>
      </c>
      <c r="B9" s="140">
        <f>MIN(IF(tabSuiviConso[Mois]=Tableau791012[[#This Row],[Mois]],tabSuiviConso[Min]))</f>
        <v>0</v>
      </c>
      <c r="C9" s="139" t="e">
        <f>AVERAGEIF(tabSuiviConso[Mois],Tableau791012[[#This Row],[Mois]],tabSuiviConso[Min])</f>
        <v>#DIV/0!</v>
      </c>
      <c r="D9" s="140" t="e">
        <f>AVERAGEIF(tabSuiviConso[Mois],Tableau791012[[#This Row],[Mois]],tabSuiviConso[Max])</f>
        <v>#DIV/0!</v>
      </c>
      <c r="E9" s="140">
        <f>MAX(IF(tabSuiviConso[Mois]=Tableau791012[[#This Row],[Mois]],tabSuiviConso[Max]))</f>
        <v>0</v>
      </c>
      <c r="F9" s="139" t="e">
        <f>AVERAGEIF(tabSuiviConso[Mois],Tableau791012[[#This Row],[Mois]],tabSuiviConso[Conso HP + HC / jour_x000D_
Instantané])</f>
        <v>#DIV/0!</v>
      </c>
    </row>
    <row r="10" spans="1:6" x14ac:dyDescent="0.2">
      <c r="A10" s="102">
        <v>9</v>
      </c>
      <c r="B10" s="140">
        <f>MIN(IF(tabSuiviConso[Mois]=Tableau791012[[#This Row],[Mois]],tabSuiviConso[Min]))</f>
        <v>0</v>
      </c>
      <c r="C10" s="139" t="e">
        <f>AVERAGEIF(tabSuiviConso[Mois],Tableau791012[[#This Row],[Mois]],tabSuiviConso[Min])</f>
        <v>#DIV/0!</v>
      </c>
      <c r="D10" s="140" t="e">
        <f>AVERAGEIF(tabSuiviConso[Mois],Tableau791012[[#This Row],[Mois]],tabSuiviConso[Max])</f>
        <v>#DIV/0!</v>
      </c>
      <c r="E10" s="140">
        <f>MAX(IF(tabSuiviConso[Mois]=Tableau791012[[#This Row],[Mois]],tabSuiviConso[Max]))</f>
        <v>0</v>
      </c>
      <c r="F10" s="139" t="e">
        <f>AVERAGEIF(tabSuiviConso[Mois],Tableau791012[[#This Row],[Mois]],tabSuiviConso[Conso HP + HC / jour_x000D_
Instantané])</f>
        <v>#DIV/0!</v>
      </c>
    </row>
    <row r="11" spans="1:6" x14ac:dyDescent="0.2">
      <c r="A11" s="102">
        <v>10</v>
      </c>
      <c r="B11" s="140">
        <f>MIN(IF(tabSuiviConso[Mois]=Tableau791012[[#This Row],[Mois]],tabSuiviConso[Min]))</f>
        <v>0</v>
      </c>
      <c r="C11" s="139" t="e">
        <f>AVERAGEIF(tabSuiviConso[Mois],Tableau791012[[#This Row],[Mois]],tabSuiviConso[Min])</f>
        <v>#DIV/0!</v>
      </c>
      <c r="D11" s="140" t="e">
        <f>AVERAGEIF(tabSuiviConso[Mois],Tableau791012[[#This Row],[Mois]],tabSuiviConso[Max])</f>
        <v>#DIV/0!</v>
      </c>
      <c r="E11" s="140">
        <f>MAX(IF(tabSuiviConso[Mois]=Tableau791012[[#This Row],[Mois]],tabSuiviConso[Max]))</f>
        <v>0</v>
      </c>
      <c r="F11" s="139" t="e">
        <f>AVERAGEIF(tabSuiviConso[Mois],Tableau791012[[#This Row],[Mois]],tabSuiviConso[Conso HP + HC / jour_x000D_
Instantané])</f>
        <v>#DIV/0!</v>
      </c>
    </row>
    <row r="12" spans="1:6" x14ac:dyDescent="0.2">
      <c r="A12" s="102">
        <v>11</v>
      </c>
      <c r="B12" s="140">
        <f>MIN(IF(tabSuiviConso[Mois]=Tableau791012[[#This Row],[Mois]],tabSuiviConso[Min]))</f>
        <v>0</v>
      </c>
      <c r="C12" s="139" t="e">
        <f>AVERAGEIF(tabSuiviConso[Mois],Tableau791012[[#This Row],[Mois]],tabSuiviConso[Min])</f>
        <v>#DIV/0!</v>
      </c>
      <c r="D12" s="140" t="e">
        <f>AVERAGEIF(tabSuiviConso[Mois],Tableau791012[[#This Row],[Mois]],tabSuiviConso[Max])</f>
        <v>#DIV/0!</v>
      </c>
      <c r="E12" s="140">
        <f>MAX(IF(tabSuiviConso[Mois]=Tableau791012[[#This Row],[Mois]],tabSuiviConso[Max]))</f>
        <v>0</v>
      </c>
      <c r="F12" s="139" t="e">
        <f>AVERAGEIF(tabSuiviConso[Mois],Tableau791012[[#This Row],[Mois]],tabSuiviConso[Conso HP + HC / jour_x000D_
Instantané])</f>
        <v>#DIV/0!</v>
      </c>
    </row>
    <row r="13" spans="1:6" x14ac:dyDescent="0.2">
      <c r="A13" s="102">
        <v>12</v>
      </c>
      <c r="B13" s="140">
        <f>MIN(IF(tabSuiviConso[Mois]=Tableau791012[[#This Row],[Mois]],tabSuiviConso[Min]))</f>
        <v>0</v>
      </c>
      <c r="C13" s="139">
        <f>AVERAGEIF(tabSuiviConso[Mois],Tableau791012[[#This Row],[Mois]],tabSuiviConso[Min])</f>
        <v>8.6</v>
      </c>
      <c r="D13" s="140">
        <f>AVERAGEIF(tabSuiviConso[Mois],Tableau791012[[#This Row],[Mois]],tabSuiviConso[Max])</f>
        <v>23.3</v>
      </c>
      <c r="E13" s="140">
        <f>MAX(IF(tabSuiviConso[Mois]=Tableau791012[[#This Row],[Mois]],tabSuiviConso[Max]))</f>
        <v>0</v>
      </c>
      <c r="F13" s="139" t="e">
        <f>AVERAGEIF(tabSuiviConso[Mois],Tableau791012[[#This Row],[Mois]],tabSuiviConso[Conso HP + HC / jour_x000D_
Instantané])</f>
        <v>#DIV/0!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3"/>
  <sheetViews>
    <sheetView showGridLines="0" showRowColHeaders="0" zoomScaleNormal="100" workbookViewId="0">
      <selection activeCell="E2" sqref="E2"/>
    </sheetView>
  </sheetViews>
  <sheetFormatPr baseColWidth="10" defaultRowHeight="11.25" x14ac:dyDescent="0.2"/>
  <cols>
    <col min="1" max="1" width="10" style="86" bestFit="1" customWidth="1"/>
    <col min="2" max="3" width="17.28515625" style="86" bestFit="1" customWidth="1"/>
    <col min="4" max="4" width="17.42578125" style="86" bestFit="1" customWidth="1"/>
    <col min="5" max="5" width="17.42578125" style="86" customWidth="1"/>
    <col min="6" max="6" width="18.85546875" style="86" bestFit="1" customWidth="1"/>
    <col min="7" max="16384" width="11.42578125" style="86"/>
  </cols>
  <sheetData>
    <row r="1" spans="1:6" ht="22.5" x14ac:dyDescent="0.2">
      <c r="A1" s="86" t="s">
        <v>53</v>
      </c>
      <c r="B1" s="111" t="s">
        <v>154</v>
      </c>
      <c r="C1" s="111" t="s">
        <v>151</v>
      </c>
      <c r="D1" s="111" t="s">
        <v>152</v>
      </c>
      <c r="E1" s="111" t="s">
        <v>155</v>
      </c>
      <c r="F1" s="111" t="s">
        <v>153</v>
      </c>
    </row>
    <row r="2" spans="1:6" x14ac:dyDescent="0.2">
      <c r="A2" s="86">
        <v>2021</v>
      </c>
      <c r="B2" s="86">
        <f t="array" ref="B2">MIN(IF(tabSuiviConso[Année]=Tableau7910[[#This Row],[Année]],tabSuiviConso[Min]))</f>
        <v>0</v>
      </c>
      <c r="C2" s="139">
        <f>AVERAGEIF(tabSuiviConso[Année],Tableau7910[[#This Row],[Année]],tabSuiviConso[Min])</f>
        <v>12.4</v>
      </c>
      <c r="D2" s="140">
        <f>AVERAGEIF(tabSuiviConso[Année],Tableau7910[[#This Row],[Année]],tabSuiviConso[Max])</f>
        <v>24.433333333333334</v>
      </c>
      <c r="E2" s="140">
        <f t="array" ref="E2">MAX(IF(tabSuiviConso[Année]=Tableau7910[[#This Row],[Année]],tabSuiviConso[Max]))</f>
        <v>24.8</v>
      </c>
      <c r="F2" s="139">
        <f>AVERAGEIF(tabSuiviConso[Année],Tableau7910[[#This Row],[Année]],tabSuiviConso[Conso HP + HC / jour_x000D_
Instantané])</f>
        <v>13.470229121885112</v>
      </c>
    </row>
    <row r="3" spans="1:6" x14ac:dyDescent="0.2">
      <c r="A3" s="86">
        <v>2022</v>
      </c>
      <c r="B3" s="86">
        <f t="array" ref="B3">MIN(IF(tabSuiviConso[Année]=Tableau7910[[#This Row],[Année]],tabSuiviConso[Min]))</f>
        <v>0</v>
      </c>
      <c r="C3" s="139" t="e">
        <f>AVERAGEIF(tabSuiviConso[Année],Tableau7910[[#This Row],[Année]],tabSuiviConso[Min])</f>
        <v>#DIV/0!</v>
      </c>
      <c r="D3" s="140" t="e">
        <f>AVERAGEIF(tabSuiviConso[Année],Tableau7910[[#This Row],[Année]],tabSuiviConso[Max])</f>
        <v>#DIV/0!</v>
      </c>
      <c r="E3" s="140">
        <f t="array" ref="E3">MAX(IF(tabSuiviConso[Année]=Tableau7910[[#This Row],[Année]],tabSuiviConso[Max]))</f>
        <v>0</v>
      </c>
      <c r="F3" s="139" t="e">
        <f>AVERAGEIF(tabSuiviConso[Année],Tableau7910[[#This Row],[Année]],tabSuiviConso[Conso HP + HC / jour_x000D_
Instantané])</f>
        <v>#DIV/0!</v>
      </c>
    </row>
    <row r="4" spans="1:6" x14ac:dyDescent="0.2">
      <c r="A4" s="86">
        <v>2023</v>
      </c>
      <c r="B4" s="86">
        <f t="array" ref="B4">MIN(IF(tabSuiviConso[Année]=Tableau7910[[#This Row],[Année]],tabSuiviConso[Min]))</f>
        <v>0</v>
      </c>
      <c r="C4" s="139" t="e">
        <f>AVERAGEIF(tabSuiviConso[Année],Tableau7910[[#This Row],[Année]],tabSuiviConso[Min])</f>
        <v>#DIV/0!</v>
      </c>
      <c r="D4" s="140" t="e">
        <f>AVERAGEIF(tabSuiviConso[Année],Tableau7910[[#This Row],[Année]],tabSuiviConso[Max])</f>
        <v>#DIV/0!</v>
      </c>
      <c r="E4" s="140">
        <f t="array" ref="E4">MAX(IF(tabSuiviConso[Année]=Tableau7910[[#This Row],[Année]],tabSuiviConso[Max]))</f>
        <v>0</v>
      </c>
      <c r="F4" s="139" t="e">
        <f>AVERAGEIF(tabSuiviConso[Année],Tableau7910[[#This Row],[Année]],tabSuiviConso[Conso HP + HC / jour_x000D_
Instantané])</f>
        <v>#DIV/0!</v>
      </c>
    </row>
    <row r="5" spans="1:6" x14ac:dyDescent="0.2">
      <c r="A5" s="86">
        <v>2024</v>
      </c>
      <c r="B5" s="86">
        <f t="array" ref="B5">MIN(IF(tabSuiviConso[Année]=Tableau7910[[#This Row],[Année]],tabSuiviConso[Min]))</f>
        <v>0</v>
      </c>
      <c r="C5" s="139" t="e">
        <f>AVERAGEIF(tabSuiviConso[Année],Tableau7910[[#This Row],[Année]],tabSuiviConso[Min])</f>
        <v>#DIV/0!</v>
      </c>
      <c r="D5" s="140" t="e">
        <f>AVERAGEIF(tabSuiviConso[Année],Tableau7910[[#This Row],[Année]],tabSuiviConso[Max])</f>
        <v>#DIV/0!</v>
      </c>
      <c r="E5" s="140">
        <f t="array" ref="E5">MAX(IF(tabSuiviConso[Année]=Tableau7910[[#This Row],[Année]],tabSuiviConso[Max]))</f>
        <v>0</v>
      </c>
      <c r="F5" s="139" t="e">
        <f>AVERAGEIF(tabSuiviConso[Année],Tableau7910[[#This Row],[Année]],tabSuiviConso[Conso HP + HC / jour_x000D_
Instantané])</f>
        <v>#DIV/0!</v>
      </c>
    </row>
    <row r="6" spans="1:6" x14ac:dyDescent="0.2">
      <c r="F6" s="138"/>
    </row>
    <row r="7" spans="1:6" x14ac:dyDescent="0.2">
      <c r="F7" s="138"/>
    </row>
    <row r="8" spans="1:6" x14ac:dyDescent="0.2">
      <c r="F8" s="138"/>
    </row>
    <row r="9" spans="1:6" x14ac:dyDescent="0.2">
      <c r="F9" s="138"/>
    </row>
    <row r="10" spans="1:6" x14ac:dyDescent="0.2">
      <c r="F10" s="138"/>
    </row>
    <row r="11" spans="1:6" x14ac:dyDescent="0.2">
      <c r="F11" s="138"/>
    </row>
    <row r="12" spans="1:6" x14ac:dyDescent="0.2">
      <c r="F12" s="138"/>
    </row>
    <row r="13" spans="1:6" x14ac:dyDescent="0.2">
      <c r="F13" s="138"/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353"/>
  </sheetPr>
  <dimension ref="A1:E280"/>
  <sheetViews>
    <sheetView workbookViewId="0">
      <selection activeCell="D3" sqref="D3"/>
    </sheetView>
  </sheetViews>
  <sheetFormatPr baseColWidth="10" defaultRowHeight="11.25" x14ac:dyDescent="0.2"/>
  <cols>
    <col min="1" max="1" width="16.28515625" style="53" bestFit="1" customWidth="1"/>
    <col min="2" max="2" width="8.7109375" style="53" bestFit="1" customWidth="1"/>
    <col min="3" max="3" width="9" style="53" bestFit="1" customWidth="1"/>
    <col min="4" max="4" width="23.28515625" style="53" bestFit="1" customWidth="1"/>
    <col min="5" max="5" width="22.140625" style="53" customWidth="1"/>
    <col min="6" max="16384" width="11.42578125" style="53"/>
  </cols>
  <sheetData>
    <row r="1" spans="1:5" ht="12.75" x14ac:dyDescent="0.2">
      <c r="A1" s="132" t="s">
        <v>47</v>
      </c>
      <c r="B1" s="133" t="s">
        <v>86</v>
      </c>
      <c r="C1" s="133" t="s">
        <v>87</v>
      </c>
      <c r="D1" s="133" t="s">
        <v>52</v>
      </c>
      <c r="E1"/>
    </row>
    <row r="2" spans="1:5" ht="12.75" x14ac:dyDescent="0.2">
      <c r="A2" s="134">
        <v>2020</v>
      </c>
      <c r="B2" s="136"/>
      <c r="C2" s="136"/>
      <c r="D2" s="136"/>
      <c r="E2"/>
    </row>
    <row r="3" spans="1:5" ht="12.75" x14ac:dyDescent="0.2">
      <c r="A3" s="134">
        <v>2021</v>
      </c>
      <c r="B3" s="136">
        <v>-4.8</v>
      </c>
      <c r="C3" s="136">
        <v>13.7</v>
      </c>
      <c r="D3" s="136">
        <v>52.043288436425527</v>
      </c>
      <c r="E3"/>
    </row>
    <row r="4" spans="1:5" ht="12.75" x14ac:dyDescent="0.2">
      <c r="A4" s="134">
        <v>2022</v>
      </c>
      <c r="B4" s="136">
        <v>-3.9</v>
      </c>
      <c r="C4" s="136">
        <v>17.899999999999999</v>
      </c>
      <c r="D4" s="136">
        <v>26.417667248412247</v>
      </c>
      <c r="E4"/>
    </row>
    <row r="5" spans="1:5" ht="12.75" x14ac:dyDescent="0.2">
      <c r="A5" s="134">
        <v>2023</v>
      </c>
      <c r="B5" s="136"/>
      <c r="C5" s="136"/>
      <c r="D5" s="136">
        <v>27.481380160455469</v>
      </c>
      <c r="E5"/>
    </row>
    <row r="6" spans="1:5" x14ac:dyDescent="0.2">
      <c r="A6" s="134">
        <v>2024</v>
      </c>
      <c r="B6" s="136">
        <v>7.3</v>
      </c>
      <c r="C6" s="136">
        <v>21.3</v>
      </c>
      <c r="D6" s="136">
        <v>28.082561904103684</v>
      </c>
    </row>
    <row r="7" spans="1:5" x14ac:dyDescent="0.2">
      <c r="A7" s="134" t="s">
        <v>48</v>
      </c>
      <c r="B7" s="136">
        <v>-4.8</v>
      </c>
      <c r="C7" s="136">
        <v>21.3</v>
      </c>
      <c r="D7" s="136">
        <v>31.512596737301092</v>
      </c>
    </row>
    <row r="8" spans="1:5" ht="12.75" x14ac:dyDescent="0.2">
      <c r="A8"/>
      <c r="B8"/>
      <c r="C8"/>
      <c r="D8"/>
    </row>
    <row r="9" spans="1:5" ht="12.75" x14ac:dyDescent="0.2">
      <c r="A9"/>
      <c r="B9"/>
      <c r="C9"/>
      <c r="D9"/>
    </row>
    <row r="10" spans="1:5" ht="12.75" x14ac:dyDescent="0.2">
      <c r="A10"/>
      <c r="B10"/>
      <c r="C10"/>
      <c r="D10"/>
    </row>
    <row r="11" spans="1:5" ht="12.75" x14ac:dyDescent="0.2">
      <c r="A11"/>
      <c r="B11"/>
      <c r="C11"/>
      <c r="D11"/>
    </row>
    <row r="12" spans="1:5" ht="12.75" x14ac:dyDescent="0.2">
      <c r="A12"/>
      <c r="B12"/>
      <c r="C12"/>
      <c r="D12"/>
    </row>
    <row r="13" spans="1:5" ht="12.75" x14ac:dyDescent="0.2">
      <c r="A13"/>
      <c r="B13"/>
      <c r="C13"/>
      <c r="D13"/>
    </row>
    <row r="14" spans="1:5" ht="12.75" x14ac:dyDescent="0.2">
      <c r="A14"/>
      <c r="B14"/>
      <c r="C14"/>
      <c r="D14"/>
    </row>
    <row r="15" spans="1:5" ht="12.75" x14ac:dyDescent="0.2">
      <c r="A15"/>
      <c r="B15"/>
      <c r="C15"/>
      <c r="D15"/>
    </row>
    <row r="16" spans="1:5" ht="12.75" x14ac:dyDescent="0.2">
      <c r="A16"/>
      <c r="B16"/>
      <c r="C16"/>
      <c r="D16"/>
    </row>
    <row r="17" spans="1:4" ht="12.75" x14ac:dyDescent="0.2">
      <c r="A17"/>
      <c r="B17"/>
      <c r="C17"/>
      <c r="D17"/>
    </row>
    <row r="18" spans="1:4" ht="12.75" x14ac:dyDescent="0.2">
      <c r="A18"/>
      <c r="B18"/>
      <c r="C18"/>
      <c r="D18"/>
    </row>
    <row r="19" spans="1:4" ht="12.75" x14ac:dyDescent="0.2">
      <c r="A19"/>
      <c r="B19"/>
      <c r="C19"/>
      <c r="D19"/>
    </row>
    <row r="20" spans="1:4" ht="12.75" x14ac:dyDescent="0.2">
      <c r="A20"/>
      <c r="B20"/>
      <c r="C20"/>
      <c r="D20"/>
    </row>
    <row r="21" spans="1:4" ht="12.75" x14ac:dyDescent="0.2">
      <c r="A21"/>
      <c r="B21"/>
      <c r="C21"/>
      <c r="D21"/>
    </row>
    <row r="22" spans="1:4" ht="12.75" x14ac:dyDescent="0.2">
      <c r="A22"/>
      <c r="B22"/>
      <c r="C22"/>
      <c r="D22"/>
    </row>
    <row r="23" spans="1:4" ht="12.75" x14ac:dyDescent="0.2">
      <c r="A23"/>
      <c r="B23"/>
      <c r="C23"/>
      <c r="D23"/>
    </row>
    <row r="24" spans="1:4" ht="12.75" x14ac:dyDescent="0.2">
      <c r="A24"/>
      <c r="B24"/>
      <c r="C24"/>
      <c r="D24"/>
    </row>
    <row r="25" spans="1:4" ht="12.75" x14ac:dyDescent="0.2">
      <c r="A25"/>
      <c r="B25"/>
      <c r="C25"/>
      <c r="D25"/>
    </row>
    <row r="26" spans="1:4" ht="12.75" x14ac:dyDescent="0.2">
      <c r="A26"/>
      <c r="B26"/>
      <c r="C26"/>
      <c r="D26"/>
    </row>
    <row r="27" spans="1:4" ht="12.75" x14ac:dyDescent="0.2">
      <c r="A27"/>
      <c r="B27"/>
      <c r="C27"/>
      <c r="D27"/>
    </row>
    <row r="28" spans="1:4" ht="12.75" x14ac:dyDescent="0.2">
      <c r="A28"/>
      <c r="B28"/>
      <c r="C28"/>
      <c r="D28"/>
    </row>
    <row r="29" spans="1:4" ht="12.75" x14ac:dyDescent="0.2">
      <c r="A29"/>
      <c r="B29"/>
      <c r="C29"/>
      <c r="D29"/>
    </row>
    <row r="30" spans="1:4" ht="12.75" x14ac:dyDescent="0.2">
      <c r="A30"/>
      <c r="B30"/>
      <c r="C30"/>
      <c r="D30"/>
    </row>
    <row r="31" spans="1:4" ht="12.75" x14ac:dyDescent="0.2">
      <c r="A31"/>
      <c r="B31"/>
      <c r="C31"/>
      <c r="D31"/>
    </row>
    <row r="32" spans="1:4" ht="12.75" x14ac:dyDescent="0.2">
      <c r="A32"/>
      <c r="B32"/>
      <c r="C32"/>
      <c r="D32"/>
    </row>
    <row r="33" spans="1:4" ht="12.75" x14ac:dyDescent="0.2">
      <c r="A33"/>
      <c r="B33"/>
      <c r="C33"/>
      <c r="D33"/>
    </row>
    <row r="34" spans="1:4" ht="12.75" x14ac:dyDescent="0.2">
      <c r="A34"/>
      <c r="B34"/>
      <c r="C34"/>
      <c r="D34"/>
    </row>
    <row r="35" spans="1:4" ht="12.75" x14ac:dyDescent="0.2">
      <c r="A35"/>
      <c r="B35"/>
      <c r="C35"/>
      <c r="D35"/>
    </row>
    <row r="36" spans="1:4" ht="12.75" x14ac:dyDescent="0.2">
      <c r="A36"/>
      <c r="B36"/>
      <c r="C36"/>
      <c r="D36"/>
    </row>
    <row r="37" spans="1:4" ht="12.75" x14ac:dyDescent="0.2">
      <c r="A37"/>
      <c r="B37"/>
      <c r="C37"/>
      <c r="D37"/>
    </row>
    <row r="38" spans="1:4" ht="12.75" x14ac:dyDescent="0.2">
      <c r="A38"/>
      <c r="B38"/>
      <c r="C38"/>
      <c r="D38"/>
    </row>
    <row r="39" spans="1:4" ht="12.75" x14ac:dyDescent="0.2">
      <c r="A39"/>
      <c r="B39"/>
      <c r="C39"/>
      <c r="D39"/>
    </row>
    <row r="40" spans="1:4" ht="12.75" x14ac:dyDescent="0.2">
      <c r="A40"/>
      <c r="B40"/>
      <c r="C40"/>
      <c r="D40"/>
    </row>
    <row r="41" spans="1:4" ht="12.75" x14ac:dyDescent="0.2">
      <c r="A41"/>
      <c r="B41"/>
      <c r="C41"/>
      <c r="D41"/>
    </row>
    <row r="42" spans="1:4" ht="12.75" x14ac:dyDescent="0.2">
      <c r="A42"/>
      <c r="B42"/>
      <c r="C42"/>
      <c r="D42"/>
    </row>
    <row r="43" spans="1:4" ht="12.75" x14ac:dyDescent="0.2">
      <c r="A43"/>
      <c r="B43"/>
      <c r="C43"/>
      <c r="D43"/>
    </row>
    <row r="44" spans="1:4" ht="12.75" x14ac:dyDescent="0.2">
      <c r="A44"/>
      <c r="B44"/>
      <c r="C44"/>
      <c r="D44"/>
    </row>
    <row r="45" spans="1:4" ht="12.75" x14ac:dyDescent="0.2">
      <c r="A45"/>
      <c r="B45"/>
      <c r="C45"/>
      <c r="D45"/>
    </row>
    <row r="46" spans="1:4" ht="12.75" x14ac:dyDescent="0.2">
      <c r="A46"/>
      <c r="B46"/>
      <c r="C46"/>
      <c r="D46"/>
    </row>
    <row r="47" spans="1:4" ht="12.75" x14ac:dyDescent="0.2">
      <c r="A47"/>
      <c r="B47"/>
      <c r="C47"/>
      <c r="D47"/>
    </row>
    <row r="48" spans="1:4" ht="12.75" x14ac:dyDescent="0.2">
      <c r="A48"/>
      <c r="B48"/>
      <c r="C48"/>
      <c r="D48"/>
    </row>
    <row r="49" spans="1:4" ht="12.75" x14ac:dyDescent="0.2">
      <c r="A49"/>
      <c r="B49"/>
      <c r="C49"/>
      <c r="D49"/>
    </row>
    <row r="50" spans="1:4" ht="12.75" x14ac:dyDescent="0.2">
      <c r="A50"/>
      <c r="B50"/>
      <c r="C50"/>
      <c r="D50"/>
    </row>
    <row r="51" spans="1:4" ht="12.75" x14ac:dyDescent="0.2">
      <c r="A51"/>
      <c r="B51"/>
      <c r="C51"/>
      <c r="D51"/>
    </row>
    <row r="52" spans="1:4" ht="12.75" x14ac:dyDescent="0.2">
      <c r="A52"/>
      <c r="B52"/>
      <c r="C52"/>
      <c r="D52"/>
    </row>
    <row r="53" spans="1:4" ht="12.75" x14ac:dyDescent="0.2">
      <c r="A53"/>
      <c r="B53"/>
      <c r="C53"/>
      <c r="D53"/>
    </row>
    <row r="54" spans="1:4" ht="12.75" x14ac:dyDescent="0.2">
      <c r="A54"/>
      <c r="B54"/>
      <c r="C54"/>
      <c r="D54"/>
    </row>
    <row r="55" spans="1:4" ht="12.75" x14ac:dyDescent="0.2">
      <c r="A55"/>
      <c r="B55"/>
      <c r="C55"/>
      <c r="D55"/>
    </row>
    <row r="56" spans="1:4" ht="12.75" x14ac:dyDescent="0.2">
      <c r="A56"/>
      <c r="B56"/>
      <c r="C56"/>
      <c r="D56"/>
    </row>
    <row r="57" spans="1:4" ht="12.75" x14ac:dyDescent="0.2">
      <c r="A57"/>
      <c r="B57"/>
      <c r="C57"/>
      <c r="D57"/>
    </row>
    <row r="58" spans="1:4" ht="12.75" x14ac:dyDescent="0.2">
      <c r="A58"/>
      <c r="B58"/>
      <c r="C58"/>
      <c r="D58"/>
    </row>
    <row r="59" spans="1:4" ht="12.75" x14ac:dyDescent="0.2">
      <c r="A59"/>
      <c r="B59"/>
      <c r="C59"/>
      <c r="D59"/>
    </row>
    <row r="60" spans="1:4" ht="12.75" x14ac:dyDescent="0.2">
      <c r="A60"/>
      <c r="B60"/>
      <c r="C60"/>
      <c r="D60"/>
    </row>
    <row r="61" spans="1:4" ht="12.75" x14ac:dyDescent="0.2">
      <c r="A61"/>
      <c r="B61"/>
      <c r="C61"/>
      <c r="D61"/>
    </row>
    <row r="62" spans="1:4" ht="12.75" x14ac:dyDescent="0.2">
      <c r="A62"/>
      <c r="B62"/>
      <c r="C62"/>
      <c r="D62"/>
    </row>
    <row r="63" spans="1:4" ht="12.75" x14ac:dyDescent="0.2">
      <c r="A63"/>
      <c r="B63"/>
      <c r="C63"/>
      <c r="D63"/>
    </row>
    <row r="64" spans="1:4" ht="12.75" x14ac:dyDescent="0.2">
      <c r="A64"/>
      <c r="B64"/>
      <c r="C64"/>
      <c r="D64"/>
    </row>
    <row r="65" spans="1:4" ht="12.75" x14ac:dyDescent="0.2">
      <c r="A65"/>
      <c r="B65"/>
      <c r="C65"/>
      <c r="D65"/>
    </row>
    <row r="66" spans="1:4" ht="12.75" x14ac:dyDescent="0.2">
      <c r="A66"/>
      <c r="B66"/>
      <c r="C66"/>
      <c r="D66"/>
    </row>
    <row r="67" spans="1:4" ht="12.75" x14ac:dyDescent="0.2">
      <c r="A67"/>
      <c r="B67"/>
      <c r="C67"/>
      <c r="D67"/>
    </row>
    <row r="68" spans="1:4" ht="12.75" x14ac:dyDescent="0.2">
      <c r="A68"/>
      <c r="B68"/>
      <c r="C68"/>
      <c r="D68"/>
    </row>
    <row r="69" spans="1:4" ht="12.75" x14ac:dyDescent="0.2">
      <c r="A69"/>
      <c r="B69"/>
      <c r="C69"/>
      <c r="D69"/>
    </row>
    <row r="70" spans="1:4" ht="12.75" x14ac:dyDescent="0.2">
      <c r="A70"/>
      <c r="B70"/>
      <c r="C70"/>
      <c r="D70"/>
    </row>
    <row r="71" spans="1:4" ht="12.75" x14ac:dyDescent="0.2">
      <c r="A71"/>
      <c r="B71"/>
      <c r="C71"/>
      <c r="D71"/>
    </row>
    <row r="72" spans="1:4" ht="12.75" x14ac:dyDescent="0.2">
      <c r="A72"/>
      <c r="B72"/>
      <c r="C72"/>
      <c r="D72"/>
    </row>
    <row r="73" spans="1:4" ht="12.75" x14ac:dyDescent="0.2">
      <c r="A73"/>
      <c r="B73"/>
      <c r="C73"/>
      <c r="D73"/>
    </row>
    <row r="74" spans="1:4" ht="12.75" x14ac:dyDescent="0.2">
      <c r="A74"/>
      <c r="B74"/>
      <c r="C74"/>
      <c r="D74"/>
    </row>
    <row r="75" spans="1:4" ht="12.75" x14ac:dyDescent="0.2">
      <c r="A75"/>
      <c r="B75"/>
      <c r="C75"/>
      <c r="D75"/>
    </row>
    <row r="76" spans="1:4" ht="12.75" x14ac:dyDescent="0.2">
      <c r="A76"/>
      <c r="B76"/>
      <c r="C76"/>
      <c r="D76"/>
    </row>
    <row r="77" spans="1:4" ht="12.75" x14ac:dyDescent="0.2">
      <c r="A77"/>
      <c r="B77"/>
      <c r="C77"/>
      <c r="D77"/>
    </row>
    <row r="78" spans="1:4" ht="12.75" x14ac:dyDescent="0.2">
      <c r="A78"/>
      <c r="B78"/>
      <c r="C78"/>
      <c r="D78"/>
    </row>
    <row r="79" spans="1:4" ht="12.75" x14ac:dyDescent="0.2">
      <c r="A79"/>
      <c r="B79"/>
      <c r="C79"/>
      <c r="D79"/>
    </row>
    <row r="80" spans="1:4" ht="12.75" x14ac:dyDescent="0.2">
      <c r="A80"/>
      <c r="B80"/>
      <c r="C80"/>
      <c r="D80"/>
    </row>
    <row r="81" spans="1:4" ht="12.75" x14ac:dyDescent="0.2">
      <c r="A81"/>
      <c r="B81"/>
      <c r="C81"/>
      <c r="D81"/>
    </row>
    <row r="82" spans="1:4" ht="12.75" x14ac:dyDescent="0.2">
      <c r="A82"/>
      <c r="B82"/>
      <c r="C82"/>
      <c r="D82"/>
    </row>
    <row r="83" spans="1:4" ht="12.75" x14ac:dyDescent="0.2">
      <c r="A83"/>
      <c r="B83"/>
      <c r="C83"/>
      <c r="D83"/>
    </row>
    <row r="84" spans="1:4" ht="12.75" x14ac:dyDescent="0.2">
      <c r="A84"/>
      <c r="B84"/>
      <c r="C84"/>
      <c r="D84"/>
    </row>
    <row r="85" spans="1:4" ht="12.75" x14ac:dyDescent="0.2">
      <c r="A85"/>
      <c r="B85"/>
      <c r="C85"/>
      <c r="D85"/>
    </row>
    <row r="86" spans="1:4" ht="12.75" x14ac:dyDescent="0.2">
      <c r="A86"/>
      <c r="B86"/>
      <c r="C86"/>
      <c r="D86"/>
    </row>
    <row r="87" spans="1:4" ht="12.75" x14ac:dyDescent="0.2">
      <c r="A87"/>
      <c r="B87"/>
      <c r="C87"/>
      <c r="D87"/>
    </row>
    <row r="88" spans="1:4" ht="12.75" x14ac:dyDescent="0.2">
      <c r="A88"/>
      <c r="B88"/>
      <c r="C88"/>
      <c r="D88"/>
    </row>
    <row r="89" spans="1:4" ht="12.75" x14ac:dyDescent="0.2">
      <c r="A89"/>
      <c r="B89"/>
      <c r="C89"/>
      <c r="D89"/>
    </row>
    <row r="90" spans="1:4" ht="12.75" x14ac:dyDescent="0.2">
      <c r="A90"/>
      <c r="B90"/>
      <c r="C90"/>
      <c r="D90"/>
    </row>
    <row r="91" spans="1:4" ht="12.75" x14ac:dyDescent="0.2">
      <c r="A91"/>
      <c r="B91"/>
      <c r="C91"/>
      <c r="D91"/>
    </row>
    <row r="92" spans="1:4" ht="12.75" x14ac:dyDescent="0.2">
      <c r="A92"/>
      <c r="B92"/>
      <c r="C92"/>
      <c r="D92"/>
    </row>
    <row r="93" spans="1:4" ht="12.75" x14ac:dyDescent="0.2">
      <c r="A93"/>
      <c r="B93"/>
      <c r="C93"/>
      <c r="D93"/>
    </row>
    <row r="94" spans="1:4" ht="12.75" x14ac:dyDescent="0.2">
      <c r="A94"/>
      <c r="B94"/>
      <c r="C94"/>
      <c r="D94"/>
    </row>
    <row r="95" spans="1:4" ht="12.75" x14ac:dyDescent="0.2">
      <c r="A95"/>
      <c r="B95"/>
      <c r="C95"/>
      <c r="D95"/>
    </row>
    <row r="96" spans="1:4" ht="12.75" x14ac:dyDescent="0.2">
      <c r="A96"/>
      <c r="B96"/>
      <c r="C96"/>
      <c r="D96"/>
    </row>
    <row r="97" spans="1:4" ht="12.75" x14ac:dyDescent="0.2">
      <c r="A97"/>
      <c r="B97"/>
      <c r="C97"/>
      <c r="D97"/>
    </row>
    <row r="98" spans="1:4" ht="12.75" x14ac:dyDescent="0.2">
      <c r="A98"/>
      <c r="B98"/>
      <c r="C98"/>
      <c r="D98"/>
    </row>
    <row r="99" spans="1:4" ht="12.75" x14ac:dyDescent="0.2">
      <c r="A99"/>
      <c r="B99"/>
      <c r="C99"/>
      <c r="D99"/>
    </row>
    <row r="100" spans="1:4" ht="12.75" x14ac:dyDescent="0.2">
      <c r="A100"/>
      <c r="B100"/>
      <c r="C100"/>
      <c r="D100"/>
    </row>
    <row r="101" spans="1:4" ht="12.75" x14ac:dyDescent="0.2">
      <c r="A101"/>
      <c r="B101"/>
      <c r="C101"/>
      <c r="D101"/>
    </row>
    <row r="102" spans="1:4" ht="12.75" x14ac:dyDescent="0.2">
      <c r="A102"/>
      <c r="B102"/>
      <c r="C102"/>
      <c r="D102"/>
    </row>
    <row r="103" spans="1:4" ht="12.75" x14ac:dyDescent="0.2">
      <c r="A103"/>
      <c r="B103"/>
      <c r="C103"/>
      <c r="D103"/>
    </row>
    <row r="104" spans="1:4" ht="12.75" x14ac:dyDescent="0.2">
      <c r="A104"/>
      <c r="B104"/>
      <c r="C104"/>
      <c r="D104"/>
    </row>
    <row r="105" spans="1:4" ht="12.75" x14ac:dyDescent="0.2">
      <c r="A105"/>
      <c r="B105"/>
      <c r="C105"/>
      <c r="D105"/>
    </row>
    <row r="106" spans="1:4" ht="12.75" x14ac:dyDescent="0.2">
      <c r="A106"/>
      <c r="B106"/>
      <c r="C106"/>
      <c r="D106"/>
    </row>
    <row r="107" spans="1:4" ht="12.75" x14ac:dyDescent="0.2">
      <c r="A107"/>
      <c r="B107"/>
      <c r="C107"/>
      <c r="D107"/>
    </row>
    <row r="108" spans="1:4" ht="12.75" x14ac:dyDescent="0.2">
      <c r="A108"/>
      <c r="B108"/>
      <c r="C108"/>
      <c r="D108"/>
    </row>
    <row r="109" spans="1:4" ht="12.75" x14ac:dyDescent="0.2">
      <c r="A109"/>
      <c r="B109"/>
      <c r="C109"/>
      <c r="D109"/>
    </row>
    <row r="110" spans="1:4" ht="12.75" x14ac:dyDescent="0.2">
      <c r="A110"/>
      <c r="B110"/>
      <c r="C110"/>
      <c r="D110"/>
    </row>
    <row r="111" spans="1:4" ht="12.75" x14ac:dyDescent="0.2">
      <c r="A111"/>
      <c r="B111"/>
      <c r="C111"/>
      <c r="D111"/>
    </row>
    <row r="112" spans="1:4" ht="12.75" x14ac:dyDescent="0.2">
      <c r="A112"/>
      <c r="B112"/>
      <c r="C112"/>
      <c r="D112"/>
    </row>
    <row r="113" spans="1:4" ht="12.75" x14ac:dyDescent="0.2">
      <c r="A113"/>
      <c r="B113"/>
      <c r="C113"/>
      <c r="D113"/>
    </row>
    <row r="114" spans="1:4" ht="12.75" x14ac:dyDescent="0.2">
      <c r="A114"/>
      <c r="B114"/>
      <c r="C114"/>
      <c r="D114"/>
    </row>
    <row r="115" spans="1:4" ht="12.75" x14ac:dyDescent="0.2">
      <c r="A115"/>
      <c r="B115"/>
      <c r="C115"/>
      <c r="D115"/>
    </row>
    <row r="116" spans="1:4" ht="12.75" x14ac:dyDescent="0.2">
      <c r="A116"/>
      <c r="B116"/>
      <c r="C116"/>
      <c r="D116"/>
    </row>
    <row r="117" spans="1:4" ht="12.75" x14ac:dyDescent="0.2">
      <c r="A117"/>
      <c r="B117"/>
      <c r="C117"/>
      <c r="D117"/>
    </row>
    <row r="118" spans="1:4" ht="12.75" x14ac:dyDescent="0.2">
      <c r="A118"/>
      <c r="B118"/>
      <c r="C118"/>
      <c r="D118"/>
    </row>
    <row r="119" spans="1:4" ht="12.75" x14ac:dyDescent="0.2">
      <c r="A119"/>
      <c r="B119"/>
      <c r="C119"/>
      <c r="D119"/>
    </row>
    <row r="120" spans="1:4" ht="12.75" x14ac:dyDescent="0.2">
      <c r="A120"/>
      <c r="B120"/>
      <c r="C120"/>
      <c r="D120"/>
    </row>
    <row r="121" spans="1:4" ht="12.75" x14ac:dyDescent="0.2">
      <c r="A121"/>
      <c r="B121"/>
      <c r="C121"/>
      <c r="D121"/>
    </row>
    <row r="122" spans="1:4" ht="12.75" x14ac:dyDescent="0.2">
      <c r="A122"/>
      <c r="B122"/>
      <c r="C122"/>
      <c r="D122"/>
    </row>
    <row r="123" spans="1:4" ht="12.75" x14ac:dyDescent="0.2">
      <c r="A123"/>
      <c r="B123"/>
      <c r="C123"/>
      <c r="D123"/>
    </row>
    <row r="124" spans="1:4" ht="12.75" x14ac:dyDescent="0.2">
      <c r="A124"/>
      <c r="B124"/>
      <c r="C124"/>
      <c r="D124"/>
    </row>
    <row r="125" spans="1:4" ht="12.75" x14ac:dyDescent="0.2">
      <c r="A125"/>
      <c r="B125"/>
      <c r="C125"/>
      <c r="D125"/>
    </row>
    <row r="126" spans="1:4" ht="12.75" x14ac:dyDescent="0.2">
      <c r="A126"/>
      <c r="B126"/>
      <c r="C126"/>
      <c r="D126"/>
    </row>
    <row r="127" spans="1:4" ht="12.75" x14ac:dyDescent="0.2">
      <c r="A127"/>
      <c r="B127"/>
      <c r="C127"/>
      <c r="D127"/>
    </row>
    <row r="128" spans="1:4" ht="12.75" x14ac:dyDescent="0.2">
      <c r="A128"/>
      <c r="B128"/>
      <c r="C128"/>
      <c r="D128"/>
    </row>
    <row r="129" spans="1:4" ht="12.75" x14ac:dyDescent="0.2">
      <c r="A129"/>
      <c r="B129"/>
      <c r="C129"/>
      <c r="D129"/>
    </row>
    <row r="130" spans="1:4" ht="12.75" x14ac:dyDescent="0.2">
      <c r="A130"/>
      <c r="B130"/>
      <c r="C130"/>
      <c r="D130"/>
    </row>
    <row r="131" spans="1:4" ht="12.75" x14ac:dyDescent="0.2">
      <c r="A131"/>
      <c r="B131"/>
      <c r="C131"/>
      <c r="D131"/>
    </row>
    <row r="132" spans="1:4" ht="12.75" x14ac:dyDescent="0.2">
      <c r="A132"/>
      <c r="B132"/>
      <c r="C132"/>
      <c r="D132"/>
    </row>
    <row r="133" spans="1:4" ht="12.75" x14ac:dyDescent="0.2">
      <c r="A133"/>
      <c r="B133"/>
      <c r="C133"/>
      <c r="D133"/>
    </row>
    <row r="134" spans="1:4" ht="12.75" x14ac:dyDescent="0.2">
      <c r="A134"/>
      <c r="B134"/>
      <c r="C134"/>
      <c r="D134"/>
    </row>
    <row r="135" spans="1:4" ht="12.75" x14ac:dyDescent="0.2">
      <c r="A135"/>
      <c r="B135"/>
      <c r="C135"/>
      <c r="D135"/>
    </row>
    <row r="136" spans="1:4" ht="12.75" x14ac:dyDescent="0.2">
      <c r="A136"/>
      <c r="B136"/>
      <c r="C136"/>
      <c r="D136"/>
    </row>
    <row r="137" spans="1:4" ht="12.75" x14ac:dyDescent="0.2">
      <c r="A137"/>
      <c r="B137"/>
      <c r="C137"/>
      <c r="D137"/>
    </row>
    <row r="138" spans="1:4" ht="12.75" x14ac:dyDescent="0.2">
      <c r="A138"/>
      <c r="B138"/>
      <c r="C138"/>
      <c r="D138"/>
    </row>
    <row r="139" spans="1:4" ht="12.75" x14ac:dyDescent="0.2">
      <c r="A139"/>
      <c r="B139"/>
      <c r="C139"/>
      <c r="D139"/>
    </row>
    <row r="140" spans="1:4" ht="12.75" x14ac:dyDescent="0.2">
      <c r="A140"/>
      <c r="B140"/>
      <c r="C140"/>
      <c r="D140"/>
    </row>
    <row r="141" spans="1:4" ht="12.75" x14ac:dyDescent="0.2">
      <c r="A141"/>
      <c r="B141"/>
      <c r="C141"/>
      <c r="D141"/>
    </row>
    <row r="142" spans="1:4" ht="12.75" x14ac:dyDescent="0.2">
      <c r="A142"/>
      <c r="B142"/>
      <c r="C142"/>
      <c r="D142"/>
    </row>
    <row r="143" spans="1:4" ht="12.75" x14ac:dyDescent="0.2">
      <c r="A143"/>
      <c r="B143"/>
      <c r="C143"/>
      <c r="D143"/>
    </row>
    <row r="144" spans="1:4" ht="12.75" x14ac:dyDescent="0.2">
      <c r="A144"/>
      <c r="B144"/>
      <c r="C144"/>
      <c r="D144"/>
    </row>
    <row r="145" spans="1:4" ht="12.75" x14ac:dyDescent="0.2">
      <c r="A145"/>
      <c r="B145"/>
      <c r="C145"/>
      <c r="D145"/>
    </row>
    <row r="146" spans="1:4" ht="12.75" x14ac:dyDescent="0.2">
      <c r="A146"/>
      <c r="B146"/>
      <c r="C146"/>
      <c r="D146"/>
    </row>
    <row r="147" spans="1:4" ht="12.75" x14ac:dyDescent="0.2">
      <c r="A147"/>
      <c r="B147"/>
      <c r="C147"/>
      <c r="D147"/>
    </row>
    <row r="148" spans="1:4" ht="12.75" x14ac:dyDescent="0.2">
      <c r="A148"/>
      <c r="B148"/>
      <c r="C148"/>
      <c r="D148"/>
    </row>
    <row r="149" spans="1:4" ht="12.75" x14ac:dyDescent="0.2">
      <c r="A149"/>
      <c r="B149"/>
      <c r="C149"/>
      <c r="D149"/>
    </row>
    <row r="150" spans="1:4" ht="12.75" x14ac:dyDescent="0.2">
      <c r="A150"/>
      <c r="B150"/>
      <c r="C150"/>
      <c r="D150"/>
    </row>
    <row r="151" spans="1:4" ht="12.75" x14ac:dyDescent="0.2">
      <c r="A151"/>
      <c r="B151"/>
      <c r="C151"/>
      <c r="D151"/>
    </row>
    <row r="152" spans="1:4" ht="12.75" x14ac:dyDescent="0.2">
      <c r="A152"/>
      <c r="B152"/>
      <c r="C152"/>
      <c r="D152"/>
    </row>
    <row r="153" spans="1:4" ht="12.75" x14ac:dyDescent="0.2">
      <c r="A153"/>
      <c r="B153"/>
      <c r="C153"/>
      <c r="D153"/>
    </row>
    <row r="154" spans="1:4" ht="12.75" x14ac:dyDescent="0.2">
      <c r="A154"/>
      <c r="B154"/>
      <c r="C154"/>
      <c r="D154"/>
    </row>
    <row r="155" spans="1:4" ht="12.75" x14ac:dyDescent="0.2">
      <c r="A155"/>
      <c r="B155"/>
      <c r="C155"/>
      <c r="D155"/>
    </row>
    <row r="156" spans="1:4" ht="12.75" x14ac:dyDescent="0.2">
      <c r="A156"/>
      <c r="B156"/>
      <c r="C156"/>
      <c r="D156"/>
    </row>
    <row r="157" spans="1:4" ht="12.75" x14ac:dyDescent="0.2">
      <c r="A157"/>
      <c r="B157"/>
      <c r="C157"/>
      <c r="D157"/>
    </row>
    <row r="158" spans="1:4" ht="12.75" x14ac:dyDescent="0.2">
      <c r="A158"/>
      <c r="B158"/>
      <c r="C158"/>
      <c r="D158"/>
    </row>
    <row r="159" spans="1:4" ht="12.75" x14ac:dyDescent="0.2">
      <c r="A159"/>
      <c r="B159"/>
      <c r="C159"/>
      <c r="D159"/>
    </row>
    <row r="160" spans="1:4" ht="12.75" x14ac:dyDescent="0.2">
      <c r="A160"/>
      <c r="B160"/>
      <c r="C160"/>
      <c r="D160"/>
    </row>
    <row r="161" spans="1:4" ht="12.75" x14ac:dyDescent="0.2">
      <c r="A161"/>
      <c r="B161"/>
      <c r="C161"/>
      <c r="D161"/>
    </row>
    <row r="162" spans="1:4" ht="12.75" x14ac:dyDescent="0.2">
      <c r="A162"/>
      <c r="B162"/>
      <c r="C162"/>
      <c r="D162"/>
    </row>
    <row r="163" spans="1:4" ht="12.75" x14ac:dyDescent="0.2">
      <c r="A163"/>
      <c r="B163"/>
      <c r="C163"/>
      <c r="D163"/>
    </row>
    <row r="164" spans="1:4" ht="12.75" x14ac:dyDescent="0.2">
      <c r="A164"/>
      <c r="B164"/>
      <c r="C164"/>
      <c r="D164"/>
    </row>
    <row r="165" spans="1:4" ht="12.75" x14ac:dyDescent="0.2">
      <c r="A165"/>
      <c r="B165"/>
      <c r="C165"/>
      <c r="D165"/>
    </row>
    <row r="166" spans="1:4" ht="12.75" x14ac:dyDescent="0.2">
      <c r="A166"/>
      <c r="B166"/>
      <c r="C166"/>
      <c r="D166"/>
    </row>
    <row r="167" spans="1:4" ht="12.75" x14ac:dyDescent="0.2">
      <c r="A167"/>
      <c r="B167"/>
      <c r="C167"/>
      <c r="D167"/>
    </row>
    <row r="168" spans="1:4" ht="12.75" x14ac:dyDescent="0.2">
      <c r="A168"/>
      <c r="B168"/>
      <c r="C168"/>
      <c r="D168"/>
    </row>
    <row r="169" spans="1:4" ht="12.75" x14ac:dyDescent="0.2">
      <c r="A169"/>
      <c r="B169"/>
      <c r="C169"/>
      <c r="D169"/>
    </row>
    <row r="170" spans="1:4" ht="12.75" x14ac:dyDescent="0.2">
      <c r="A170"/>
      <c r="B170"/>
      <c r="C170"/>
      <c r="D170"/>
    </row>
    <row r="171" spans="1:4" ht="12.75" x14ac:dyDescent="0.2">
      <c r="A171"/>
      <c r="B171"/>
      <c r="C171"/>
      <c r="D171"/>
    </row>
    <row r="172" spans="1:4" ht="12.75" x14ac:dyDescent="0.2">
      <c r="A172"/>
      <c r="B172"/>
      <c r="C172"/>
      <c r="D172"/>
    </row>
    <row r="173" spans="1:4" ht="12.75" x14ac:dyDescent="0.2">
      <c r="A173"/>
      <c r="B173"/>
      <c r="C173"/>
      <c r="D173"/>
    </row>
    <row r="174" spans="1:4" ht="12.75" x14ac:dyDescent="0.2">
      <c r="A174"/>
      <c r="B174"/>
      <c r="C174"/>
      <c r="D174"/>
    </row>
    <row r="175" spans="1:4" ht="12.75" x14ac:dyDescent="0.2">
      <c r="A175"/>
      <c r="B175"/>
      <c r="C175"/>
      <c r="D175"/>
    </row>
    <row r="176" spans="1:4" ht="12.75" x14ac:dyDescent="0.2">
      <c r="A176"/>
      <c r="B176"/>
      <c r="C176"/>
      <c r="D176"/>
    </row>
    <row r="177" spans="1:4" ht="12.75" x14ac:dyDescent="0.2">
      <c r="A177"/>
      <c r="B177"/>
      <c r="C177"/>
      <c r="D177"/>
    </row>
    <row r="178" spans="1:4" ht="12.75" x14ac:dyDescent="0.2">
      <c r="A178"/>
      <c r="B178"/>
      <c r="C178"/>
      <c r="D178"/>
    </row>
    <row r="179" spans="1:4" ht="12.75" x14ac:dyDescent="0.2">
      <c r="A179"/>
      <c r="B179"/>
      <c r="C179"/>
      <c r="D179"/>
    </row>
    <row r="180" spans="1:4" ht="12.75" x14ac:dyDescent="0.2">
      <c r="A180"/>
      <c r="B180"/>
      <c r="C180"/>
      <c r="D180"/>
    </row>
    <row r="181" spans="1:4" ht="12.75" x14ac:dyDescent="0.2">
      <c r="A181"/>
      <c r="B181"/>
      <c r="C181"/>
      <c r="D181"/>
    </row>
    <row r="182" spans="1:4" ht="12.75" x14ac:dyDescent="0.2">
      <c r="A182"/>
      <c r="B182"/>
      <c r="C182"/>
      <c r="D182"/>
    </row>
    <row r="183" spans="1:4" ht="12.75" x14ac:dyDescent="0.2">
      <c r="A183"/>
      <c r="B183"/>
      <c r="C183"/>
      <c r="D183"/>
    </row>
    <row r="184" spans="1:4" ht="12.75" x14ac:dyDescent="0.2">
      <c r="A184"/>
      <c r="B184"/>
      <c r="C184"/>
      <c r="D184"/>
    </row>
    <row r="185" spans="1:4" ht="12.75" x14ac:dyDescent="0.2">
      <c r="A185"/>
      <c r="B185"/>
      <c r="C185"/>
      <c r="D185"/>
    </row>
    <row r="186" spans="1:4" ht="12.75" x14ac:dyDescent="0.2">
      <c r="A186"/>
      <c r="B186"/>
      <c r="C186"/>
      <c r="D186"/>
    </row>
    <row r="187" spans="1:4" ht="12.75" x14ac:dyDescent="0.2">
      <c r="A187"/>
      <c r="B187"/>
      <c r="C187"/>
      <c r="D187"/>
    </row>
    <row r="188" spans="1:4" ht="12.75" x14ac:dyDescent="0.2">
      <c r="A188"/>
      <c r="B188"/>
      <c r="C188"/>
      <c r="D188"/>
    </row>
    <row r="189" spans="1:4" ht="12.75" x14ac:dyDescent="0.2">
      <c r="A189"/>
      <c r="B189"/>
      <c r="C189"/>
      <c r="D189"/>
    </row>
    <row r="190" spans="1:4" ht="12.75" x14ac:dyDescent="0.2">
      <c r="A190"/>
      <c r="B190"/>
      <c r="C190"/>
      <c r="D190"/>
    </row>
    <row r="191" spans="1:4" ht="12.75" x14ac:dyDescent="0.2">
      <c r="A191"/>
      <c r="B191"/>
      <c r="C191"/>
      <c r="D191"/>
    </row>
    <row r="192" spans="1:4" ht="12.75" x14ac:dyDescent="0.2">
      <c r="A192"/>
      <c r="B192"/>
      <c r="C192"/>
      <c r="D192"/>
    </row>
    <row r="193" spans="1:4" ht="12.75" x14ac:dyDescent="0.2">
      <c r="A193"/>
      <c r="B193"/>
      <c r="C193"/>
      <c r="D193"/>
    </row>
    <row r="194" spans="1:4" ht="12.75" x14ac:dyDescent="0.2">
      <c r="A194"/>
      <c r="B194"/>
      <c r="C194"/>
      <c r="D194"/>
    </row>
    <row r="195" spans="1:4" ht="12.75" x14ac:dyDescent="0.2">
      <c r="A195"/>
      <c r="B195"/>
      <c r="C195"/>
      <c r="D195"/>
    </row>
    <row r="196" spans="1:4" ht="12.75" x14ac:dyDescent="0.2">
      <c r="A196"/>
      <c r="B196"/>
      <c r="C196"/>
      <c r="D196"/>
    </row>
    <row r="197" spans="1:4" ht="12.75" x14ac:dyDescent="0.2">
      <c r="A197"/>
      <c r="B197"/>
      <c r="C197"/>
      <c r="D197"/>
    </row>
    <row r="198" spans="1:4" ht="12.75" x14ac:dyDescent="0.2">
      <c r="A198"/>
      <c r="B198"/>
      <c r="C198"/>
      <c r="D198"/>
    </row>
    <row r="199" spans="1:4" ht="12.75" x14ac:dyDescent="0.2">
      <c r="A199"/>
      <c r="B199"/>
      <c r="C199"/>
      <c r="D199"/>
    </row>
    <row r="200" spans="1:4" ht="12.75" x14ac:dyDescent="0.2">
      <c r="A200"/>
      <c r="B200"/>
      <c r="C200"/>
      <c r="D200"/>
    </row>
    <row r="201" spans="1:4" ht="12.75" x14ac:dyDescent="0.2">
      <c r="A201"/>
      <c r="B201"/>
      <c r="C201"/>
      <c r="D201"/>
    </row>
    <row r="202" spans="1:4" ht="12.75" x14ac:dyDescent="0.2">
      <c r="A202"/>
      <c r="B202"/>
      <c r="C202"/>
      <c r="D202"/>
    </row>
    <row r="203" spans="1:4" ht="12.75" x14ac:dyDescent="0.2">
      <c r="A203"/>
      <c r="B203"/>
      <c r="C203"/>
      <c r="D203"/>
    </row>
    <row r="204" spans="1:4" ht="12.75" x14ac:dyDescent="0.2">
      <c r="A204"/>
      <c r="B204"/>
      <c r="C204"/>
      <c r="D204"/>
    </row>
    <row r="205" spans="1:4" ht="12.75" x14ac:dyDescent="0.2">
      <c r="A205"/>
      <c r="B205"/>
      <c r="C205"/>
      <c r="D205"/>
    </row>
    <row r="206" spans="1:4" ht="12.75" x14ac:dyDescent="0.2">
      <c r="A206"/>
      <c r="B206"/>
      <c r="C206"/>
      <c r="D206"/>
    </row>
    <row r="207" spans="1:4" ht="12.75" x14ac:dyDescent="0.2">
      <c r="A207"/>
      <c r="B207"/>
      <c r="C207"/>
      <c r="D207"/>
    </row>
    <row r="208" spans="1:4" ht="12.75" x14ac:dyDescent="0.2">
      <c r="A208"/>
      <c r="B208"/>
      <c r="C208"/>
      <c r="D208"/>
    </row>
    <row r="209" spans="1:4" ht="12.75" x14ac:dyDescent="0.2">
      <c r="A209"/>
      <c r="B209"/>
      <c r="C209"/>
      <c r="D209"/>
    </row>
    <row r="210" spans="1:4" ht="12.75" x14ac:dyDescent="0.2">
      <c r="A210"/>
      <c r="B210"/>
      <c r="C210"/>
      <c r="D210"/>
    </row>
    <row r="211" spans="1:4" ht="12.75" x14ac:dyDescent="0.2">
      <c r="A211"/>
      <c r="B211"/>
      <c r="C211"/>
      <c r="D211"/>
    </row>
    <row r="212" spans="1:4" ht="12.75" x14ac:dyDescent="0.2">
      <c r="A212"/>
      <c r="B212"/>
      <c r="C212"/>
      <c r="D212"/>
    </row>
    <row r="213" spans="1:4" ht="12.75" x14ac:dyDescent="0.2">
      <c r="A213"/>
      <c r="B213"/>
      <c r="C213"/>
      <c r="D213"/>
    </row>
    <row r="214" spans="1:4" ht="12.75" x14ac:dyDescent="0.2">
      <c r="A214"/>
      <c r="B214"/>
      <c r="C214"/>
      <c r="D214"/>
    </row>
    <row r="215" spans="1:4" ht="12.75" x14ac:dyDescent="0.2">
      <c r="A215"/>
      <c r="B215"/>
      <c r="C215"/>
      <c r="D215"/>
    </row>
    <row r="216" spans="1:4" ht="12.75" x14ac:dyDescent="0.2">
      <c r="A216"/>
      <c r="B216"/>
      <c r="C216"/>
      <c r="D216"/>
    </row>
    <row r="217" spans="1:4" ht="12.75" x14ac:dyDescent="0.2">
      <c r="A217"/>
      <c r="B217"/>
      <c r="C217"/>
      <c r="D217"/>
    </row>
    <row r="218" spans="1:4" ht="12.75" x14ac:dyDescent="0.2">
      <c r="A218"/>
      <c r="B218"/>
      <c r="C218"/>
      <c r="D218"/>
    </row>
    <row r="219" spans="1:4" ht="12.75" x14ac:dyDescent="0.2">
      <c r="A219"/>
      <c r="B219"/>
      <c r="C219"/>
      <c r="D219"/>
    </row>
    <row r="220" spans="1:4" ht="12.75" x14ac:dyDescent="0.2">
      <c r="A220"/>
      <c r="B220"/>
      <c r="C220"/>
      <c r="D220"/>
    </row>
    <row r="221" spans="1:4" ht="12.75" x14ac:dyDescent="0.2">
      <c r="A221"/>
      <c r="B221"/>
      <c r="C221"/>
      <c r="D221"/>
    </row>
    <row r="222" spans="1:4" ht="12.75" x14ac:dyDescent="0.2">
      <c r="A222"/>
      <c r="B222"/>
      <c r="C222"/>
      <c r="D222"/>
    </row>
    <row r="223" spans="1:4" ht="12.75" x14ac:dyDescent="0.2">
      <c r="A223"/>
      <c r="B223"/>
      <c r="C223"/>
      <c r="D223"/>
    </row>
    <row r="224" spans="1:4" ht="12.75" x14ac:dyDescent="0.2">
      <c r="A224"/>
      <c r="B224"/>
      <c r="C224"/>
      <c r="D224"/>
    </row>
    <row r="225" spans="1:4" ht="12.75" x14ac:dyDescent="0.2">
      <c r="A225"/>
      <c r="B225"/>
      <c r="C225"/>
      <c r="D225"/>
    </row>
    <row r="226" spans="1:4" ht="12.75" x14ac:dyDescent="0.2">
      <c r="A226"/>
      <c r="B226"/>
      <c r="C226"/>
      <c r="D226"/>
    </row>
    <row r="227" spans="1:4" ht="12.75" x14ac:dyDescent="0.2">
      <c r="A227"/>
      <c r="B227"/>
      <c r="C227"/>
      <c r="D227"/>
    </row>
    <row r="228" spans="1:4" ht="12.75" x14ac:dyDescent="0.2">
      <c r="A228"/>
      <c r="B228"/>
      <c r="C228"/>
      <c r="D228"/>
    </row>
    <row r="229" spans="1:4" ht="12.75" x14ac:dyDescent="0.2">
      <c r="A229"/>
      <c r="B229"/>
      <c r="C229"/>
      <c r="D229"/>
    </row>
    <row r="230" spans="1:4" ht="12.75" x14ac:dyDescent="0.2">
      <c r="A230"/>
      <c r="B230"/>
      <c r="C230"/>
      <c r="D230"/>
    </row>
    <row r="231" spans="1:4" ht="12.75" x14ac:dyDescent="0.2">
      <c r="A231"/>
      <c r="B231"/>
      <c r="C231"/>
      <c r="D231"/>
    </row>
    <row r="232" spans="1:4" ht="12.75" x14ac:dyDescent="0.2">
      <c r="A232"/>
      <c r="B232"/>
      <c r="C232"/>
      <c r="D232"/>
    </row>
    <row r="233" spans="1:4" ht="12.75" x14ac:dyDescent="0.2">
      <c r="A233"/>
      <c r="B233"/>
      <c r="C233"/>
      <c r="D233"/>
    </row>
    <row r="234" spans="1:4" ht="12.75" x14ac:dyDescent="0.2">
      <c r="A234"/>
      <c r="B234"/>
      <c r="C234"/>
      <c r="D234"/>
    </row>
    <row r="235" spans="1:4" ht="12.75" x14ac:dyDescent="0.2">
      <c r="A235"/>
      <c r="B235"/>
      <c r="C235"/>
      <c r="D235"/>
    </row>
    <row r="236" spans="1:4" ht="12.75" x14ac:dyDescent="0.2">
      <c r="A236"/>
      <c r="B236"/>
      <c r="C236"/>
      <c r="D236"/>
    </row>
    <row r="237" spans="1:4" ht="12.75" x14ac:dyDescent="0.2">
      <c r="A237"/>
      <c r="B237"/>
      <c r="C237"/>
      <c r="D237"/>
    </row>
    <row r="238" spans="1:4" ht="12.75" x14ac:dyDescent="0.2">
      <c r="A238"/>
      <c r="B238"/>
      <c r="C238"/>
      <c r="D238"/>
    </row>
    <row r="239" spans="1:4" ht="12.75" x14ac:dyDescent="0.2">
      <c r="A239"/>
      <c r="B239"/>
      <c r="C239"/>
      <c r="D239"/>
    </row>
    <row r="240" spans="1:4" ht="12.75" x14ac:dyDescent="0.2">
      <c r="A240"/>
      <c r="B240"/>
      <c r="C240"/>
      <c r="D240"/>
    </row>
    <row r="241" spans="1:4" ht="12.75" x14ac:dyDescent="0.2">
      <c r="A241"/>
      <c r="B241"/>
      <c r="C241"/>
      <c r="D241"/>
    </row>
    <row r="242" spans="1:4" ht="12.75" x14ac:dyDescent="0.2">
      <c r="A242"/>
      <c r="B242"/>
      <c r="C242"/>
      <c r="D242"/>
    </row>
    <row r="243" spans="1:4" ht="12.75" x14ac:dyDescent="0.2">
      <c r="A243"/>
      <c r="B243"/>
      <c r="C243"/>
      <c r="D243"/>
    </row>
    <row r="244" spans="1:4" ht="12.75" x14ac:dyDescent="0.2">
      <c r="A244"/>
      <c r="B244"/>
      <c r="C244"/>
      <c r="D244"/>
    </row>
    <row r="245" spans="1:4" ht="12.75" x14ac:dyDescent="0.2">
      <c r="A245"/>
      <c r="B245"/>
      <c r="C245"/>
      <c r="D245"/>
    </row>
    <row r="246" spans="1:4" ht="12.75" x14ac:dyDescent="0.2">
      <c r="A246"/>
      <c r="B246"/>
      <c r="C246"/>
      <c r="D246"/>
    </row>
    <row r="247" spans="1:4" ht="12.75" x14ac:dyDescent="0.2">
      <c r="A247"/>
      <c r="B247"/>
      <c r="C247"/>
      <c r="D247"/>
    </row>
    <row r="248" spans="1:4" ht="12.75" x14ac:dyDescent="0.2">
      <c r="A248"/>
      <c r="B248"/>
      <c r="C248"/>
      <c r="D248"/>
    </row>
    <row r="249" spans="1:4" ht="12.75" x14ac:dyDescent="0.2">
      <c r="A249"/>
      <c r="B249"/>
      <c r="C249"/>
      <c r="D249"/>
    </row>
    <row r="250" spans="1:4" ht="12.75" x14ac:dyDescent="0.2">
      <c r="A250"/>
      <c r="B250"/>
      <c r="C250"/>
      <c r="D250"/>
    </row>
    <row r="251" spans="1:4" ht="12.75" x14ac:dyDescent="0.2">
      <c r="A251"/>
      <c r="B251"/>
      <c r="C251"/>
      <c r="D251"/>
    </row>
    <row r="252" spans="1:4" ht="12.75" x14ac:dyDescent="0.2">
      <c r="A252"/>
      <c r="B252"/>
      <c r="C252"/>
      <c r="D252"/>
    </row>
    <row r="253" spans="1:4" ht="12.75" x14ac:dyDescent="0.2">
      <c r="A253"/>
      <c r="B253"/>
      <c r="C253"/>
      <c r="D253"/>
    </row>
    <row r="254" spans="1:4" ht="12.75" x14ac:dyDescent="0.2">
      <c r="A254"/>
      <c r="B254"/>
      <c r="C254"/>
      <c r="D254"/>
    </row>
    <row r="255" spans="1:4" ht="12.75" x14ac:dyDescent="0.2">
      <c r="A255"/>
      <c r="B255"/>
      <c r="C255"/>
      <c r="D255"/>
    </row>
    <row r="256" spans="1:4" ht="12.75" x14ac:dyDescent="0.2">
      <c r="A256"/>
      <c r="B256"/>
      <c r="C256"/>
      <c r="D256"/>
    </row>
    <row r="257" spans="1:4" ht="12.75" x14ac:dyDescent="0.2">
      <c r="A257"/>
      <c r="B257"/>
      <c r="C257"/>
      <c r="D257"/>
    </row>
    <row r="258" spans="1:4" ht="12.75" x14ac:dyDescent="0.2">
      <c r="A258"/>
      <c r="B258"/>
      <c r="C258"/>
      <c r="D258"/>
    </row>
    <row r="259" spans="1:4" ht="12.75" x14ac:dyDescent="0.2">
      <c r="A259"/>
      <c r="B259"/>
      <c r="C259"/>
      <c r="D259"/>
    </row>
    <row r="260" spans="1:4" ht="12.75" x14ac:dyDescent="0.2">
      <c r="A260"/>
      <c r="B260"/>
      <c r="C260"/>
      <c r="D260"/>
    </row>
    <row r="261" spans="1:4" ht="12.75" x14ac:dyDescent="0.2">
      <c r="A261"/>
      <c r="B261"/>
      <c r="C261"/>
      <c r="D261"/>
    </row>
    <row r="262" spans="1:4" ht="12.75" x14ac:dyDescent="0.2">
      <c r="A262"/>
      <c r="B262"/>
      <c r="C262"/>
      <c r="D262"/>
    </row>
    <row r="263" spans="1:4" ht="12.75" x14ac:dyDescent="0.2">
      <c r="A263"/>
      <c r="B263"/>
      <c r="C263"/>
      <c r="D263"/>
    </row>
    <row r="264" spans="1:4" ht="12.75" x14ac:dyDescent="0.2">
      <c r="A264"/>
      <c r="B264"/>
      <c r="C264"/>
      <c r="D264"/>
    </row>
    <row r="265" spans="1:4" ht="12.75" x14ac:dyDescent="0.2">
      <c r="A265"/>
      <c r="B265"/>
      <c r="C265"/>
      <c r="D265"/>
    </row>
    <row r="266" spans="1:4" ht="12.75" x14ac:dyDescent="0.2">
      <c r="A266"/>
      <c r="B266"/>
      <c r="C266"/>
      <c r="D266"/>
    </row>
    <row r="267" spans="1:4" ht="12.75" x14ac:dyDescent="0.2">
      <c r="A267"/>
      <c r="B267"/>
      <c r="C267"/>
      <c r="D267"/>
    </row>
    <row r="268" spans="1:4" ht="12.75" x14ac:dyDescent="0.2">
      <c r="A268"/>
      <c r="B268"/>
      <c r="C268"/>
      <c r="D268"/>
    </row>
    <row r="269" spans="1:4" ht="12.75" x14ac:dyDescent="0.2">
      <c r="A269"/>
      <c r="B269"/>
      <c r="C269"/>
      <c r="D269"/>
    </row>
    <row r="270" spans="1:4" ht="12.75" x14ac:dyDescent="0.2">
      <c r="A270"/>
      <c r="B270"/>
      <c r="C270"/>
      <c r="D270"/>
    </row>
    <row r="271" spans="1:4" ht="12.75" x14ac:dyDescent="0.2">
      <c r="A271"/>
      <c r="B271"/>
      <c r="C271"/>
      <c r="D271"/>
    </row>
    <row r="272" spans="1:4" ht="12.75" x14ac:dyDescent="0.2">
      <c r="A272"/>
      <c r="B272"/>
      <c r="C272"/>
      <c r="D272"/>
    </row>
    <row r="273" spans="1:4" ht="12.75" x14ac:dyDescent="0.2">
      <c r="A273"/>
      <c r="B273"/>
      <c r="C273"/>
      <c r="D273"/>
    </row>
    <row r="274" spans="1:4" ht="12.75" x14ac:dyDescent="0.2">
      <c r="A274"/>
      <c r="B274"/>
      <c r="C274"/>
      <c r="D274"/>
    </row>
    <row r="275" spans="1:4" ht="12.75" x14ac:dyDescent="0.2">
      <c r="A275"/>
      <c r="B275"/>
      <c r="C275"/>
      <c r="D275"/>
    </row>
    <row r="276" spans="1:4" ht="12.75" x14ac:dyDescent="0.2">
      <c r="A276"/>
      <c r="B276"/>
      <c r="C276"/>
      <c r="D276"/>
    </row>
    <row r="277" spans="1:4" ht="12.75" x14ac:dyDescent="0.2">
      <c r="A277"/>
      <c r="B277"/>
      <c r="C277"/>
      <c r="D277"/>
    </row>
    <row r="278" spans="1:4" ht="12.75" x14ac:dyDescent="0.2">
      <c r="A278"/>
      <c r="B278"/>
      <c r="C278"/>
      <c r="D278"/>
    </row>
    <row r="279" spans="1:4" ht="12.75" x14ac:dyDescent="0.2">
      <c r="A279"/>
      <c r="B279"/>
      <c r="C279"/>
      <c r="D279"/>
    </row>
    <row r="280" spans="1:4" ht="12.75" x14ac:dyDescent="0.2">
      <c r="A280"/>
      <c r="B280"/>
      <c r="C280"/>
      <c r="D280"/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18"/>
  <sheetViews>
    <sheetView showRowColHeaders="0" workbookViewId="0">
      <selection activeCell="N5" sqref="N5"/>
    </sheetView>
  </sheetViews>
  <sheetFormatPr baseColWidth="10" defaultRowHeight="11.25" x14ac:dyDescent="0.2"/>
  <cols>
    <col min="1" max="1" width="10" style="86" bestFit="1" customWidth="1"/>
    <col min="2" max="2" width="10.85546875" style="86" bestFit="1" customWidth="1"/>
    <col min="3" max="3" width="14.28515625" style="86" bestFit="1" customWidth="1"/>
    <col min="4" max="4" width="13.7109375" style="86" bestFit="1" customWidth="1"/>
    <col min="5" max="5" width="17.140625" style="86" bestFit="1" customWidth="1"/>
    <col min="6" max="6" width="12.28515625" style="86" bestFit="1" customWidth="1"/>
    <col min="7" max="7" width="13" style="86" bestFit="1" customWidth="1"/>
    <col min="8" max="8" width="15.85546875" style="86" bestFit="1" customWidth="1"/>
    <col min="9" max="9" width="11" style="86" bestFit="1" customWidth="1"/>
    <col min="10" max="10" width="13" style="86" bestFit="1" customWidth="1"/>
    <col min="11" max="11" width="15.85546875" style="86" bestFit="1" customWidth="1"/>
    <col min="12" max="12" width="11" style="86" bestFit="1" customWidth="1"/>
    <col min="13" max="13" width="14.140625" style="86" bestFit="1" customWidth="1"/>
    <col min="14" max="14" width="14.7109375" style="86" bestFit="1" customWidth="1"/>
    <col min="15" max="15" width="13.42578125" style="86" bestFit="1" customWidth="1"/>
    <col min="16" max="16" width="12.28515625" style="86" bestFit="1" customWidth="1"/>
    <col min="17" max="16384" width="11.42578125" style="86"/>
  </cols>
  <sheetData>
    <row r="1" spans="1:17" ht="22.5" x14ac:dyDescent="0.2">
      <c r="A1" s="86" t="s">
        <v>53</v>
      </c>
      <c r="B1" s="86" t="s">
        <v>99</v>
      </c>
      <c r="C1" s="86" t="s">
        <v>104</v>
      </c>
      <c r="D1" s="86" t="s">
        <v>100</v>
      </c>
      <c r="E1" s="86" t="s">
        <v>105</v>
      </c>
      <c r="F1" s="100" t="s">
        <v>106</v>
      </c>
      <c r="G1" s="111" t="s">
        <v>112</v>
      </c>
      <c r="H1" s="111" t="s">
        <v>113</v>
      </c>
      <c r="I1" s="100" t="s">
        <v>101</v>
      </c>
      <c r="J1" s="111" t="s">
        <v>114</v>
      </c>
      <c r="K1" s="111" t="s">
        <v>115</v>
      </c>
      <c r="L1" s="100" t="s">
        <v>102</v>
      </c>
      <c r="M1" s="100" t="s">
        <v>103</v>
      </c>
      <c r="N1" s="100" t="s">
        <v>107</v>
      </c>
      <c r="O1" s="100" t="s">
        <v>108</v>
      </c>
      <c r="P1" s="100" t="s">
        <v>109</v>
      </c>
      <c r="Q1" s="102" t="s">
        <v>111</v>
      </c>
    </row>
    <row r="2" spans="1:17" x14ac:dyDescent="0.2">
      <c r="A2" s="86">
        <v>2021</v>
      </c>
      <c r="B2" s="86">
        <f>MATCH(Tableau4[[#This Row],[Année]],tabSuiviConso[Année],0)</f>
        <v>2</v>
      </c>
      <c r="C2" s="55">
        <f>INDEX(tabSuiviConso[Date],Tableau4[[#This Row],[1er jour]],1)</f>
        <v>45526.324999999997</v>
      </c>
      <c r="D2" s="86">
        <f>MATCH(Tableau4[[#This Row],[Année]],tabSuiviConso[Année last],0)</f>
        <v>18</v>
      </c>
      <c r="E2" s="55">
        <f>INDEX(tabSuiviConso[Date],Tableau4[[#This Row],[Dernier jour]],1)</f>
        <v>45542.332638888889</v>
      </c>
      <c r="F2" s="99">
        <f>Tableau4[[#This Row],[Date Dernier jour]]-Tableau4[[#This Row],[Date 1er jour]]</f>
        <v>16.007638888891961</v>
      </c>
      <c r="G2" s="98">
        <f>INDEX(tabSuiviConso[Diff HP
cumul],Tableau4[[#This Row],[1er jour]],1)</f>
        <v>1730</v>
      </c>
      <c r="H2" s="98">
        <f>INDEX(tabSuiviConso[Diff HP
cumul],Tableau4[[#This Row],[Dernier jour]],1)</f>
        <v>-179759</v>
      </c>
      <c r="I2" s="98">
        <f>Tableau4[[#This Row],[Diff HP Cumul
Dernier jour]]-Tableau4[[#This Row],[Diff HP Cumul
1er jour]]</f>
        <v>-181489</v>
      </c>
      <c r="J2" s="98">
        <f>INDEX(tabSuiviConso[Diff HC
cumul],Tableau4[[#This Row],[1er jour]],1)</f>
        <v>841</v>
      </c>
      <c r="K2" s="98">
        <f>INDEX(tabSuiviConso[Diff HC
cumul],Tableau4[[#This Row],[Dernier jour]],1)</f>
        <v>-119432</v>
      </c>
      <c r="L2" s="98">
        <f>Tableau4[[#This Row],[Diff HC Cumul
Dernier jour]]-Tableau4[[#This Row],[Diff HC Cumul
1er jour]]</f>
        <v>-120273</v>
      </c>
      <c r="M2" s="98">
        <f>Tableau4[[#This Row],[Ecart HP]]+Tableau4[[#This Row],[Ecart HC]]</f>
        <v>-301762</v>
      </c>
      <c r="N2" s="101">
        <f>Tableau4[[#This Row],[Ecart HP + HC]]/(Tableau4[[#This Row],[Ecart Date]]*24)</f>
        <v>-785.46353737349898</v>
      </c>
      <c r="O2" s="101">
        <f>Tableau4[[#This Row],[Ecart HP + HC]]/Tableau4[[#This Row],[Ecart Date]]</f>
        <v>-18851.124896963975</v>
      </c>
      <c r="P2" s="101">
        <f>Tableau4[[#This Row],[HP+HC/jour]]*365</f>
        <v>-6880660.5873918505</v>
      </c>
      <c r="Q2" s="104" t="e">
        <f>(Tableau4[[#This Row],[HP+HC/an]]-P1)/P1</f>
        <v>#VALUE!</v>
      </c>
    </row>
    <row r="3" spans="1:17" x14ac:dyDescent="0.2">
      <c r="A3" s="86">
        <v>2022</v>
      </c>
      <c r="B3" s="86" t="e">
        <f>MATCH(Tableau4[[#This Row],[Année]],tabSuiviConso[Année],0)</f>
        <v>#N/A</v>
      </c>
      <c r="C3" s="55" t="e">
        <f>INDEX(tabSuiviConso[Date],Tableau4[[#This Row],[1er jour]],1)</f>
        <v>#N/A</v>
      </c>
      <c r="D3" s="86" t="e">
        <f>MATCH(Tableau4[[#This Row],[Année]],tabSuiviConso[Année last],0)</f>
        <v>#N/A</v>
      </c>
      <c r="E3" s="55" t="e">
        <f>INDEX(tabSuiviConso[Date],Tableau4[[#This Row],[Dernier jour]],1)</f>
        <v>#N/A</v>
      </c>
      <c r="F3" s="99" t="e">
        <f>Tableau4[[#This Row],[Date Dernier jour]]-Tableau4[[#This Row],[Date 1er jour]]</f>
        <v>#N/A</v>
      </c>
      <c r="G3" s="98" t="e">
        <f>INDEX(tabSuiviConso[Diff HP
cumul],Tableau4[[#This Row],[1er jour]],1)</f>
        <v>#N/A</v>
      </c>
      <c r="H3" s="98" t="e">
        <f>INDEX(tabSuiviConso[Diff HP
cumul],Tableau4[[#This Row],[Dernier jour]],1)</f>
        <v>#N/A</v>
      </c>
      <c r="I3" s="98" t="e">
        <f>Tableau4[[#This Row],[Diff HP Cumul
Dernier jour]]-Tableau4[[#This Row],[Diff HP Cumul
1er jour]]</f>
        <v>#N/A</v>
      </c>
      <c r="J3" s="98" t="e">
        <f>INDEX(tabSuiviConso[Diff HC
cumul],Tableau4[[#This Row],[1er jour]],1)</f>
        <v>#N/A</v>
      </c>
      <c r="K3" s="98" t="e">
        <f>INDEX(tabSuiviConso[Diff HC
cumul],Tableau4[[#This Row],[Dernier jour]],1)</f>
        <v>#N/A</v>
      </c>
      <c r="L3" s="98" t="e">
        <f>Tableau4[[#This Row],[Diff HC Cumul
Dernier jour]]-Tableau4[[#This Row],[Diff HC Cumul
1er jour]]</f>
        <v>#N/A</v>
      </c>
      <c r="M3" s="98" t="e">
        <f>Tableau4[[#This Row],[Ecart HP]]+Tableau4[[#This Row],[Ecart HC]]</f>
        <v>#N/A</v>
      </c>
      <c r="N3" s="101" t="e">
        <f>Tableau4[[#This Row],[Ecart HP + HC]]/(Tableau4[[#This Row],[Ecart Date]]*24)</f>
        <v>#N/A</v>
      </c>
      <c r="O3" s="101" t="e">
        <f>Tableau4[[#This Row],[Ecart HP + HC]]/Tableau4[[#This Row],[Ecart Date]]</f>
        <v>#N/A</v>
      </c>
      <c r="P3" s="101" t="e">
        <f>Tableau4[[#This Row],[HP+HC/jour]]*365</f>
        <v>#N/A</v>
      </c>
      <c r="Q3" s="104" t="e">
        <f>(Tableau4[[#This Row],[HP+HC/an]]-P2)/P2</f>
        <v>#N/A</v>
      </c>
    </row>
    <row r="4" spans="1:17" x14ac:dyDescent="0.2">
      <c r="A4" s="86">
        <v>2023</v>
      </c>
      <c r="B4" s="86" t="e">
        <f>MATCH(Tableau4[[#This Row],[Année]],tabSuiviConso[Année],0)</f>
        <v>#N/A</v>
      </c>
      <c r="C4" s="55" t="e">
        <f>INDEX(tabSuiviConso[Date],Tableau4[[#This Row],[1er jour]],1)</f>
        <v>#N/A</v>
      </c>
      <c r="D4" s="86" t="e">
        <f>MATCH(Tableau4[[#This Row],[Année]],tabSuiviConso[Année last],0)</f>
        <v>#N/A</v>
      </c>
      <c r="E4" s="55" t="e">
        <f>INDEX(tabSuiviConso[Date],Tableau4[[#This Row],[Dernier jour]],1)</f>
        <v>#N/A</v>
      </c>
      <c r="F4" s="99" t="e">
        <f>Tableau4[[#This Row],[Date Dernier jour]]-Tableau4[[#This Row],[Date 1er jour]]</f>
        <v>#N/A</v>
      </c>
      <c r="G4" s="98" t="e">
        <f>INDEX(tabSuiviConso[Diff HP
cumul],Tableau4[[#This Row],[1er jour]],1)</f>
        <v>#N/A</v>
      </c>
      <c r="H4" s="98" t="e">
        <f>INDEX(tabSuiviConso[Diff HP
cumul],Tableau4[[#This Row],[Dernier jour]],1)</f>
        <v>#N/A</v>
      </c>
      <c r="I4" s="98" t="e">
        <f>Tableau4[[#This Row],[Diff HP Cumul
Dernier jour]]-Tableau4[[#This Row],[Diff HP Cumul
1er jour]]</f>
        <v>#N/A</v>
      </c>
      <c r="J4" s="98" t="e">
        <f>INDEX(tabSuiviConso[Diff HC
cumul],Tableau4[[#This Row],[1er jour]],1)</f>
        <v>#N/A</v>
      </c>
      <c r="K4" s="98" t="e">
        <f>INDEX(tabSuiviConso[Diff HC
cumul],Tableau4[[#This Row],[Dernier jour]],1)</f>
        <v>#N/A</v>
      </c>
      <c r="L4" s="98" t="e">
        <f>Tableau4[[#This Row],[Diff HC Cumul
Dernier jour]]-Tableau4[[#This Row],[Diff HC Cumul
1er jour]]</f>
        <v>#N/A</v>
      </c>
      <c r="M4" s="98" t="e">
        <f>Tableau4[[#This Row],[Ecart HP]]+Tableau4[[#This Row],[Ecart HC]]</f>
        <v>#N/A</v>
      </c>
      <c r="N4" s="101" t="e">
        <f>Tableau4[[#This Row],[Ecart HP + HC]]/(Tableau4[[#This Row],[Ecart Date]]*24)</f>
        <v>#N/A</v>
      </c>
      <c r="O4" s="101" t="e">
        <f>Tableau4[[#This Row],[Ecart HP + HC]]/Tableau4[[#This Row],[Ecart Date]]</f>
        <v>#N/A</v>
      </c>
      <c r="P4" s="101" t="e">
        <f>Tableau4[[#This Row],[HP+HC/jour]]*365</f>
        <v>#N/A</v>
      </c>
      <c r="Q4" s="104" t="e">
        <f>(Tableau4[[#This Row],[HP+HC/an]]-P3)/P3</f>
        <v>#N/A</v>
      </c>
    </row>
    <row r="5" spans="1:17" x14ac:dyDescent="0.2">
      <c r="A5" s="102">
        <v>2024</v>
      </c>
      <c r="B5" s="102" t="e">
        <f>MATCH(Tableau4[[#This Row],[Année]],tabSuiviConso[Année],0)</f>
        <v>#N/A</v>
      </c>
      <c r="C5" s="55" t="e">
        <f>INDEX(tabSuiviConso[Date],Tableau4[[#This Row],[1er jour]],1)</f>
        <v>#N/A</v>
      </c>
      <c r="D5" s="102" t="e">
        <f>MATCH(Tableau4[[#This Row],[Année]],tabSuiviConso[Année last],0)</f>
        <v>#N/A</v>
      </c>
      <c r="E5" s="55" t="e">
        <f>INDEX(tabSuiviConso[Date],Tableau4[[#This Row],[Dernier jour]],1)</f>
        <v>#N/A</v>
      </c>
      <c r="F5" s="120" t="e">
        <f>Tableau4[[#This Row],[Date Dernier jour]]-Tableau4[[#This Row],[Date 1er jour]]</f>
        <v>#N/A</v>
      </c>
      <c r="G5" s="121" t="e">
        <f>INDEX(tabSuiviConso[Diff HP
cumul],Tableau4[[#This Row],[1er jour]],1)</f>
        <v>#N/A</v>
      </c>
      <c r="H5" s="121" t="e">
        <f>INDEX(tabSuiviConso[Diff HP
cumul],Tableau4[[#This Row],[Dernier jour]],1)</f>
        <v>#N/A</v>
      </c>
      <c r="I5" s="102" t="e">
        <f>Tableau4[[#This Row],[Diff HP Cumul
Dernier jour]]-Tableau4[[#This Row],[Diff HP Cumul
1er jour]]</f>
        <v>#N/A</v>
      </c>
      <c r="J5" s="121" t="e">
        <f>INDEX(tabSuiviConso[Diff HC
cumul],Tableau4[[#This Row],[1er jour]],1)</f>
        <v>#N/A</v>
      </c>
      <c r="K5" s="121" t="e">
        <f>INDEX(tabSuiviConso[Diff HC
cumul],Tableau4[[#This Row],[Dernier jour]],1)</f>
        <v>#N/A</v>
      </c>
      <c r="L5" s="121" t="e">
        <f>Tableau4[[#This Row],[Diff HC Cumul
Dernier jour]]-Tableau4[[#This Row],[Diff HC Cumul
1er jour]]</f>
        <v>#N/A</v>
      </c>
      <c r="M5" s="121" t="e">
        <f>Tableau4[[#This Row],[Ecart HP]]+Tableau4[[#This Row],[Ecart HC]]</f>
        <v>#N/A</v>
      </c>
      <c r="N5" s="101" t="e">
        <f>Tableau4[[#This Row],[Ecart HP + HC]]/(Tableau4[[#This Row],[Ecart Date]]*24)</f>
        <v>#N/A</v>
      </c>
      <c r="O5" s="101" t="e">
        <f>Tableau4[[#This Row],[Ecart HP + HC]]/Tableau4[[#This Row],[Ecart Date]]</f>
        <v>#N/A</v>
      </c>
      <c r="P5" s="122" t="e">
        <f>Tableau4[[#This Row],[HP+HC/jour]]*365</f>
        <v>#N/A</v>
      </c>
      <c r="Q5" s="104" t="e">
        <f>(Tableau4[[#This Row],[HP+HC/an]]-P4)/P4</f>
        <v>#N/A</v>
      </c>
    </row>
    <row r="18" spans="14:14" x14ac:dyDescent="0.2">
      <c r="N18" s="103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5"/>
  <sheetViews>
    <sheetView showRowColHeaders="0" workbookViewId="0">
      <selection activeCell="H55" sqref="H55"/>
    </sheetView>
  </sheetViews>
  <sheetFormatPr baseColWidth="10" defaultRowHeight="11.25" x14ac:dyDescent="0.2"/>
  <cols>
    <col min="1" max="1" width="10" style="86" bestFit="1" customWidth="1"/>
    <col min="2" max="2" width="12.140625" style="86" bestFit="1" customWidth="1"/>
    <col min="3" max="3" width="10.85546875" style="86" bestFit="1" customWidth="1"/>
    <col min="4" max="4" width="14.28515625" style="86" bestFit="1" customWidth="1"/>
    <col min="5" max="5" width="13.7109375" style="86" bestFit="1" customWidth="1"/>
    <col min="6" max="6" width="17.140625" style="86" bestFit="1" customWidth="1"/>
    <col min="7" max="7" width="12.28515625" style="86" bestFit="1" customWidth="1"/>
    <col min="8" max="8" width="13" style="86" bestFit="1" customWidth="1"/>
    <col min="9" max="9" width="15.85546875" style="86" bestFit="1" customWidth="1"/>
    <col min="10" max="10" width="11" style="86" bestFit="1" customWidth="1"/>
    <col min="11" max="11" width="13" style="86" bestFit="1" customWidth="1"/>
    <col min="12" max="12" width="15.85546875" style="86" bestFit="1" customWidth="1"/>
    <col min="13" max="13" width="11" style="86" bestFit="1" customWidth="1"/>
    <col min="14" max="14" width="14.140625" style="86" bestFit="1" customWidth="1"/>
    <col min="15" max="15" width="14.7109375" style="86" bestFit="1" customWidth="1"/>
    <col min="16" max="16" width="13.42578125" style="86" bestFit="1" customWidth="1"/>
    <col min="17" max="17" width="12.28515625" style="86" bestFit="1" customWidth="1"/>
    <col min="18" max="16384" width="11.42578125" style="86"/>
  </cols>
  <sheetData>
    <row r="1" spans="1:18" ht="22.5" x14ac:dyDescent="0.2">
      <c r="A1" s="86" t="s">
        <v>53</v>
      </c>
      <c r="B1" s="86" t="s">
        <v>110</v>
      </c>
      <c r="C1" s="86" t="s">
        <v>99</v>
      </c>
      <c r="D1" s="86" t="s">
        <v>104</v>
      </c>
      <c r="E1" s="86" t="s">
        <v>100</v>
      </c>
      <c r="F1" s="86" t="s">
        <v>105</v>
      </c>
      <c r="G1" s="100" t="s">
        <v>106</v>
      </c>
      <c r="H1" s="111" t="s">
        <v>112</v>
      </c>
      <c r="I1" s="111" t="s">
        <v>113</v>
      </c>
      <c r="J1" s="100" t="s">
        <v>101</v>
      </c>
      <c r="K1" s="111" t="s">
        <v>114</v>
      </c>
      <c r="L1" s="111" t="s">
        <v>115</v>
      </c>
      <c r="M1" s="100" t="s">
        <v>102</v>
      </c>
      <c r="N1" s="100" t="s">
        <v>103</v>
      </c>
      <c r="O1" s="100" t="s">
        <v>107</v>
      </c>
      <c r="P1" s="100" t="s">
        <v>108</v>
      </c>
      <c r="Q1" s="100" t="s">
        <v>109</v>
      </c>
      <c r="R1" s="102" t="s">
        <v>111</v>
      </c>
    </row>
    <row r="2" spans="1:18" x14ac:dyDescent="0.2">
      <c r="A2" s="86">
        <v>2021</v>
      </c>
      <c r="B2" s="86">
        <v>2022</v>
      </c>
      <c r="C2" s="86">
        <f>MATCH(Tableau46[[#This Row],[Année]],tabSuiviConso[Année],0)</f>
        <v>2</v>
      </c>
      <c r="D2" s="106">
        <f>INDEX(tabSuiviConso[Date],Tableau46[[#This Row],[1er jour]],1)</f>
        <v>45526.324999999997</v>
      </c>
      <c r="E2" s="86">
        <f>MATCH(Tableau46[[#This Row],[Année]],tabSuiviConso[Année last],0)</f>
        <v>18</v>
      </c>
      <c r="F2" s="55">
        <f>INDEX(tabSuiviConso[Date],Tableau46[[#This Row],[Dernier jour]],1)</f>
        <v>45542.332638888889</v>
      </c>
      <c r="G2" s="99">
        <f>Tableau46[[#This Row],[Date Dernier jour]]-Tableau46[[#This Row],[Date 1er jour]]</f>
        <v>16.007638888891961</v>
      </c>
      <c r="H2" s="98">
        <f>INDEX(tabSuiviConso[Diff HP
cumul],Tableau46[[#This Row],[1er jour]],1)</f>
        <v>1730</v>
      </c>
      <c r="I2" s="98">
        <f>INDEX(tabSuiviConso[Diff HP
cumul],Tableau46[[#This Row],[Dernier jour]],1)</f>
        <v>-179759</v>
      </c>
      <c r="J2" s="98">
        <f>Tableau46[[#This Row],[Diff HP Cumul
Dernier jour]]-Tableau46[[#This Row],[Diff HP Cumul
1er jour]]</f>
        <v>-181489</v>
      </c>
      <c r="K2" s="98">
        <f>INDEX(tabSuiviConso[Diff HC
cumul],Tableau46[[#This Row],[1er jour]],1)</f>
        <v>841</v>
      </c>
      <c r="L2" s="98">
        <f>INDEX(tabSuiviConso[Diff HC
cumul],Tableau46[[#This Row],[Dernier jour]],1)</f>
        <v>-119432</v>
      </c>
      <c r="M2" s="98">
        <f>Tableau46[[#This Row],[Diff HC Cumul
Dernier jour]]-Tableau46[[#This Row],[Diff HC Cumul
1er jour]]</f>
        <v>-120273</v>
      </c>
      <c r="N2" s="98">
        <f>Tableau46[[#This Row],[Ecart HP]]+Tableau46[[#This Row],[Ecart HC]]</f>
        <v>-301762</v>
      </c>
      <c r="O2" s="101">
        <f>Tableau46[[#This Row],[Ecart HP + HC]]/(Tableau46[[#This Row],[Ecart Date]]*24)</f>
        <v>-785.46353737349898</v>
      </c>
      <c r="P2" s="101">
        <f>Tableau46[[#This Row],[Ecart HP + HC]]/Tableau46[[#This Row],[Ecart Date]]</f>
        <v>-18851.124896963975</v>
      </c>
      <c r="Q2" s="101">
        <f>Tableau46[[#This Row],[HP+HC/jour]]*365</f>
        <v>-6880660.5873918505</v>
      </c>
      <c r="R2" s="105" t="e">
        <f>(Tableau46[[#This Row],[HP+HC/an]]-Q1)/Q1</f>
        <v>#VALUE!</v>
      </c>
    </row>
    <row r="3" spans="1:18" x14ac:dyDescent="0.2">
      <c r="A3" s="86">
        <v>2021</v>
      </c>
      <c r="B3" s="86">
        <v>2022</v>
      </c>
      <c r="C3" s="86">
        <f>MATCH(Tableau46[[#This Row],[Année]],tabSuiviConso[Année last],0)</f>
        <v>18</v>
      </c>
      <c r="D3" s="106">
        <f>INDEX(tabSuiviConso[Date],Tableau46[[#This Row],[1er jour]],1)</f>
        <v>45542.332638888889</v>
      </c>
      <c r="E3" s="86" t="e">
        <f>MATCH(Tableau46[[#This Row],[Année + 1]],tabSuiviConso[Année last],0)</f>
        <v>#N/A</v>
      </c>
      <c r="F3" s="55" t="e">
        <f>INDEX(tabSuiviConso[Date],Tableau46[[#This Row],[Dernier jour]],1)</f>
        <v>#N/A</v>
      </c>
      <c r="G3" s="99" t="e">
        <f>Tableau46[[#This Row],[Date Dernier jour]]-Tableau46[[#This Row],[Date 1er jour]]</f>
        <v>#N/A</v>
      </c>
      <c r="H3" s="98">
        <f>INDEX(tabSuiviConso[Diff HP
cumul],Tableau46[[#This Row],[1er jour]],1)</f>
        <v>-179759</v>
      </c>
      <c r="I3" s="98" t="e">
        <f>INDEX(tabSuiviConso[Diff HP
cumul],Tableau46[[#This Row],[Dernier jour]],1)</f>
        <v>#N/A</v>
      </c>
      <c r="J3" s="98" t="e">
        <f>Tableau46[[#This Row],[Diff HP Cumul
Dernier jour]]-Tableau46[[#This Row],[Diff HP Cumul
1er jour]]</f>
        <v>#N/A</v>
      </c>
      <c r="K3" s="98">
        <f>INDEX(tabSuiviConso[Diff HC
cumul],Tableau46[[#This Row],[1er jour]],1)</f>
        <v>-119432</v>
      </c>
      <c r="L3" s="98" t="e">
        <f>INDEX(tabSuiviConso[Diff HC
cumul],Tableau46[[#This Row],[Dernier jour]],1)</f>
        <v>#N/A</v>
      </c>
      <c r="M3" s="98" t="e">
        <f>Tableau46[[#This Row],[Diff HC Cumul
Dernier jour]]-Tableau46[[#This Row],[Diff HC Cumul
1er jour]]</f>
        <v>#N/A</v>
      </c>
      <c r="N3" s="98" t="e">
        <f>Tableau46[[#This Row],[Ecart HP]]+Tableau46[[#This Row],[Ecart HC]]</f>
        <v>#N/A</v>
      </c>
      <c r="O3" s="101" t="e">
        <f>Tableau46[[#This Row],[Ecart HP + HC]]/(Tableau46[[#This Row],[Ecart Date]]*24)</f>
        <v>#N/A</v>
      </c>
      <c r="P3" s="101" t="e">
        <f>Tableau46[[#This Row],[Ecart HP + HC]]/Tableau46[[#This Row],[Ecart Date]]</f>
        <v>#N/A</v>
      </c>
      <c r="Q3" s="101" t="e">
        <f>Tableau46[[#This Row],[HP+HC/jour]]*365</f>
        <v>#N/A</v>
      </c>
      <c r="R3" s="105" t="e">
        <f>(Tableau46[[#This Row],[HP+HC/an]]-Q2)/Q2</f>
        <v>#N/A</v>
      </c>
    </row>
    <row r="4" spans="1:18" x14ac:dyDescent="0.2">
      <c r="A4" s="86">
        <v>2022</v>
      </c>
      <c r="B4" s="86">
        <v>2023</v>
      </c>
      <c r="C4" s="86" t="e">
        <f>MATCH(Tableau46[[#This Row],[Année]],tabSuiviConso[Année last],0)</f>
        <v>#N/A</v>
      </c>
      <c r="D4" s="106" t="e">
        <f>INDEX(tabSuiviConso[Date],Tableau46[[#This Row],[1er jour]],1)</f>
        <v>#N/A</v>
      </c>
      <c r="E4" s="86" t="e">
        <f>MATCH(Tableau46[[#This Row],[Année + 1]],tabSuiviConso[Année last],0)</f>
        <v>#N/A</v>
      </c>
      <c r="F4" s="55" t="e">
        <f>INDEX(tabSuiviConso[Date],Tableau46[[#This Row],[Dernier jour]],1)</f>
        <v>#N/A</v>
      </c>
      <c r="G4" s="99" t="e">
        <f>Tableau46[[#This Row],[Date Dernier jour]]-Tableau46[[#This Row],[Date 1er jour]]</f>
        <v>#N/A</v>
      </c>
      <c r="H4" s="98" t="e">
        <f>INDEX(tabSuiviConso[Diff HP
cumul],Tableau46[[#This Row],[1er jour]],1)</f>
        <v>#N/A</v>
      </c>
      <c r="I4" s="98" t="e">
        <f>INDEX(tabSuiviConso[Diff HP
cumul],Tableau46[[#This Row],[Dernier jour]],1)</f>
        <v>#N/A</v>
      </c>
      <c r="J4" s="98" t="e">
        <f>Tableau46[[#This Row],[Diff HP Cumul
Dernier jour]]-Tableau46[[#This Row],[Diff HP Cumul
1er jour]]</f>
        <v>#N/A</v>
      </c>
      <c r="K4" s="98" t="e">
        <f>INDEX(tabSuiviConso[Diff HC
cumul],Tableau46[[#This Row],[1er jour]],1)</f>
        <v>#N/A</v>
      </c>
      <c r="L4" s="98" t="e">
        <f>INDEX(tabSuiviConso[Diff HC
cumul],Tableau46[[#This Row],[Dernier jour]],1)</f>
        <v>#N/A</v>
      </c>
      <c r="M4" s="98" t="e">
        <f>Tableau46[[#This Row],[Diff HC Cumul
Dernier jour]]-Tableau46[[#This Row],[Diff HC Cumul
1er jour]]</f>
        <v>#N/A</v>
      </c>
      <c r="N4" s="98" t="e">
        <f>Tableau46[[#This Row],[Ecart HP]]+Tableau46[[#This Row],[Ecart HC]]</f>
        <v>#N/A</v>
      </c>
      <c r="O4" s="101" t="e">
        <f>Tableau46[[#This Row],[Ecart HP + HC]]/(Tableau46[[#This Row],[Ecart Date]]*24)</f>
        <v>#N/A</v>
      </c>
      <c r="P4" s="101" t="e">
        <f>Tableau46[[#This Row],[Ecart HP + HC]]/Tableau46[[#This Row],[Ecart Date]]</f>
        <v>#N/A</v>
      </c>
      <c r="Q4" s="101" t="e">
        <f>Tableau46[[#This Row],[HP+HC/jour]]*365</f>
        <v>#N/A</v>
      </c>
      <c r="R4" s="105" t="e">
        <f>(Tableau46[[#This Row],[HP+HC/an]]-Q3)/Q3</f>
        <v>#N/A</v>
      </c>
    </row>
    <row r="5" spans="1:18" x14ac:dyDescent="0.2">
      <c r="A5" s="102">
        <v>2023</v>
      </c>
      <c r="B5" s="102">
        <v>2024</v>
      </c>
      <c r="C5" s="86" t="e">
        <f>MATCH(Tableau46[[#This Row],[Année]],tabSuiviConso[Année last],0)</f>
        <v>#N/A</v>
      </c>
      <c r="D5" s="106" t="e">
        <f>INDEX(tabSuiviConso[Date],Tableau46[[#This Row],[1er jour]],1)</f>
        <v>#N/A</v>
      </c>
      <c r="E5" s="86" t="e">
        <f>MATCH(Tableau46[[#This Row],[Année + 1]],tabSuiviConso[Année last],0)</f>
        <v>#N/A</v>
      </c>
      <c r="F5" s="55" t="e">
        <f>INDEX(tabSuiviConso[Date],Tableau46[[#This Row],[Dernier jour]],1)</f>
        <v>#N/A</v>
      </c>
      <c r="G5" s="120" t="e">
        <f>Tableau46[[#This Row],[Date Dernier jour]]-Tableau46[[#This Row],[Date 1er jour]]</f>
        <v>#N/A</v>
      </c>
      <c r="H5" s="121" t="e">
        <f>INDEX(tabSuiviConso[Diff HP
cumul],Tableau46[[#This Row],[1er jour]],1)</f>
        <v>#N/A</v>
      </c>
      <c r="I5" s="121" t="e">
        <f>INDEX(tabSuiviConso[Diff HP
cumul],Tableau46[[#This Row],[Dernier jour]],1)</f>
        <v>#N/A</v>
      </c>
      <c r="J5" s="102" t="e">
        <f>Tableau46[[#This Row],[Diff HP Cumul
Dernier jour]]-Tableau46[[#This Row],[Diff HP Cumul
1er jour]]</f>
        <v>#N/A</v>
      </c>
      <c r="K5" s="121" t="e">
        <f>INDEX(tabSuiviConso[Diff HC
cumul],Tableau46[[#This Row],[1er jour]],1)</f>
        <v>#N/A</v>
      </c>
      <c r="L5" s="121" t="e">
        <f>INDEX(tabSuiviConso[Diff HC
cumul],Tableau46[[#This Row],[Dernier jour]],1)</f>
        <v>#N/A</v>
      </c>
      <c r="M5" s="121" t="e">
        <f>Tableau46[[#This Row],[Diff HC Cumul
Dernier jour]]-Tableau46[[#This Row],[Diff HC Cumul
1er jour]]</f>
        <v>#N/A</v>
      </c>
      <c r="N5" s="121" t="e">
        <f>Tableau46[[#This Row],[Ecart HP]]+Tableau46[[#This Row],[Ecart HC]]</f>
        <v>#N/A</v>
      </c>
      <c r="O5" s="101" t="e">
        <f>Tableau46[[#This Row],[Ecart HP + HC]]/(Tableau46[[#This Row],[Ecart Date]]*24)</f>
        <v>#N/A</v>
      </c>
      <c r="P5" s="101" t="e">
        <f>Tableau46[[#This Row],[Ecart HP + HC]]/Tableau46[[#This Row],[Ecart Date]]</f>
        <v>#N/A</v>
      </c>
      <c r="Q5" s="122" t="e">
        <f>Tableau46[[#This Row],[HP+HC/jour]]*365</f>
        <v>#N/A</v>
      </c>
      <c r="R5" s="105" t="e">
        <f>(Tableau46[[#This Row],[HP+HC/an]]-Q4)/Q4</f>
        <v>#N/A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C20"/>
  <sheetViews>
    <sheetView showGridLines="0" showRowColHeaders="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G5" sqref="G5"/>
    </sheetView>
  </sheetViews>
  <sheetFormatPr baseColWidth="10" defaultRowHeight="11.25" x14ac:dyDescent="0.2"/>
  <cols>
    <col min="1" max="1" width="13.140625" style="86" bestFit="1" customWidth="1"/>
    <col min="2" max="2" width="11" style="86" bestFit="1" customWidth="1"/>
    <col min="3" max="3" width="11.85546875" style="86" bestFit="1" customWidth="1"/>
    <col min="4" max="4" width="9.7109375" style="86" bestFit="1" customWidth="1"/>
    <col min="5" max="5" width="11.85546875" style="86" bestFit="1" customWidth="1"/>
    <col min="6" max="6" width="9.7109375" style="86" bestFit="1" customWidth="1"/>
    <col min="7" max="7" width="14" style="86" bestFit="1" customWidth="1"/>
    <col min="8" max="8" width="14.85546875" style="86" bestFit="1" customWidth="1"/>
    <col min="9" max="9" width="10.85546875" style="86" bestFit="1" customWidth="1"/>
    <col min="10" max="10" width="15.42578125" style="86" bestFit="1" customWidth="1"/>
    <col min="11" max="11" width="17" style="86" bestFit="1" customWidth="1"/>
    <col min="12" max="13" width="10" style="86" bestFit="1" customWidth="1"/>
    <col min="14" max="14" width="13" style="86" bestFit="1" customWidth="1"/>
    <col min="15" max="15" width="13.5703125" style="86" bestFit="1" customWidth="1"/>
    <col min="16" max="16" width="12.42578125" style="86" bestFit="1" customWidth="1"/>
    <col min="17" max="17" width="19" style="86" bestFit="1" customWidth="1"/>
    <col min="18" max="18" width="15.5703125" style="86" bestFit="1" customWidth="1"/>
    <col min="19" max="19" width="19.140625" style="86" bestFit="1" customWidth="1"/>
    <col min="20" max="20" width="18" style="86" bestFit="1" customWidth="1"/>
    <col min="21" max="23" width="14.85546875" style="86" bestFit="1" customWidth="1"/>
    <col min="24" max="24" width="19" style="86" bestFit="1" customWidth="1"/>
    <col min="25" max="25" width="14.85546875" style="86" bestFit="1" customWidth="1"/>
    <col min="26" max="26" width="15.5703125" style="86" bestFit="1" customWidth="1"/>
    <col min="27" max="27" width="18" style="86" bestFit="1" customWidth="1"/>
    <col min="28" max="28" width="17" style="86" bestFit="1" customWidth="1"/>
    <col min="29" max="29" width="17.140625" style="86" bestFit="1" customWidth="1"/>
    <col min="30" max="16384" width="11.42578125" style="86"/>
  </cols>
  <sheetData>
    <row r="2" spans="1:29" ht="33.75" x14ac:dyDescent="0.2">
      <c r="A2" s="86" t="s">
        <v>73</v>
      </c>
      <c r="B2" s="86" t="s">
        <v>74</v>
      </c>
      <c r="C2" s="86" t="s">
        <v>75</v>
      </c>
      <c r="D2" s="86" t="s">
        <v>76</v>
      </c>
      <c r="E2" s="86" t="s">
        <v>77</v>
      </c>
      <c r="F2" s="86" t="s">
        <v>78</v>
      </c>
      <c r="G2" s="86" t="s">
        <v>72</v>
      </c>
      <c r="H2" s="111" t="s">
        <v>118</v>
      </c>
      <c r="I2" s="87" t="s">
        <v>79</v>
      </c>
      <c r="J2" s="87" t="s">
        <v>80</v>
      </c>
      <c r="K2" s="87" t="s">
        <v>88</v>
      </c>
      <c r="L2" s="87" t="s">
        <v>81</v>
      </c>
      <c r="M2" s="87" t="s">
        <v>82</v>
      </c>
      <c r="N2" s="87" t="s">
        <v>83</v>
      </c>
      <c r="O2" s="116" t="s">
        <v>117</v>
      </c>
      <c r="P2" s="87" t="s">
        <v>85</v>
      </c>
      <c r="Q2" s="87" t="s">
        <v>89</v>
      </c>
      <c r="R2" s="87" t="s">
        <v>84</v>
      </c>
      <c r="S2" s="116" t="s">
        <v>119</v>
      </c>
      <c r="T2" s="116" t="s">
        <v>149</v>
      </c>
      <c r="U2" s="92" t="s">
        <v>90</v>
      </c>
      <c r="V2" s="92" t="s">
        <v>91</v>
      </c>
      <c r="W2" s="92" t="s">
        <v>92</v>
      </c>
      <c r="X2" s="92" t="s">
        <v>93</v>
      </c>
      <c r="Y2" s="92" t="s">
        <v>94</v>
      </c>
      <c r="Z2" s="92" t="s">
        <v>116</v>
      </c>
      <c r="AA2" s="92" t="s">
        <v>95</v>
      </c>
      <c r="AB2" s="92" t="s">
        <v>96</v>
      </c>
      <c r="AC2" s="94" t="s">
        <v>97</v>
      </c>
    </row>
    <row r="3" spans="1:29" x14ac:dyDescent="0.2">
      <c r="A3" s="88">
        <v>44182</v>
      </c>
      <c r="B3" s="88">
        <v>44243</v>
      </c>
      <c r="C3" s="89">
        <v>179759</v>
      </c>
      <c r="D3" s="89">
        <v>182635</v>
      </c>
      <c r="E3" s="89">
        <v>119432</v>
      </c>
      <c r="F3" s="89">
        <v>120745</v>
      </c>
      <c r="G3" s="90">
        <v>724.83</v>
      </c>
      <c r="H3" s="103"/>
      <c r="I3" s="89">
        <f>Tableau3[Date Fin]-Tableau3[Date Début]</f>
        <v>61</v>
      </c>
      <c r="J3" s="91">
        <f>Tableau3[Montant TTC]/Tableau3[Diff jour]</f>
        <v>11.882459016393444</v>
      </c>
      <c r="K3" s="91">
        <f>Tableau3[[#This Row],[Montant / jour]]*365</f>
        <v>4337.0975409836074</v>
      </c>
      <c r="L3" s="89">
        <f>Tableau3[[#This Row],[HP Fin]]-Tableau3[[#This Row],[HP Début]]</f>
        <v>2876</v>
      </c>
      <c r="M3" s="89">
        <f>Tableau3[[#This Row],[HC Fin]]-Tableau3[[#This Row],[HC Début]]</f>
        <v>1313</v>
      </c>
      <c r="N3" s="89">
        <f>Tableau3[[#This Row],[Diff HP]]+Tableau3[[#This Row],[Diff HC]]</f>
        <v>4189</v>
      </c>
      <c r="O3" s="103"/>
      <c r="P3" s="89">
        <f>Tableau3[[#This Row],[Total conso]]/Tableau3[[#This Row],[Diff jour]]</f>
        <v>68.672131147540981</v>
      </c>
      <c r="Q3" s="89">
        <f>Tableau3[[#This Row],[Kwh / jour]]*365</f>
        <v>25065.327868852459</v>
      </c>
      <c r="R3" s="114">
        <f>Tableau3[[#This Row],[Montant TTC]]/Tableau3[[#This Row],[Total conso]]</f>
        <v>0.17303174982095967</v>
      </c>
      <c r="S3" s="103"/>
      <c r="T3" s="103">
        <f>(Tableau3[[#This Row],[Montant / Kwh]]-$R$3)/$R$3</f>
        <v>0</v>
      </c>
      <c r="U3" s="89">
        <f>Tableau3[[#This Row],[Date Fin]]-$A$3</f>
        <v>61</v>
      </c>
      <c r="V3" s="89">
        <f>(Tableau3[[#This Row],[HP Fin]]-$C$3)+(Tableau3[[#This Row],[HC Fin]]-$E$3)</f>
        <v>4189</v>
      </c>
      <c r="W3" s="89">
        <f>Tableau3[[#This Row],[Total HP + HC
depuis entrée]]/Tableau3[[#This Row],[Total jour
depuis entrée]]</f>
        <v>68.672131147540981</v>
      </c>
      <c r="X3" s="89">
        <f>Tableau3[[#This Row],[Kwh / jour
depuis entrée]]*365</f>
        <v>25065.327868852459</v>
      </c>
      <c r="Y3" s="91">
        <f>IF(Y2&lt;&gt;Tableau3[[#Headers],[Montant TTC
depuis entrée]],Tableau3[[#This Row],[Montant TTC]]+Y2,Tableau3[[#This Row],[Montant TTC]])</f>
        <v>724.83</v>
      </c>
      <c r="Z3" s="114">
        <f>Tableau3[[#This Row],[Montant TTC
depuis entrée]]/Tableau3[[#This Row],[Total HP + HC
depuis entrée]]</f>
        <v>0.17303174982095967</v>
      </c>
      <c r="AA3" s="91">
        <f>Tableau3[[#This Row],[Montant TTC
depuis entrée]]/Tableau3[[#This Row],[Total jour
depuis entrée]]</f>
        <v>11.882459016393444</v>
      </c>
      <c r="AB3" s="91">
        <f>Tableau3[[#This Row],[Montant TTC / jour
depuis entrée]]*365</f>
        <v>4337.0975409836074</v>
      </c>
      <c r="AC3" s="93">
        <f>Tableau3[[#This Row],[Projection € 365j
depuis entrée]]/12</f>
        <v>361.42479508196726</v>
      </c>
    </row>
    <row r="4" spans="1:29" x14ac:dyDescent="0.2">
      <c r="A4" s="88">
        <v>44243</v>
      </c>
      <c r="B4" s="88">
        <v>44357</v>
      </c>
      <c r="C4" s="89">
        <f>D3</f>
        <v>182635</v>
      </c>
      <c r="D4" s="89">
        <v>185170</v>
      </c>
      <c r="E4" s="89">
        <f>F3</f>
        <v>120745</v>
      </c>
      <c r="F4" s="89">
        <v>122040</v>
      </c>
      <c r="G4" s="90">
        <v>702.14</v>
      </c>
      <c r="H4" s="103"/>
      <c r="I4" s="89">
        <f>Tableau3[Date Fin]-Tableau3[Date Début]</f>
        <v>114</v>
      </c>
      <c r="J4" s="91">
        <f>Tableau3[Montant TTC]/Tableau3[Diff jour]</f>
        <v>6.1591228070175434</v>
      </c>
      <c r="K4" s="91">
        <f>Tableau3[[#This Row],[Montant / jour]]*365</f>
        <v>2248.0798245614033</v>
      </c>
      <c r="L4" s="89">
        <f>Tableau3[[#This Row],[HP Fin]]-Tableau3[[#This Row],[HP Début]]</f>
        <v>2535</v>
      </c>
      <c r="M4" s="89">
        <f>Tableau3[[#This Row],[HC Fin]]-Tableau3[[#This Row],[HC Début]]</f>
        <v>1295</v>
      </c>
      <c r="N4" s="89">
        <f>Tableau3[[#This Row],[Diff HP]]+Tableau3[[#This Row],[Diff HC]]</f>
        <v>3830</v>
      </c>
      <c r="O4" s="103"/>
      <c r="P4" s="89">
        <f>Tableau3[[#This Row],[Total conso]]/Tableau3[[#This Row],[Diff jour]]</f>
        <v>33.596491228070178</v>
      </c>
      <c r="Q4" s="89">
        <f>Tableau3[[#This Row],[Kwh / jour]]*365</f>
        <v>12262.719298245614</v>
      </c>
      <c r="R4" s="114">
        <f>Tableau3[[#This Row],[Montant TTC]]/Tableau3[[#This Row],[Total conso]]</f>
        <v>0.18332637075718014</v>
      </c>
      <c r="S4" s="103"/>
      <c r="T4" s="103">
        <f>(Tableau3[[#This Row],[Montant / Kwh]]-$R$3)/$R$3</f>
        <v>5.9495560478770929E-2</v>
      </c>
      <c r="U4" s="89">
        <f>Tableau3[[#This Row],[Date Fin]]-$A$3</f>
        <v>175</v>
      </c>
      <c r="V4" s="89">
        <f>V3+Tableau3[[#This Row],[Total conso]]</f>
        <v>8019</v>
      </c>
      <c r="W4" s="89">
        <f>Tableau3[[#This Row],[Total HP + HC
depuis entrée]]/Tableau3[[#This Row],[Total jour
depuis entrée]]</f>
        <v>45.822857142857146</v>
      </c>
      <c r="X4" s="89">
        <f>Tableau3[[#This Row],[Kwh / jour
depuis entrée]]*365</f>
        <v>16725.342857142859</v>
      </c>
      <c r="Y4" s="91">
        <f>Tableau3[[#This Row],[Montant TTC]]+Y3</f>
        <v>1426.97</v>
      </c>
      <c r="Z4" s="114">
        <f>Tableau3[[#This Row],[Montant TTC
depuis entrée]]/Tableau3[[#This Row],[Total HP + HC
depuis entrée]]</f>
        <v>0.1779486220226961</v>
      </c>
      <c r="AA4" s="91">
        <f>Tableau3[[#This Row],[Montant TTC
depuis entrée]]/Tableau3[[#This Row],[Total jour
depuis entrée]]</f>
        <v>8.1541142857142859</v>
      </c>
      <c r="AB4" s="91">
        <f>Tableau3[[#This Row],[Montant TTC / jour
depuis entrée]]*365</f>
        <v>2976.2517142857141</v>
      </c>
      <c r="AC4" s="93">
        <f>Tableau3[[#This Row],[Projection € 365j
depuis entrée]]/12</f>
        <v>248.02097619047618</v>
      </c>
    </row>
    <row r="5" spans="1:29" x14ac:dyDescent="0.2">
      <c r="A5" s="88">
        <v>44357</v>
      </c>
      <c r="B5" s="88">
        <v>44484</v>
      </c>
      <c r="C5" s="89">
        <f>D4</f>
        <v>185170</v>
      </c>
      <c r="D5" s="89">
        <v>186426</v>
      </c>
      <c r="E5" s="89">
        <f>F4</f>
        <v>122040</v>
      </c>
      <c r="F5" s="89">
        <v>122389</v>
      </c>
      <c r="G5" s="90">
        <v>342.69</v>
      </c>
      <c r="H5" s="103"/>
      <c r="I5" s="89">
        <f>Tableau3[Date Fin]-Tableau3[Date Début]</f>
        <v>127</v>
      </c>
      <c r="J5" s="91">
        <f>Tableau3[Montant TTC]/Tableau3[Diff jour]</f>
        <v>2.6983464566929132</v>
      </c>
      <c r="K5" s="91">
        <f>Tableau3[[#This Row],[Montant / jour]]*365</f>
        <v>984.89645669291326</v>
      </c>
      <c r="L5" s="89">
        <f>Tableau3[[#This Row],[HP Fin]]-Tableau3[[#This Row],[HP Début]]</f>
        <v>1256</v>
      </c>
      <c r="M5" s="89">
        <f>Tableau3[[#This Row],[HC Fin]]-Tableau3[[#This Row],[HC Début]]</f>
        <v>349</v>
      </c>
      <c r="N5" s="89">
        <f>Tableau3[[#This Row],[Diff HP]]+Tableau3[[#This Row],[Diff HC]]</f>
        <v>1605</v>
      </c>
      <c r="O5" s="103"/>
      <c r="P5" s="89">
        <f>Tableau3[[#This Row],[Total conso]]/Tableau3[[#This Row],[Diff jour]]</f>
        <v>12.637795275590552</v>
      </c>
      <c r="Q5" s="89">
        <f>Tableau3[[#This Row],[Kwh / jour]]*365</f>
        <v>4612.7952755905517</v>
      </c>
      <c r="R5" s="114">
        <f>Tableau3[[#This Row],[Montant TTC]]/Tableau3[[#This Row],[Total conso]]</f>
        <v>0.21351401869158879</v>
      </c>
      <c r="S5" s="103"/>
      <c r="T5" s="103">
        <f>(Tableau3[[#This Row],[Montant / Kwh]]-$R$3)/$R$3</f>
        <v>0.23395861691578071</v>
      </c>
      <c r="U5" s="89">
        <f>Tableau3[[#This Row],[Date Fin]]-$A$3</f>
        <v>302</v>
      </c>
      <c r="V5" s="89">
        <f>V4+Tableau3[[#This Row],[Total conso]]</f>
        <v>9624</v>
      </c>
      <c r="W5" s="89">
        <f>Tableau3[[#This Row],[Total HP + HC
depuis entrée]]/Tableau3[[#This Row],[Total jour
depuis entrée]]</f>
        <v>31.867549668874172</v>
      </c>
      <c r="X5" s="89">
        <f>Tableau3[[#This Row],[Kwh / jour
depuis entrée]]*365</f>
        <v>11631.655629139073</v>
      </c>
      <c r="Y5" s="91">
        <f>Tableau3[[#This Row],[Montant TTC]]+Y4</f>
        <v>1769.66</v>
      </c>
      <c r="Z5" s="114">
        <f>Tableau3[[#This Row],[Montant TTC
depuis entrée]]/Tableau3[[#This Row],[Total HP + HC
depuis entrée]]</f>
        <v>0.18387988362427266</v>
      </c>
      <c r="AA5" s="91">
        <f>Tableau3[[#This Row],[Montant TTC
depuis entrée]]/Tableau3[[#This Row],[Total jour
depuis entrée]]</f>
        <v>5.8598013245033114</v>
      </c>
      <c r="AB5" s="91">
        <f>Tableau3[[#This Row],[Montant TTC / jour
depuis entrée]]*365</f>
        <v>2138.8274834437088</v>
      </c>
      <c r="AC5" s="93">
        <f>Tableau3[[#This Row],[Projection € 365j
depuis entrée]]/12</f>
        <v>178.23562362030907</v>
      </c>
    </row>
    <row r="6" spans="1:29" x14ac:dyDescent="0.2">
      <c r="A6" s="88">
        <v>44484</v>
      </c>
      <c r="B6" s="88">
        <v>44601</v>
      </c>
      <c r="C6" s="89">
        <f>D5</f>
        <v>186426</v>
      </c>
      <c r="D6" s="89">
        <v>190887</v>
      </c>
      <c r="E6" s="89">
        <f>F5</f>
        <v>122389</v>
      </c>
      <c r="F6" s="89">
        <v>123990</v>
      </c>
      <c r="G6" s="90">
        <v>1093.31</v>
      </c>
      <c r="H6" s="103"/>
      <c r="I6" s="89">
        <f>Tableau3[Date Fin]-Tableau3[Date Début]</f>
        <v>117</v>
      </c>
      <c r="J6" s="91">
        <f>Tableau3[Montant TTC]/Tableau3[Diff jour]</f>
        <v>9.3445299145299145</v>
      </c>
      <c r="K6" s="91">
        <f>Tableau3[[#This Row],[Montant / jour]]*365</f>
        <v>3410.7534188034188</v>
      </c>
      <c r="L6" s="89">
        <f>Tableau3[[#This Row],[HP Fin]]-Tableau3[[#This Row],[HP Début]]</f>
        <v>4461</v>
      </c>
      <c r="M6" s="89">
        <f>Tableau3[[#This Row],[HC Fin]]-Tableau3[[#This Row],[HC Début]]</f>
        <v>1601</v>
      </c>
      <c r="N6" s="89">
        <f>Tableau3[[#This Row],[Diff HP]]+Tableau3[[#This Row],[Diff HC]]</f>
        <v>6062</v>
      </c>
      <c r="O6" s="103"/>
      <c r="P6" s="89">
        <f>Tableau3[[#This Row],[Total conso]]/Tableau3[[#This Row],[Diff jour]]</f>
        <v>51.811965811965813</v>
      </c>
      <c r="Q6" s="89">
        <f>Tableau3[[#This Row],[Kwh / jour]]*365</f>
        <v>18911.367521367523</v>
      </c>
      <c r="R6" s="114">
        <f>Tableau3[[#This Row],[Montant TTC]]/Tableau3[[#This Row],[Total conso]]</f>
        <v>0.18035466842626194</v>
      </c>
      <c r="S6" s="103"/>
      <c r="T6" s="103">
        <f>(Tableau3[[#This Row],[Montant / Kwh]]-$R$3)/$R$3</f>
        <v>4.2321242274203856E-2</v>
      </c>
      <c r="U6" s="89">
        <f>Tableau3[[#This Row],[Date Fin]]-$A$3</f>
        <v>419</v>
      </c>
      <c r="V6" s="89">
        <f>V5+Tableau3[[#This Row],[Total conso]]</f>
        <v>15686</v>
      </c>
      <c r="W6" s="89">
        <f>Tableau3[[#This Row],[Total HP + HC
depuis entrée]]/Tableau3[[#This Row],[Total jour
depuis entrée]]</f>
        <v>37.436754176610975</v>
      </c>
      <c r="X6" s="89">
        <f>Tableau3[[#This Row],[Kwh / jour
depuis entrée]]*365</f>
        <v>13664.415274463006</v>
      </c>
      <c r="Y6" s="91">
        <f>Tableau3[[#This Row],[Montant TTC]]+Y5</f>
        <v>2862.9700000000003</v>
      </c>
      <c r="Z6" s="114">
        <f>Tableau3[[#This Row],[Montant TTC
depuis entrée]]/Tableau3[[#This Row],[Total HP + HC
depuis entrée]]</f>
        <v>0.18251753155680225</v>
      </c>
      <c r="AA6" s="91">
        <f>Tableau3[[#This Row],[Montant TTC
depuis entrée]]/Tableau3[[#This Row],[Total jour
depuis entrée]]</f>
        <v>6.8328639618138434</v>
      </c>
      <c r="AB6" s="91">
        <f>Tableau3[[#This Row],[Montant TTC / jour
depuis entrée]]*365</f>
        <v>2493.9953460620527</v>
      </c>
      <c r="AC6" s="93">
        <f>Tableau3[[#This Row],[Projection € 365j
depuis entrée]]/12</f>
        <v>207.83294550517107</v>
      </c>
    </row>
    <row r="7" spans="1:29" x14ac:dyDescent="0.2">
      <c r="A7" s="95">
        <v>44601</v>
      </c>
      <c r="B7" s="95">
        <v>44732</v>
      </c>
      <c r="C7" s="96">
        <v>190887</v>
      </c>
      <c r="D7" s="96">
        <v>193283</v>
      </c>
      <c r="E7" s="96">
        <v>123990</v>
      </c>
      <c r="F7" s="96">
        <v>125247</v>
      </c>
      <c r="G7" s="97">
        <v>687.18</v>
      </c>
      <c r="H7" s="103">
        <f>(Tableau3[[#This Row],[Montant TTC]]-G4)/G4</f>
        <v>-2.1306292192440308E-2</v>
      </c>
      <c r="I7" s="96">
        <f>Tableau3[Date Fin]-Tableau3[Date Début]</f>
        <v>131</v>
      </c>
      <c r="J7" s="93">
        <f>Tableau3[Montant TTC]/Tableau3[Diff jour]</f>
        <v>5.2456488549618321</v>
      </c>
      <c r="K7" s="93">
        <f>Tableau3[[#This Row],[Montant / jour]]*365</f>
        <v>1914.6618320610687</v>
      </c>
      <c r="L7" s="96">
        <f>Tableau3[[#This Row],[HP Fin]]-Tableau3[[#This Row],[HP Début]]</f>
        <v>2396</v>
      </c>
      <c r="M7" s="96">
        <f>Tableau3[[#This Row],[HC Fin]]-Tableau3[[#This Row],[HC Début]]</f>
        <v>1257</v>
      </c>
      <c r="N7" s="96">
        <f>Tableau3[[#This Row],[Diff HP]]+Tableau3[[#This Row],[Diff HC]]</f>
        <v>3653</v>
      </c>
      <c r="O7" s="103">
        <f>(Tableau3[[#This Row],[Total conso]]-N4)/N4</f>
        <v>-4.6214099216710186E-2</v>
      </c>
      <c r="P7" s="96">
        <f>Tableau3[[#This Row],[Total conso]]/Tableau3[[#This Row],[Diff jour]]</f>
        <v>27.885496183206108</v>
      </c>
      <c r="Q7" s="96">
        <f>Tableau3[[#This Row],[Kwh / jour]]*365</f>
        <v>10178.20610687023</v>
      </c>
      <c r="R7" s="115">
        <f>Tableau3[[#This Row],[Montant TTC]]/Tableau3[[#This Row],[Total conso]]</f>
        <v>0.18811387900355869</v>
      </c>
      <c r="S7" s="104">
        <f>(Tableau3[[#This Row],[Montant / Kwh]]-R4)/R4</f>
        <v>2.6114673118793768E-2</v>
      </c>
      <c r="T7" s="103">
        <f>(Tableau3[[#This Row],[Montant / Kwh]]-$R$3)/$R$3</f>
        <v>8.7163940711487226E-2</v>
      </c>
      <c r="U7" s="96">
        <f>Tableau3[[#This Row],[Date Fin]]-$A$3</f>
        <v>550</v>
      </c>
      <c r="V7" s="89">
        <f>V6+Tableau3[[#This Row],[Total conso]]</f>
        <v>19339</v>
      </c>
      <c r="W7" s="96">
        <f>Tableau3[[#This Row],[Total HP + HC
depuis entrée]]/Tableau3[[#This Row],[Total jour
depuis entrée]]</f>
        <v>35.161818181818184</v>
      </c>
      <c r="X7" s="96">
        <f>Tableau3[[#This Row],[Kwh / jour
depuis entrée]]*365</f>
        <v>12834.063636363637</v>
      </c>
      <c r="Y7" s="91">
        <f>Tableau3[[#This Row],[Montant TTC]]+Y6</f>
        <v>3550.15</v>
      </c>
      <c r="Z7" s="114">
        <f>Tableau3[[#This Row],[Montant TTC
depuis entrée]]/Tableau3[[#This Row],[Total HP + HC
depuis entrée]]</f>
        <v>0.18357464191530068</v>
      </c>
      <c r="AA7" s="93">
        <f>Tableau3[[#This Row],[Montant TTC
depuis entrée]]/Tableau3[[#This Row],[Total jour
depuis entrée]]</f>
        <v>6.4548181818181822</v>
      </c>
      <c r="AB7" s="93">
        <f>Tableau3[[#This Row],[Montant TTC / jour
depuis entrée]]*365</f>
        <v>2356.0086363636365</v>
      </c>
      <c r="AC7" s="93">
        <f>Tableau3[[#This Row],[Projection € 365j
depuis entrée]]/12</f>
        <v>196.33405303030304</v>
      </c>
    </row>
    <row r="8" spans="1:29" x14ac:dyDescent="0.2">
      <c r="A8" s="95">
        <v>44732</v>
      </c>
      <c r="B8" s="95">
        <v>44852</v>
      </c>
      <c r="C8" s="96">
        <v>193283</v>
      </c>
      <c r="D8" s="96">
        <v>194080</v>
      </c>
      <c r="E8" s="96">
        <v>125247</v>
      </c>
      <c r="F8" s="96">
        <v>125561</v>
      </c>
      <c r="G8" s="97">
        <v>254.7</v>
      </c>
      <c r="H8" s="103">
        <f>(Tableau3[[#This Row],[Montant TTC]]-G5)/G5</f>
        <v>-0.25676267180250373</v>
      </c>
      <c r="I8" s="96">
        <f>Tableau3[Date Fin]-Tableau3[Date Début]</f>
        <v>120</v>
      </c>
      <c r="J8" s="93">
        <f>Tableau3[Montant TTC]/Tableau3[Diff jour]</f>
        <v>2.1225000000000001</v>
      </c>
      <c r="K8" s="93">
        <f>Tableau3[[#This Row],[Montant / jour]]*365</f>
        <v>774.71249999999998</v>
      </c>
      <c r="L8" s="96">
        <f>Tableau3[[#This Row],[HP Fin]]-Tableau3[[#This Row],[HP Début]]</f>
        <v>797</v>
      </c>
      <c r="M8" s="96">
        <f>Tableau3[[#This Row],[HC Fin]]-Tableau3[[#This Row],[HC Début]]</f>
        <v>314</v>
      </c>
      <c r="N8" s="96">
        <f>Tableau3[[#This Row],[Diff HP]]+Tableau3[[#This Row],[Diff HC]]</f>
        <v>1111</v>
      </c>
      <c r="O8" s="103">
        <f>(Tableau3[[#This Row],[Total conso]]-N5)/N5</f>
        <v>-0.30778816199376946</v>
      </c>
      <c r="P8" s="96">
        <f>Tableau3[[#This Row],[Total conso]]/Tableau3[[#This Row],[Diff jour]]</f>
        <v>9.2583333333333329</v>
      </c>
      <c r="Q8" s="96">
        <f>Tableau3[[#This Row],[Kwh / jour]]*365</f>
        <v>3379.2916666666665</v>
      </c>
      <c r="R8" s="115">
        <f>Tableau3[[#This Row],[Montant TTC]]/Tableau3[[#This Row],[Total conso]]</f>
        <v>0.22925292529252925</v>
      </c>
      <c r="S8" s="104">
        <f>(Tableau3[[#This Row],[Montant / Kwh]]-R5)/R5</f>
        <v>7.3713691950478388E-2</v>
      </c>
      <c r="T8" s="103">
        <f>(Tableau3[[#This Row],[Montant / Kwh]]-$R$3)/$R$3</f>
        <v>0.32491826228274895</v>
      </c>
      <c r="U8" s="96">
        <f>Tableau3[[#This Row],[Date Fin]]-$A$3</f>
        <v>670</v>
      </c>
      <c r="V8" s="89">
        <f>V7+Tableau3[[#This Row],[Total conso]]</f>
        <v>20450</v>
      </c>
      <c r="W8" s="96">
        <f>Tableau3[[#This Row],[Total HP + HC
depuis entrée]]/Tableau3[[#This Row],[Total jour
depuis entrée]]</f>
        <v>30.522388059701491</v>
      </c>
      <c r="X8" s="96">
        <f>Tableau3[[#This Row],[Kwh / jour
depuis entrée]]*365</f>
        <v>11140.671641791045</v>
      </c>
      <c r="Y8" s="91">
        <f>Tableau3[[#This Row],[Montant TTC]]+Y7</f>
        <v>3804.85</v>
      </c>
      <c r="Z8" s="114">
        <f>Tableau3[[#This Row],[Montant TTC
depuis entrée]]/Tableau3[[#This Row],[Total HP + HC
depuis entrée]]</f>
        <v>0.1860562347188264</v>
      </c>
      <c r="AA8" s="93">
        <f>Tableau3[[#This Row],[Montant TTC
depuis entrée]]/Tableau3[[#This Row],[Total jour
depuis entrée]]</f>
        <v>5.678880597014925</v>
      </c>
      <c r="AB8" s="93">
        <f>Tableau3[[#This Row],[Montant TTC / jour
depuis entrée]]*365</f>
        <v>2072.7914179104478</v>
      </c>
      <c r="AC8" s="93">
        <f>Tableau3[[#This Row],[Projection € 365j
depuis entrée]]/12</f>
        <v>172.73261815920398</v>
      </c>
    </row>
    <row r="9" spans="1:29" x14ac:dyDescent="0.2">
      <c r="A9" s="95">
        <v>44852</v>
      </c>
      <c r="B9" s="95">
        <v>44973</v>
      </c>
      <c r="C9" s="96">
        <v>194080</v>
      </c>
      <c r="D9" s="113">
        <f>195613+2248</f>
        <v>197861</v>
      </c>
      <c r="E9" s="96">
        <v>125561</v>
      </c>
      <c r="F9" s="113">
        <f>126128+1062</f>
        <v>127190</v>
      </c>
      <c r="G9" s="97">
        <v>1026.54</v>
      </c>
      <c r="H9" s="103">
        <f>(Tableau3[[#This Row],[Montant TTC]]-G6)/G6</f>
        <v>-6.1071425304808323E-2</v>
      </c>
      <c r="I9" s="96">
        <f>Tableau3[Date Fin]-Tableau3[Date Début]</f>
        <v>121</v>
      </c>
      <c r="J9" s="93">
        <f>Tableau3[Montant TTC]/Tableau3[Diff jour]</f>
        <v>8.4838016528925611</v>
      </c>
      <c r="K9" s="93">
        <f>Tableau3[[#This Row],[Montant / jour]]*365</f>
        <v>3096.5876033057848</v>
      </c>
      <c r="L9" s="96">
        <f>Tableau3[[#This Row],[HP Fin]]-Tableau3[[#This Row],[HP Début]]</f>
        <v>3781</v>
      </c>
      <c r="M9" s="96">
        <f>Tableau3[[#This Row],[HC Fin]]-Tableau3[[#This Row],[HC Début]]</f>
        <v>1629</v>
      </c>
      <c r="N9" s="96">
        <f>Tableau3[[#This Row],[Diff HP]]+Tableau3[[#This Row],[Diff HC]]</f>
        <v>5410</v>
      </c>
      <c r="O9" s="103">
        <f>(Tableau3[[#This Row],[Total conso]]-N6)/N6</f>
        <v>-0.10755526228967338</v>
      </c>
      <c r="P9" s="96">
        <f>Tableau3[[#This Row],[Total conso]]/Tableau3[[#This Row],[Diff jour]]</f>
        <v>44.710743801652896</v>
      </c>
      <c r="Q9" s="96">
        <f>Tableau3[[#This Row],[Kwh / jour]]*365</f>
        <v>16319.421487603307</v>
      </c>
      <c r="R9" s="115">
        <f>Tableau3[[#This Row],[Montant TTC]]/Tableau3[[#This Row],[Total conso]]</f>
        <v>0.18974861367837337</v>
      </c>
      <c r="S9" s="104">
        <f>(Tableau3[[#This Row],[Montant / Kwh]]-R6)/R6</f>
        <v>5.2085955601155656E-2</v>
      </c>
      <c r="T9" s="103">
        <f>(Tableau3[[#This Row],[Montant / Kwh]]-$R$3)/$R$3</f>
        <v>9.6611540221439446E-2</v>
      </c>
      <c r="U9" s="96">
        <f>Tableau3[[#This Row],[Date Fin]]-$A$3</f>
        <v>791</v>
      </c>
      <c r="V9" s="89">
        <f>V8+Tableau3[[#This Row],[Total conso]]</f>
        <v>25860</v>
      </c>
      <c r="W9" s="96">
        <f>Tableau3[[#This Row],[Total HP + HC
depuis entrée]]/Tableau3[[#This Row],[Total jour
depuis entrée]]</f>
        <v>32.692793931731984</v>
      </c>
      <c r="X9" s="96">
        <f>Tableau3[[#This Row],[Kwh / jour
depuis entrée]]*365</f>
        <v>11932.869785082174</v>
      </c>
      <c r="Y9" s="91">
        <f>Tableau3[[#This Row],[Montant TTC]]+Y8</f>
        <v>4831.3899999999994</v>
      </c>
      <c r="Z9" s="114">
        <f>Tableau3[[#This Row],[Montant TTC
depuis entrée]]/Tableau3[[#This Row],[Total HP + HC
depuis entrée]]</f>
        <v>0.18682869296210361</v>
      </c>
      <c r="AA9" s="93">
        <f>Tableau3[[#This Row],[Montant TTC
depuis entrée]]/Tableau3[[#This Row],[Total jour
depuis entrée]]</f>
        <v>6.107951959544879</v>
      </c>
      <c r="AB9" s="93">
        <f>Tableau3[[#This Row],[Montant TTC / jour
depuis entrée]]*365</f>
        <v>2229.4024652338808</v>
      </c>
      <c r="AC9" s="93">
        <f>Tableau3[[#This Row],[Projection € 365j
depuis entrée]]/12</f>
        <v>185.78353876949006</v>
      </c>
    </row>
    <row r="10" spans="1:29" x14ac:dyDescent="0.2">
      <c r="A10" s="95">
        <v>44973</v>
      </c>
      <c r="B10" s="95">
        <v>45089</v>
      </c>
      <c r="C10" s="96">
        <v>2248</v>
      </c>
      <c r="D10" s="96">
        <v>4356</v>
      </c>
      <c r="E10" s="96">
        <v>1062</v>
      </c>
      <c r="F10" s="96">
        <v>2204</v>
      </c>
      <c r="G10" s="97">
        <v>718.31</v>
      </c>
      <c r="H10" s="103">
        <f>(Tableau3[[#This Row],[Montant TTC]]-G7)/G7</f>
        <v>4.5301085596204778E-2</v>
      </c>
      <c r="I10" s="96">
        <f>Tableau3[Date Fin]-Tableau3[Date Début]</f>
        <v>116</v>
      </c>
      <c r="J10" s="93">
        <f>Tableau3[Montant TTC]/Tableau3[Diff jour]</f>
        <v>6.1923275862068961</v>
      </c>
      <c r="K10" s="93">
        <f>Tableau3[[#This Row],[Montant / jour]]*365</f>
        <v>2260.1995689655168</v>
      </c>
      <c r="L10" s="96">
        <f>Tableau3[[#This Row],[HP Fin]]-Tableau3[[#This Row],[HP Début]]</f>
        <v>2108</v>
      </c>
      <c r="M10" s="96">
        <f>Tableau3[[#This Row],[HC Fin]]-Tableau3[[#This Row],[HC Début]]</f>
        <v>1142</v>
      </c>
      <c r="N10" s="96">
        <f>Tableau3[[#This Row],[Diff HP]]+Tableau3[[#This Row],[Diff HC]]</f>
        <v>3250</v>
      </c>
      <c r="O10" s="103">
        <f>(Tableau3[[#This Row],[Total conso]]-N7)/N7</f>
        <v>-0.1103202846975089</v>
      </c>
      <c r="P10" s="96">
        <f>Tableau3[[#This Row],[Total conso]]/Tableau3[[#This Row],[Diff jour]]</f>
        <v>28.017241379310345</v>
      </c>
      <c r="Q10" s="96">
        <f>Tableau3[[#This Row],[Kwh / jour]]*365</f>
        <v>10226.293103448275</v>
      </c>
      <c r="R10" s="115">
        <f>Tableau3[[#This Row],[Montant TTC]]/Tableau3[[#This Row],[Total conso]]</f>
        <v>0.22101846153846152</v>
      </c>
      <c r="S10" s="104">
        <f>(Tableau3[[#This Row],[Montant / Kwh]]-R7)/R7</f>
        <v>0.17491842021013426</v>
      </c>
      <c r="T10" s="103">
        <f>(Tableau3[[#This Row],[Montant / Kwh]]-$R$3)/$R$3</f>
        <v>0.27732893973016465</v>
      </c>
      <c r="U10" s="96">
        <f>Tableau3[[#This Row],[Date Fin]]-$A$3</f>
        <v>907</v>
      </c>
      <c r="V10" s="89">
        <f>V9+Tableau3[[#This Row],[Total conso]]</f>
        <v>29110</v>
      </c>
      <c r="W10" s="96">
        <f>Tableau3[[#This Row],[Total HP + HC
depuis entrée]]/Tableau3[[#This Row],[Total jour
depuis entrée]]</f>
        <v>32.094818081587654</v>
      </c>
      <c r="X10" s="96">
        <f>Tableau3[[#This Row],[Kwh / jour
depuis entrée]]*365</f>
        <v>11714.608599779494</v>
      </c>
      <c r="Y10" s="91">
        <f>Tableau3[[#This Row],[Montant TTC]]+Y9</f>
        <v>5549.6999999999989</v>
      </c>
      <c r="Z10" s="115">
        <f>Tableau3[[#This Row],[Montant TTC
depuis entrée]]/Tableau3[[#This Row],[Total HP + HC
depuis entrée]]</f>
        <v>0.19064582617657158</v>
      </c>
      <c r="AA10" s="93">
        <f>Tableau3[[#This Row],[Montant TTC
depuis entrée]]/Tableau3[[#This Row],[Total jour
depuis entrée]]</f>
        <v>6.1187431091510458</v>
      </c>
      <c r="AB10" s="93">
        <f>Tableau3[[#This Row],[Montant TTC / jour
depuis entrée]]*365</f>
        <v>2233.3412348401316</v>
      </c>
      <c r="AC10" s="93">
        <f>Tableau3[[#This Row],[Projection € 365j
depuis entrée]]/12</f>
        <v>186.11176957001098</v>
      </c>
    </row>
    <row r="11" spans="1:29" x14ac:dyDescent="0.2">
      <c r="A11" s="95">
        <v>45089</v>
      </c>
      <c r="B11" s="95">
        <v>45211</v>
      </c>
      <c r="C11" s="96">
        <v>4356</v>
      </c>
      <c r="D11" s="96">
        <v>4993</v>
      </c>
      <c r="E11" s="96">
        <v>2204</v>
      </c>
      <c r="F11" s="96">
        <v>2483</v>
      </c>
      <c r="G11" s="97">
        <v>266.47000000000003</v>
      </c>
      <c r="H11" s="103">
        <f>(Tableau3[[#This Row],[Montant TTC]]-G8)/G8</f>
        <v>4.6211228896741417E-2</v>
      </c>
      <c r="I11" s="96">
        <f>Tableau3[Date Fin]-Tableau3[Date Début]</f>
        <v>122</v>
      </c>
      <c r="J11" s="93">
        <f>Tableau3[Montant TTC]/Tableau3[Diff jour]</f>
        <v>2.1841803278688525</v>
      </c>
      <c r="K11" s="93">
        <f>Tableau3[[#This Row],[Montant / jour]]*365</f>
        <v>797.22581967213114</v>
      </c>
      <c r="L11" s="96">
        <f>Tableau3[[#This Row],[HP Fin]]-Tableau3[[#This Row],[HP Début]]</f>
        <v>637</v>
      </c>
      <c r="M11" s="96">
        <f>Tableau3[[#This Row],[HC Fin]]-Tableau3[[#This Row],[HC Début]]</f>
        <v>279</v>
      </c>
      <c r="N11" s="96">
        <f>Tableau3[[#This Row],[Diff HP]]+Tableau3[[#This Row],[Diff HC]]</f>
        <v>916</v>
      </c>
      <c r="O11" s="103">
        <f>(Tableau3[[#This Row],[Total conso]]-N8)/N8</f>
        <v>-0.17551755175517553</v>
      </c>
      <c r="P11" s="96">
        <f>Tableau3[[#This Row],[Total conso]]/Tableau3[[#This Row],[Diff jour]]</f>
        <v>7.5081967213114753</v>
      </c>
      <c r="Q11" s="96">
        <f>Tableau3[[#This Row],[Kwh / jour]]*365</f>
        <v>2740.4918032786886</v>
      </c>
      <c r="R11" s="115">
        <f>Tableau3[[#This Row],[Montant TTC]]/Tableau3[[#This Row],[Total conso]]</f>
        <v>0.29090611353711793</v>
      </c>
      <c r="S11" s="104">
        <f>(Tableau3[[#This Row],[Montant / Kwh]]-R8)/R8</f>
        <v>0.26893086823611317</v>
      </c>
      <c r="T11" s="103">
        <f>(Tableau3[[#This Row],[Montant / Kwh]]-$R$3)/$R$3</f>
        <v>0.68122968090033098</v>
      </c>
      <c r="U11" s="96">
        <f>Tableau3[[#This Row],[Date Fin]]-$A$3</f>
        <v>1029</v>
      </c>
      <c r="V11" s="89">
        <f>V10+Tableau3[[#This Row],[Total conso]]</f>
        <v>30026</v>
      </c>
      <c r="W11" s="96">
        <f>Tableau3[[#This Row],[Total HP + HC
depuis entrée]]/Tableau3[[#This Row],[Total jour
depuis entrée]]</f>
        <v>29.179786200194364</v>
      </c>
      <c r="X11" s="96">
        <f>Tableau3[[#This Row],[Kwh / jour
depuis entrée]]*365</f>
        <v>10650.621963070944</v>
      </c>
      <c r="Y11" s="91">
        <f>Tableau3[[#This Row],[Montant TTC]]+Y10</f>
        <v>5816.1699999999992</v>
      </c>
      <c r="Z11" s="115">
        <f>Tableau3[[#This Row],[Montant TTC
depuis entrée]]/Tableau3[[#This Row],[Total HP + HC
depuis entrée]]</f>
        <v>0.19370445613801368</v>
      </c>
      <c r="AA11" s="93">
        <f>Tableau3[[#This Row],[Montant TTC
depuis entrée]]/Tableau3[[#This Row],[Total jour
depuis entrée]]</f>
        <v>5.6522546161321667</v>
      </c>
      <c r="AB11" s="93">
        <f>Tableau3[[#This Row],[Montant TTC / jour
depuis entrée]]*365</f>
        <v>2063.072934888241</v>
      </c>
      <c r="AC11" s="93">
        <f>Tableau3[[#This Row],[Projection € 365j
depuis entrée]]/12</f>
        <v>171.92274457402007</v>
      </c>
    </row>
    <row r="12" spans="1:29" x14ac:dyDescent="0.2">
      <c r="A12" s="95">
        <v>45211</v>
      </c>
      <c r="B12" s="95">
        <v>45334</v>
      </c>
      <c r="C12" s="96">
        <v>4993</v>
      </c>
      <c r="D12" s="96">
        <v>8358</v>
      </c>
      <c r="E12" s="96">
        <v>2483</v>
      </c>
      <c r="F12" s="96">
        <v>4228</v>
      </c>
      <c r="G12" s="97">
        <v>1225.49</v>
      </c>
      <c r="H12" s="103">
        <f>(Tableau3[[#This Row],[Montant TTC]]-G9)/G9</f>
        <v>0.19380637870906156</v>
      </c>
      <c r="I12" s="96">
        <f>Tableau3[Date Fin]-Tableau3[Date Début]</f>
        <v>123</v>
      </c>
      <c r="J12" s="93">
        <f>Tableau3[Montant TTC]/Tableau3[Diff jour]</f>
        <v>9.9633333333333329</v>
      </c>
      <c r="K12" s="93">
        <f>Tableau3[[#This Row],[Montant / jour]]*365</f>
        <v>3636.6166666666663</v>
      </c>
      <c r="L12" s="96">
        <f>Tableau3[[#This Row],[HP Fin]]-Tableau3[[#This Row],[HP Début]]</f>
        <v>3365</v>
      </c>
      <c r="M12" s="96">
        <f>Tableau3[[#This Row],[HC Fin]]-Tableau3[[#This Row],[HC Début]]</f>
        <v>1745</v>
      </c>
      <c r="N12" s="96">
        <f>Tableau3[[#This Row],[Diff HP]]+Tableau3[[#This Row],[Diff HC]]</f>
        <v>5110</v>
      </c>
      <c r="O12" s="103">
        <f>(Tableau3[[#This Row],[Total conso]]-N9)/N9</f>
        <v>-5.545286506469501E-2</v>
      </c>
      <c r="P12" s="96">
        <f>Tableau3[[#This Row],[Total conso]]/Tableau3[[#This Row],[Diff jour]]</f>
        <v>41.544715447154474</v>
      </c>
      <c r="Q12" s="96">
        <f>Tableau3[[#This Row],[Kwh / jour]]*365</f>
        <v>15163.821138211382</v>
      </c>
      <c r="R12" s="115">
        <f>Tableau3[[#This Row],[Montant TTC]]/Tableau3[[#This Row],[Total conso]]</f>
        <v>0.23982191780821918</v>
      </c>
      <c r="S12" s="104">
        <f>(Tableau3[[#This Row],[Montant / Kwh]]-R9)/R9</f>
        <v>0.26389285886810632</v>
      </c>
      <c r="T12" s="103">
        <f>(Tableau3[[#This Row],[Montant / Kwh]]-$R$3)/$R$3</f>
        <v>0.38599949463823247</v>
      </c>
      <c r="U12" s="96">
        <f>Tableau3[[#This Row],[Date Fin]]-$A$3</f>
        <v>1152</v>
      </c>
      <c r="V12" s="89">
        <f>V11+Tableau3[[#This Row],[Total conso]]</f>
        <v>35136</v>
      </c>
      <c r="W12" s="96">
        <f>Tableau3[[#This Row],[Total HP + HC
depuis entrée]]/Tableau3[[#This Row],[Total jour
depuis entrée]]</f>
        <v>30.5</v>
      </c>
      <c r="X12" s="96">
        <f>Tableau3[[#This Row],[Kwh / jour
depuis entrée]]*365</f>
        <v>11132.5</v>
      </c>
      <c r="Y12" s="91">
        <f>Tableau3[[#This Row],[Montant TTC]]+Y11</f>
        <v>7041.6599999999989</v>
      </c>
      <c r="Z12" s="115">
        <f>Tableau3[[#This Row],[Montant TTC
depuis entrée]]/Tableau3[[#This Row],[Total HP + HC
depuis entrée]]</f>
        <v>0.20041154371584696</v>
      </c>
      <c r="AA12" s="93">
        <f>Tableau3[[#This Row],[Montant TTC
depuis entrée]]/Tableau3[[#This Row],[Total jour
depuis entrée]]</f>
        <v>6.1125520833333322</v>
      </c>
      <c r="AB12" s="93">
        <f>Tableau3[[#This Row],[Montant TTC / jour
depuis entrée]]*365</f>
        <v>2231.0815104166663</v>
      </c>
      <c r="AC12" s="93">
        <f>Tableau3[[#This Row],[Projection € 365j
depuis entrée]]/12</f>
        <v>185.92345920138885</v>
      </c>
    </row>
    <row r="13" spans="1:29" x14ac:dyDescent="0.2">
      <c r="A13" s="95">
        <v>45334</v>
      </c>
      <c r="B13" s="95">
        <v>45455</v>
      </c>
      <c r="C13" s="96">
        <v>8358</v>
      </c>
      <c r="D13" s="96">
        <v>10527</v>
      </c>
      <c r="E13" s="96">
        <v>4228</v>
      </c>
      <c r="F13" s="96">
        <v>5263</v>
      </c>
      <c r="G13" s="97">
        <v>866.45</v>
      </c>
      <c r="H13" s="103">
        <f>(Tableau3[[#This Row],[Montant TTC]]-G10)/G10</f>
        <v>0.20623407720900463</v>
      </c>
      <c r="I13" s="96">
        <f>Tableau3[Date Fin]-Tableau3[Date Début]</f>
        <v>121</v>
      </c>
      <c r="J13" s="93">
        <f>Tableau3[Montant TTC]/Tableau3[Diff jour]</f>
        <v>7.1607438016528926</v>
      </c>
      <c r="K13" s="93">
        <f>Tableau3[[#This Row],[Montant / jour]]*365</f>
        <v>2613.6714876033056</v>
      </c>
      <c r="L13" s="96">
        <f>Tableau3[[#This Row],[HP Fin]]-Tableau3[[#This Row],[HP Début]]</f>
        <v>2169</v>
      </c>
      <c r="M13" s="96">
        <f>Tableau3[[#This Row],[HC Fin]]-Tableau3[[#This Row],[HC Début]]</f>
        <v>1035</v>
      </c>
      <c r="N13" s="96">
        <f>Tableau3[[#This Row],[Diff HP]]+Tableau3[[#This Row],[Diff HC]]</f>
        <v>3204</v>
      </c>
      <c r="O13" s="103">
        <f>(Tableau3[[#This Row],[Total conso]]-N10)/N10</f>
        <v>-1.4153846153846154E-2</v>
      </c>
      <c r="P13" s="96">
        <f>Tableau3[[#This Row],[Total conso]]/Tableau3[[#This Row],[Diff jour]]</f>
        <v>26.479338842975206</v>
      </c>
      <c r="Q13" s="96">
        <f>Tableau3[[#This Row],[Kwh / jour]]*365</f>
        <v>9664.9586776859505</v>
      </c>
      <c r="R13" s="115">
        <f>Tableau3[[#This Row],[Montant TTC]]/Tableau3[[#This Row],[Total conso]]</f>
        <v>0.27042759051186022</v>
      </c>
      <c r="S13" s="104">
        <f>(Tableau3[[#This Row],[Montant / Kwh]]-R10)/R10</f>
        <v>0.22355204460963338</v>
      </c>
      <c r="T13" s="104">
        <f>(Tableau3[[#This Row],[Montant / Kwh]]-$R$3)/$R$3</f>
        <v>0.56287843584589814</v>
      </c>
      <c r="U13" s="96">
        <f>Tableau3[[#This Row],[Date Fin]]-$A$3</f>
        <v>1273</v>
      </c>
      <c r="V13" s="89">
        <f>V12+Tableau3[[#This Row],[Total conso]]</f>
        <v>38340</v>
      </c>
      <c r="W13" s="96">
        <f>Tableau3[[#This Row],[Total HP + HC
depuis entrée]]/Tableau3[[#This Row],[Total jour
depuis entrée]]</f>
        <v>30.11783189316575</v>
      </c>
      <c r="X13" s="96">
        <f>Tableau3[[#This Row],[Kwh / jour
depuis entrée]]*365</f>
        <v>10993.008641005499</v>
      </c>
      <c r="Y13" s="91">
        <f>Tableau3[[#This Row],[Montant TTC]]+Y12</f>
        <v>7908.1099999999988</v>
      </c>
      <c r="Z13" s="115">
        <f>Tableau3[[#This Row],[Montant TTC
depuis entrée]]/Tableau3[[#This Row],[Total HP + HC
depuis entrée]]</f>
        <v>0.20626264997391755</v>
      </c>
      <c r="AA13" s="93">
        <f>Tableau3[[#This Row],[Montant TTC
depuis entrée]]/Tableau3[[#This Row],[Total jour
depuis entrée]]</f>
        <v>6.2121838177533375</v>
      </c>
      <c r="AB13" s="93">
        <f>Tableau3[[#This Row],[Montant TTC / jour
depuis entrée]]*365</f>
        <v>2267.4470934799683</v>
      </c>
      <c r="AC13" s="93">
        <f>Tableau3[[#This Row],[Projection € 365j
depuis entrée]]/12</f>
        <v>188.95392445666403</v>
      </c>
    </row>
    <row r="19" spans="11:17" x14ac:dyDescent="0.2">
      <c r="K19" s="124">
        <f>K13/K6</f>
        <v>0.76630326695391826</v>
      </c>
      <c r="L19" s="86">
        <f>SUM(Tableau3[Diff HP])</f>
        <v>26381</v>
      </c>
      <c r="M19" s="86">
        <f>SUM(Tableau3[Diff HC])</f>
        <v>11959</v>
      </c>
      <c r="N19" s="86">
        <f>SUM(Tableau3[Total conso])</f>
        <v>38340</v>
      </c>
      <c r="Q19" s="124">
        <f>Q13/Q6</f>
        <v>0.51106609116266888</v>
      </c>
    </row>
    <row r="20" spans="11:17" x14ac:dyDescent="0.2">
      <c r="L20" s="124">
        <f>L19/N19</f>
        <v>0.6880803338549818</v>
      </c>
      <c r="M20" s="124">
        <f>M19/N19</f>
        <v>0.31191966614501826</v>
      </c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Suivi Conso</vt:lpstr>
      <vt:lpstr>T° et conso par heure</vt:lpstr>
      <vt:lpstr>Moyenne par mois</vt:lpstr>
      <vt:lpstr>Moyenne par année mois</vt:lpstr>
      <vt:lpstr>Courbes</vt:lpstr>
      <vt:lpstr>Suivi Conso New</vt:lpstr>
      <vt:lpstr>MinMax HpHc instantannées</vt:lpstr>
      <vt:lpstr>MinMax HpHc par heure instanta</vt:lpstr>
      <vt:lpstr>Cumul par année</vt:lpstr>
      <vt:lpstr>Moy par jour de la semaine - Ne</vt:lpstr>
      <vt:lpstr>Moy par jour de la semaine</vt:lpstr>
      <vt:lpstr>Moy par jour année mois - New</vt:lpstr>
      <vt:lpstr>Moy par jour année mois</vt:lpstr>
      <vt:lpstr>Moy par année mois - New</vt:lpstr>
      <vt:lpstr>Moy par année mois</vt:lpstr>
      <vt:lpstr>Moy par mois</vt:lpstr>
      <vt:lpstr>Moy par année - New</vt:lpstr>
      <vt:lpstr>Moy par année</vt:lpstr>
      <vt:lpstr>Ecart annuel</vt:lpstr>
      <vt:lpstr>Ecart annuel 2</vt:lpstr>
      <vt:lpstr>Suivi Factures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bertrand</cp:lastModifiedBy>
  <dcterms:created xsi:type="dcterms:W3CDTF">1996-10-21T11:03:58Z</dcterms:created>
  <dcterms:modified xsi:type="dcterms:W3CDTF">2024-09-08T07:35:19Z</dcterms:modified>
</cp:coreProperties>
</file>